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2B910227-FB3F-411F-A468-380F26097A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заказа'!$A$18:$AF$436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заказа'!$X$432:$X$432</definedName>
    <definedName name="GrossWeightTotalR">'Бланк заказа'!$Y$432:$Y$432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заказа'!$X$433:$X$433</definedName>
    <definedName name="PalletQtyTotalR">'Бланк заказа'!$Y$433:$Y$433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заказа'!$B$213:$B$213</definedName>
    <definedName name="ProductId101">'Бланк заказа'!$B$218:$B$218</definedName>
    <definedName name="ProductId102">'Бланк заказа'!$B$219:$B$219</definedName>
    <definedName name="ProductId103">'Бланк заказа'!$B$220:$B$220</definedName>
    <definedName name="ProductId104">'Бланк заказа'!$B$225:$B$225</definedName>
    <definedName name="ProductId105">'Бланк заказа'!$B$226:$B$226</definedName>
    <definedName name="ProductId106">'Бланк заказа'!$B$231:$B$231</definedName>
    <definedName name="ProductId107">'Бланк заказа'!$B$232:$B$232</definedName>
    <definedName name="ProductId108">'Бланк заказа'!$B$237:$B$237</definedName>
    <definedName name="ProductId109">'Бланк заказа'!$B$238:$B$238</definedName>
    <definedName name="ProductId11">'Бланк заказа'!$B$40:$B$40</definedName>
    <definedName name="ProductId110">'Бланк заказа'!$B$239:$B$239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заказа'!$B$246:$B$246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заказа'!$B$253:$B$253</definedName>
    <definedName name="ProductId119">'Бланк заказа'!$B$254:$B$254</definedName>
    <definedName name="ProductId12">'Бланк заказа'!$B$45:$B$45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заказа'!$B$272:$B$272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заказа'!$B$283:$B$283</definedName>
    <definedName name="ProductId136">'Бланк заказа'!$B$287:$B$287</definedName>
    <definedName name="ProductId137">'Бланк заказа'!$B$288:$B$288</definedName>
    <definedName name="ProductId138">'Бланк заказа'!$B$294:$B$294</definedName>
    <definedName name="ProductId139">'Бланк заказа'!$B$295:$B$295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заказа'!$B$298:$B$298</definedName>
    <definedName name="ProductId143">'Бланк заказа'!$B$299:$B$299</definedName>
    <definedName name="ProductId144">'Бланк заказа'!$B$303:$B$303</definedName>
    <definedName name="ProductId145">'Бланк заказа'!$B$304:$B$304</definedName>
    <definedName name="ProductId146">'Бланк заказа'!$B$308:$B$308</definedName>
    <definedName name="ProductId147">'Бланк заказа'!$B$309:$B$309</definedName>
    <definedName name="ProductId148">'Бланк заказа'!$B$313:$B$313</definedName>
    <definedName name="ProductId149">'Бланк заказа'!$B$318:$B$318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заказа'!$B$332:$B$332</definedName>
    <definedName name="ProductId158">'Бланк заказа'!$B$333:$B$333</definedName>
    <definedName name="ProductId159">'Бланк заказа'!$B$334:$B$334</definedName>
    <definedName name="ProductId16">'Бланк заказа'!$B$49:$B$49</definedName>
    <definedName name="ProductId160">'Бланк заказа'!$B$338:$B$338</definedName>
    <definedName name="ProductId161">'Бланк заказа'!$B$344:$B$344</definedName>
    <definedName name="ProductId162">'Бланк заказа'!$B$348:$B$348</definedName>
    <definedName name="ProductId163">'Бланк заказа'!$B$349:$B$349</definedName>
    <definedName name="ProductId164">'Бланк заказа'!$B$350:$B$350</definedName>
    <definedName name="ProductId165">'Бланк заказа'!$B$351:$B$351</definedName>
    <definedName name="ProductId166">'Бланк заказа'!$B$352:$B$352</definedName>
    <definedName name="ProductId167">'Бланк заказа'!$B$356:$B$356</definedName>
    <definedName name="ProductId168">'Бланк заказа'!$B$357:$B$357</definedName>
    <definedName name="ProductId169">'Бланк заказа'!$B$362:$B$362</definedName>
    <definedName name="ProductId17">'Бланк заказа'!$B$50:$B$50</definedName>
    <definedName name="ProductId170">'Бланк заказа'!$B$366:$B$366</definedName>
    <definedName name="ProductId171">'Бланк заказа'!$B$372:$B$372</definedName>
    <definedName name="ProductId172">'Бланк заказа'!$B$373:$B$373</definedName>
    <definedName name="ProductId173">'Бланк заказа'!$B$374:$B$374</definedName>
    <definedName name="ProductId174">'Бланк заказа'!$B$375:$B$375</definedName>
    <definedName name="ProductId175">'Бланк заказа'!$B$376:$B$376</definedName>
    <definedName name="ProductId176">'Бланк заказа'!$B$377:$B$377</definedName>
    <definedName name="ProductId177">'Бланк заказа'!$B$378:$B$378</definedName>
    <definedName name="ProductId178">'Бланк заказа'!$B$379:$B$379</definedName>
    <definedName name="ProductId179">'Бланк заказа'!$B$380:$B$380</definedName>
    <definedName name="ProductId18">'Бланк заказа'!$B$51:$B$51</definedName>
    <definedName name="ProductId180">'Бланк заказа'!$B$381:$B$381</definedName>
    <definedName name="ProductId181">'Бланк заказа'!$B$382:$B$382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заказа'!$B$389:$B$389</definedName>
    <definedName name="ProductId186">'Бланк заказа'!$B$390:$B$390</definedName>
    <definedName name="ProductId187">'Бланк заказа'!$B$394:$B$394</definedName>
    <definedName name="ProductId188">'Бланк заказа'!$B$395:$B$395</definedName>
    <definedName name="ProductId189">'Бланк заказа'!$B$396:$B$396</definedName>
    <definedName name="ProductId19">'Бланк заказа'!$B$55:$B$55</definedName>
    <definedName name="ProductId190">'Бланк заказа'!$B$397:$B$397</definedName>
    <definedName name="ProductId191">'Бланк заказа'!$B$398:$B$398</definedName>
    <definedName name="ProductId192">'Бланк заказа'!$B$399:$B$399</definedName>
    <definedName name="ProductId193">'Бланк заказа'!$B$400:$B$400</definedName>
    <definedName name="ProductId194">'Бланк заказа'!$B$401:$B$401</definedName>
    <definedName name="ProductId195">'Бланк заказа'!$B$402:$B$402</definedName>
    <definedName name="ProductId196">'Бланк заказа'!$B$403:$B$403</definedName>
    <definedName name="ProductId197">'Бланк заказа'!$B$404:$B$404</definedName>
    <definedName name="ProductId198">'Бланк заказа'!$B$405:$B$405</definedName>
    <definedName name="ProductId199">'Бланк заказа'!$B$406:$B$406</definedName>
    <definedName name="ProductId2">'Бланк заказа'!$B$23:$B$23</definedName>
    <definedName name="ProductId20">'Бланк заказа'!$B$56:$B$56</definedName>
    <definedName name="ProductId200">'Бланк заказа'!$B$407:$B$407</definedName>
    <definedName name="ProductId201">'Бланк заказа'!$B$411:$B$411</definedName>
    <definedName name="ProductId202">'Бланк заказа'!$B$412:$B$412</definedName>
    <definedName name="ProductId203">'Бланк заказа'!$B$418:$B$418</definedName>
    <definedName name="ProductId204">'Бланк заказа'!$B$422:$B$422</definedName>
    <definedName name="ProductId205">'Бланк заказа'!$B$428:$B$428</definedName>
    <definedName name="ProductId21">'Бланк заказа'!$B$57:$B$57</definedName>
    <definedName name="ProductId22">'Бланк заказа'!$B$58:$B$58</definedName>
    <definedName name="ProductId23">'Бланк заказа'!$B$62:$B$62</definedName>
    <definedName name="ProductId24">'Бланк заказа'!$B$63:$B$63</definedName>
    <definedName name="ProductId25">'Бланк заказа'!$B$68:$B$68</definedName>
    <definedName name="ProductId26">'Бланк заказа'!$B$69:$B$69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заказа'!$B$24:$B$24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заказа'!$B$25:$B$25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заказа'!$B$102:$B$102</definedName>
    <definedName name="ProductId44">'Бланк заказа'!$B$107:$B$107</definedName>
    <definedName name="ProductId45">'Бланк заказа'!$B$111:$B$111</definedName>
    <definedName name="ProductId46">'Бланк заказа'!$B$116:$B$116</definedName>
    <definedName name="ProductId47">'Бланк заказа'!$B$120:$B$120</definedName>
    <definedName name="ProductId48">'Бланк заказа'!$B$121:$B$121</definedName>
    <definedName name="ProductId49">'Бланк заказа'!$B$122:$B$122</definedName>
    <definedName name="ProductId5">'Бланк заказа'!$B$26:$B$26</definedName>
    <definedName name="ProductId50">'Бланк заказа'!$B$123:$B$123</definedName>
    <definedName name="ProductId51">'Бланк заказа'!$B$124:$B$124</definedName>
    <definedName name="ProductId52">'Бланк заказа'!$B$128:$B$128</definedName>
    <definedName name="ProductId53">'Бланк заказа'!$B$129:$B$129</definedName>
    <definedName name="ProductId54">'Бланк заказа'!$B$135:$B$135</definedName>
    <definedName name="ProductId55">'Бланк заказа'!$B$136:$B$136</definedName>
    <definedName name="ProductId56">'Бланк заказа'!$B$137:$B$137</definedName>
    <definedName name="ProductId57">'Бланк заказа'!$B$138:$B$138</definedName>
    <definedName name="ProductId58">'Бланк заказа'!$B$139:$B$139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заказа'!$B$157:$B$157</definedName>
    <definedName name="ProductId67">'Бланк заказа'!$B$158:$B$158</definedName>
    <definedName name="ProductId68">'Бланк заказа'!$B$159:$B$159</definedName>
    <definedName name="ProductId69">'Бланк заказа'!$B$160:$B$160</definedName>
    <definedName name="ProductId7">'Бланк заказа'!$B$36:$B$36</definedName>
    <definedName name="ProductId70">'Бланк заказа'!$B$164:$B$164</definedName>
    <definedName name="ProductId71">'Бланк заказа'!$B$165:$B$165</definedName>
    <definedName name="ProductId72">'Бланк заказа'!$B$166:$B$166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заказа'!$B$37:$B$37</definedName>
    <definedName name="ProductId80">'Бланк заказа'!$B$177:$B$177</definedName>
    <definedName name="ProductId81">'Бланк заказа'!$B$178:$B$178</definedName>
    <definedName name="ProductId82">'Бланк заказа'!$B$183:$B$183</definedName>
    <definedName name="ProductId83">'Бланк заказа'!$B$184:$B$184</definedName>
    <definedName name="ProductId84">'Бланк заказа'!$B$185:$B$185</definedName>
    <definedName name="ProductId85">'Бланк заказа'!$B$186:$B$186</definedName>
    <definedName name="ProductId86">'Бланк заказа'!$B$187:$B$187</definedName>
    <definedName name="ProductId87">'Бланк заказа'!$B$188:$B$188</definedName>
    <definedName name="ProductId88">'Бланк заказа'!$B$193:$B$193</definedName>
    <definedName name="ProductId89">'Бланк заказа'!$B$194:$B$194</definedName>
    <definedName name="ProductId9">'Бланк заказа'!$B$38:$B$38</definedName>
    <definedName name="ProductId90">'Бланк заказа'!$B$195:$B$195</definedName>
    <definedName name="ProductId91">'Бланк заказа'!$B$196:$B$196</definedName>
    <definedName name="ProductId92">'Бланк заказа'!$B$197:$B$197</definedName>
    <definedName name="ProductId93">'Бланк заказа'!$B$198:$B$198</definedName>
    <definedName name="ProductId94">'Бланк заказа'!$B$199:$B$199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заказа'!$X$213:$X$213</definedName>
    <definedName name="SalesQty101">'Бланк заказа'!$X$218:$X$218</definedName>
    <definedName name="SalesQty102">'Бланк заказа'!$X$219:$X$219</definedName>
    <definedName name="SalesQty103">'Бланк заказа'!$X$220:$X$220</definedName>
    <definedName name="SalesQty104">'Бланк заказа'!$X$225:$X$225</definedName>
    <definedName name="SalesQty105">'Бланк заказа'!$X$226:$X$226</definedName>
    <definedName name="SalesQty106">'Бланк заказа'!$X$231:$X$231</definedName>
    <definedName name="SalesQty107">'Бланк заказа'!$X$232:$X$232</definedName>
    <definedName name="SalesQty108">'Бланк заказа'!$X$237:$X$237</definedName>
    <definedName name="SalesQty109">'Бланк заказа'!$X$238:$X$238</definedName>
    <definedName name="SalesQty11">'Бланк заказа'!$X$40:$X$40</definedName>
    <definedName name="SalesQty110">'Бланк заказа'!$X$239:$X$239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заказа'!$X$246:$X$246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заказа'!$X$253:$X$253</definedName>
    <definedName name="SalesQty119">'Бланк заказа'!$X$254:$X$254</definedName>
    <definedName name="SalesQty12">'Бланк заказа'!$X$45:$X$45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заказа'!$X$272:$X$272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заказа'!$X$283:$X$283</definedName>
    <definedName name="SalesQty136">'Бланк заказа'!$X$287:$X$287</definedName>
    <definedName name="SalesQty137">'Бланк заказа'!$X$288:$X$288</definedName>
    <definedName name="SalesQty138">'Бланк заказа'!$X$294:$X$294</definedName>
    <definedName name="SalesQty139">'Бланк заказа'!$X$295:$X$295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заказа'!$X$298:$X$298</definedName>
    <definedName name="SalesQty143">'Бланк заказа'!$X$299:$X$299</definedName>
    <definedName name="SalesQty144">'Бланк заказа'!$X$303:$X$303</definedName>
    <definedName name="SalesQty145">'Бланк заказа'!$X$304:$X$304</definedName>
    <definedName name="SalesQty146">'Бланк заказа'!$X$308:$X$308</definedName>
    <definedName name="SalesQty147">'Бланк заказа'!$X$309:$X$309</definedName>
    <definedName name="SalesQty148">'Бланк заказа'!$X$313:$X$313</definedName>
    <definedName name="SalesQty149">'Бланк заказа'!$X$318:$X$318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заказа'!$X$332:$X$332</definedName>
    <definedName name="SalesQty158">'Бланк заказа'!$X$333:$X$333</definedName>
    <definedName name="SalesQty159">'Бланк заказа'!$X$334:$X$334</definedName>
    <definedName name="SalesQty16">'Бланк заказа'!$X$49:$X$49</definedName>
    <definedName name="SalesQty160">'Бланк заказа'!$X$338:$X$338</definedName>
    <definedName name="SalesQty161">'Бланк заказа'!$X$344:$X$344</definedName>
    <definedName name="SalesQty162">'Бланк заказа'!$X$348:$X$348</definedName>
    <definedName name="SalesQty163">'Бланк заказа'!$X$349:$X$349</definedName>
    <definedName name="SalesQty164">'Бланк заказа'!$X$350:$X$350</definedName>
    <definedName name="SalesQty165">'Бланк заказа'!$X$351:$X$351</definedName>
    <definedName name="SalesQty166">'Бланк заказа'!$X$352:$X$352</definedName>
    <definedName name="SalesQty167">'Бланк заказа'!$X$356:$X$356</definedName>
    <definedName name="SalesQty168">'Бланк заказа'!$X$357:$X$357</definedName>
    <definedName name="SalesQty169">'Бланк заказа'!$X$362:$X$362</definedName>
    <definedName name="SalesQty17">'Бланк заказа'!$X$50:$X$50</definedName>
    <definedName name="SalesQty170">'Бланк заказа'!$X$366:$X$366</definedName>
    <definedName name="SalesQty171">'Бланк заказа'!$X$372:$X$372</definedName>
    <definedName name="SalesQty172">'Бланк заказа'!$X$373:$X$373</definedName>
    <definedName name="SalesQty173">'Бланк заказа'!$X$374:$X$374</definedName>
    <definedName name="SalesQty174">'Бланк заказа'!$X$375:$X$375</definedName>
    <definedName name="SalesQty175">'Бланк заказа'!$X$376:$X$376</definedName>
    <definedName name="SalesQty176">'Бланк заказа'!$X$377:$X$377</definedName>
    <definedName name="SalesQty177">'Бланк заказа'!$X$378:$X$378</definedName>
    <definedName name="SalesQty178">'Бланк заказа'!$X$379:$X$379</definedName>
    <definedName name="SalesQty179">'Бланк заказа'!$X$380:$X$380</definedName>
    <definedName name="SalesQty18">'Бланк заказа'!$X$51:$X$51</definedName>
    <definedName name="SalesQty180">'Бланк заказа'!$X$381:$X$381</definedName>
    <definedName name="SalesQty181">'Бланк заказа'!$X$382:$X$382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заказа'!$X$389:$X$389</definedName>
    <definedName name="SalesQty186">'Бланк заказа'!$X$390:$X$390</definedName>
    <definedName name="SalesQty187">'Бланк заказа'!$X$394:$X$394</definedName>
    <definedName name="SalesQty188">'Бланк заказа'!$X$395:$X$395</definedName>
    <definedName name="SalesQty189">'Бланк заказа'!$X$396:$X$396</definedName>
    <definedName name="SalesQty19">'Бланк заказа'!$X$55:$X$55</definedName>
    <definedName name="SalesQty190">'Бланк заказа'!$X$397:$X$397</definedName>
    <definedName name="SalesQty191">'Бланк заказа'!$X$398:$X$398</definedName>
    <definedName name="SalesQty192">'Бланк заказа'!$X$399:$X$399</definedName>
    <definedName name="SalesQty193">'Бланк заказа'!$X$400:$X$400</definedName>
    <definedName name="SalesQty194">'Бланк заказа'!$X$401:$X$401</definedName>
    <definedName name="SalesQty195">'Бланк заказа'!$X$402:$X$402</definedName>
    <definedName name="SalesQty196">'Бланк заказа'!$X$403:$X$403</definedName>
    <definedName name="SalesQty197">'Бланк заказа'!$X$404:$X$404</definedName>
    <definedName name="SalesQty198">'Бланк заказа'!$X$405:$X$405</definedName>
    <definedName name="SalesQty199">'Бланк заказа'!$X$406:$X$406</definedName>
    <definedName name="SalesQty2">'Бланк заказа'!$X$23:$X$23</definedName>
    <definedName name="SalesQty20">'Бланк заказа'!$X$56:$X$56</definedName>
    <definedName name="SalesQty200">'Бланк заказа'!$X$407:$X$407</definedName>
    <definedName name="SalesQty201">'Бланк заказа'!$X$411:$X$411</definedName>
    <definedName name="SalesQty202">'Бланк заказа'!$X$412:$X$412</definedName>
    <definedName name="SalesQty203">'Бланк заказа'!$X$418:$X$418</definedName>
    <definedName name="SalesQty204">'Бланк заказа'!$X$422:$X$422</definedName>
    <definedName name="SalesQty205">'Бланк заказа'!$X$428:$X$428</definedName>
    <definedName name="SalesQty21">'Бланк заказа'!$X$57:$X$57</definedName>
    <definedName name="SalesQty22">'Бланк заказа'!$X$58:$X$58</definedName>
    <definedName name="SalesQty23">'Бланк заказа'!$X$62:$X$62</definedName>
    <definedName name="SalesQty24">'Бланк заказа'!$X$63:$X$63</definedName>
    <definedName name="SalesQty25">'Бланк заказа'!$X$68:$X$68</definedName>
    <definedName name="SalesQty26">'Бланк заказа'!$X$69:$X$69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заказа'!$X$24:$X$24</definedName>
    <definedName name="SalesQty30">'Бланк заказа'!$X$76:$X$76</definedName>
    <definedName name="SalesQty31">'Бланк заказа'!$X$77:$X$77</definedName>
    <definedName name="SalesQty32">'Бланк заказа'!$X$78:$X$78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заказа'!$X$25:$X$25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заказа'!$X$102:$X$102</definedName>
    <definedName name="SalesQty44">'Бланк заказа'!$X$107:$X$107</definedName>
    <definedName name="SalesQty45">'Бланк заказа'!$X$111:$X$111</definedName>
    <definedName name="SalesQty46">'Бланк заказа'!$X$116:$X$116</definedName>
    <definedName name="SalesQty47">'Бланк заказа'!$X$120:$X$120</definedName>
    <definedName name="SalesQty48">'Бланк заказа'!$X$121:$X$121</definedName>
    <definedName name="SalesQty49">'Бланк заказа'!$X$122:$X$122</definedName>
    <definedName name="SalesQty5">'Бланк заказа'!$X$26:$X$26</definedName>
    <definedName name="SalesQty50">'Бланк заказа'!$X$123:$X$123</definedName>
    <definedName name="SalesQty51">'Бланк заказа'!$X$124:$X$124</definedName>
    <definedName name="SalesQty52">'Бланк заказа'!$X$128:$X$128</definedName>
    <definedName name="SalesQty53">'Бланк заказа'!$X$129:$X$129</definedName>
    <definedName name="SalesQty54">'Бланк заказа'!$X$135:$X$135</definedName>
    <definedName name="SalesQty55">'Бланк заказа'!$X$136:$X$136</definedName>
    <definedName name="SalesQty56">'Бланк заказа'!$X$137:$X$137</definedName>
    <definedName name="SalesQty57">'Бланк заказа'!$X$138:$X$138</definedName>
    <definedName name="SalesQty58">'Бланк заказа'!$X$139:$X$139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заказа'!$X$157:$X$157</definedName>
    <definedName name="SalesQty67">'Бланк заказа'!$X$158:$X$158</definedName>
    <definedName name="SalesQty68">'Бланк заказа'!$X$159:$X$159</definedName>
    <definedName name="SalesQty69">'Бланк заказа'!$X$160:$X$160</definedName>
    <definedName name="SalesQty7">'Бланк заказа'!$X$36:$X$36</definedName>
    <definedName name="SalesQty70">'Бланк заказа'!$X$164:$X$164</definedName>
    <definedName name="SalesQty71">'Бланк заказа'!$X$165:$X$165</definedName>
    <definedName name="SalesQty72">'Бланк заказа'!$X$166:$X$166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заказа'!$X$37:$X$37</definedName>
    <definedName name="SalesQty80">'Бланк заказа'!$X$177:$X$177</definedName>
    <definedName name="SalesQty81">'Бланк заказа'!$X$178:$X$178</definedName>
    <definedName name="SalesQty82">'Бланк заказа'!$X$183:$X$183</definedName>
    <definedName name="SalesQty83">'Бланк заказа'!$X$184:$X$184</definedName>
    <definedName name="SalesQty84">'Бланк заказа'!$X$185:$X$185</definedName>
    <definedName name="SalesQty85">'Бланк заказа'!$X$186:$X$186</definedName>
    <definedName name="SalesQty86">'Бланк заказа'!$X$187:$X$187</definedName>
    <definedName name="SalesQty87">'Бланк заказа'!$X$188:$X$188</definedName>
    <definedName name="SalesQty88">'Бланк заказа'!$X$193:$X$193</definedName>
    <definedName name="SalesQty89">'Бланк заказа'!$X$194:$X$194</definedName>
    <definedName name="SalesQty9">'Бланк заказа'!$X$38:$X$38</definedName>
    <definedName name="SalesQty90">'Бланк заказа'!$X$195:$X$195</definedName>
    <definedName name="SalesQty91">'Бланк заказа'!$X$196:$X$196</definedName>
    <definedName name="SalesQty92">'Бланк заказа'!$X$197:$X$197</definedName>
    <definedName name="SalesQty93">'Бланк заказа'!$X$198:$X$198</definedName>
    <definedName name="SalesQty94">'Бланк заказа'!$X$199:$X$199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заказа'!$Y$213:$Y$213</definedName>
    <definedName name="SalesRoundBox101">'Бланк заказа'!$Y$218:$Y$218</definedName>
    <definedName name="SalesRoundBox102">'Бланк заказа'!$Y$219:$Y$219</definedName>
    <definedName name="SalesRoundBox103">'Бланк заказа'!$Y$220:$Y$220</definedName>
    <definedName name="SalesRoundBox104">'Бланк заказа'!$Y$225:$Y$225</definedName>
    <definedName name="SalesRoundBox105">'Бланк заказа'!$Y$226:$Y$226</definedName>
    <definedName name="SalesRoundBox106">'Бланк заказа'!$Y$231:$Y$231</definedName>
    <definedName name="SalesRoundBox107">'Бланк заказа'!$Y$232:$Y$232</definedName>
    <definedName name="SalesRoundBox108">'Бланк заказа'!$Y$237:$Y$237</definedName>
    <definedName name="SalesRoundBox109">'Бланк заказа'!$Y$238:$Y$238</definedName>
    <definedName name="SalesRoundBox11">'Бланк заказа'!$Y$40:$Y$40</definedName>
    <definedName name="SalesRoundBox110">'Бланк заказа'!$Y$239:$Y$239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заказа'!$Y$246:$Y$246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заказа'!$Y$253:$Y$253</definedName>
    <definedName name="SalesRoundBox119">'Бланк заказа'!$Y$254:$Y$254</definedName>
    <definedName name="SalesRoundBox12">'Бланк заказа'!$Y$45:$Y$45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заказа'!$Y$272:$Y$272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заказа'!$Y$283:$Y$283</definedName>
    <definedName name="SalesRoundBox136">'Бланк заказа'!$Y$287:$Y$287</definedName>
    <definedName name="SalesRoundBox137">'Бланк заказа'!$Y$288:$Y$288</definedName>
    <definedName name="SalesRoundBox138">'Бланк заказа'!$Y$294:$Y$294</definedName>
    <definedName name="SalesRoundBox139">'Бланк заказа'!$Y$295:$Y$295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заказа'!$Y$298:$Y$298</definedName>
    <definedName name="SalesRoundBox143">'Бланк заказа'!$Y$299:$Y$299</definedName>
    <definedName name="SalesRoundBox144">'Бланк заказа'!$Y$303:$Y$303</definedName>
    <definedName name="SalesRoundBox145">'Бланк заказа'!$Y$304:$Y$304</definedName>
    <definedName name="SalesRoundBox146">'Бланк заказа'!$Y$308:$Y$308</definedName>
    <definedName name="SalesRoundBox147">'Бланк заказа'!$Y$309:$Y$309</definedName>
    <definedName name="SalesRoundBox148">'Бланк заказа'!$Y$313:$Y$313</definedName>
    <definedName name="SalesRoundBox149">'Бланк заказа'!$Y$318:$Y$318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заказа'!$Y$332:$Y$332</definedName>
    <definedName name="SalesRoundBox158">'Бланк заказа'!$Y$333:$Y$333</definedName>
    <definedName name="SalesRoundBox159">'Бланк заказа'!$Y$334:$Y$334</definedName>
    <definedName name="SalesRoundBox16">'Бланк заказа'!$Y$49:$Y$49</definedName>
    <definedName name="SalesRoundBox160">'Бланк заказа'!$Y$338:$Y$338</definedName>
    <definedName name="SalesRoundBox161">'Бланк заказа'!$Y$344:$Y$344</definedName>
    <definedName name="SalesRoundBox162">'Бланк заказа'!$Y$348:$Y$348</definedName>
    <definedName name="SalesRoundBox163">'Бланк заказа'!$Y$349:$Y$349</definedName>
    <definedName name="SalesRoundBox164">'Бланк заказа'!$Y$350:$Y$350</definedName>
    <definedName name="SalesRoundBox165">'Бланк заказа'!$Y$351:$Y$351</definedName>
    <definedName name="SalesRoundBox166">'Бланк заказа'!$Y$352:$Y$352</definedName>
    <definedName name="SalesRoundBox167">'Бланк заказа'!$Y$356:$Y$356</definedName>
    <definedName name="SalesRoundBox168">'Бланк заказа'!$Y$357:$Y$357</definedName>
    <definedName name="SalesRoundBox169">'Бланк заказа'!$Y$362:$Y$362</definedName>
    <definedName name="SalesRoundBox17">'Бланк заказа'!$Y$50:$Y$50</definedName>
    <definedName name="SalesRoundBox170">'Бланк заказа'!$Y$366:$Y$366</definedName>
    <definedName name="SalesRoundBox171">'Бланк заказа'!$Y$372:$Y$372</definedName>
    <definedName name="SalesRoundBox172">'Бланк заказа'!$Y$373:$Y$373</definedName>
    <definedName name="SalesRoundBox173">'Бланк заказа'!$Y$374:$Y$374</definedName>
    <definedName name="SalesRoundBox174">'Бланк заказа'!$Y$375:$Y$375</definedName>
    <definedName name="SalesRoundBox175">'Бланк заказа'!$Y$376:$Y$376</definedName>
    <definedName name="SalesRoundBox176">'Бланк заказа'!$Y$377:$Y$377</definedName>
    <definedName name="SalesRoundBox177">'Бланк заказа'!$Y$378:$Y$378</definedName>
    <definedName name="SalesRoundBox178">'Бланк заказа'!$Y$379:$Y$379</definedName>
    <definedName name="SalesRoundBox179">'Бланк заказа'!$Y$380:$Y$380</definedName>
    <definedName name="SalesRoundBox18">'Бланк заказа'!$Y$51:$Y$51</definedName>
    <definedName name="SalesRoundBox180">'Бланк заказа'!$Y$381:$Y$381</definedName>
    <definedName name="SalesRoundBox181">'Бланк заказа'!$Y$382:$Y$382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заказа'!$Y$389:$Y$389</definedName>
    <definedName name="SalesRoundBox186">'Бланк заказа'!$Y$390:$Y$390</definedName>
    <definedName name="SalesRoundBox187">'Бланк заказа'!$Y$394:$Y$394</definedName>
    <definedName name="SalesRoundBox188">'Бланк заказа'!$Y$395:$Y$395</definedName>
    <definedName name="SalesRoundBox189">'Бланк заказа'!$Y$396:$Y$396</definedName>
    <definedName name="SalesRoundBox19">'Бланк заказа'!$Y$55:$Y$55</definedName>
    <definedName name="SalesRoundBox190">'Бланк заказа'!$Y$397:$Y$397</definedName>
    <definedName name="SalesRoundBox191">'Бланк заказа'!$Y$398:$Y$398</definedName>
    <definedName name="SalesRoundBox192">'Бланк заказа'!$Y$399:$Y$399</definedName>
    <definedName name="SalesRoundBox193">'Бланк заказа'!$Y$400:$Y$400</definedName>
    <definedName name="SalesRoundBox194">'Бланк заказа'!$Y$401:$Y$401</definedName>
    <definedName name="SalesRoundBox195">'Бланк заказа'!$Y$402:$Y$402</definedName>
    <definedName name="SalesRoundBox196">'Бланк заказа'!$Y$403:$Y$403</definedName>
    <definedName name="SalesRoundBox197">'Бланк заказа'!$Y$404:$Y$404</definedName>
    <definedName name="SalesRoundBox198">'Бланк заказа'!$Y$405:$Y$405</definedName>
    <definedName name="SalesRoundBox199">'Бланк заказа'!$Y$406:$Y$406</definedName>
    <definedName name="SalesRoundBox2">'Бланк заказа'!$Y$23:$Y$23</definedName>
    <definedName name="SalesRoundBox20">'Бланк заказа'!$Y$56:$Y$56</definedName>
    <definedName name="SalesRoundBox200">'Бланк заказа'!$Y$407:$Y$407</definedName>
    <definedName name="SalesRoundBox201">'Бланк заказа'!$Y$411:$Y$411</definedName>
    <definedName name="SalesRoundBox202">'Бланк заказа'!$Y$412:$Y$412</definedName>
    <definedName name="SalesRoundBox203">'Бланк заказа'!$Y$418:$Y$418</definedName>
    <definedName name="SalesRoundBox204">'Бланк заказа'!$Y$422:$Y$422</definedName>
    <definedName name="SalesRoundBox205">'Бланк заказа'!$Y$428:$Y$428</definedName>
    <definedName name="SalesRoundBox21">'Бланк заказа'!$Y$57:$Y$57</definedName>
    <definedName name="SalesRoundBox22">'Бланк заказа'!$Y$58:$Y$58</definedName>
    <definedName name="SalesRoundBox23">'Бланк заказа'!$Y$62:$Y$62</definedName>
    <definedName name="SalesRoundBox24">'Бланк заказа'!$Y$63:$Y$63</definedName>
    <definedName name="SalesRoundBox25">'Бланк заказа'!$Y$68:$Y$68</definedName>
    <definedName name="SalesRoundBox26">'Бланк заказа'!$Y$69:$Y$69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заказа'!$Y$24:$Y$24</definedName>
    <definedName name="SalesRoundBox30">'Бланк заказа'!$Y$76:$Y$76</definedName>
    <definedName name="SalesRoundBox31">'Бланк заказа'!$Y$77:$Y$77</definedName>
    <definedName name="SalesRoundBox32">'Бланк заказа'!$Y$78:$Y$78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заказа'!$Y$25:$Y$25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заказа'!$Y$102:$Y$102</definedName>
    <definedName name="SalesRoundBox44">'Бланк заказа'!$Y$107:$Y$107</definedName>
    <definedName name="SalesRoundBox45">'Бланк заказа'!$Y$111:$Y$111</definedName>
    <definedName name="SalesRoundBox46">'Бланк заказа'!$Y$116:$Y$116</definedName>
    <definedName name="SalesRoundBox47">'Бланк заказа'!$Y$120:$Y$120</definedName>
    <definedName name="SalesRoundBox48">'Бланк заказа'!$Y$121:$Y$121</definedName>
    <definedName name="SalesRoundBox49">'Бланк заказа'!$Y$122:$Y$122</definedName>
    <definedName name="SalesRoundBox5">'Бланк заказа'!$Y$26:$Y$26</definedName>
    <definedName name="SalesRoundBox50">'Бланк заказа'!$Y$123:$Y$123</definedName>
    <definedName name="SalesRoundBox51">'Бланк заказа'!$Y$124:$Y$124</definedName>
    <definedName name="SalesRoundBox52">'Бланк заказа'!$Y$128:$Y$128</definedName>
    <definedName name="SalesRoundBox53">'Бланк заказа'!$Y$129:$Y$129</definedName>
    <definedName name="SalesRoundBox54">'Бланк заказа'!$Y$135:$Y$135</definedName>
    <definedName name="SalesRoundBox55">'Бланк заказа'!$Y$136:$Y$136</definedName>
    <definedName name="SalesRoundBox56">'Бланк заказа'!$Y$137:$Y$137</definedName>
    <definedName name="SalesRoundBox57">'Бланк заказа'!$Y$138:$Y$138</definedName>
    <definedName name="SalesRoundBox58">'Бланк заказа'!$Y$139:$Y$139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заказа'!$Y$157:$Y$157</definedName>
    <definedName name="SalesRoundBox67">'Бланк заказа'!$Y$158:$Y$158</definedName>
    <definedName name="SalesRoundBox68">'Бланк заказа'!$Y$159:$Y$159</definedName>
    <definedName name="SalesRoundBox69">'Бланк заказа'!$Y$160:$Y$160</definedName>
    <definedName name="SalesRoundBox7">'Бланк заказа'!$Y$36:$Y$36</definedName>
    <definedName name="SalesRoundBox70">'Бланк заказа'!$Y$164:$Y$164</definedName>
    <definedName name="SalesRoundBox71">'Бланк заказа'!$Y$165:$Y$165</definedName>
    <definedName name="SalesRoundBox72">'Бланк заказа'!$Y$166:$Y$166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заказа'!$Y$37:$Y$37</definedName>
    <definedName name="SalesRoundBox80">'Бланк заказа'!$Y$177:$Y$177</definedName>
    <definedName name="SalesRoundBox81">'Бланк заказа'!$Y$178:$Y$178</definedName>
    <definedName name="SalesRoundBox82">'Бланк заказа'!$Y$183:$Y$183</definedName>
    <definedName name="SalesRoundBox83">'Бланк заказа'!$Y$184:$Y$184</definedName>
    <definedName name="SalesRoundBox84">'Бланк заказа'!$Y$185:$Y$185</definedName>
    <definedName name="SalesRoundBox85">'Бланк заказа'!$Y$186:$Y$186</definedName>
    <definedName name="SalesRoundBox86">'Бланк заказа'!$Y$187:$Y$187</definedName>
    <definedName name="SalesRoundBox87">'Бланк заказа'!$Y$188:$Y$188</definedName>
    <definedName name="SalesRoundBox88">'Бланк заказа'!$Y$193:$Y$193</definedName>
    <definedName name="SalesRoundBox89">'Бланк заказа'!$Y$194:$Y$194</definedName>
    <definedName name="SalesRoundBox9">'Бланк заказа'!$Y$38:$Y$38</definedName>
    <definedName name="SalesRoundBox90">'Бланк заказа'!$Y$195:$Y$195</definedName>
    <definedName name="SalesRoundBox91">'Бланк заказа'!$Y$196:$Y$196</definedName>
    <definedName name="SalesRoundBox92">'Бланк заказа'!$Y$197:$Y$197</definedName>
    <definedName name="SalesRoundBox93">'Бланк заказа'!$Y$198:$Y$198</definedName>
    <definedName name="SalesRoundBox94">'Бланк заказа'!$Y$199:$Y$199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заказа'!$W$213:$W$213</definedName>
    <definedName name="UnitOfMeasure101">'Бланк заказа'!$W$218:$W$218</definedName>
    <definedName name="UnitOfMeasure102">'Бланк заказа'!$W$219:$W$219</definedName>
    <definedName name="UnitOfMeasure103">'Бланк заказа'!$W$220:$W$220</definedName>
    <definedName name="UnitOfMeasure104">'Бланк заказа'!$W$225:$W$225</definedName>
    <definedName name="UnitOfMeasure105">'Бланк заказа'!$W$226:$W$226</definedName>
    <definedName name="UnitOfMeasure106">'Бланк заказа'!$W$231:$W$231</definedName>
    <definedName name="UnitOfMeasure107">'Бланк заказа'!$W$232:$W$232</definedName>
    <definedName name="UnitOfMeasure108">'Бланк заказа'!$W$237:$W$237</definedName>
    <definedName name="UnitOfMeasure109">'Бланк заказа'!$W$238:$W$238</definedName>
    <definedName name="UnitOfMeasure11">'Бланк заказа'!$W$40:$W$40</definedName>
    <definedName name="UnitOfMeasure110">'Бланк заказа'!$W$239:$W$239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заказа'!$W$246:$W$246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заказа'!$W$253:$W$253</definedName>
    <definedName name="UnitOfMeasure119">'Бланк заказа'!$W$254:$W$254</definedName>
    <definedName name="UnitOfMeasure12">'Бланк заказа'!$W$45:$W$45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заказа'!$W$272:$W$272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заказа'!$W$283:$W$283</definedName>
    <definedName name="UnitOfMeasure136">'Бланк заказа'!$W$287:$W$287</definedName>
    <definedName name="UnitOfMeasure137">'Бланк заказа'!$W$288:$W$288</definedName>
    <definedName name="UnitOfMeasure138">'Бланк заказа'!$W$294:$W$294</definedName>
    <definedName name="UnitOfMeasure139">'Бланк заказа'!$W$295:$W$295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заказа'!$W$298:$W$298</definedName>
    <definedName name="UnitOfMeasure143">'Бланк заказа'!$W$299:$W$299</definedName>
    <definedName name="UnitOfMeasure144">'Бланк заказа'!$W$303:$W$303</definedName>
    <definedName name="UnitOfMeasure145">'Бланк заказа'!$W$304:$W$304</definedName>
    <definedName name="UnitOfMeasure146">'Бланк заказа'!$W$308:$W$308</definedName>
    <definedName name="UnitOfMeasure147">'Бланк заказа'!$W$309:$W$309</definedName>
    <definedName name="UnitOfMeasure148">'Бланк заказа'!$W$313:$W$313</definedName>
    <definedName name="UnitOfMeasure149">'Бланк заказа'!$W$318:$W$318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заказа'!$W$332:$W$332</definedName>
    <definedName name="UnitOfMeasure158">'Бланк заказа'!$W$333:$W$333</definedName>
    <definedName name="UnitOfMeasure159">'Бланк заказа'!$W$334:$W$334</definedName>
    <definedName name="UnitOfMeasure16">'Бланк заказа'!$W$49:$W$49</definedName>
    <definedName name="UnitOfMeasure160">'Бланк заказа'!$W$338:$W$338</definedName>
    <definedName name="UnitOfMeasure161">'Бланк заказа'!$W$344:$W$344</definedName>
    <definedName name="UnitOfMeasure162">'Бланк заказа'!$W$348:$W$348</definedName>
    <definedName name="UnitOfMeasure163">'Бланк заказа'!$W$349:$W$349</definedName>
    <definedName name="UnitOfMeasure164">'Бланк заказа'!$W$350:$W$350</definedName>
    <definedName name="UnitOfMeasure165">'Бланк заказа'!$W$351:$W$351</definedName>
    <definedName name="UnitOfMeasure166">'Бланк заказа'!$W$352:$W$352</definedName>
    <definedName name="UnitOfMeasure167">'Бланк заказа'!$W$356:$W$356</definedName>
    <definedName name="UnitOfMeasure168">'Бланк заказа'!$W$357:$W$357</definedName>
    <definedName name="UnitOfMeasure169">'Бланк заказа'!$W$362:$W$362</definedName>
    <definedName name="UnitOfMeasure17">'Бланк заказа'!$W$50:$W$50</definedName>
    <definedName name="UnitOfMeasure170">'Бланк заказа'!$W$366:$W$366</definedName>
    <definedName name="UnitOfMeasure171">'Бланк заказа'!$W$372:$W$372</definedName>
    <definedName name="UnitOfMeasure172">'Бланк заказа'!$W$373:$W$373</definedName>
    <definedName name="UnitOfMeasure173">'Бланк заказа'!$W$374:$W$374</definedName>
    <definedName name="UnitOfMeasure174">'Бланк заказа'!$W$375:$W$375</definedName>
    <definedName name="UnitOfMeasure175">'Бланк заказа'!$W$376:$W$376</definedName>
    <definedName name="UnitOfMeasure176">'Бланк заказа'!$W$377:$W$377</definedName>
    <definedName name="UnitOfMeasure177">'Бланк заказа'!$W$378:$W$378</definedName>
    <definedName name="UnitOfMeasure178">'Бланк заказа'!$W$379:$W$379</definedName>
    <definedName name="UnitOfMeasure179">'Бланк заказа'!$W$380:$W$380</definedName>
    <definedName name="UnitOfMeasure18">'Бланк заказа'!$W$51:$W$51</definedName>
    <definedName name="UnitOfMeasure180">'Бланк заказа'!$W$381:$W$381</definedName>
    <definedName name="UnitOfMeasure181">'Бланк заказа'!$W$382:$W$382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заказа'!$W$389:$W$389</definedName>
    <definedName name="UnitOfMeasure186">'Бланк заказа'!$W$390:$W$390</definedName>
    <definedName name="UnitOfMeasure187">'Бланк заказа'!$W$394:$W$394</definedName>
    <definedName name="UnitOfMeasure188">'Бланк заказа'!$W$395:$W$395</definedName>
    <definedName name="UnitOfMeasure189">'Бланк заказа'!$W$396:$W$396</definedName>
    <definedName name="UnitOfMeasure19">'Бланк заказа'!$W$55:$W$55</definedName>
    <definedName name="UnitOfMeasure190">'Бланк заказа'!$W$397:$W$397</definedName>
    <definedName name="UnitOfMeasure191">'Бланк заказа'!$W$398:$W$398</definedName>
    <definedName name="UnitOfMeasure192">'Бланк заказа'!$W$399:$W$399</definedName>
    <definedName name="UnitOfMeasure193">'Бланк заказа'!$W$400:$W$400</definedName>
    <definedName name="UnitOfMeasure194">'Бланк заказа'!$W$401:$W$401</definedName>
    <definedName name="UnitOfMeasure195">'Бланк заказа'!$W$402:$W$402</definedName>
    <definedName name="UnitOfMeasure196">'Бланк заказа'!$W$403:$W$403</definedName>
    <definedName name="UnitOfMeasure197">'Бланк заказа'!$W$404:$W$404</definedName>
    <definedName name="UnitOfMeasure198">'Бланк заказа'!$W$405:$W$405</definedName>
    <definedName name="UnitOfMeasure199">'Бланк заказа'!$W$406:$W$406</definedName>
    <definedName name="UnitOfMeasure2">'Бланк заказа'!$W$23:$W$23</definedName>
    <definedName name="UnitOfMeasure20">'Бланк заказа'!$W$56:$W$56</definedName>
    <definedName name="UnitOfMeasure200">'Бланк заказа'!$W$407:$W$407</definedName>
    <definedName name="UnitOfMeasure201">'Бланк заказа'!$W$411:$W$411</definedName>
    <definedName name="UnitOfMeasure202">'Бланк заказа'!$W$412:$W$412</definedName>
    <definedName name="UnitOfMeasure203">'Бланк заказа'!$W$418:$W$418</definedName>
    <definedName name="UnitOfMeasure204">'Бланк заказа'!$W$422:$W$422</definedName>
    <definedName name="UnitOfMeasure205">'Бланк заказа'!$W$428:$W$428</definedName>
    <definedName name="UnitOfMeasure21">'Бланк заказа'!$W$57:$W$57</definedName>
    <definedName name="UnitOfMeasure22">'Бланк заказа'!$W$58:$W$58</definedName>
    <definedName name="UnitOfMeasure23">'Бланк заказа'!$W$62:$W$62</definedName>
    <definedName name="UnitOfMeasure24">'Бланк заказа'!$W$63:$W$63</definedName>
    <definedName name="UnitOfMeasure25">'Бланк заказа'!$W$68:$W$68</definedName>
    <definedName name="UnitOfMeasure26">'Бланк заказа'!$W$69:$W$69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заказа'!$W$24:$W$24</definedName>
    <definedName name="UnitOfMeasure30">'Бланк заказа'!$W$76:$W$76</definedName>
    <definedName name="UnitOfMeasure31">'Бланк заказа'!$W$77:$W$77</definedName>
    <definedName name="UnitOfMeasure32">'Бланк заказа'!$W$78:$W$78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заказа'!$W$25:$W$25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заказа'!$W$102:$W$102</definedName>
    <definedName name="UnitOfMeasure44">'Бланк заказа'!$W$107:$W$107</definedName>
    <definedName name="UnitOfMeasure45">'Бланк заказа'!$W$111:$W$111</definedName>
    <definedName name="UnitOfMeasure46">'Бланк заказа'!$W$116:$W$116</definedName>
    <definedName name="UnitOfMeasure47">'Бланк заказа'!$W$120:$W$120</definedName>
    <definedName name="UnitOfMeasure48">'Бланк заказа'!$W$121:$W$121</definedName>
    <definedName name="UnitOfMeasure49">'Бланк заказа'!$W$122:$W$122</definedName>
    <definedName name="UnitOfMeasure5">'Бланк заказа'!$W$26:$W$26</definedName>
    <definedName name="UnitOfMeasure50">'Бланк заказа'!$W$123:$W$123</definedName>
    <definedName name="UnitOfMeasure51">'Бланк заказа'!$W$124:$W$124</definedName>
    <definedName name="UnitOfMeasure52">'Бланк заказа'!$W$128:$W$128</definedName>
    <definedName name="UnitOfMeasure53">'Бланк заказа'!$W$129:$W$129</definedName>
    <definedName name="UnitOfMeasure54">'Бланк заказа'!$W$135:$W$135</definedName>
    <definedName name="UnitOfMeasure55">'Бланк заказа'!$W$136:$W$136</definedName>
    <definedName name="UnitOfMeasure56">'Бланк заказа'!$W$137:$W$137</definedName>
    <definedName name="UnitOfMeasure57">'Бланк заказа'!$W$138:$W$138</definedName>
    <definedName name="UnitOfMeasure58">'Бланк заказа'!$W$139:$W$139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заказа'!$W$157:$W$157</definedName>
    <definedName name="UnitOfMeasure67">'Бланк заказа'!$W$158:$W$158</definedName>
    <definedName name="UnitOfMeasure68">'Бланк заказа'!$W$159:$W$159</definedName>
    <definedName name="UnitOfMeasure69">'Бланк заказа'!$W$160:$W$160</definedName>
    <definedName name="UnitOfMeasure7">'Бланк заказа'!$W$36:$W$36</definedName>
    <definedName name="UnitOfMeasure70">'Бланк заказа'!$W$164:$W$164</definedName>
    <definedName name="UnitOfMeasure71">'Бланк заказа'!$W$165:$W$165</definedName>
    <definedName name="UnitOfMeasure72">'Бланк заказа'!$W$166:$W$166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заказа'!$W$37:$W$37</definedName>
    <definedName name="UnitOfMeasure80">'Бланк заказа'!$W$177:$W$177</definedName>
    <definedName name="UnitOfMeasure81">'Бланк заказа'!$W$178:$W$178</definedName>
    <definedName name="UnitOfMeasure82">'Бланк заказа'!$W$183:$W$183</definedName>
    <definedName name="UnitOfMeasure83">'Бланк заказа'!$W$184:$W$184</definedName>
    <definedName name="UnitOfMeasure84">'Бланк заказа'!$W$185:$W$185</definedName>
    <definedName name="UnitOfMeasure85">'Бланк заказа'!$W$186:$W$186</definedName>
    <definedName name="UnitOfMeasure86">'Бланк заказа'!$W$187:$W$187</definedName>
    <definedName name="UnitOfMeasure87">'Бланк заказа'!$W$188:$W$188</definedName>
    <definedName name="UnitOfMeasure88">'Бланк заказа'!$W$193:$W$193</definedName>
    <definedName name="UnitOfMeasure89">'Бланк заказа'!$W$194:$W$194</definedName>
    <definedName name="UnitOfMeasure9">'Бланк заказа'!$W$38:$W$38</definedName>
    <definedName name="UnitOfMeasure90">'Бланк заказа'!$W$195:$W$195</definedName>
    <definedName name="UnitOfMeasure91">'Бланк заказа'!$W$196:$W$196</definedName>
    <definedName name="UnitOfMeasure92">'Бланк заказа'!$W$197:$W$197</definedName>
    <definedName name="UnitOfMeasure93">'Бланк заказа'!$W$198:$W$198</definedName>
    <definedName name="UnitOfMeasure94">'Бланк заказа'!$W$199:$W$199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1" i="1" l="1"/>
  <c r="X430" i="1"/>
  <c r="Y429" i="1"/>
  <c r="X429" i="1"/>
  <c r="BP428" i="1"/>
  <c r="BO428" i="1"/>
  <c r="BN428" i="1"/>
  <c r="BM428" i="1"/>
  <c r="Z428" i="1"/>
  <c r="Z429" i="1" s="1"/>
  <c r="Y428" i="1"/>
  <c r="AA441" i="1" s="1"/>
  <c r="X424" i="1"/>
  <c r="X423" i="1"/>
  <c r="BO422" i="1"/>
  <c r="BM422" i="1"/>
  <c r="Y422" i="1"/>
  <c r="P422" i="1"/>
  <c r="X420" i="1"/>
  <c r="X419" i="1"/>
  <c r="BO418" i="1"/>
  <c r="BM418" i="1"/>
  <c r="Y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BP399" i="1"/>
  <c r="BO399" i="1"/>
  <c r="BN399" i="1"/>
  <c r="BM399" i="1"/>
  <c r="Z399" i="1"/>
  <c r="Y399" i="1"/>
  <c r="BP398" i="1"/>
  <c r="BO398" i="1"/>
  <c r="BN398" i="1"/>
  <c r="BM398" i="1"/>
  <c r="Z398" i="1"/>
  <c r="Y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P395" i="1"/>
  <c r="BP394" i="1"/>
  <c r="BO394" i="1"/>
  <c r="BN394" i="1"/>
  <c r="BM394" i="1"/>
  <c r="Z394" i="1"/>
  <c r="Y394" i="1"/>
  <c r="X392" i="1"/>
  <c r="X391" i="1"/>
  <c r="BO390" i="1"/>
  <c r="BM390" i="1"/>
  <c r="Y390" i="1"/>
  <c r="BO389" i="1"/>
  <c r="BM389" i="1"/>
  <c r="Y389" i="1"/>
  <c r="BO388" i="1"/>
  <c r="BM388" i="1"/>
  <c r="Y388" i="1"/>
  <c r="P388" i="1"/>
  <c r="X386" i="1"/>
  <c r="X385" i="1"/>
  <c r="BO384" i="1"/>
  <c r="BM384" i="1"/>
  <c r="Y384" i="1"/>
  <c r="BO383" i="1"/>
  <c r="BM383" i="1"/>
  <c r="Y383" i="1"/>
  <c r="BO382" i="1"/>
  <c r="BM382" i="1"/>
  <c r="Y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441" i="1" s="1"/>
  <c r="P372" i="1"/>
  <c r="X368" i="1"/>
  <c r="Y367" i="1"/>
  <c r="X367" i="1"/>
  <c r="BP366" i="1"/>
  <c r="BO366" i="1"/>
  <c r="BN366" i="1"/>
  <c r="BM366" i="1"/>
  <c r="Z366" i="1"/>
  <c r="Z367" i="1" s="1"/>
  <c r="Y366" i="1"/>
  <c r="Y368" i="1" s="1"/>
  <c r="X364" i="1"/>
  <c r="X363" i="1"/>
  <c r="BO362" i="1"/>
  <c r="BM362" i="1"/>
  <c r="Y362" i="1"/>
  <c r="P362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BP348" i="1"/>
  <c r="BO348" i="1"/>
  <c r="BN348" i="1"/>
  <c r="BM348" i="1"/>
  <c r="Z348" i="1"/>
  <c r="Y348" i="1"/>
  <c r="Y354" i="1" s="1"/>
  <c r="X346" i="1"/>
  <c r="X345" i="1"/>
  <c r="BO344" i="1"/>
  <c r="BM344" i="1"/>
  <c r="Y344" i="1"/>
  <c r="P344" i="1"/>
  <c r="X340" i="1"/>
  <c r="X339" i="1"/>
  <c r="BO338" i="1"/>
  <c r="BM338" i="1"/>
  <c r="Y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BP331" i="1"/>
  <c r="BO331" i="1"/>
  <c r="BN331" i="1"/>
  <c r="BM331" i="1"/>
  <c r="Z331" i="1"/>
  <c r="Y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V441" i="1" s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Z314" i="1" s="1"/>
  <c r="Y313" i="1"/>
  <c r="Y315" i="1" s="1"/>
  <c r="X311" i="1"/>
  <c r="X310" i="1"/>
  <c r="BO309" i="1"/>
  <c r="BM309" i="1"/>
  <c r="Y309" i="1"/>
  <c r="BO308" i="1"/>
  <c r="BM308" i="1"/>
  <c r="Y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0" i="1"/>
  <c r="Y289" i="1"/>
  <c r="X289" i="1"/>
  <c r="BP288" i="1"/>
  <c r="BO288" i="1"/>
  <c r="BN288" i="1"/>
  <c r="BM288" i="1"/>
  <c r="Z288" i="1"/>
  <c r="Y288" i="1"/>
  <c r="P288" i="1"/>
  <c r="BO287" i="1"/>
  <c r="BN287" i="1"/>
  <c r="BM287" i="1"/>
  <c r="Z287" i="1"/>
  <c r="Z289" i="1" s="1"/>
  <c r="Y287" i="1"/>
  <c r="P287" i="1"/>
  <c r="X285" i="1"/>
  <c r="Y284" i="1"/>
  <c r="X284" i="1"/>
  <c r="BP283" i="1"/>
  <c r="BO283" i="1"/>
  <c r="BN283" i="1"/>
  <c r="BM283" i="1"/>
  <c r="Z283" i="1"/>
  <c r="Z284" i="1" s="1"/>
  <c r="Y283" i="1"/>
  <c r="T441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Y279" i="1" s="1"/>
  <c r="P277" i="1"/>
  <c r="BP276" i="1"/>
  <c r="BO276" i="1"/>
  <c r="BN276" i="1"/>
  <c r="BM276" i="1"/>
  <c r="Z276" i="1"/>
  <c r="Y276" i="1"/>
  <c r="P276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Y274" i="1" s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P263" i="1"/>
  <c r="BO262" i="1"/>
  <c r="BM262" i="1"/>
  <c r="Y262" i="1"/>
  <c r="P262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5" i="1"/>
  <c r="Y214" i="1"/>
  <c r="X214" i="1"/>
  <c r="BP213" i="1"/>
  <c r="BO213" i="1"/>
  <c r="BN213" i="1"/>
  <c r="BM213" i="1"/>
  <c r="Z213" i="1"/>
  <c r="Z214" i="1" s="1"/>
  <c r="Y213" i="1"/>
  <c r="O441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Y130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Y126" i="1" s="1"/>
  <c r="P120" i="1"/>
  <c r="X118" i="1"/>
  <c r="Y117" i="1"/>
  <c r="X117" i="1"/>
  <c r="BP116" i="1"/>
  <c r="BO116" i="1"/>
  <c r="BN116" i="1"/>
  <c r="BM116" i="1"/>
  <c r="Z116" i="1"/>
  <c r="Z117" i="1" s="1"/>
  <c r="Y116" i="1"/>
  <c r="P116" i="1"/>
  <c r="X113" i="1"/>
  <c r="Y112" i="1"/>
  <c r="X112" i="1"/>
  <c r="BP111" i="1"/>
  <c r="BO111" i="1"/>
  <c r="BN111" i="1"/>
  <c r="BM111" i="1"/>
  <c r="Z111" i="1"/>
  <c r="Z112" i="1" s="1"/>
  <c r="Y111" i="1"/>
  <c r="Y113" i="1" s="1"/>
  <c r="X109" i="1"/>
  <c r="X108" i="1"/>
  <c r="BO107" i="1"/>
  <c r="BM107" i="1"/>
  <c r="Y107" i="1"/>
  <c r="P107" i="1"/>
  <c r="X104" i="1"/>
  <c r="X103" i="1"/>
  <c r="BO102" i="1"/>
  <c r="BM102" i="1"/>
  <c r="Y102" i="1"/>
  <c r="P102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Y93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Y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80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X53" i="1"/>
  <c r="X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BO45" i="1"/>
  <c r="BM45" i="1"/>
  <c r="Y45" i="1"/>
  <c r="P45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M36" i="1"/>
  <c r="Y36" i="1"/>
  <c r="P36" i="1"/>
  <c r="X32" i="1"/>
  <c r="X31" i="1"/>
  <c r="BO30" i="1"/>
  <c r="BM30" i="1"/>
  <c r="Y30" i="1"/>
  <c r="P30" i="1"/>
  <c r="X28" i="1"/>
  <c r="X27" i="1"/>
  <c r="X435" i="1" s="1"/>
  <c r="BO26" i="1"/>
  <c r="BM26" i="1"/>
  <c r="Y26" i="1"/>
  <c r="BO25" i="1"/>
  <c r="BM25" i="1"/>
  <c r="Y25" i="1"/>
  <c r="BO24" i="1"/>
  <c r="BM24" i="1"/>
  <c r="Y24" i="1"/>
  <c r="BO23" i="1"/>
  <c r="BM23" i="1"/>
  <c r="Y23" i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BP23" i="1" l="1"/>
  <c r="BN23" i="1"/>
  <c r="Y432" i="1" s="1"/>
  <c r="Z23" i="1"/>
  <c r="Z27" i="1" s="1"/>
  <c r="BP25" i="1"/>
  <c r="BN25" i="1"/>
  <c r="Z25" i="1"/>
  <c r="BP47" i="1"/>
  <c r="BN47" i="1"/>
  <c r="Z47" i="1"/>
  <c r="BP51" i="1"/>
  <c r="BN51" i="1"/>
  <c r="Z51" i="1"/>
  <c r="Y53" i="1"/>
  <c r="Y60" i="1"/>
  <c r="BP55" i="1"/>
  <c r="BN55" i="1"/>
  <c r="Z55" i="1"/>
  <c r="Y59" i="1"/>
  <c r="BP63" i="1"/>
  <c r="BN63" i="1"/>
  <c r="Z63" i="1"/>
  <c r="Z64" i="1" s="1"/>
  <c r="Y65" i="1"/>
  <c r="E441" i="1"/>
  <c r="Y71" i="1"/>
  <c r="BP68" i="1"/>
  <c r="BN68" i="1"/>
  <c r="Z68" i="1"/>
  <c r="Z70" i="1" s="1"/>
  <c r="BP76" i="1"/>
  <c r="BN76" i="1"/>
  <c r="Z76" i="1"/>
  <c r="Y79" i="1"/>
  <c r="Z86" i="1"/>
  <c r="BP84" i="1"/>
  <c r="BN84" i="1"/>
  <c r="Z84" i="1"/>
  <c r="BP96" i="1"/>
  <c r="BN96" i="1"/>
  <c r="Z96" i="1"/>
  <c r="Z99" i="1" s="1"/>
  <c r="BP123" i="1"/>
  <c r="BN123" i="1"/>
  <c r="Z123" i="1"/>
  <c r="BP137" i="1"/>
  <c r="BN137" i="1"/>
  <c r="Z137" i="1"/>
  <c r="BP38" i="1"/>
  <c r="BN38" i="1"/>
  <c r="Z38" i="1"/>
  <c r="BP24" i="1"/>
  <c r="Y433" i="1" s="1"/>
  <c r="BN24" i="1"/>
  <c r="Z24" i="1"/>
  <c r="BP26" i="1"/>
  <c r="BN26" i="1"/>
  <c r="Z26" i="1"/>
  <c r="Y28" i="1"/>
  <c r="Y31" i="1"/>
  <c r="BP30" i="1"/>
  <c r="BN30" i="1"/>
  <c r="Z30" i="1"/>
  <c r="Z31" i="1" s="1"/>
  <c r="Y32" i="1"/>
  <c r="C441" i="1"/>
  <c r="Y41" i="1"/>
  <c r="BP36" i="1"/>
  <c r="BN36" i="1"/>
  <c r="Z36" i="1"/>
  <c r="BP40" i="1"/>
  <c r="BN40" i="1"/>
  <c r="Z40" i="1"/>
  <c r="Y42" i="1"/>
  <c r="D441" i="1"/>
  <c r="Y52" i="1"/>
  <c r="BP45" i="1"/>
  <c r="BN45" i="1"/>
  <c r="Z45" i="1"/>
  <c r="Z52" i="1" s="1"/>
  <c r="BP49" i="1"/>
  <c r="BN49" i="1"/>
  <c r="Z49" i="1"/>
  <c r="BP57" i="1"/>
  <c r="BN57" i="1"/>
  <c r="Z57" i="1"/>
  <c r="Y64" i="1"/>
  <c r="Y70" i="1"/>
  <c r="BP74" i="1"/>
  <c r="BN74" i="1"/>
  <c r="Z74" i="1"/>
  <c r="Z79" i="1" s="1"/>
  <c r="BP77" i="1"/>
  <c r="BN77" i="1"/>
  <c r="Z77" i="1"/>
  <c r="Y86" i="1"/>
  <c r="BP90" i="1"/>
  <c r="BN90" i="1"/>
  <c r="Z90" i="1"/>
  <c r="Z92" i="1" s="1"/>
  <c r="Y99" i="1"/>
  <c r="BP98" i="1"/>
  <c r="BN98" i="1"/>
  <c r="Z98" i="1"/>
  <c r="Y100" i="1"/>
  <c r="Y103" i="1"/>
  <c r="BP102" i="1"/>
  <c r="BN102" i="1"/>
  <c r="Z102" i="1"/>
  <c r="Z103" i="1" s="1"/>
  <c r="Y104" i="1"/>
  <c r="G441" i="1"/>
  <c r="Y108" i="1"/>
  <c r="BP107" i="1"/>
  <c r="BN107" i="1"/>
  <c r="Z107" i="1"/>
  <c r="Z108" i="1" s="1"/>
  <c r="Y109" i="1"/>
  <c r="BP121" i="1"/>
  <c r="BN121" i="1"/>
  <c r="Z121" i="1"/>
  <c r="Z125" i="1" s="1"/>
  <c r="Y125" i="1"/>
  <c r="BP129" i="1"/>
  <c r="BN129" i="1"/>
  <c r="Z129" i="1"/>
  <c r="Z130" i="1" s="1"/>
  <c r="Y131" i="1"/>
  <c r="I441" i="1"/>
  <c r="Y143" i="1"/>
  <c r="Y144" i="1"/>
  <c r="BP135" i="1"/>
  <c r="BN135" i="1"/>
  <c r="Z135" i="1"/>
  <c r="BP140" i="1"/>
  <c r="BN140" i="1"/>
  <c r="Z140" i="1"/>
  <c r="BP153" i="1"/>
  <c r="BN153" i="1"/>
  <c r="Z153" i="1"/>
  <c r="Z154" i="1" s="1"/>
  <c r="Y155" i="1"/>
  <c r="Y162" i="1"/>
  <c r="BP157" i="1"/>
  <c r="BN157" i="1"/>
  <c r="Z157" i="1"/>
  <c r="Y161" i="1"/>
  <c r="BP178" i="1"/>
  <c r="BN178" i="1"/>
  <c r="Z178" i="1"/>
  <c r="K441" i="1"/>
  <c r="Y190" i="1"/>
  <c r="BP183" i="1"/>
  <c r="BN183" i="1"/>
  <c r="Z183" i="1"/>
  <c r="BP187" i="1"/>
  <c r="BN187" i="1"/>
  <c r="Z187" i="1"/>
  <c r="BP196" i="1"/>
  <c r="BN196" i="1"/>
  <c r="Z196" i="1"/>
  <c r="BP205" i="1"/>
  <c r="BN205" i="1"/>
  <c r="Z205" i="1"/>
  <c r="BP238" i="1"/>
  <c r="BN238" i="1"/>
  <c r="Z238" i="1"/>
  <c r="Z243" i="1" s="1"/>
  <c r="BP242" i="1"/>
  <c r="BN242" i="1"/>
  <c r="Z242" i="1"/>
  <c r="Y251" i="1"/>
  <c r="BP246" i="1"/>
  <c r="BN246" i="1"/>
  <c r="Z246" i="1"/>
  <c r="BP254" i="1"/>
  <c r="BN254" i="1"/>
  <c r="Z254" i="1"/>
  <c r="Z259" i="1" s="1"/>
  <c r="Y266" i="1"/>
  <c r="BP262" i="1"/>
  <c r="BN262" i="1"/>
  <c r="Z262" i="1"/>
  <c r="M441" i="1"/>
  <c r="H9" i="1"/>
  <c r="B441" i="1"/>
  <c r="X432" i="1"/>
  <c r="X433" i="1"/>
  <c r="Y27" i="1"/>
  <c r="X431" i="1"/>
  <c r="F441" i="1"/>
  <c r="Y87" i="1"/>
  <c r="H441" i="1"/>
  <c r="Y118" i="1"/>
  <c r="BP138" i="1"/>
  <c r="BN138" i="1"/>
  <c r="Z138" i="1"/>
  <c r="BP142" i="1"/>
  <c r="BN142" i="1"/>
  <c r="Z142" i="1"/>
  <c r="J441" i="1"/>
  <c r="Y150" i="1"/>
  <c r="BP147" i="1"/>
  <c r="BN147" i="1"/>
  <c r="Z147" i="1"/>
  <c r="Z149" i="1" s="1"/>
  <c r="Y154" i="1"/>
  <c r="BP159" i="1"/>
  <c r="BN159" i="1"/>
  <c r="Z159" i="1"/>
  <c r="Y172" i="1"/>
  <c r="BP167" i="1"/>
  <c r="BN167" i="1"/>
  <c r="Z167" i="1"/>
  <c r="BP171" i="1"/>
  <c r="BN171" i="1"/>
  <c r="Z171" i="1"/>
  <c r="BP176" i="1"/>
  <c r="BN176" i="1"/>
  <c r="Z176" i="1"/>
  <c r="Z179" i="1" s="1"/>
  <c r="BP185" i="1"/>
  <c r="BN185" i="1"/>
  <c r="Z185" i="1"/>
  <c r="Y189" i="1"/>
  <c r="BP194" i="1"/>
  <c r="BN194" i="1"/>
  <c r="Z194" i="1"/>
  <c r="Z200" i="1" s="1"/>
  <c r="BP198" i="1"/>
  <c r="BN198" i="1"/>
  <c r="Z198" i="1"/>
  <c r="Y210" i="1"/>
  <c r="BP207" i="1"/>
  <c r="BN207" i="1"/>
  <c r="Z207" i="1"/>
  <c r="BP226" i="1"/>
  <c r="BN226" i="1"/>
  <c r="Z226" i="1"/>
  <c r="Z227" i="1" s="1"/>
  <c r="Y228" i="1"/>
  <c r="R441" i="1"/>
  <c r="Y234" i="1"/>
  <c r="BP231" i="1"/>
  <c r="BN231" i="1"/>
  <c r="Z231" i="1"/>
  <c r="Z233" i="1" s="1"/>
  <c r="BP240" i="1"/>
  <c r="BN240" i="1"/>
  <c r="Z240" i="1"/>
  <c r="BP248" i="1"/>
  <c r="BN248" i="1"/>
  <c r="Z248" i="1"/>
  <c r="Y259" i="1"/>
  <c r="BP256" i="1"/>
  <c r="BN256" i="1"/>
  <c r="Z256" i="1"/>
  <c r="BP265" i="1"/>
  <c r="BN265" i="1"/>
  <c r="Z265" i="1"/>
  <c r="Y267" i="1"/>
  <c r="BP271" i="1"/>
  <c r="BN271" i="1"/>
  <c r="Z271" i="1"/>
  <c r="Z273" i="1" s="1"/>
  <c r="Y280" i="1"/>
  <c r="BP295" i="1"/>
  <c r="BN295" i="1"/>
  <c r="Z295" i="1"/>
  <c r="Z300" i="1" s="1"/>
  <c r="BP299" i="1"/>
  <c r="BN299" i="1"/>
  <c r="Z299" i="1"/>
  <c r="Y301" i="1"/>
  <c r="Y306" i="1"/>
  <c r="BP303" i="1"/>
  <c r="BN303" i="1"/>
  <c r="Z303" i="1"/>
  <c r="Z305" i="1" s="1"/>
  <c r="Y305" i="1"/>
  <c r="BP357" i="1"/>
  <c r="BN357" i="1"/>
  <c r="Z357" i="1"/>
  <c r="Z358" i="1" s="1"/>
  <c r="Y359" i="1"/>
  <c r="X441" i="1"/>
  <c r="Y363" i="1"/>
  <c r="BP362" i="1"/>
  <c r="BN362" i="1"/>
  <c r="Z362" i="1"/>
  <c r="Z363" i="1" s="1"/>
  <c r="Y364" i="1"/>
  <c r="BP165" i="1"/>
  <c r="BN165" i="1"/>
  <c r="Z165" i="1"/>
  <c r="Z172" i="1" s="1"/>
  <c r="BP169" i="1"/>
  <c r="BN169" i="1"/>
  <c r="Z169" i="1"/>
  <c r="Y180" i="1"/>
  <c r="Y200" i="1"/>
  <c r="Z209" i="1"/>
  <c r="Y209" i="1"/>
  <c r="Z221" i="1"/>
  <c r="BP219" i="1"/>
  <c r="BN219" i="1"/>
  <c r="Z219" i="1"/>
  <c r="Y244" i="1"/>
  <c r="Y250" i="1"/>
  <c r="BP258" i="1"/>
  <c r="BN258" i="1"/>
  <c r="Z258" i="1"/>
  <c r="Y260" i="1"/>
  <c r="BP277" i="1"/>
  <c r="BN277" i="1"/>
  <c r="Z277" i="1"/>
  <c r="Z279" i="1" s="1"/>
  <c r="BP309" i="1"/>
  <c r="BN309" i="1"/>
  <c r="Z309" i="1"/>
  <c r="Y311" i="1"/>
  <c r="BP319" i="1"/>
  <c r="BN319" i="1"/>
  <c r="Z319" i="1"/>
  <c r="Z323" i="1" s="1"/>
  <c r="Y323" i="1"/>
  <c r="BP327" i="1"/>
  <c r="BN327" i="1"/>
  <c r="Z327" i="1"/>
  <c r="Z328" i="1" s="1"/>
  <c r="Y329" i="1"/>
  <c r="BP333" i="1"/>
  <c r="BN333" i="1"/>
  <c r="Z333" i="1"/>
  <c r="Z335" i="1" s="1"/>
  <c r="Y335" i="1"/>
  <c r="L441" i="1"/>
  <c r="Y201" i="1"/>
  <c r="Y215" i="1"/>
  <c r="P441" i="1"/>
  <c r="Y222" i="1"/>
  <c r="Q441" i="1"/>
  <c r="Y227" i="1"/>
  <c r="S441" i="1"/>
  <c r="Y243" i="1"/>
  <c r="Y285" i="1"/>
  <c r="Y290" i="1"/>
  <c r="BP287" i="1"/>
  <c r="BP297" i="1"/>
  <c r="BN297" i="1"/>
  <c r="Z297" i="1"/>
  <c r="Y310" i="1"/>
  <c r="BP308" i="1"/>
  <c r="BN308" i="1"/>
  <c r="Z308" i="1"/>
  <c r="Z310" i="1" s="1"/>
  <c r="Y324" i="1"/>
  <c r="BP321" i="1"/>
  <c r="BN321" i="1"/>
  <c r="Z321" i="1"/>
  <c r="Y328" i="1"/>
  <c r="Y336" i="1"/>
  <c r="Y339" i="1"/>
  <c r="BP338" i="1"/>
  <c r="BN338" i="1"/>
  <c r="Z338" i="1"/>
  <c r="Z339" i="1" s="1"/>
  <c r="Y340" i="1"/>
  <c r="W441" i="1"/>
  <c r="Y345" i="1"/>
  <c r="BP344" i="1"/>
  <c r="BN344" i="1"/>
  <c r="Z344" i="1"/>
  <c r="Z345" i="1" s="1"/>
  <c r="Y346" i="1"/>
  <c r="BP351" i="1"/>
  <c r="BN351" i="1"/>
  <c r="Z351" i="1"/>
  <c r="Z353" i="1" s="1"/>
  <c r="Y358" i="1"/>
  <c r="BP375" i="1"/>
  <c r="BN375" i="1"/>
  <c r="Z375" i="1"/>
  <c r="BP379" i="1"/>
  <c r="BN379" i="1"/>
  <c r="Z379" i="1"/>
  <c r="BP382" i="1"/>
  <c r="BN382" i="1"/>
  <c r="Z382" i="1"/>
  <c r="BP384" i="1"/>
  <c r="BN384" i="1"/>
  <c r="Z384" i="1"/>
  <c r="Y386" i="1"/>
  <c r="Y391" i="1"/>
  <c r="BP388" i="1"/>
  <c r="BN388" i="1"/>
  <c r="Z388" i="1"/>
  <c r="BP390" i="1"/>
  <c r="BN390" i="1"/>
  <c r="Z390" i="1"/>
  <c r="Y392" i="1"/>
  <c r="BP395" i="1"/>
  <c r="BN395" i="1"/>
  <c r="Z395" i="1"/>
  <c r="Z408" i="1" s="1"/>
  <c r="BP401" i="1"/>
  <c r="BN401" i="1"/>
  <c r="Z401" i="1"/>
  <c r="BP407" i="1"/>
  <c r="BN407" i="1"/>
  <c r="Z407" i="1"/>
  <c r="Y409" i="1"/>
  <c r="Y414" i="1"/>
  <c r="BP411" i="1"/>
  <c r="BN411" i="1"/>
  <c r="Z411" i="1"/>
  <c r="Z413" i="1" s="1"/>
  <c r="Y413" i="1"/>
  <c r="U441" i="1"/>
  <c r="Y300" i="1"/>
  <c r="BP373" i="1"/>
  <c r="BN373" i="1"/>
  <c r="Z373" i="1"/>
  <c r="BP377" i="1"/>
  <c r="BN377" i="1"/>
  <c r="Z377" i="1"/>
  <c r="BP381" i="1"/>
  <c r="BN381" i="1"/>
  <c r="Z381" i="1"/>
  <c r="BP383" i="1"/>
  <c r="BN383" i="1"/>
  <c r="Z383" i="1"/>
  <c r="BP389" i="1"/>
  <c r="BN389" i="1"/>
  <c r="Z389" i="1"/>
  <c r="Y408" i="1"/>
  <c r="BP396" i="1"/>
  <c r="BN396" i="1"/>
  <c r="Z396" i="1"/>
  <c r="BP404" i="1"/>
  <c r="BN404" i="1"/>
  <c r="Z404" i="1"/>
  <c r="Y419" i="1"/>
  <c r="BP418" i="1"/>
  <c r="BN418" i="1"/>
  <c r="Z418" i="1"/>
  <c r="Z419" i="1" s="1"/>
  <c r="Y420" i="1"/>
  <c r="Y423" i="1"/>
  <c r="BP422" i="1"/>
  <c r="BN422" i="1"/>
  <c r="Z422" i="1"/>
  <c r="Z423" i="1" s="1"/>
  <c r="Y424" i="1"/>
  <c r="Y385" i="1"/>
  <c r="Y430" i="1"/>
  <c r="Y434" i="1" l="1"/>
  <c r="Z385" i="1"/>
  <c r="Z391" i="1"/>
  <c r="Y435" i="1"/>
  <c r="X434" i="1"/>
  <c r="Z266" i="1"/>
  <c r="Z189" i="1"/>
  <c r="Z143" i="1"/>
  <c r="Z41" i="1"/>
  <c r="Z436" i="1" s="1"/>
  <c r="Y431" i="1"/>
  <c r="Z59" i="1"/>
  <c r="Z250" i="1"/>
  <c r="Z161" i="1"/>
</calcChain>
</file>

<file path=xl/sharedStrings.xml><?xml version="1.0" encoding="utf-8"?>
<sst xmlns="http://schemas.openxmlformats.org/spreadsheetml/2006/main" count="1923" uniqueCount="701">
  <si>
    <t xml:space="preserve">  БЛАНК ЗАКАЗА </t>
  </si>
  <si>
    <t>КИ</t>
  </si>
  <si>
    <t>на отгрузку продукции с ООО Трейд-Сервис с</t>
  </si>
  <si>
    <t>17.02.2025</t>
  </si>
  <si>
    <t>бланк создан</t>
  </si>
  <si>
    <t>14.02.2025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</si>
  <si>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</si>
  <si>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</si>
  <si>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</si>
  <si>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</si>
  <si>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</si>
  <si>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</si>
  <si>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</si>
  <si>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</si>
  <si>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</si>
  <si>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</si>
  <si>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</si>
  <si>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</si>
  <si>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</si>
  <si>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</si>
  <si>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</si>
  <si>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</si>
  <si>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</si>
  <si>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</si>
  <si>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</si>
  <si>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</si>
  <si>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</si>
  <si>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</si>
  <si>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</si>
  <si>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</si>
  <si>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</si>
  <si>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</si>
  <si>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</si>
  <si>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</si>
  <si>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</si>
  <si>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</si>
  <si>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</si>
  <si>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</si>
  <si>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</si>
  <si>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</si>
  <si>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</si>
  <si>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</si>
  <si>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</si>
  <si>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</si>
  <si>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</si>
  <si>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</si>
  <si>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</si>
  <si>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</si>
  <si>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</si>
  <si>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</si>
  <si>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</si>
  <si>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</si>
  <si>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</si>
  <si>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</si>
  <si>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</si>
  <si>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</si>
  <si>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</si>
  <si>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</si>
  <si>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</si>
  <si>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</si>
  <si>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</si>
  <si>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</si>
  <si>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</si>
  <si>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</si>
  <si>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</si>
  <si>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</si>
  <si>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</si>
  <si>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</si>
  <si>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</si>
  <si>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</si>
  <si>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</si>
  <si>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</si>
  <si>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</si>
  <si>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</si>
  <si>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</si>
  <si>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</si>
  <si>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</si>
  <si>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</si>
  <si>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</si>
  <si>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</si>
  <si>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</si>
  <si>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</si>
  <si>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</si>
  <si>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</si>
  <si>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</si>
  <si>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</si>
  <si>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</si>
  <si>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</si>
  <si>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</si>
  <si>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</si>
  <si>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</si>
  <si>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</si>
  <si>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</si>
  <si>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</si>
  <si>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</si>
  <si>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</si>
  <si>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</si>
  <si>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</si>
  <si>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</si>
  <si>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</si>
  <si>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</si>
  <si>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</si>
  <si>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</si>
  <si>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</si>
  <si>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SU003111</t>
  </si>
  <si>
    <t>P003694</t>
  </si>
  <si>
    <t>СК1</t>
  </si>
  <si>
    <t>ЕАЭС N RU Д-RU.РА08.В.47512/23</t>
  </si>
  <si>
    <t>SU002986</t>
  </si>
  <si>
    <t>P003429</t>
  </si>
  <si>
    <t>12</t>
  </si>
  <si>
    <t>ЕАЭС N RU Д- RU.РА01.В.79635/20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</si>
  <si>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</si>
  <si>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</si>
  <si>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</si>
  <si>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</si>
  <si>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</si>
  <si>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</si>
  <si>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</si>
  <si>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</si>
  <si>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</si>
  <si>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</si>
  <si>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</si>
  <si>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</si>
  <si>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</si>
  <si>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</si>
  <si>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</si>
  <si>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</si>
  <si>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</si>
  <si>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</si>
  <si>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</si>
  <si>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</si>
  <si>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</si>
  <si>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</si>
  <si>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</si>
  <si>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</si>
  <si>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</si>
  <si>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</si>
  <si>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</si>
  <si>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</si>
  <si>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</si>
  <si>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</si>
  <si>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</si>
  <si>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</si>
  <si>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</si>
  <si>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</si>
  <si>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</si>
  <si>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</si>
  <si>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</si>
  <si>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</si>
  <si>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</si>
  <si>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</si>
  <si>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</si>
  <si>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</si>
  <si>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</si>
  <si>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</si>
  <si>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</si>
  <si>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</si>
  <si>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</si>
  <si>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</si>
  <si>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</si>
  <si>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</si>
  <si>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</si>
  <si>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</si>
  <si>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</si>
  <si>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</si>
  <si>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</si>
  <si>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</si>
  <si>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</si>
  <si>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</si>
  <si>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</si>
  <si>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</si>
  <si>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</si>
  <si>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</si>
  <si>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</si>
  <si>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</si>
  <si>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</si>
  <si>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</si>
  <si>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</si>
  <si>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</si>
  <si>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</si>
  <si>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</si>
  <si>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</si>
  <si>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</si>
  <si>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</si>
  <si>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</si>
  <si>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</si>
  <si>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</si>
  <si>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</si>
  <si>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</si>
  <si>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</si>
  <si>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</si>
  <si>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</si>
  <si>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</si>
  <si>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</si>
  <si>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</si>
  <si>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P003162</t>
  </si>
  <si>
    <t>SU001720</t>
  </si>
  <si>
    <t>P003160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</si>
  <si>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</si>
  <si>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</si>
  <si>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</si>
  <si>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</si>
  <si>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</si>
  <si>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</si>
  <si>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</si>
  <si>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</si>
  <si>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</si>
  <si>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</si>
  <si>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</si>
  <si>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</si>
  <si>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</si>
  <si>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</si>
  <si>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</si>
  <si>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</si>
  <si>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</si>
  <si>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</si>
  <si>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</si>
  <si>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</si>
  <si>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</si>
  <si>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</si>
  <si>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</si>
  <si>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</si>
  <si>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</si>
  <si>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</si>
  <si>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</si>
  <si>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</si>
  <si>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</si>
  <si>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</si>
  <si>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</si>
  <si>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</si>
  <si>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</si>
  <si>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</si>
  <si>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</si>
  <si>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</si>
  <si>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</si>
  <si>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</si>
  <si>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</si>
  <si>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</si>
  <si>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</si>
  <si>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</si>
  <si>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</si>
  <si>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</si>
  <si>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</si>
  <si>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</si>
  <si>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</si>
  <si>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</si>
  <si>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</si>
  <si>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</si>
  <si>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</si>
  <si>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</si>
  <si>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</si>
  <si>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</si>
  <si>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</si>
  <si>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</si>
  <si>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</si>
  <si>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</si>
  <si>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</si>
  <si>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</si>
  <si>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</si>
  <si>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</si>
  <si>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</si>
  <si>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</si>
  <si>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</si>
  <si>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</si>
  <si>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</si>
  <si>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</si>
  <si>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</si>
  <si>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</si>
  <si>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</si>
  <si>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</si>
  <si>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</si>
  <si>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</si>
  <si>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</si>
  <si>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</si>
  <si>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</si>
  <si>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</si>
  <si>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</si>
  <si>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</si>
  <si>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</si>
  <si>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Д-RU.РА01.В.99309/23, ЕАЭС N RU Д-RU.РА01.В.99334/23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</si>
  <si>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</si>
  <si>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</si>
  <si>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</si>
  <si>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</si>
  <si>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</si>
  <si>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</si>
  <si>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</si>
  <si>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</si>
  <si>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</si>
  <si>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</si>
  <si>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</si>
  <si>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</si>
  <si>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</si>
  <si>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</si>
  <si>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</si>
  <si>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</si>
  <si>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</si>
  <si>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</si>
  <si>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</si>
  <si>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</si>
  <si>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</si>
  <si>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</si>
  <si>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</si>
  <si>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</si>
  <si>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</si>
  <si>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</si>
  <si>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</si>
  <si>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</si>
  <si>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</si>
  <si>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</si>
  <si>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</si>
  <si>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</si>
  <si>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</si>
  <si>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</si>
  <si>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</si>
  <si>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</si>
  <si>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</si>
  <si>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</si>
  <si>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</si>
  <si>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</si>
  <si>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</si>
  <si>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</si>
  <si>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</si>
  <si>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</si>
  <si>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</si>
  <si>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</si>
  <si>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</si>
  <si>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</si>
  <si>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</si>
  <si>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</si>
  <si>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</si>
  <si>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</si>
  <si>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</si>
  <si>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</si>
  <si>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</si>
  <si>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</si>
  <si>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</si>
  <si>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</si>
  <si>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</si>
  <si>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</si>
  <si>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</si>
  <si>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</si>
  <si>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</si>
  <si>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</si>
  <si>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</si>
  <si>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</si>
  <si>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</si>
  <si>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</si>
  <si>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</si>
  <si>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</si>
  <si>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</si>
  <si>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</si>
  <si>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</si>
  <si>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</si>
  <si>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</si>
  <si>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</si>
  <si>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</si>
  <si>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</si>
  <si>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</si>
  <si>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</si>
  <si>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</si>
  <si>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</si>
  <si>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</si>
  <si>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</si>
  <si>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</si>
  <si>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</si>
  <si>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</si>
  <si>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</si>
  <si>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</si>
  <si>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</si>
  <si>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</si>
  <si>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</si>
  <si>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</si>
  <si>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</si>
  <si>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</si>
  <si>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</si>
  <si>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</si>
  <si>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</si>
  <si>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</si>
  <si>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</si>
  <si>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</si>
  <si>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</si>
  <si>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</si>
  <si>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</si>
  <si>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</si>
  <si>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</si>
  <si>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</si>
  <si>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</si>
  <si>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</si>
  <si>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</si>
  <si>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</si>
  <si>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</si>
  <si>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</si>
  <si>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</si>
  <si>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</si>
  <si>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</si>
  <si>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</si>
  <si>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</si>
  <si>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</si>
  <si>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</si>
  <si>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</si>
  <si>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</si>
  <si>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</si>
  <si>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</si>
  <si>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</si>
  <si>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</si>
  <si>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</si>
  <si>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</si>
  <si>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</si>
  <si>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</si>
  <si>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</si>
  <si>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</si>
  <si>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</si>
  <si>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</si>
  <si>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</si>
  <si>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</si>
  <si>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</si>
  <si>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</si>
  <si>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</si>
  <si>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</si>
  <si>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</si>
  <si>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</si>
  <si>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</si>
  <si>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</si>
  <si>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</si>
  <si>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</si>
  <si>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</si>
  <si>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</si>
  <si>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</si>
  <si>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</si>
  <si>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</si>
  <si>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</si>
  <si>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</si>
  <si>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</si>
  <si>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</si>
  <si>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</si>
  <si>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</si>
  <si>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</si>
  <si>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</si>
  <si>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</si>
  <si>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</si>
  <si>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</si>
  <si>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</si>
  <si>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</si>
  <si>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</si>
  <si>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</si>
  <si>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</si>
  <si>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</si>
  <si>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</si>
  <si>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</si>
  <si>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</si>
  <si>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</si>
  <si>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</si>
  <si>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</si>
  <si>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</si>
  <si>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</si>
  <si>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</si>
  <si>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</si>
  <si>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</si>
  <si>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</si>
  <si>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</si>
  <si>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</si>
  <si>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</si>
  <si>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</si>
  <si>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</si>
  <si>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</si>
  <si>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</si>
  <si>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</si>
  <si>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</si>
  <si>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</si>
  <si>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</si>
  <si>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</si>
  <si>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</si>
  <si>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</si>
  <si>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</si>
  <si>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</si>
  <si>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</si>
  <si>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</si>
  <si>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</si>
  <si>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</si>
  <si>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</si>
  <si>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</si>
  <si>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</si>
  <si>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</si>
  <si>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</si>
  <si>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</si>
  <si>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</si>
  <si>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</si>
  <si>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</si>
  <si>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</si>
  <si>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</si>
  <si>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</si>
  <si>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</si>
  <si>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</si>
  <si>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</si>
  <si>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</si>
  <si>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</si>
  <si>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</si>
  <si>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</si>
  <si>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</si>
  <si>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</si>
  <si>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</si>
  <si>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</si>
  <si>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</si>
  <si>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</si>
  <si>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</si>
  <si>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</si>
  <si>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</si>
  <si>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</si>
  <si>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</si>
  <si>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</si>
  <si>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</si>
  <si>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</si>
  <si>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</si>
  <si>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</si>
  <si>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</si>
  <si>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</si>
  <si>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</si>
  <si>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</si>
  <si>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</si>
  <si>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</si>
  <si>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</si>
  <si>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</si>
  <si>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</si>
  <si>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</si>
  <si>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</si>
  <si>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</si>
  <si>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</si>
  <si>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</si>
  <si>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</si>
  <si>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</si>
  <si>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</si>
  <si>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</si>
  <si>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</si>
  <si>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</si>
  <si>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</si>
  <si>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</si>
  <si>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</si>
  <si>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</si>
  <si>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</si>
  <si>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</si>
  <si>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</si>
  <si>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</si>
  <si>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</si>
  <si>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</si>
  <si>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</si>
  <si>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</si>
  <si>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</si>
  <si>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</si>
  <si>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</si>
  <si>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</si>
  <si>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</si>
  <si>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</si>
  <si>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</si>
  <si>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</si>
  <si>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</si>
  <si>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</si>
  <si>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</si>
  <si>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</si>
  <si>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</si>
  <si>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</si>
  <si>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</si>
  <si>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</si>
  <si>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</si>
  <si>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</si>
  <si>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SU003082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</si>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</sst>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4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6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0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51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0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3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0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7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41"/>
  <sheetViews>
    <sheetView showGridLines="0" tabSelected="1" topLeftCell="A415" zoomScaleNormal="100" zoomScaleSheetLayoutView="100" workbookViewId="0">
      <selection activeCell="AA437" sqref="AA437"/>
    </sheetView>
  </sheetViews>
  <sheetFormatPr defaultColWidth="9.140625" defaultRowHeight="12.75" x14ac:dyDescent="0.2"/>
  <cols>
    <col min="1" max="1" width="9.140625" style="4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81" customWidth="1"/>
    <col min="19" max="19" width="6.140625" style="4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81" customWidth="1"/>
    <col min="25" max="25" width="11" style="481" customWidth="1"/>
    <col min="26" max="26" width="10" style="481" customWidth="1"/>
    <col min="27" max="27" width="11.5703125" style="481" customWidth="1"/>
    <col min="28" max="28" width="10.42578125" style="481" customWidth="1"/>
    <col min="29" max="29" width="30" style="48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81" customWidth="1"/>
    <col min="34" max="34" width="9.140625" style="481" customWidth="1"/>
    <col min="35" max="16384" width="9.140625" style="481"/>
  </cols>
  <sheetData>
    <row r="1" spans="1:32" s="23" customFormat="1" ht="45" customHeight="1" x14ac:dyDescent="0.2">
      <c r="A1" s="42"/>
      <c r="B1" s="42"/>
      <c r="C1" s="42"/>
      <c r="D1" s="549" t="s">
        <v>0</v>
      </c>
      <c r="E1" s="514"/>
      <c r="F1" s="514"/>
      <c r="G1" s="12" t="s">
        <v>1</v>
      </c>
      <c r="H1" s="549" t="s">
        <v>2</v>
      </c>
      <c r="I1" s="514"/>
      <c r="J1" s="514"/>
      <c r="K1" s="514"/>
      <c r="L1" s="514"/>
      <c r="M1" s="514"/>
      <c r="N1" s="514"/>
      <c r="O1" s="514"/>
      <c r="P1" s="514"/>
      <c r="Q1" s="514"/>
      <c r="R1" s="513" t="s">
        <v>3</v>
      </c>
      <c r="S1" s="514"/>
      <c r="T1" s="51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01"/>
      <c r="R2" s="501"/>
      <c r="S2" s="501"/>
      <c r="T2" s="501"/>
      <c r="U2" s="501"/>
      <c r="V2" s="501"/>
      <c r="W2" s="501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01"/>
      <c r="Q3" s="501"/>
      <c r="R3" s="501"/>
      <c r="S3" s="501"/>
      <c r="T3" s="501"/>
      <c r="U3" s="501"/>
      <c r="V3" s="501"/>
      <c r="W3" s="501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93" t="s">
        <v>8</v>
      </c>
      <c r="B5" s="594"/>
      <c r="C5" s="595"/>
      <c r="D5" s="556"/>
      <c r="E5" s="557"/>
      <c r="F5" s="755" t="s">
        <v>9</v>
      </c>
      <c r="G5" s="595"/>
      <c r="H5" s="556"/>
      <c r="I5" s="702"/>
      <c r="J5" s="702"/>
      <c r="K5" s="702"/>
      <c r="L5" s="702"/>
      <c r="M5" s="557"/>
      <c r="N5" s="59"/>
      <c r="P5" s="25" t="s">
        <v>10</v>
      </c>
      <c r="Q5" s="765">
        <v>45714</v>
      </c>
      <c r="R5" s="590"/>
      <c r="T5" s="637" t="s">
        <v>11</v>
      </c>
      <c r="U5" s="626"/>
      <c r="V5" s="639" t="s">
        <v>12</v>
      </c>
      <c r="W5" s="590"/>
      <c r="AB5" s="52"/>
      <c r="AC5" s="52"/>
      <c r="AD5" s="52"/>
      <c r="AE5" s="52"/>
    </row>
    <row r="6" spans="1:32" s="23" customFormat="1" ht="24" customHeight="1" x14ac:dyDescent="0.2">
      <c r="A6" s="593" t="s">
        <v>13</v>
      </c>
      <c r="B6" s="594"/>
      <c r="C6" s="595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590"/>
      <c r="N6" s="60"/>
      <c r="P6" s="25" t="s">
        <v>15</v>
      </c>
      <c r="Q6" s="771" t="str">
        <f>IF(Q5=0," ",CHOOSE(WEEKDAY(Q5,2),"Понедельник","Вторник","Среда","Четверг","Пятница","Суббота","Воскресенье"))</f>
        <v>Среда</v>
      </c>
      <c r="R6" s="495"/>
      <c r="T6" s="643" t="s">
        <v>16</v>
      </c>
      <c r="U6" s="626"/>
      <c r="V6" s="687" t="s">
        <v>17</v>
      </c>
      <c r="W6" s="526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535"/>
      <c r="N7" s="61"/>
      <c r="P7" s="25"/>
      <c r="Q7" s="43"/>
      <c r="R7" s="43"/>
      <c r="T7" s="501"/>
      <c r="U7" s="626"/>
      <c r="V7" s="688"/>
      <c r="W7" s="689"/>
      <c r="AB7" s="52"/>
      <c r="AC7" s="52"/>
      <c r="AD7" s="52"/>
      <c r="AE7" s="52"/>
    </row>
    <row r="8" spans="1:32" s="23" customFormat="1" ht="25.5" customHeight="1" x14ac:dyDescent="0.2">
      <c r="A8" s="781" t="s">
        <v>18</v>
      </c>
      <c r="B8" s="498"/>
      <c r="C8" s="499"/>
      <c r="D8" s="540" t="s">
        <v>19</v>
      </c>
      <c r="E8" s="541"/>
      <c r="F8" s="541"/>
      <c r="G8" s="541"/>
      <c r="H8" s="541"/>
      <c r="I8" s="541"/>
      <c r="J8" s="541"/>
      <c r="K8" s="541"/>
      <c r="L8" s="541"/>
      <c r="M8" s="542"/>
      <c r="N8" s="62"/>
      <c r="P8" s="25" t="s">
        <v>20</v>
      </c>
      <c r="Q8" s="601">
        <v>0.41666666666666669</v>
      </c>
      <c r="R8" s="535"/>
      <c r="T8" s="501"/>
      <c r="U8" s="626"/>
      <c r="V8" s="688"/>
      <c r="W8" s="689"/>
      <c r="AB8" s="52"/>
      <c r="AC8" s="52"/>
      <c r="AD8" s="52"/>
      <c r="AE8" s="52"/>
    </row>
    <row r="9" spans="1:32" s="23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1"/>
      <c r="C9" s="501"/>
      <c r="D9" s="608"/>
      <c r="E9" s="50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1"/>
      <c r="H9" s="502" t="str">
        <f>IF(AND($A$9="Тип доверенности/получателя при получении в адресе перегруза:",$D$9="Разовая доверенность"),"Введите ФИО","")</f>
        <v/>
      </c>
      <c r="I9" s="503"/>
      <c r="J9" s="5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03"/>
      <c r="L9" s="503"/>
      <c r="M9" s="503"/>
      <c r="N9" s="485"/>
      <c r="P9" s="27" t="s">
        <v>21</v>
      </c>
      <c r="Q9" s="586"/>
      <c r="R9" s="587"/>
      <c r="T9" s="501"/>
      <c r="U9" s="626"/>
      <c r="V9" s="690"/>
      <c r="W9" s="691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1"/>
      <c r="C10" s="501"/>
      <c r="D10" s="608"/>
      <c r="E10" s="50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1"/>
      <c r="H10" s="681" t="str">
        <f>IFERROR(VLOOKUP($D$10,Proxy,2,FALSE),"")</f>
        <v/>
      </c>
      <c r="I10" s="501"/>
      <c r="J10" s="501"/>
      <c r="K10" s="501"/>
      <c r="L10" s="501"/>
      <c r="M10" s="501"/>
      <c r="N10" s="484"/>
      <c r="P10" s="27" t="s">
        <v>22</v>
      </c>
      <c r="Q10" s="644"/>
      <c r="R10" s="645"/>
      <c r="U10" s="25" t="s">
        <v>23</v>
      </c>
      <c r="V10" s="525" t="s">
        <v>24</v>
      </c>
      <c r="W10" s="526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89"/>
      <c r="R11" s="590"/>
      <c r="U11" s="25" t="s">
        <v>27</v>
      </c>
      <c r="V11" s="724" t="s">
        <v>28</v>
      </c>
      <c r="W11" s="58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3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3"/>
      <c r="P12" s="25" t="s">
        <v>30</v>
      </c>
      <c r="Q12" s="601"/>
      <c r="R12" s="535"/>
      <c r="S12" s="24"/>
      <c r="U12" s="25" t="s">
        <v>31</v>
      </c>
      <c r="V12" s="724" t="s">
        <v>32</v>
      </c>
      <c r="W12" s="587"/>
      <c r="AB12" s="52"/>
      <c r="AC12" s="52"/>
      <c r="AD12" s="52"/>
      <c r="AE12" s="52"/>
    </row>
    <row r="13" spans="1:32" s="23" customFormat="1" ht="23.25" customHeight="1" x14ac:dyDescent="0.2">
      <c r="A13" s="632" t="s">
        <v>33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3"/>
      <c r="O13" s="27"/>
      <c r="P13" s="27" t="s">
        <v>34</v>
      </c>
      <c r="Q13" s="724"/>
      <c r="R13" s="58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32" t="s">
        <v>35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56" t="s">
        <v>36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4"/>
      <c r="P15" s="619" t="s">
        <v>37</v>
      </c>
      <c r="Q15" s="514"/>
      <c r="R15" s="514"/>
      <c r="S15" s="514"/>
      <c r="T15" s="5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0"/>
      <c r="Q16" s="620"/>
      <c r="R16" s="620"/>
      <c r="S16" s="620"/>
      <c r="T16" s="6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21" t="s">
        <v>38</v>
      </c>
      <c r="B17" s="521" t="s">
        <v>39</v>
      </c>
      <c r="C17" s="607" t="s">
        <v>40</v>
      </c>
      <c r="D17" s="521" t="s">
        <v>41</v>
      </c>
      <c r="E17" s="573"/>
      <c r="F17" s="521" t="s">
        <v>42</v>
      </c>
      <c r="G17" s="521" t="s">
        <v>43</v>
      </c>
      <c r="H17" s="521" t="s">
        <v>44</v>
      </c>
      <c r="I17" s="521" t="s">
        <v>45</v>
      </c>
      <c r="J17" s="521" t="s">
        <v>46</v>
      </c>
      <c r="K17" s="521" t="s">
        <v>47</v>
      </c>
      <c r="L17" s="521" t="s">
        <v>48</v>
      </c>
      <c r="M17" s="521" t="s">
        <v>49</v>
      </c>
      <c r="N17" s="521" t="s">
        <v>50</v>
      </c>
      <c r="O17" s="521" t="s">
        <v>51</v>
      </c>
      <c r="P17" s="521" t="s">
        <v>52</v>
      </c>
      <c r="Q17" s="572"/>
      <c r="R17" s="572"/>
      <c r="S17" s="572"/>
      <c r="T17" s="573"/>
      <c r="U17" s="778" t="s">
        <v>53</v>
      </c>
      <c r="V17" s="595"/>
      <c r="W17" s="521" t="s">
        <v>54</v>
      </c>
      <c r="X17" s="521" t="s">
        <v>55</v>
      </c>
      <c r="Y17" s="779" t="s">
        <v>56</v>
      </c>
      <c r="Z17" s="700" t="s">
        <v>57</v>
      </c>
      <c r="AA17" s="682" t="s">
        <v>58</v>
      </c>
      <c r="AB17" s="682" t="s">
        <v>59</v>
      </c>
      <c r="AC17" s="682" t="s">
        <v>60</v>
      </c>
      <c r="AD17" s="682" t="s">
        <v>61</v>
      </c>
      <c r="AE17" s="750"/>
      <c r="AF17" s="751"/>
      <c r="AG17" s="67"/>
      <c r="BD17" s="66" t="s">
        <v>62</v>
      </c>
    </row>
    <row r="18" spans="1:68" ht="14.25" customHeight="1" x14ac:dyDescent="0.2">
      <c r="A18" s="522"/>
      <c r="B18" s="522"/>
      <c r="C18" s="522"/>
      <c r="D18" s="574"/>
      <c r="E18" s="576"/>
      <c r="F18" s="522"/>
      <c r="G18" s="522"/>
      <c r="H18" s="522"/>
      <c r="I18" s="522"/>
      <c r="J18" s="522"/>
      <c r="K18" s="522"/>
      <c r="L18" s="522"/>
      <c r="M18" s="522"/>
      <c r="N18" s="522"/>
      <c r="O18" s="522"/>
      <c r="P18" s="574"/>
      <c r="Q18" s="575"/>
      <c r="R18" s="575"/>
      <c r="S18" s="575"/>
      <c r="T18" s="576"/>
      <c r="U18" s="68" t="s">
        <v>63</v>
      </c>
      <c r="V18" s="68" t="s">
        <v>64</v>
      </c>
      <c r="W18" s="522"/>
      <c r="X18" s="522"/>
      <c r="Y18" s="780"/>
      <c r="Z18" s="701"/>
      <c r="AA18" s="683"/>
      <c r="AB18" s="683"/>
      <c r="AC18" s="683"/>
      <c r="AD18" s="752"/>
      <c r="AE18" s="753"/>
      <c r="AF18" s="754"/>
      <c r="AG18" s="67"/>
      <c r="BD18" s="66"/>
    </row>
    <row r="19" spans="1:68" ht="27.75" customHeight="1" x14ac:dyDescent="0.2">
      <c r="A19" s="544" t="s">
        <v>65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49"/>
      <c r="AB19" s="49"/>
      <c r="AC19" s="49"/>
    </row>
    <row r="20" spans="1:68" ht="16.5" customHeight="1" x14ac:dyDescent="0.25">
      <c r="A20" s="500" t="s">
        <v>65</v>
      </c>
      <c r="B20" s="501"/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1"/>
      <c r="Z20" s="501"/>
      <c r="AA20" s="482"/>
      <c r="AB20" s="482"/>
      <c r="AC20" s="482"/>
    </row>
    <row r="21" spans="1:68" ht="14.25" customHeight="1" x14ac:dyDescent="0.25">
      <c r="A21" s="512" t="s">
        <v>66</v>
      </c>
      <c r="B21" s="501"/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1"/>
      <c r="N21" s="501"/>
      <c r="O21" s="501"/>
      <c r="P21" s="501"/>
      <c r="Q21" s="501"/>
      <c r="R21" s="501"/>
      <c r="S21" s="501"/>
      <c r="T21" s="501"/>
      <c r="U21" s="501"/>
      <c r="V21" s="501"/>
      <c r="W21" s="501"/>
      <c r="X21" s="501"/>
      <c r="Y21" s="501"/>
      <c r="Z21" s="501"/>
      <c r="AA21" s="483"/>
      <c r="AB21" s="483"/>
      <c r="AC21" s="483"/>
    </row>
    <row r="22" spans="1:68" ht="37.5" customHeight="1" x14ac:dyDescent="0.25">
      <c r="A22" s="55" t="s">
        <v>67</v>
      </c>
      <c r="B22" s="55" t="s">
        <v>68</v>
      </c>
      <c r="C22" s="32">
        <v>4301051865</v>
      </c>
      <c r="D22" s="494">
        <v>4680115885912</v>
      </c>
      <c r="E22" s="495"/>
      <c r="F22" s="486">
        <v>0.3</v>
      </c>
      <c r="G22" s="33">
        <v>6</v>
      </c>
      <c r="H22" s="486">
        <v>1.8</v>
      </c>
      <c r="I22" s="486">
        <v>3.18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69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92"/>
      <c r="R22" s="492"/>
      <c r="S22" s="492"/>
      <c r="T22" s="493"/>
      <c r="U22" s="35"/>
      <c r="V22" s="35"/>
      <c r="W22" s="36" t="s">
        <v>71</v>
      </c>
      <c r="X22" s="487">
        <v>0</v>
      </c>
      <c r="Y22" s="48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4301051552</v>
      </c>
      <c r="D23" s="494">
        <v>4607091388237</v>
      </c>
      <c r="E23" s="495"/>
      <c r="F23" s="486">
        <v>0.42</v>
      </c>
      <c r="G23" s="33">
        <v>6</v>
      </c>
      <c r="H23" s="486">
        <v>2.52</v>
      </c>
      <c r="I23" s="486">
        <v>2.766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6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92"/>
      <c r="R23" s="492"/>
      <c r="S23" s="492"/>
      <c r="T23" s="493"/>
      <c r="U23" s="35"/>
      <c r="V23" s="35"/>
      <c r="W23" s="36" t="s">
        <v>71</v>
      </c>
      <c r="X23" s="487">
        <v>0</v>
      </c>
      <c r="Y23" s="48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ht="27" customHeight="1" x14ac:dyDescent="0.25">
      <c r="A24" s="55" t="s">
        <v>76</v>
      </c>
      <c r="B24" s="55" t="s">
        <v>77</v>
      </c>
      <c r="C24" s="32">
        <v>4301051907</v>
      </c>
      <c r="D24" s="494">
        <v>4680115886230</v>
      </c>
      <c r="E24" s="495"/>
      <c r="F24" s="486">
        <v>0.3</v>
      </c>
      <c r="G24" s="33">
        <v>6</v>
      </c>
      <c r="H24" s="486">
        <v>1.8</v>
      </c>
      <c r="I24" s="486">
        <v>2.0459999999999998</v>
      </c>
      <c r="J24" s="33">
        <v>182</v>
      </c>
      <c r="K24" s="33" t="s">
        <v>69</v>
      </c>
      <c r="L24" s="33"/>
      <c r="M24" s="34" t="s">
        <v>70</v>
      </c>
      <c r="N24" s="34"/>
      <c r="O24" s="33">
        <v>40</v>
      </c>
      <c r="P24" s="648" t="s">
        <v>78</v>
      </c>
      <c r="Q24" s="492"/>
      <c r="R24" s="492"/>
      <c r="S24" s="492"/>
      <c r="T24" s="493"/>
      <c r="U24" s="35"/>
      <c r="V24" s="35"/>
      <c r="W24" s="36" t="s">
        <v>71</v>
      </c>
      <c r="X24" s="487">
        <v>0</v>
      </c>
      <c r="Y24" s="488">
        <f>IFERROR(IF(X24="",0,CEILING((X24/$H24),1)*$H24),"")</f>
        <v>0</v>
      </c>
      <c r="Z24" s="37" t="str">
        <f>IFERROR(IF(Y24=0,"",ROUNDUP(Y24/H24,0)*0.00651),"")</f>
        <v/>
      </c>
      <c r="AA24" s="57"/>
      <c r="AB24" s="58"/>
      <c r="AC24" s="74" t="s">
        <v>79</v>
      </c>
      <c r="AG24" s="65"/>
      <c r="AJ24" s="69"/>
      <c r="AK24" s="69">
        <v>0</v>
      </c>
      <c r="BB24" s="75" t="s">
        <v>1</v>
      </c>
      <c r="BM24" s="65">
        <f>IFERROR(X24*I24/H24,"0")</f>
        <v>0</v>
      </c>
      <c r="BN24" s="65">
        <f>IFERROR(Y24*I24/H24,"0")</f>
        <v>0</v>
      </c>
      <c r="BO24" s="65">
        <f>IFERROR(1/J24*(X24/H24),"0")</f>
        <v>0</v>
      </c>
      <c r="BP24" s="65">
        <f>IFERROR(1/J24*(Y24/H24),"0")</f>
        <v>0</v>
      </c>
    </row>
    <row r="25" spans="1:68" ht="27" customHeight="1" x14ac:dyDescent="0.25">
      <c r="A25" s="55" t="s">
        <v>80</v>
      </c>
      <c r="B25" s="55" t="s">
        <v>81</v>
      </c>
      <c r="C25" s="32">
        <v>4301051908</v>
      </c>
      <c r="D25" s="494">
        <v>4680115886278</v>
      </c>
      <c r="E25" s="495"/>
      <c r="F25" s="486">
        <v>0.3</v>
      </c>
      <c r="G25" s="33">
        <v>6</v>
      </c>
      <c r="H25" s="486">
        <v>1.8</v>
      </c>
      <c r="I25" s="486">
        <v>2.0459999999999998</v>
      </c>
      <c r="J25" s="33">
        <v>182</v>
      </c>
      <c r="K25" s="33" t="s">
        <v>69</v>
      </c>
      <c r="L25" s="33"/>
      <c r="M25" s="34" t="s">
        <v>70</v>
      </c>
      <c r="N25" s="34"/>
      <c r="O25" s="33">
        <v>40</v>
      </c>
      <c r="P25" s="775" t="s">
        <v>82</v>
      </c>
      <c r="Q25" s="492"/>
      <c r="R25" s="492"/>
      <c r="S25" s="492"/>
      <c r="T25" s="493"/>
      <c r="U25" s="35"/>
      <c r="V25" s="35"/>
      <c r="W25" s="36" t="s">
        <v>71</v>
      </c>
      <c r="X25" s="487">
        <v>0</v>
      </c>
      <c r="Y25" s="488">
        <f>IFERROR(IF(X25="",0,CEILING((X25/$H25),1)*$H25),"")</f>
        <v>0</v>
      </c>
      <c r="Z25" s="37" t="str">
        <f>IFERROR(IF(Y25=0,"",ROUNDUP(Y25/H25,0)*0.00651),"")</f>
        <v/>
      </c>
      <c r="AA25" s="57"/>
      <c r="AB25" s="58"/>
      <c r="AC25" s="76" t="s">
        <v>83</v>
      </c>
      <c r="AG25" s="65"/>
      <c r="AJ25" s="69"/>
      <c r="AK25" s="69">
        <v>0</v>
      </c>
      <c r="BB25" s="77" t="s">
        <v>1</v>
      </c>
      <c r="BM25" s="65">
        <f>IFERROR(X25*I25/H25,"0")</f>
        <v>0</v>
      </c>
      <c r="BN25" s="65">
        <f>IFERROR(Y25*I25/H25,"0")</f>
        <v>0</v>
      </c>
      <c r="BO25" s="65">
        <f>IFERROR(1/J25*(X25/H25),"0")</f>
        <v>0</v>
      </c>
      <c r="BP25" s="65">
        <f>IFERROR(1/J25*(Y25/H25),"0")</f>
        <v>0</v>
      </c>
    </row>
    <row r="26" spans="1:68" ht="27" customHeight="1" x14ac:dyDescent="0.25">
      <c r="A26" s="55" t="s">
        <v>84</v>
      </c>
      <c r="B26" s="55" t="s">
        <v>85</v>
      </c>
      <c r="C26" s="32">
        <v>4301051909</v>
      </c>
      <c r="D26" s="494">
        <v>4680115886247</v>
      </c>
      <c r="E26" s="495"/>
      <c r="F26" s="486">
        <v>0.3</v>
      </c>
      <c r="G26" s="33">
        <v>6</v>
      </c>
      <c r="H26" s="486">
        <v>1.8</v>
      </c>
      <c r="I26" s="486">
        <v>2.0459999999999998</v>
      </c>
      <c r="J26" s="33">
        <v>182</v>
      </c>
      <c r="K26" s="33" t="s">
        <v>69</v>
      </c>
      <c r="L26" s="33"/>
      <c r="M26" s="34" t="s">
        <v>70</v>
      </c>
      <c r="N26" s="34"/>
      <c r="O26" s="33">
        <v>40</v>
      </c>
      <c r="P26" s="653" t="s">
        <v>86</v>
      </c>
      <c r="Q26" s="492"/>
      <c r="R26" s="492"/>
      <c r="S26" s="492"/>
      <c r="T26" s="493"/>
      <c r="U26" s="35"/>
      <c r="V26" s="35"/>
      <c r="W26" s="36" t="s">
        <v>71</v>
      </c>
      <c r="X26" s="487">
        <v>0</v>
      </c>
      <c r="Y26" s="488">
        <f>IFERROR(IF(X26="",0,CEILING((X26/$H26),1)*$H26),"")</f>
        <v>0</v>
      </c>
      <c r="Z26" s="37" t="str">
        <f>IFERROR(IF(Y26=0,"",ROUNDUP(Y26/H26,0)*0.00651),"")</f>
        <v/>
      </c>
      <c r="AA26" s="57"/>
      <c r="AB26" s="58"/>
      <c r="AC26" s="78" t="s">
        <v>87</v>
      </c>
      <c r="AG26" s="65"/>
      <c r="AJ26" s="69"/>
      <c r="AK26" s="69">
        <v>0</v>
      </c>
      <c r="BB26" s="79" t="s">
        <v>1</v>
      </c>
      <c r="BM26" s="65">
        <f>IFERROR(X26*I26/H26,"0")</f>
        <v>0</v>
      </c>
      <c r="BN26" s="65">
        <f>IFERROR(Y26*I26/H26,"0")</f>
        <v>0</v>
      </c>
      <c r="BO26" s="65">
        <f>IFERROR(1/J26*(X26/H26),"0")</f>
        <v>0</v>
      </c>
      <c r="BP26" s="65">
        <f>IFERROR(1/J26*(Y26/H26),"0")</f>
        <v>0</v>
      </c>
    </row>
    <row r="27" spans="1:68" x14ac:dyDescent="0.2">
      <c r="A27" s="505"/>
      <c r="B27" s="501"/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6"/>
      <c r="P27" s="497" t="s">
        <v>88</v>
      </c>
      <c r="Q27" s="498"/>
      <c r="R27" s="498"/>
      <c r="S27" s="498"/>
      <c r="T27" s="498"/>
      <c r="U27" s="498"/>
      <c r="V27" s="499"/>
      <c r="W27" s="38" t="s">
        <v>89</v>
      </c>
      <c r="X27" s="489">
        <f>IFERROR(X22/H22,"0")+IFERROR(X23/H23,"0")+IFERROR(X24/H24,"0")+IFERROR(X25/H25,"0")+IFERROR(X26/H26,"0")</f>
        <v>0</v>
      </c>
      <c r="Y27" s="489">
        <f>IFERROR(Y22/H22,"0")+IFERROR(Y23/H23,"0")+IFERROR(Y24/H24,"0")+IFERROR(Y25/H25,"0")+IFERROR(Y26/H26,"0")</f>
        <v>0</v>
      </c>
      <c r="Z27" s="489">
        <f>IFERROR(IF(Z22="",0,Z22),"0")+IFERROR(IF(Z23="",0,Z23),"0")+IFERROR(IF(Z24="",0,Z24),"0")+IFERROR(IF(Z25="",0,Z25),"0")+IFERROR(IF(Z26="",0,Z26),"0")</f>
        <v>0</v>
      </c>
      <c r="AA27" s="490"/>
      <c r="AB27" s="490"/>
      <c r="AC27" s="490"/>
    </row>
    <row r="28" spans="1:68" x14ac:dyDescent="0.2">
      <c r="A28" s="501"/>
      <c r="B28" s="501"/>
      <c r="C28" s="501"/>
      <c r="D28" s="501"/>
      <c r="E28" s="501"/>
      <c r="F28" s="501"/>
      <c r="G28" s="501"/>
      <c r="H28" s="501"/>
      <c r="I28" s="501"/>
      <c r="J28" s="501"/>
      <c r="K28" s="501"/>
      <c r="L28" s="501"/>
      <c r="M28" s="501"/>
      <c r="N28" s="501"/>
      <c r="O28" s="506"/>
      <c r="P28" s="497" t="s">
        <v>88</v>
      </c>
      <c r="Q28" s="498"/>
      <c r="R28" s="498"/>
      <c r="S28" s="498"/>
      <c r="T28" s="498"/>
      <c r="U28" s="498"/>
      <c r="V28" s="499"/>
      <c r="W28" s="38" t="s">
        <v>71</v>
      </c>
      <c r="X28" s="489">
        <f>IFERROR(SUM(X22:X26),"0")</f>
        <v>0</v>
      </c>
      <c r="Y28" s="489">
        <f>IFERROR(SUM(Y22:Y26),"0")</f>
        <v>0</v>
      </c>
      <c r="Z28" s="38"/>
      <c r="AA28" s="490"/>
      <c r="AB28" s="490"/>
      <c r="AC28" s="490"/>
    </row>
    <row r="29" spans="1:68" ht="14.25" customHeight="1" x14ac:dyDescent="0.25">
      <c r="A29" s="512" t="s">
        <v>90</v>
      </c>
      <c r="B29" s="501"/>
      <c r="C29" s="501"/>
      <c r="D29" s="501"/>
      <c r="E29" s="501"/>
      <c r="F29" s="501"/>
      <c r="G29" s="501"/>
      <c r="H29" s="501"/>
      <c r="I29" s="501"/>
      <c r="J29" s="501"/>
      <c r="K29" s="501"/>
      <c r="L29" s="501"/>
      <c r="M29" s="501"/>
      <c r="N29" s="501"/>
      <c r="O29" s="501"/>
      <c r="P29" s="501"/>
      <c r="Q29" s="501"/>
      <c r="R29" s="501"/>
      <c r="S29" s="501"/>
      <c r="T29" s="501"/>
      <c r="U29" s="501"/>
      <c r="V29" s="501"/>
      <c r="W29" s="501"/>
      <c r="X29" s="501"/>
      <c r="Y29" s="501"/>
      <c r="Z29" s="501"/>
      <c r="AA29" s="483"/>
      <c r="AB29" s="483"/>
      <c r="AC29" s="483"/>
    </row>
    <row r="30" spans="1:68" ht="27" customHeight="1" x14ac:dyDescent="0.25">
      <c r="A30" s="55" t="s">
        <v>91</v>
      </c>
      <c r="B30" s="55" t="s">
        <v>92</v>
      </c>
      <c r="C30" s="32">
        <v>4301032013</v>
      </c>
      <c r="D30" s="494">
        <v>4607091388503</v>
      </c>
      <c r="E30" s="495"/>
      <c r="F30" s="486">
        <v>0.05</v>
      </c>
      <c r="G30" s="33">
        <v>12</v>
      </c>
      <c r="H30" s="486">
        <v>0.6</v>
      </c>
      <c r="I30" s="486">
        <v>0.82199999999999995</v>
      </c>
      <c r="J30" s="33">
        <v>182</v>
      </c>
      <c r="K30" s="33" t="s">
        <v>69</v>
      </c>
      <c r="L30" s="33"/>
      <c r="M30" s="34" t="s">
        <v>93</v>
      </c>
      <c r="N30" s="34"/>
      <c r="O30" s="33">
        <v>120</v>
      </c>
      <c r="P30" s="5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0" s="492"/>
      <c r="R30" s="492"/>
      <c r="S30" s="492"/>
      <c r="T30" s="493"/>
      <c r="U30" s="35"/>
      <c r="V30" s="35"/>
      <c r="W30" s="36" t="s">
        <v>71</v>
      </c>
      <c r="X30" s="487">
        <v>0</v>
      </c>
      <c r="Y30" s="488">
        <f>IFERROR(IF(X30="",0,CEILING((X30/$H30),1)*$H30),"")</f>
        <v>0</v>
      </c>
      <c r="Z30" s="37" t="str">
        <f>IFERROR(IF(Y30=0,"",ROUNDUP(Y30/H30,0)*0.00651),"")</f>
        <v/>
      </c>
      <c r="AA30" s="57"/>
      <c r="AB30" s="58"/>
      <c r="AC30" s="80" t="s">
        <v>94</v>
      </c>
      <c r="AG30" s="65"/>
      <c r="AJ30" s="69"/>
      <c r="AK30" s="69">
        <v>0</v>
      </c>
      <c r="BB30" s="81" t="s">
        <v>95</v>
      </c>
      <c r="BM30" s="65">
        <f>IFERROR(X30*I30/H30,"0")</f>
        <v>0</v>
      </c>
      <c r="BN30" s="65">
        <f>IFERROR(Y30*I30/H30,"0")</f>
        <v>0</v>
      </c>
      <c r="BO30" s="65">
        <f>IFERROR(1/J30*(X30/H30),"0")</f>
        <v>0</v>
      </c>
      <c r="BP30" s="65">
        <f>IFERROR(1/J30*(Y30/H30),"0")</f>
        <v>0</v>
      </c>
    </row>
    <row r="31" spans="1:68" x14ac:dyDescent="0.2">
      <c r="A31" s="505"/>
      <c r="B31" s="501"/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6"/>
      <c r="P31" s="497" t="s">
        <v>88</v>
      </c>
      <c r="Q31" s="498"/>
      <c r="R31" s="498"/>
      <c r="S31" s="498"/>
      <c r="T31" s="498"/>
      <c r="U31" s="498"/>
      <c r="V31" s="499"/>
      <c r="W31" s="38" t="s">
        <v>89</v>
      </c>
      <c r="X31" s="489">
        <f>IFERROR(X30/H30,"0")</f>
        <v>0</v>
      </c>
      <c r="Y31" s="489">
        <f>IFERROR(Y30/H30,"0")</f>
        <v>0</v>
      </c>
      <c r="Z31" s="489">
        <f>IFERROR(IF(Z30="",0,Z30),"0")</f>
        <v>0</v>
      </c>
      <c r="AA31" s="490"/>
      <c r="AB31" s="490"/>
      <c r="AC31" s="490"/>
    </row>
    <row r="32" spans="1:68" x14ac:dyDescent="0.2">
      <c r="A32" s="501"/>
      <c r="B32" s="501"/>
      <c r="C32" s="501"/>
      <c r="D32" s="501"/>
      <c r="E32" s="501"/>
      <c r="F32" s="501"/>
      <c r="G32" s="501"/>
      <c r="H32" s="501"/>
      <c r="I32" s="501"/>
      <c r="J32" s="501"/>
      <c r="K32" s="501"/>
      <c r="L32" s="501"/>
      <c r="M32" s="501"/>
      <c r="N32" s="501"/>
      <c r="O32" s="506"/>
      <c r="P32" s="497" t="s">
        <v>88</v>
      </c>
      <c r="Q32" s="498"/>
      <c r="R32" s="498"/>
      <c r="S32" s="498"/>
      <c r="T32" s="498"/>
      <c r="U32" s="498"/>
      <c r="V32" s="499"/>
      <c r="W32" s="38" t="s">
        <v>71</v>
      </c>
      <c r="X32" s="489">
        <f>IFERROR(SUM(X30:X30),"0")</f>
        <v>0</v>
      </c>
      <c r="Y32" s="489">
        <f>IFERROR(SUM(Y30:Y30),"0")</f>
        <v>0</v>
      </c>
      <c r="Z32" s="38"/>
      <c r="AA32" s="490"/>
      <c r="AB32" s="490"/>
      <c r="AC32" s="490"/>
    </row>
    <row r="33" spans="1:68" ht="27.75" customHeight="1" x14ac:dyDescent="0.2">
      <c r="A33" s="544" t="s">
        <v>96</v>
      </c>
      <c r="B33" s="545"/>
      <c r="C33" s="545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  <c r="AA33" s="49"/>
      <c r="AB33" s="49"/>
      <c r="AC33" s="49"/>
    </row>
    <row r="34" spans="1:68" ht="16.5" customHeight="1" x14ac:dyDescent="0.25">
      <c r="A34" s="500" t="s">
        <v>97</v>
      </c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1"/>
      <c r="S34" s="501"/>
      <c r="T34" s="501"/>
      <c r="U34" s="501"/>
      <c r="V34" s="501"/>
      <c r="W34" s="501"/>
      <c r="X34" s="501"/>
      <c r="Y34" s="501"/>
      <c r="Z34" s="501"/>
      <c r="AA34" s="482"/>
      <c r="AB34" s="482"/>
      <c r="AC34" s="482"/>
    </row>
    <row r="35" spans="1:68" ht="14.25" customHeight="1" x14ac:dyDescent="0.25">
      <c r="A35" s="512" t="s">
        <v>98</v>
      </c>
      <c r="B35" s="501"/>
      <c r="C35" s="501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1"/>
      <c r="R35" s="501"/>
      <c r="S35" s="501"/>
      <c r="T35" s="501"/>
      <c r="U35" s="501"/>
      <c r="V35" s="501"/>
      <c r="W35" s="501"/>
      <c r="X35" s="501"/>
      <c r="Y35" s="501"/>
      <c r="Z35" s="501"/>
      <c r="AA35" s="483"/>
      <c r="AB35" s="483"/>
      <c r="AC35" s="483"/>
    </row>
    <row r="36" spans="1:68" ht="16.5" customHeight="1" x14ac:dyDescent="0.25">
      <c r="A36" s="55" t="s">
        <v>99</v>
      </c>
      <c r="B36" s="55" t="s">
        <v>100</v>
      </c>
      <c r="C36" s="32">
        <v>4301011540</v>
      </c>
      <c r="D36" s="494">
        <v>4607091385670</v>
      </c>
      <c r="E36" s="495"/>
      <c r="F36" s="486">
        <v>1.4</v>
      </c>
      <c r="G36" s="33">
        <v>8</v>
      </c>
      <c r="H36" s="486">
        <v>11.2</v>
      </c>
      <c r="I36" s="486">
        <v>11.635</v>
      </c>
      <c r="J36" s="33">
        <v>64</v>
      </c>
      <c r="K36" s="33" t="s">
        <v>101</v>
      </c>
      <c r="L36" s="33"/>
      <c r="M36" s="34" t="s">
        <v>102</v>
      </c>
      <c r="N36" s="34"/>
      <c r="O36" s="33">
        <v>50</v>
      </c>
      <c r="P36" s="7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492"/>
      <c r="R36" s="492"/>
      <c r="S36" s="492"/>
      <c r="T36" s="493"/>
      <c r="U36" s="35"/>
      <c r="V36" s="35"/>
      <c r="W36" s="36" t="s">
        <v>71</v>
      </c>
      <c r="X36" s="487">
        <v>0</v>
      </c>
      <c r="Y36" s="488">
        <f>IFERROR(IF(X36="",0,CEILING((X36/$H36),1)*$H36),"")</f>
        <v>0</v>
      </c>
      <c r="Z36" s="37" t="str">
        <f>IFERROR(IF(Y36=0,"",ROUNDUP(Y36/H36,0)*0.01898),"")</f>
        <v/>
      </c>
      <c r="AA36" s="57"/>
      <c r="AB36" s="58"/>
      <c r="AC36" s="82" t="s">
        <v>103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ht="16.5" customHeight="1" x14ac:dyDescent="0.25">
      <c r="A37" s="55" t="s">
        <v>104</v>
      </c>
      <c r="B37" s="55" t="s">
        <v>105</v>
      </c>
      <c r="C37" s="32">
        <v>4301011625</v>
      </c>
      <c r="D37" s="494">
        <v>4680115883956</v>
      </c>
      <c r="E37" s="495"/>
      <c r="F37" s="486">
        <v>1.4</v>
      </c>
      <c r="G37" s="33">
        <v>8</v>
      </c>
      <c r="H37" s="486">
        <v>11.2</v>
      </c>
      <c r="I37" s="486">
        <v>11.635</v>
      </c>
      <c r="J37" s="33">
        <v>64</v>
      </c>
      <c r="K37" s="33" t="s">
        <v>101</v>
      </c>
      <c r="L37" s="33"/>
      <c r="M37" s="34" t="s">
        <v>106</v>
      </c>
      <c r="N37" s="34"/>
      <c r="O37" s="33">
        <v>50</v>
      </c>
      <c r="P37" s="6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492"/>
      <c r="R37" s="492"/>
      <c r="S37" s="492"/>
      <c r="T37" s="493"/>
      <c r="U37" s="35"/>
      <c r="V37" s="35"/>
      <c r="W37" s="36" t="s">
        <v>71</v>
      </c>
      <c r="X37" s="487">
        <v>0</v>
      </c>
      <c r="Y37" s="488">
        <f>IFERROR(IF(X37="",0,CEILING((X37/$H37),1)*$H37),"")</f>
        <v>0</v>
      </c>
      <c r="Z37" s="37" t="str">
        <f>IFERROR(IF(Y37=0,"",ROUNDUP(Y37/H37,0)*0.01898),"")</f>
        <v/>
      </c>
      <c r="AA37" s="57"/>
      <c r="AB37" s="58"/>
      <c r="AC37" s="84" t="s">
        <v>107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ht="27" customHeight="1" x14ac:dyDescent="0.25">
      <c r="A38" s="55" t="s">
        <v>108</v>
      </c>
      <c r="B38" s="55" t="s">
        <v>109</v>
      </c>
      <c r="C38" s="32">
        <v>4301011565</v>
      </c>
      <c r="D38" s="494">
        <v>4680115882539</v>
      </c>
      <c r="E38" s="495"/>
      <c r="F38" s="486">
        <v>0.37</v>
      </c>
      <c r="G38" s="33">
        <v>10</v>
      </c>
      <c r="H38" s="486">
        <v>3.7</v>
      </c>
      <c r="I38" s="486">
        <v>3.91</v>
      </c>
      <c r="J38" s="33">
        <v>132</v>
      </c>
      <c r="K38" s="33" t="s">
        <v>110</v>
      </c>
      <c r="L38" s="33"/>
      <c r="M38" s="34" t="s">
        <v>102</v>
      </c>
      <c r="N38" s="34"/>
      <c r="O38" s="33">
        <v>50</v>
      </c>
      <c r="P38" s="6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492"/>
      <c r="R38" s="492"/>
      <c r="S38" s="492"/>
      <c r="T38" s="493"/>
      <c r="U38" s="35"/>
      <c r="V38" s="35"/>
      <c r="W38" s="36" t="s">
        <v>71</v>
      </c>
      <c r="X38" s="487">
        <v>0</v>
      </c>
      <c r="Y38" s="488">
        <f>IFERROR(IF(X38="",0,CEILING((X38/$H38),1)*$H38),"")</f>
        <v>0</v>
      </c>
      <c r="Z38" s="37" t="str">
        <f>IFERROR(IF(Y38=0,"",ROUNDUP(Y38/H38,0)*0.00902),"")</f>
        <v/>
      </c>
      <c r="AA38" s="57"/>
      <c r="AB38" s="58"/>
      <c r="AC38" s="86" t="s">
        <v>111</v>
      </c>
      <c r="AG38" s="65"/>
      <c r="AJ38" s="69"/>
      <c r="AK38" s="69">
        <v>0</v>
      </c>
      <c r="BB38" s="87" t="s">
        <v>1</v>
      </c>
      <c r="BM38" s="65">
        <f>IFERROR(X38*I38/H38,"0")</f>
        <v>0</v>
      </c>
      <c r="BN38" s="65">
        <f>IFERROR(Y38*I38/H38,"0")</f>
        <v>0</v>
      </c>
      <c r="BO38" s="65">
        <f>IFERROR(1/J38*(X38/H38),"0")</f>
        <v>0</v>
      </c>
      <c r="BP38" s="65">
        <f>IFERROR(1/J38*(Y38/H38),"0")</f>
        <v>0</v>
      </c>
    </row>
    <row r="39" spans="1:68" ht="27" customHeight="1" x14ac:dyDescent="0.25">
      <c r="A39" s="55" t="s">
        <v>112</v>
      </c>
      <c r="B39" s="55" t="s">
        <v>113</v>
      </c>
      <c r="C39" s="32">
        <v>4301011382</v>
      </c>
      <c r="D39" s="494">
        <v>4607091385687</v>
      </c>
      <c r="E39" s="495"/>
      <c r="F39" s="486">
        <v>0.4</v>
      </c>
      <c r="G39" s="33">
        <v>10</v>
      </c>
      <c r="H39" s="486">
        <v>4</v>
      </c>
      <c r="I39" s="486">
        <v>4.21</v>
      </c>
      <c r="J39" s="33">
        <v>132</v>
      </c>
      <c r="K39" s="33" t="s">
        <v>110</v>
      </c>
      <c r="L39" s="33"/>
      <c r="M39" s="34" t="s">
        <v>102</v>
      </c>
      <c r="N39" s="34"/>
      <c r="O39" s="33">
        <v>50</v>
      </c>
      <c r="P39" s="5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492"/>
      <c r="R39" s="492"/>
      <c r="S39" s="492"/>
      <c r="T39" s="493"/>
      <c r="U39" s="35"/>
      <c r="V39" s="35"/>
      <c r="W39" s="36" t="s">
        <v>71</v>
      </c>
      <c r="X39" s="487">
        <v>120</v>
      </c>
      <c r="Y39" s="488">
        <f>IFERROR(IF(X39="",0,CEILING((X39/$H39),1)*$H39),"")</f>
        <v>120</v>
      </c>
      <c r="Z39" s="37">
        <f>IFERROR(IF(Y39=0,"",ROUNDUP(Y39/H39,0)*0.00902),"")</f>
        <v>0.27060000000000001</v>
      </c>
      <c r="AA39" s="57"/>
      <c r="AB39" s="58"/>
      <c r="AC39" s="88" t="s">
        <v>111</v>
      </c>
      <c r="AG39" s="65"/>
      <c r="AJ39" s="69"/>
      <c r="AK39" s="69">
        <v>0</v>
      </c>
      <c r="BB39" s="89" t="s">
        <v>1</v>
      </c>
      <c r="BM39" s="65">
        <f>IFERROR(X39*I39/H39,"0")</f>
        <v>126.3</v>
      </c>
      <c r="BN39" s="65">
        <f>IFERROR(Y39*I39/H39,"0")</f>
        <v>126.3</v>
      </c>
      <c r="BO39" s="65">
        <f>IFERROR(1/J39*(X39/H39),"0")</f>
        <v>0.22727272727272729</v>
      </c>
      <c r="BP39" s="65">
        <f>IFERROR(1/J39*(Y39/H39),"0")</f>
        <v>0.22727272727272729</v>
      </c>
    </row>
    <row r="40" spans="1:68" ht="27" customHeight="1" x14ac:dyDescent="0.25">
      <c r="A40" s="55" t="s">
        <v>114</v>
      </c>
      <c r="B40" s="55" t="s">
        <v>115</v>
      </c>
      <c r="C40" s="32">
        <v>4301011624</v>
      </c>
      <c r="D40" s="494">
        <v>4680115883949</v>
      </c>
      <c r="E40" s="495"/>
      <c r="F40" s="486">
        <v>0.37</v>
      </c>
      <c r="G40" s="33">
        <v>10</v>
      </c>
      <c r="H40" s="486">
        <v>3.7</v>
      </c>
      <c r="I40" s="486">
        <v>3.91</v>
      </c>
      <c r="J40" s="33">
        <v>132</v>
      </c>
      <c r="K40" s="33" t="s">
        <v>110</v>
      </c>
      <c r="L40" s="33"/>
      <c r="M40" s="34" t="s">
        <v>106</v>
      </c>
      <c r="N40" s="34"/>
      <c r="O40" s="33">
        <v>50</v>
      </c>
      <c r="P40" s="69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492"/>
      <c r="R40" s="492"/>
      <c r="S40" s="492"/>
      <c r="T40" s="493"/>
      <c r="U40" s="35"/>
      <c r="V40" s="35"/>
      <c r="W40" s="36" t="s">
        <v>71</v>
      </c>
      <c r="X40" s="487">
        <v>0</v>
      </c>
      <c r="Y40" s="488">
        <f>IFERROR(IF(X40="",0,CEILING((X40/$H40),1)*$H40),"")</f>
        <v>0</v>
      </c>
      <c r="Z40" s="37" t="str">
        <f>IFERROR(IF(Y40=0,"",ROUNDUP(Y40/H40,0)*0.00902),"")</f>
        <v/>
      </c>
      <c r="AA40" s="57"/>
      <c r="AB40" s="58"/>
      <c r="AC40" s="90" t="s">
        <v>107</v>
      </c>
      <c r="AG40" s="65"/>
      <c r="AJ40" s="69"/>
      <c r="AK40" s="69">
        <v>0</v>
      </c>
      <c r="BB40" s="91" t="s">
        <v>1</v>
      </c>
      <c r="BM40" s="65">
        <f>IFERROR(X40*I40/H40,"0")</f>
        <v>0</v>
      </c>
      <c r="BN40" s="65">
        <f>IFERROR(Y40*I40/H40,"0")</f>
        <v>0</v>
      </c>
      <c r="BO40" s="65">
        <f>IFERROR(1/J40*(X40/H40),"0")</f>
        <v>0</v>
      </c>
      <c r="BP40" s="65">
        <f>IFERROR(1/J40*(Y40/H40),"0")</f>
        <v>0</v>
      </c>
    </row>
    <row r="41" spans="1:68" x14ac:dyDescent="0.2">
      <c r="A41" s="505"/>
      <c r="B41" s="501"/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6"/>
      <c r="P41" s="497" t="s">
        <v>88</v>
      </c>
      <c r="Q41" s="498"/>
      <c r="R41" s="498"/>
      <c r="S41" s="498"/>
      <c r="T41" s="498"/>
      <c r="U41" s="498"/>
      <c r="V41" s="499"/>
      <c r="W41" s="38" t="s">
        <v>89</v>
      </c>
      <c r="X41" s="489">
        <f>IFERROR(X36/H36,"0")+IFERROR(X37/H37,"0")+IFERROR(X38/H38,"0")+IFERROR(X39/H39,"0")+IFERROR(X40/H40,"0")</f>
        <v>30</v>
      </c>
      <c r="Y41" s="489">
        <f>IFERROR(Y36/H36,"0")+IFERROR(Y37/H37,"0")+IFERROR(Y38/H38,"0")+IFERROR(Y39/H39,"0")+IFERROR(Y40/H40,"0")</f>
        <v>30</v>
      </c>
      <c r="Z41" s="489">
        <f>IFERROR(IF(Z36="",0,Z36),"0")+IFERROR(IF(Z37="",0,Z37),"0")+IFERROR(IF(Z38="",0,Z38),"0")+IFERROR(IF(Z39="",0,Z39),"0")+IFERROR(IF(Z40="",0,Z40),"0")</f>
        <v>0.27060000000000001</v>
      </c>
      <c r="AA41" s="490"/>
      <c r="AB41" s="490"/>
      <c r="AC41" s="490"/>
    </row>
    <row r="42" spans="1:68" x14ac:dyDescent="0.2">
      <c r="A42" s="501"/>
      <c r="B42" s="501"/>
      <c r="C42" s="501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6"/>
      <c r="P42" s="497" t="s">
        <v>88</v>
      </c>
      <c r="Q42" s="498"/>
      <c r="R42" s="498"/>
      <c r="S42" s="498"/>
      <c r="T42" s="498"/>
      <c r="U42" s="498"/>
      <c r="V42" s="499"/>
      <c r="W42" s="38" t="s">
        <v>71</v>
      </c>
      <c r="X42" s="489">
        <f>IFERROR(SUM(X36:X40),"0")</f>
        <v>120</v>
      </c>
      <c r="Y42" s="489">
        <f>IFERROR(SUM(Y36:Y40),"0")</f>
        <v>120</v>
      </c>
      <c r="Z42" s="38"/>
      <c r="AA42" s="490"/>
      <c r="AB42" s="490"/>
      <c r="AC42" s="490"/>
    </row>
    <row r="43" spans="1:68" ht="16.5" customHeight="1" x14ac:dyDescent="0.25">
      <c r="A43" s="500" t="s">
        <v>116</v>
      </c>
      <c r="B43" s="501"/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1"/>
      <c r="N43" s="501"/>
      <c r="O43" s="501"/>
      <c r="P43" s="501"/>
      <c r="Q43" s="501"/>
      <c r="R43" s="501"/>
      <c r="S43" s="501"/>
      <c r="T43" s="501"/>
      <c r="U43" s="501"/>
      <c r="V43" s="501"/>
      <c r="W43" s="501"/>
      <c r="X43" s="501"/>
      <c r="Y43" s="501"/>
      <c r="Z43" s="501"/>
      <c r="AA43" s="482"/>
      <c r="AB43" s="482"/>
      <c r="AC43" s="482"/>
    </row>
    <row r="44" spans="1:68" ht="14.25" customHeight="1" x14ac:dyDescent="0.25">
      <c r="A44" s="512" t="s">
        <v>98</v>
      </c>
      <c r="B44" s="501"/>
      <c r="C44" s="501"/>
      <c r="D44" s="501"/>
      <c r="E44" s="501"/>
      <c r="F44" s="501"/>
      <c r="G44" s="501"/>
      <c r="H44" s="501"/>
      <c r="I44" s="501"/>
      <c r="J44" s="501"/>
      <c r="K44" s="501"/>
      <c r="L44" s="501"/>
      <c r="M44" s="501"/>
      <c r="N44" s="501"/>
      <c r="O44" s="501"/>
      <c r="P44" s="501"/>
      <c r="Q44" s="501"/>
      <c r="R44" s="501"/>
      <c r="S44" s="501"/>
      <c r="T44" s="501"/>
      <c r="U44" s="501"/>
      <c r="V44" s="501"/>
      <c r="W44" s="501"/>
      <c r="X44" s="501"/>
      <c r="Y44" s="501"/>
      <c r="Z44" s="501"/>
      <c r="AA44" s="483"/>
      <c r="AB44" s="483"/>
      <c r="AC44" s="483"/>
    </row>
    <row r="45" spans="1:68" ht="27" customHeight="1" x14ac:dyDescent="0.25">
      <c r="A45" s="55" t="s">
        <v>117</v>
      </c>
      <c r="B45" s="55" t="s">
        <v>118</v>
      </c>
      <c r="C45" s="32">
        <v>4301012030</v>
      </c>
      <c r="D45" s="494">
        <v>4680115885882</v>
      </c>
      <c r="E45" s="495"/>
      <c r="F45" s="486">
        <v>1.4</v>
      </c>
      <c r="G45" s="33">
        <v>8</v>
      </c>
      <c r="H45" s="486">
        <v>11.2</v>
      </c>
      <c r="I45" s="486">
        <v>11.635</v>
      </c>
      <c r="J45" s="33">
        <v>64</v>
      </c>
      <c r="K45" s="33" t="s">
        <v>101</v>
      </c>
      <c r="L45" s="33"/>
      <c r="M45" s="34" t="s">
        <v>102</v>
      </c>
      <c r="N45" s="34"/>
      <c r="O45" s="33">
        <v>50</v>
      </c>
      <c r="P45" s="6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5" s="492"/>
      <c r="R45" s="492"/>
      <c r="S45" s="492"/>
      <c r="T45" s="493"/>
      <c r="U45" s="35"/>
      <c r="V45" s="35"/>
      <c r="W45" s="36" t="s">
        <v>71</v>
      </c>
      <c r="X45" s="487">
        <v>0</v>
      </c>
      <c r="Y45" s="488">
        <f t="shared" ref="Y45:Y51" si="0">IFERROR(IF(X45="",0,CEILING((X45/$H45),1)*$H45),"")</f>
        <v>0</v>
      </c>
      <c r="Z45" s="37" t="str">
        <f>IFERROR(IF(Y45=0,"",ROUNDUP(Y45/H45,0)*0.01898),"")</f>
        <v/>
      </c>
      <c r="AA45" s="57"/>
      <c r="AB45" s="58"/>
      <c r="AC45" s="92" t="s">
        <v>119</v>
      </c>
      <c r="AG45" s="65"/>
      <c r="AJ45" s="69"/>
      <c r="AK45" s="69">
        <v>0</v>
      </c>
      <c r="BB45" s="93" t="s">
        <v>1</v>
      </c>
      <c r="BM45" s="65">
        <f t="shared" ref="BM45:BM51" si="1">IFERROR(X45*I45/H45,"0")</f>
        <v>0</v>
      </c>
      <c r="BN45" s="65">
        <f t="shared" ref="BN45:BN51" si="2">IFERROR(Y45*I45/H45,"0")</f>
        <v>0</v>
      </c>
      <c r="BO45" s="65">
        <f t="shared" ref="BO45:BO51" si="3">IFERROR(1/J45*(X45/H45),"0")</f>
        <v>0</v>
      </c>
      <c r="BP45" s="65">
        <f t="shared" ref="BP45:BP51" si="4">IFERROR(1/J45*(Y45/H45),"0")</f>
        <v>0</v>
      </c>
    </row>
    <row r="46" spans="1:68" ht="27" customHeight="1" x14ac:dyDescent="0.25">
      <c r="A46" s="55" t="s">
        <v>120</v>
      </c>
      <c r="B46" s="55" t="s">
        <v>121</v>
      </c>
      <c r="C46" s="32">
        <v>4301011816</v>
      </c>
      <c r="D46" s="494">
        <v>4680115881426</v>
      </c>
      <c r="E46" s="495"/>
      <c r="F46" s="486">
        <v>1.35</v>
      </c>
      <c r="G46" s="33">
        <v>8</v>
      </c>
      <c r="H46" s="486">
        <v>10.8</v>
      </c>
      <c r="I46" s="486">
        <v>11.234999999999999</v>
      </c>
      <c r="J46" s="33">
        <v>64</v>
      </c>
      <c r="K46" s="33" t="s">
        <v>101</v>
      </c>
      <c r="L46" s="33"/>
      <c r="M46" s="34" t="s">
        <v>106</v>
      </c>
      <c r="N46" s="34"/>
      <c r="O46" s="33">
        <v>50</v>
      </c>
      <c r="P46" s="7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6" s="492"/>
      <c r="R46" s="492"/>
      <c r="S46" s="492"/>
      <c r="T46" s="493"/>
      <c r="U46" s="35"/>
      <c r="V46" s="35"/>
      <c r="W46" s="36" t="s">
        <v>71</v>
      </c>
      <c r="X46" s="487"/>
      <c r="Y46" s="488">
        <f t="shared" si="0"/>
        <v>0</v>
      </c>
      <c r="Z46" s="37" t="str">
        <f>IFERROR(IF(Y46=0,"",ROUNDUP(Y46/H46,0)*0.01898),"")</f>
        <v/>
      </c>
      <c r="AA46" s="57"/>
      <c r="AB46" s="58"/>
      <c r="AC46" s="94" t="s">
        <v>122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123</v>
      </c>
      <c r="B47" s="55" t="s">
        <v>124</v>
      </c>
      <c r="C47" s="32">
        <v>4301011386</v>
      </c>
      <c r="D47" s="494">
        <v>4680115880283</v>
      </c>
      <c r="E47" s="495"/>
      <c r="F47" s="486">
        <v>0.6</v>
      </c>
      <c r="G47" s="33">
        <v>8</v>
      </c>
      <c r="H47" s="486">
        <v>4.8</v>
      </c>
      <c r="I47" s="486">
        <v>5.01</v>
      </c>
      <c r="J47" s="33">
        <v>132</v>
      </c>
      <c r="K47" s="33" t="s">
        <v>110</v>
      </c>
      <c r="L47" s="33"/>
      <c r="M47" s="34" t="s">
        <v>106</v>
      </c>
      <c r="N47" s="34"/>
      <c r="O47" s="33">
        <v>45</v>
      </c>
      <c r="P47" s="5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7" s="492"/>
      <c r="R47" s="492"/>
      <c r="S47" s="492"/>
      <c r="T47" s="493"/>
      <c r="U47" s="35"/>
      <c r="V47" s="35"/>
      <c r="W47" s="36" t="s">
        <v>71</v>
      </c>
      <c r="X47" s="487">
        <v>0</v>
      </c>
      <c r="Y47" s="488">
        <f t="shared" si="0"/>
        <v>0</v>
      </c>
      <c r="Z47" s="37" t="str">
        <f>IFERROR(IF(Y47=0,"",ROUNDUP(Y47/H47,0)*0.00902),"")</f>
        <v/>
      </c>
      <c r="AA47" s="57"/>
      <c r="AB47" s="58"/>
      <c r="AC47" s="96" t="s">
        <v>125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126</v>
      </c>
      <c r="B48" s="55" t="s">
        <v>127</v>
      </c>
      <c r="C48" s="32">
        <v>4301011432</v>
      </c>
      <c r="D48" s="494">
        <v>4680115882720</v>
      </c>
      <c r="E48" s="495"/>
      <c r="F48" s="486">
        <v>0.45</v>
      </c>
      <c r="G48" s="33">
        <v>10</v>
      </c>
      <c r="H48" s="486">
        <v>4.5</v>
      </c>
      <c r="I48" s="486">
        <v>4.71</v>
      </c>
      <c r="J48" s="33">
        <v>132</v>
      </c>
      <c r="K48" s="33" t="s">
        <v>110</v>
      </c>
      <c r="L48" s="33"/>
      <c r="M48" s="34" t="s">
        <v>106</v>
      </c>
      <c r="N48" s="34"/>
      <c r="O48" s="33">
        <v>90</v>
      </c>
      <c r="P48" s="7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8" s="492"/>
      <c r="R48" s="492"/>
      <c r="S48" s="492"/>
      <c r="T48" s="493"/>
      <c r="U48" s="35"/>
      <c r="V48" s="35"/>
      <c r="W48" s="36" t="s">
        <v>71</v>
      </c>
      <c r="X48" s="487">
        <v>0</v>
      </c>
      <c r="Y48" s="488">
        <f t="shared" si="0"/>
        <v>0</v>
      </c>
      <c r="Z48" s="37" t="str">
        <f>IFERROR(IF(Y48=0,"",ROUNDUP(Y48/H48,0)*0.00902),"")</f>
        <v/>
      </c>
      <c r="AA48" s="57"/>
      <c r="AB48" s="58"/>
      <c r="AC48" s="98" t="s">
        <v>128</v>
      </c>
      <c r="AG48" s="65"/>
      <c r="AJ48" s="69"/>
      <c r="AK48" s="69">
        <v>0</v>
      </c>
      <c r="BB48" s="99" t="s">
        <v>1</v>
      </c>
      <c r="BM48" s="65">
        <f t="shared" si="1"/>
        <v>0</v>
      </c>
      <c r="BN48" s="65">
        <f t="shared" si="2"/>
        <v>0</v>
      </c>
      <c r="BO48" s="65">
        <f t="shared" si="3"/>
        <v>0</v>
      </c>
      <c r="BP48" s="65">
        <f t="shared" si="4"/>
        <v>0</v>
      </c>
    </row>
    <row r="49" spans="1:68" ht="16.5" customHeight="1" x14ac:dyDescent="0.25">
      <c r="A49" s="55" t="s">
        <v>129</v>
      </c>
      <c r="B49" s="55" t="s">
        <v>130</v>
      </c>
      <c r="C49" s="32">
        <v>4301011806</v>
      </c>
      <c r="D49" s="494">
        <v>4680115881525</v>
      </c>
      <c r="E49" s="495"/>
      <c r="F49" s="486">
        <v>0.4</v>
      </c>
      <c r="G49" s="33">
        <v>10</v>
      </c>
      <c r="H49" s="486">
        <v>4</v>
      </c>
      <c r="I49" s="486">
        <v>4.21</v>
      </c>
      <c r="J49" s="33">
        <v>132</v>
      </c>
      <c r="K49" s="33" t="s">
        <v>110</v>
      </c>
      <c r="L49" s="33"/>
      <c r="M49" s="34" t="s">
        <v>106</v>
      </c>
      <c r="N49" s="34"/>
      <c r="O49" s="33">
        <v>50</v>
      </c>
      <c r="P49" s="7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9" s="492"/>
      <c r="R49" s="492"/>
      <c r="S49" s="492"/>
      <c r="T49" s="493"/>
      <c r="U49" s="35"/>
      <c r="V49" s="35"/>
      <c r="W49" s="36" t="s">
        <v>71</v>
      </c>
      <c r="X49" s="487">
        <v>0</v>
      </c>
      <c r="Y49" s="488">
        <f t="shared" si="0"/>
        <v>0</v>
      </c>
      <c r="Z49" s="37" t="str">
        <f>IFERROR(IF(Y49=0,"",ROUNDUP(Y49/H49,0)*0.00902),"")</f>
        <v/>
      </c>
      <c r="AA49" s="57"/>
      <c r="AB49" s="58"/>
      <c r="AC49" s="100" t="s">
        <v>122</v>
      </c>
      <c r="AG49" s="65"/>
      <c r="AJ49" s="69"/>
      <c r="AK49" s="69">
        <v>0</v>
      </c>
      <c r="BB49" s="101" t="s">
        <v>1</v>
      </c>
      <c r="BM49" s="65">
        <f t="shared" si="1"/>
        <v>0</v>
      </c>
      <c r="BN49" s="65">
        <f t="shared" si="2"/>
        <v>0</v>
      </c>
      <c r="BO49" s="65">
        <f t="shared" si="3"/>
        <v>0</v>
      </c>
      <c r="BP49" s="65">
        <f t="shared" si="4"/>
        <v>0</v>
      </c>
    </row>
    <row r="50" spans="1:68" ht="27" customHeight="1" x14ac:dyDescent="0.25">
      <c r="A50" s="55" t="s">
        <v>131</v>
      </c>
      <c r="B50" s="55" t="s">
        <v>132</v>
      </c>
      <c r="C50" s="32">
        <v>4301011589</v>
      </c>
      <c r="D50" s="494">
        <v>4680115885899</v>
      </c>
      <c r="E50" s="495"/>
      <c r="F50" s="486">
        <v>0.35</v>
      </c>
      <c r="G50" s="33">
        <v>6</v>
      </c>
      <c r="H50" s="486">
        <v>2.1</v>
      </c>
      <c r="I50" s="486">
        <v>2.2799999999999998</v>
      </c>
      <c r="J50" s="33">
        <v>182</v>
      </c>
      <c r="K50" s="33" t="s">
        <v>69</v>
      </c>
      <c r="L50" s="33"/>
      <c r="M50" s="34" t="s">
        <v>133</v>
      </c>
      <c r="N50" s="34"/>
      <c r="O50" s="33">
        <v>50</v>
      </c>
      <c r="P50" s="5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0" s="492"/>
      <c r="R50" s="492"/>
      <c r="S50" s="492"/>
      <c r="T50" s="493"/>
      <c r="U50" s="35"/>
      <c r="V50" s="35"/>
      <c r="W50" s="36" t="s">
        <v>71</v>
      </c>
      <c r="X50" s="487">
        <v>0</v>
      </c>
      <c r="Y50" s="488">
        <f t="shared" si="0"/>
        <v>0</v>
      </c>
      <c r="Z50" s="37" t="str">
        <f>IFERROR(IF(Y50=0,"",ROUNDUP(Y50/H50,0)*0.00651),"")</f>
        <v/>
      </c>
      <c r="AA50" s="57"/>
      <c r="AB50" s="58"/>
      <c r="AC50" s="102" t="s">
        <v>134</v>
      </c>
      <c r="AG50" s="65"/>
      <c r="AJ50" s="69"/>
      <c r="AK50" s="69">
        <v>0</v>
      </c>
      <c r="BB50" s="103" t="s">
        <v>1</v>
      </c>
      <c r="BM50" s="65">
        <f t="shared" si="1"/>
        <v>0</v>
      </c>
      <c r="BN50" s="65">
        <f t="shared" si="2"/>
        <v>0</v>
      </c>
      <c r="BO50" s="65">
        <f t="shared" si="3"/>
        <v>0</v>
      </c>
      <c r="BP50" s="65">
        <f t="shared" si="4"/>
        <v>0</v>
      </c>
    </row>
    <row r="51" spans="1:68" ht="27" customHeight="1" x14ac:dyDescent="0.25">
      <c r="A51" s="55" t="s">
        <v>135</v>
      </c>
      <c r="B51" s="55" t="s">
        <v>136</v>
      </c>
      <c r="C51" s="32">
        <v>4301011801</v>
      </c>
      <c r="D51" s="494">
        <v>4680115881419</v>
      </c>
      <c r="E51" s="495"/>
      <c r="F51" s="486">
        <v>0.45</v>
      </c>
      <c r="G51" s="33">
        <v>10</v>
      </c>
      <c r="H51" s="486">
        <v>4.5</v>
      </c>
      <c r="I51" s="486">
        <v>4.71</v>
      </c>
      <c r="J51" s="33">
        <v>132</v>
      </c>
      <c r="K51" s="33" t="s">
        <v>110</v>
      </c>
      <c r="L51" s="33"/>
      <c r="M51" s="34" t="s">
        <v>106</v>
      </c>
      <c r="N51" s="34"/>
      <c r="O51" s="33">
        <v>50</v>
      </c>
      <c r="P51" s="65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1" s="492"/>
      <c r="R51" s="492"/>
      <c r="S51" s="492"/>
      <c r="T51" s="493"/>
      <c r="U51" s="35"/>
      <c r="V51" s="35"/>
      <c r="W51" s="36" t="s">
        <v>71</v>
      </c>
      <c r="X51" s="487">
        <v>135</v>
      </c>
      <c r="Y51" s="488">
        <f t="shared" si="0"/>
        <v>135</v>
      </c>
      <c r="Z51" s="37">
        <f>IFERROR(IF(Y51=0,"",ROUNDUP(Y51/H51,0)*0.00902),"")</f>
        <v>0.27060000000000001</v>
      </c>
      <c r="AA51" s="57"/>
      <c r="AB51" s="58"/>
      <c r="AC51" s="104" t="s">
        <v>122</v>
      </c>
      <c r="AG51" s="65"/>
      <c r="AJ51" s="69"/>
      <c r="AK51" s="69">
        <v>0</v>
      </c>
      <c r="BB51" s="105" t="s">
        <v>1</v>
      </c>
      <c r="BM51" s="65">
        <f t="shared" si="1"/>
        <v>141.30000000000001</v>
      </c>
      <c r="BN51" s="65">
        <f t="shared" si="2"/>
        <v>141.30000000000001</v>
      </c>
      <c r="BO51" s="65">
        <f t="shared" si="3"/>
        <v>0.22727272727272729</v>
      </c>
      <c r="BP51" s="65">
        <f t="shared" si="4"/>
        <v>0.22727272727272729</v>
      </c>
    </row>
    <row r="52" spans="1:68" x14ac:dyDescent="0.2">
      <c r="A52" s="505"/>
      <c r="B52" s="501"/>
      <c r="C52" s="501"/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6"/>
      <c r="P52" s="497" t="s">
        <v>88</v>
      </c>
      <c r="Q52" s="498"/>
      <c r="R52" s="498"/>
      <c r="S52" s="498"/>
      <c r="T52" s="498"/>
      <c r="U52" s="498"/>
      <c r="V52" s="499"/>
      <c r="W52" s="38" t="s">
        <v>89</v>
      </c>
      <c r="X52" s="489">
        <f>IFERROR(X45/H45,"0")+IFERROR(X46/H46,"0")+IFERROR(X47/H47,"0")+IFERROR(X48/H48,"0")+IFERROR(X49/H49,"0")+IFERROR(X50/H50,"0")+IFERROR(X51/H51,"0")</f>
        <v>30</v>
      </c>
      <c r="Y52" s="489">
        <f>IFERROR(Y45/H45,"0")+IFERROR(Y46/H46,"0")+IFERROR(Y47/H47,"0")+IFERROR(Y48/H48,"0")+IFERROR(Y49/H49,"0")+IFERROR(Y50/H50,"0")+IFERROR(Y51/H51,"0")</f>
        <v>30</v>
      </c>
      <c r="Z52" s="489">
        <f>IFERROR(IF(Z45="",0,Z45),"0")+IFERROR(IF(Z46="",0,Z46),"0")+IFERROR(IF(Z47="",0,Z47),"0")+IFERROR(IF(Z48="",0,Z48),"0")+IFERROR(IF(Z49="",0,Z49),"0")+IFERROR(IF(Z50="",0,Z50),"0")+IFERROR(IF(Z51="",0,Z51),"0")</f>
        <v>0.27060000000000001</v>
      </c>
      <c r="AA52" s="490"/>
      <c r="AB52" s="490"/>
      <c r="AC52" s="490"/>
    </row>
    <row r="53" spans="1:68" x14ac:dyDescent="0.2">
      <c r="A53" s="501"/>
      <c r="B53" s="501"/>
      <c r="C53" s="501"/>
      <c r="D53" s="501"/>
      <c r="E53" s="501"/>
      <c r="F53" s="501"/>
      <c r="G53" s="501"/>
      <c r="H53" s="501"/>
      <c r="I53" s="501"/>
      <c r="J53" s="501"/>
      <c r="K53" s="501"/>
      <c r="L53" s="501"/>
      <c r="M53" s="501"/>
      <c r="N53" s="501"/>
      <c r="O53" s="506"/>
      <c r="P53" s="497" t="s">
        <v>88</v>
      </c>
      <c r="Q53" s="498"/>
      <c r="R53" s="498"/>
      <c r="S53" s="498"/>
      <c r="T53" s="498"/>
      <c r="U53" s="498"/>
      <c r="V53" s="499"/>
      <c r="W53" s="38" t="s">
        <v>71</v>
      </c>
      <c r="X53" s="489">
        <f>IFERROR(SUM(X45:X51),"0")</f>
        <v>135</v>
      </c>
      <c r="Y53" s="489">
        <f>IFERROR(SUM(Y45:Y51),"0")</f>
        <v>135</v>
      </c>
      <c r="Z53" s="38"/>
      <c r="AA53" s="490"/>
      <c r="AB53" s="490"/>
      <c r="AC53" s="490"/>
    </row>
    <row r="54" spans="1:68" ht="14.25" customHeight="1" x14ac:dyDescent="0.25">
      <c r="A54" s="512" t="s">
        <v>137</v>
      </c>
      <c r="B54" s="501"/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501"/>
      <c r="O54" s="501"/>
      <c r="P54" s="501"/>
      <c r="Q54" s="501"/>
      <c r="R54" s="501"/>
      <c r="S54" s="501"/>
      <c r="T54" s="501"/>
      <c r="U54" s="501"/>
      <c r="V54" s="501"/>
      <c r="W54" s="501"/>
      <c r="X54" s="501"/>
      <c r="Y54" s="501"/>
      <c r="Z54" s="501"/>
      <c r="AA54" s="483"/>
      <c r="AB54" s="483"/>
      <c r="AC54" s="483"/>
    </row>
    <row r="55" spans="1:68" ht="27" customHeight="1" x14ac:dyDescent="0.25">
      <c r="A55" s="55" t="s">
        <v>138</v>
      </c>
      <c r="B55" s="55" t="s">
        <v>139</v>
      </c>
      <c r="C55" s="32">
        <v>4301020298</v>
      </c>
      <c r="D55" s="494">
        <v>4680115881440</v>
      </c>
      <c r="E55" s="495"/>
      <c r="F55" s="486">
        <v>1.35</v>
      </c>
      <c r="G55" s="33">
        <v>8</v>
      </c>
      <c r="H55" s="486">
        <v>10.8</v>
      </c>
      <c r="I55" s="486">
        <v>11.234999999999999</v>
      </c>
      <c r="J55" s="33">
        <v>64</v>
      </c>
      <c r="K55" s="33" t="s">
        <v>101</v>
      </c>
      <c r="L55" s="33"/>
      <c r="M55" s="34" t="s">
        <v>106</v>
      </c>
      <c r="N55" s="34"/>
      <c r="O55" s="33">
        <v>50</v>
      </c>
      <c r="P55" s="6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5" s="492"/>
      <c r="R55" s="492"/>
      <c r="S55" s="492"/>
      <c r="T55" s="493"/>
      <c r="U55" s="35"/>
      <c r="V55" s="35"/>
      <c r="W55" s="36" t="s">
        <v>71</v>
      </c>
      <c r="X55" s="487">
        <v>0</v>
      </c>
      <c r="Y55" s="488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6" t="s">
        <v>140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141</v>
      </c>
      <c r="B56" s="55" t="s">
        <v>142</v>
      </c>
      <c r="C56" s="32">
        <v>4301020228</v>
      </c>
      <c r="D56" s="494">
        <v>4680115882751</v>
      </c>
      <c r="E56" s="495"/>
      <c r="F56" s="486">
        <v>0.45</v>
      </c>
      <c r="G56" s="33">
        <v>10</v>
      </c>
      <c r="H56" s="486">
        <v>4.5</v>
      </c>
      <c r="I56" s="486">
        <v>4.71</v>
      </c>
      <c r="J56" s="33">
        <v>132</v>
      </c>
      <c r="K56" s="33" t="s">
        <v>110</v>
      </c>
      <c r="L56" s="33"/>
      <c r="M56" s="34" t="s">
        <v>106</v>
      </c>
      <c r="N56" s="34"/>
      <c r="O56" s="33">
        <v>90</v>
      </c>
      <c r="P56" s="5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6" s="492"/>
      <c r="R56" s="492"/>
      <c r="S56" s="492"/>
      <c r="T56" s="493"/>
      <c r="U56" s="35"/>
      <c r="V56" s="35"/>
      <c r="W56" s="36" t="s">
        <v>71</v>
      </c>
      <c r="X56" s="487">
        <v>0</v>
      </c>
      <c r="Y56" s="488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8" t="s">
        <v>143</v>
      </c>
      <c r="AG56" s="65"/>
      <c r="AJ56" s="69"/>
      <c r="AK56" s="69">
        <v>0</v>
      </c>
      <c r="BB56" s="109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16.5" customHeight="1" x14ac:dyDescent="0.25">
      <c r="A57" s="55" t="s">
        <v>144</v>
      </c>
      <c r="B57" s="55" t="s">
        <v>145</v>
      </c>
      <c r="C57" s="32">
        <v>4301020358</v>
      </c>
      <c r="D57" s="494">
        <v>4680115885950</v>
      </c>
      <c r="E57" s="495"/>
      <c r="F57" s="486">
        <v>0.37</v>
      </c>
      <c r="G57" s="33">
        <v>6</v>
      </c>
      <c r="H57" s="486">
        <v>2.2200000000000002</v>
      </c>
      <c r="I57" s="486">
        <v>2.4</v>
      </c>
      <c r="J57" s="33">
        <v>182</v>
      </c>
      <c r="K57" s="33" t="s">
        <v>69</v>
      </c>
      <c r="L57" s="33"/>
      <c r="M57" s="34" t="s">
        <v>102</v>
      </c>
      <c r="N57" s="34"/>
      <c r="O57" s="33">
        <v>50</v>
      </c>
      <c r="P57" s="7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7" s="492"/>
      <c r="R57" s="492"/>
      <c r="S57" s="492"/>
      <c r="T57" s="493"/>
      <c r="U57" s="35"/>
      <c r="V57" s="35"/>
      <c r="W57" s="36" t="s">
        <v>71</v>
      </c>
      <c r="X57" s="487">
        <v>0</v>
      </c>
      <c r="Y57" s="488">
        <f>IFERROR(IF(X57="",0,CEILING((X57/$H57),1)*$H57),"")</f>
        <v>0</v>
      </c>
      <c r="Z57" s="37" t="str">
        <f>IFERROR(IF(Y57=0,"",ROUNDUP(Y57/H57,0)*0.00651),"")</f>
        <v/>
      </c>
      <c r="AA57" s="57"/>
      <c r="AB57" s="58"/>
      <c r="AC57" s="110" t="s">
        <v>140</v>
      </c>
      <c r="AG57" s="65"/>
      <c r="AJ57" s="69"/>
      <c r="AK57" s="69">
        <v>0</v>
      </c>
      <c r="BB57" s="111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146</v>
      </c>
      <c r="B58" s="55" t="s">
        <v>147</v>
      </c>
      <c r="C58" s="32">
        <v>4301020296</v>
      </c>
      <c r="D58" s="494">
        <v>4680115881433</v>
      </c>
      <c r="E58" s="495"/>
      <c r="F58" s="486">
        <v>0.45</v>
      </c>
      <c r="G58" s="33">
        <v>6</v>
      </c>
      <c r="H58" s="486">
        <v>2.7</v>
      </c>
      <c r="I58" s="486">
        <v>2.88</v>
      </c>
      <c r="J58" s="33">
        <v>182</v>
      </c>
      <c r="K58" s="33" t="s">
        <v>69</v>
      </c>
      <c r="L58" s="33"/>
      <c r="M58" s="34" t="s">
        <v>106</v>
      </c>
      <c r="N58" s="34"/>
      <c r="O58" s="33">
        <v>50</v>
      </c>
      <c r="P58" s="7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8" s="492"/>
      <c r="R58" s="492"/>
      <c r="S58" s="492"/>
      <c r="T58" s="493"/>
      <c r="U58" s="35"/>
      <c r="V58" s="35"/>
      <c r="W58" s="36" t="s">
        <v>71</v>
      </c>
      <c r="X58" s="487">
        <v>0</v>
      </c>
      <c r="Y58" s="488">
        <f>IFERROR(IF(X58="",0,CEILING((X58/$H58),1)*$H58),"")</f>
        <v>0</v>
      </c>
      <c r="Z58" s="37" t="str">
        <f>IFERROR(IF(Y58=0,"",ROUNDUP(Y58/H58,0)*0.00651),"")</f>
        <v/>
      </c>
      <c r="AA58" s="57"/>
      <c r="AB58" s="58"/>
      <c r="AC58" s="112" t="s">
        <v>140</v>
      </c>
      <c r="AG58" s="65"/>
      <c r="AJ58" s="69"/>
      <c r="AK58" s="69">
        <v>0</v>
      </c>
      <c r="BB58" s="113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505"/>
      <c r="B59" s="501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6"/>
      <c r="P59" s="497" t="s">
        <v>88</v>
      </c>
      <c r="Q59" s="498"/>
      <c r="R59" s="498"/>
      <c r="S59" s="498"/>
      <c r="T59" s="498"/>
      <c r="U59" s="498"/>
      <c r="V59" s="499"/>
      <c r="W59" s="38" t="s">
        <v>89</v>
      </c>
      <c r="X59" s="489">
        <f>IFERROR(X55/H55,"0")+IFERROR(X56/H56,"0")+IFERROR(X57/H57,"0")+IFERROR(X58/H58,"0")</f>
        <v>0</v>
      </c>
      <c r="Y59" s="489">
        <f>IFERROR(Y55/H55,"0")+IFERROR(Y56/H56,"0")+IFERROR(Y57/H57,"0")+IFERROR(Y58/H58,"0")</f>
        <v>0</v>
      </c>
      <c r="Z59" s="489">
        <f>IFERROR(IF(Z55="",0,Z55),"0")+IFERROR(IF(Z56="",0,Z56),"0")+IFERROR(IF(Z57="",0,Z57),"0")+IFERROR(IF(Z58="",0,Z58),"0")</f>
        <v>0</v>
      </c>
      <c r="AA59" s="490"/>
      <c r="AB59" s="490"/>
      <c r="AC59" s="490"/>
    </row>
    <row r="60" spans="1:68" x14ac:dyDescent="0.2">
      <c r="A60" s="501"/>
      <c r="B60" s="501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506"/>
      <c r="P60" s="497" t="s">
        <v>88</v>
      </c>
      <c r="Q60" s="498"/>
      <c r="R60" s="498"/>
      <c r="S60" s="498"/>
      <c r="T60" s="498"/>
      <c r="U60" s="498"/>
      <c r="V60" s="499"/>
      <c r="W60" s="38" t="s">
        <v>71</v>
      </c>
      <c r="X60" s="489">
        <f>IFERROR(SUM(X55:X58),"0")</f>
        <v>0</v>
      </c>
      <c r="Y60" s="489">
        <f>IFERROR(SUM(Y55:Y58),"0")</f>
        <v>0</v>
      </c>
      <c r="Z60" s="38"/>
      <c r="AA60" s="490"/>
      <c r="AB60" s="490"/>
      <c r="AC60" s="490"/>
    </row>
    <row r="61" spans="1:68" ht="14.25" customHeight="1" x14ac:dyDescent="0.25">
      <c r="A61" s="512" t="s">
        <v>148</v>
      </c>
      <c r="B61" s="501"/>
      <c r="C61" s="501"/>
      <c r="D61" s="501"/>
      <c r="E61" s="501"/>
      <c r="F61" s="501"/>
      <c r="G61" s="501"/>
      <c r="H61" s="501"/>
      <c r="I61" s="501"/>
      <c r="J61" s="501"/>
      <c r="K61" s="501"/>
      <c r="L61" s="501"/>
      <c r="M61" s="501"/>
      <c r="N61" s="501"/>
      <c r="O61" s="501"/>
      <c r="P61" s="501"/>
      <c r="Q61" s="501"/>
      <c r="R61" s="501"/>
      <c r="S61" s="501"/>
      <c r="T61" s="501"/>
      <c r="U61" s="501"/>
      <c r="V61" s="501"/>
      <c r="W61" s="501"/>
      <c r="X61" s="501"/>
      <c r="Y61" s="501"/>
      <c r="Z61" s="501"/>
      <c r="AA61" s="483"/>
      <c r="AB61" s="483"/>
      <c r="AC61" s="483"/>
    </row>
    <row r="62" spans="1:68" ht="37.5" customHeight="1" x14ac:dyDescent="0.25">
      <c r="A62" s="55" t="s">
        <v>149</v>
      </c>
      <c r="B62" s="55" t="s">
        <v>150</v>
      </c>
      <c r="C62" s="32">
        <v>4301060371</v>
      </c>
      <c r="D62" s="494">
        <v>4680115881532</v>
      </c>
      <c r="E62" s="495"/>
      <c r="F62" s="486">
        <v>1.4</v>
      </c>
      <c r="G62" s="33">
        <v>6</v>
      </c>
      <c r="H62" s="486">
        <v>8.4</v>
      </c>
      <c r="I62" s="486">
        <v>8.9190000000000005</v>
      </c>
      <c r="J62" s="33">
        <v>64</v>
      </c>
      <c r="K62" s="33" t="s">
        <v>101</v>
      </c>
      <c r="L62" s="33"/>
      <c r="M62" s="34" t="s">
        <v>70</v>
      </c>
      <c r="N62" s="34"/>
      <c r="O62" s="33">
        <v>30</v>
      </c>
      <c r="P62" s="7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2" s="492"/>
      <c r="R62" s="492"/>
      <c r="S62" s="492"/>
      <c r="T62" s="493"/>
      <c r="U62" s="35"/>
      <c r="V62" s="35"/>
      <c r="W62" s="36" t="s">
        <v>71</v>
      </c>
      <c r="X62" s="487">
        <v>0</v>
      </c>
      <c r="Y62" s="488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14" t="s">
        <v>151</v>
      </c>
      <c r="AG62" s="65"/>
      <c r="AJ62" s="69"/>
      <c r="AK62" s="69">
        <v>0</v>
      </c>
      <c r="BB62" s="115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27" customHeight="1" x14ac:dyDescent="0.25">
      <c r="A63" s="55" t="s">
        <v>152</v>
      </c>
      <c r="B63" s="55" t="s">
        <v>153</v>
      </c>
      <c r="C63" s="32">
        <v>4301060351</v>
      </c>
      <c r="D63" s="494">
        <v>4680115881464</v>
      </c>
      <c r="E63" s="495"/>
      <c r="F63" s="486">
        <v>0.4</v>
      </c>
      <c r="G63" s="33">
        <v>6</v>
      </c>
      <c r="H63" s="486">
        <v>2.4</v>
      </c>
      <c r="I63" s="486">
        <v>2.61</v>
      </c>
      <c r="J63" s="33">
        <v>132</v>
      </c>
      <c r="K63" s="33" t="s">
        <v>110</v>
      </c>
      <c r="L63" s="33"/>
      <c r="M63" s="34" t="s">
        <v>102</v>
      </c>
      <c r="N63" s="34"/>
      <c r="O63" s="33">
        <v>30</v>
      </c>
      <c r="P63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3" s="492"/>
      <c r="R63" s="492"/>
      <c r="S63" s="492"/>
      <c r="T63" s="493"/>
      <c r="U63" s="35"/>
      <c r="V63" s="35"/>
      <c r="W63" s="36" t="s">
        <v>71</v>
      </c>
      <c r="X63" s="487">
        <v>0</v>
      </c>
      <c r="Y63" s="48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16" t="s">
        <v>154</v>
      </c>
      <c r="AG63" s="65"/>
      <c r="AJ63" s="69"/>
      <c r="AK63" s="69">
        <v>0</v>
      </c>
      <c r="BB63" s="117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505"/>
      <c r="B64" s="501"/>
      <c r="C64" s="501"/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506"/>
      <c r="P64" s="497" t="s">
        <v>88</v>
      </c>
      <c r="Q64" s="498"/>
      <c r="R64" s="498"/>
      <c r="S64" s="498"/>
      <c r="T64" s="498"/>
      <c r="U64" s="498"/>
      <c r="V64" s="499"/>
      <c r="W64" s="38" t="s">
        <v>89</v>
      </c>
      <c r="X64" s="489">
        <f>IFERROR(X62/H62,"0")+IFERROR(X63/H63,"0")</f>
        <v>0</v>
      </c>
      <c r="Y64" s="489">
        <f>IFERROR(Y62/H62,"0")+IFERROR(Y63/H63,"0")</f>
        <v>0</v>
      </c>
      <c r="Z64" s="489">
        <f>IFERROR(IF(Z62="",0,Z62),"0")+IFERROR(IF(Z63="",0,Z63),"0")</f>
        <v>0</v>
      </c>
      <c r="AA64" s="490"/>
      <c r="AB64" s="490"/>
      <c r="AC64" s="490"/>
    </row>
    <row r="65" spans="1:68" x14ac:dyDescent="0.2">
      <c r="A65" s="501"/>
      <c r="B65" s="501"/>
      <c r="C65" s="501"/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506"/>
      <c r="P65" s="497" t="s">
        <v>88</v>
      </c>
      <c r="Q65" s="498"/>
      <c r="R65" s="498"/>
      <c r="S65" s="498"/>
      <c r="T65" s="498"/>
      <c r="U65" s="498"/>
      <c r="V65" s="499"/>
      <c r="W65" s="38" t="s">
        <v>71</v>
      </c>
      <c r="X65" s="489">
        <f>IFERROR(SUM(X62:X63),"0")</f>
        <v>0</v>
      </c>
      <c r="Y65" s="489">
        <f>IFERROR(SUM(Y62:Y63),"0")</f>
        <v>0</v>
      </c>
      <c r="Z65" s="38"/>
      <c r="AA65" s="490"/>
      <c r="AB65" s="490"/>
      <c r="AC65" s="490"/>
    </row>
    <row r="66" spans="1:68" ht="16.5" customHeight="1" x14ac:dyDescent="0.25">
      <c r="A66" s="500" t="s">
        <v>155</v>
      </c>
      <c r="B66" s="501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482"/>
      <c r="AB66" s="482"/>
      <c r="AC66" s="482"/>
    </row>
    <row r="67" spans="1:68" ht="14.25" customHeight="1" x14ac:dyDescent="0.25">
      <c r="A67" s="512" t="s">
        <v>98</v>
      </c>
      <c r="B67" s="501"/>
      <c r="C67" s="501"/>
      <c r="D67" s="501"/>
      <c r="E67" s="501"/>
      <c r="F67" s="501"/>
      <c r="G67" s="501"/>
      <c r="H67" s="501"/>
      <c r="I67" s="501"/>
      <c r="J67" s="501"/>
      <c r="K67" s="501"/>
      <c r="L67" s="501"/>
      <c r="M67" s="501"/>
      <c r="N67" s="501"/>
      <c r="O67" s="501"/>
      <c r="P67" s="501"/>
      <c r="Q67" s="501"/>
      <c r="R67" s="501"/>
      <c r="S67" s="501"/>
      <c r="T67" s="501"/>
      <c r="U67" s="501"/>
      <c r="V67" s="501"/>
      <c r="W67" s="501"/>
      <c r="X67" s="501"/>
      <c r="Y67" s="501"/>
      <c r="Z67" s="501"/>
      <c r="AA67" s="483"/>
      <c r="AB67" s="483"/>
      <c r="AC67" s="483"/>
    </row>
    <row r="68" spans="1:68" ht="27" customHeight="1" x14ac:dyDescent="0.25">
      <c r="A68" s="55" t="s">
        <v>156</v>
      </c>
      <c r="B68" s="55" t="s">
        <v>157</v>
      </c>
      <c r="C68" s="32">
        <v>4301011468</v>
      </c>
      <c r="D68" s="494">
        <v>4680115881327</v>
      </c>
      <c r="E68" s="495"/>
      <c r="F68" s="486">
        <v>1.35</v>
      </c>
      <c r="G68" s="33">
        <v>8</v>
      </c>
      <c r="H68" s="486">
        <v>10.8</v>
      </c>
      <c r="I68" s="486">
        <v>11.234999999999999</v>
      </c>
      <c r="J68" s="33">
        <v>64</v>
      </c>
      <c r="K68" s="33" t="s">
        <v>101</v>
      </c>
      <c r="L68" s="33"/>
      <c r="M68" s="34" t="s">
        <v>133</v>
      </c>
      <c r="N68" s="34"/>
      <c r="O68" s="33">
        <v>50</v>
      </c>
      <c r="P68" s="6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8" s="492"/>
      <c r="R68" s="492"/>
      <c r="S68" s="492"/>
      <c r="T68" s="493"/>
      <c r="U68" s="35"/>
      <c r="V68" s="35"/>
      <c r="W68" s="36" t="s">
        <v>71</v>
      </c>
      <c r="X68" s="487">
        <v>50</v>
      </c>
      <c r="Y68" s="488">
        <f>IFERROR(IF(X68="",0,CEILING((X68/$H68),1)*$H68),"")</f>
        <v>54</v>
      </c>
      <c r="Z68" s="37">
        <f>IFERROR(IF(Y68=0,"",ROUNDUP(Y68/H68,0)*0.01898),"")</f>
        <v>9.4899999999999998E-2</v>
      </c>
      <c r="AA68" s="57"/>
      <c r="AB68" s="58"/>
      <c r="AC68" s="118" t="s">
        <v>158</v>
      </c>
      <c r="AG68" s="65"/>
      <c r="AJ68" s="69"/>
      <c r="AK68" s="69">
        <v>0</v>
      </c>
      <c r="BB68" s="119" t="s">
        <v>1</v>
      </c>
      <c r="BM68" s="65">
        <f>IFERROR(X68*I68/H68,"0")</f>
        <v>52.013888888888886</v>
      </c>
      <c r="BN68" s="65">
        <f>IFERROR(Y68*I68/H68,"0")</f>
        <v>56.17499999999999</v>
      </c>
      <c r="BO68" s="65">
        <f>IFERROR(1/J68*(X68/H68),"0")</f>
        <v>7.2337962962962965E-2</v>
      </c>
      <c r="BP68" s="65">
        <f>IFERROR(1/J68*(Y68/H68),"0")</f>
        <v>7.8125E-2</v>
      </c>
    </row>
    <row r="69" spans="1:68" ht="16.5" customHeight="1" x14ac:dyDescent="0.25">
      <c r="A69" s="55" t="s">
        <v>159</v>
      </c>
      <c r="B69" s="55" t="s">
        <v>160</v>
      </c>
      <c r="C69" s="32">
        <v>4301011476</v>
      </c>
      <c r="D69" s="494">
        <v>4680115881518</v>
      </c>
      <c r="E69" s="495"/>
      <c r="F69" s="486">
        <v>0.4</v>
      </c>
      <c r="G69" s="33">
        <v>10</v>
      </c>
      <c r="H69" s="486">
        <v>4</v>
      </c>
      <c r="I69" s="486">
        <v>4.21</v>
      </c>
      <c r="J69" s="33">
        <v>132</v>
      </c>
      <c r="K69" s="33" t="s">
        <v>110</v>
      </c>
      <c r="L69" s="33"/>
      <c r="M69" s="34" t="s">
        <v>102</v>
      </c>
      <c r="N69" s="34"/>
      <c r="O69" s="33">
        <v>50</v>
      </c>
      <c r="P69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9" s="492"/>
      <c r="R69" s="492"/>
      <c r="S69" s="492"/>
      <c r="T69" s="493"/>
      <c r="U69" s="35"/>
      <c r="V69" s="35"/>
      <c r="W69" s="36" t="s">
        <v>71</v>
      </c>
      <c r="X69" s="487">
        <v>0</v>
      </c>
      <c r="Y69" s="488">
        <f>IFERROR(IF(X69="",0,CEILING((X69/$H69),1)*$H69),"")</f>
        <v>0</v>
      </c>
      <c r="Z69" s="37" t="str">
        <f>IFERROR(IF(Y69=0,"",ROUNDUP(Y69/H69,0)*0.00902),"")</f>
        <v/>
      </c>
      <c r="AA69" s="57"/>
      <c r="AB69" s="58"/>
      <c r="AC69" s="120" t="s">
        <v>158</v>
      </c>
      <c r="AG69" s="65"/>
      <c r="AJ69" s="69"/>
      <c r="AK69" s="69">
        <v>0</v>
      </c>
      <c r="BB69" s="121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505"/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6"/>
      <c r="P70" s="497" t="s">
        <v>88</v>
      </c>
      <c r="Q70" s="498"/>
      <c r="R70" s="498"/>
      <c r="S70" s="498"/>
      <c r="T70" s="498"/>
      <c r="U70" s="498"/>
      <c r="V70" s="499"/>
      <c r="W70" s="38" t="s">
        <v>89</v>
      </c>
      <c r="X70" s="489">
        <f>IFERROR(X68/H68,"0")+IFERROR(X69/H69,"0")</f>
        <v>4.6296296296296298</v>
      </c>
      <c r="Y70" s="489">
        <f>IFERROR(Y68/H68,"0")+IFERROR(Y69/H69,"0")</f>
        <v>5</v>
      </c>
      <c r="Z70" s="489">
        <f>IFERROR(IF(Z68="",0,Z68),"0")+IFERROR(IF(Z69="",0,Z69),"0")</f>
        <v>9.4899999999999998E-2</v>
      </c>
      <c r="AA70" s="490"/>
      <c r="AB70" s="490"/>
      <c r="AC70" s="490"/>
    </row>
    <row r="71" spans="1:68" x14ac:dyDescent="0.2">
      <c r="A71" s="501"/>
      <c r="B71" s="501"/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6"/>
      <c r="P71" s="497" t="s">
        <v>88</v>
      </c>
      <c r="Q71" s="498"/>
      <c r="R71" s="498"/>
      <c r="S71" s="498"/>
      <c r="T71" s="498"/>
      <c r="U71" s="498"/>
      <c r="V71" s="499"/>
      <c r="W71" s="38" t="s">
        <v>71</v>
      </c>
      <c r="X71" s="489">
        <f>IFERROR(SUM(X68:X69),"0")</f>
        <v>50</v>
      </c>
      <c r="Y71" s="489">
        <f>IFERROR(SUM(Y68:Y69),"0")</f>
        <v>54</v>
      </c>
      <c r="Z71" s="38"/>
      <c r="AA71" s="490"/>
      <c r="AB71" s="490"/>
      <c r="AC71" s="490"/>
    </row>
    <row r="72" spans="1:68" ht="14.25" customHeight="1" x14ac:dyDescent="0.25">
      <c r="A72" s="512" t="s">
        <v>66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483"/>
      <c r="AB72" s="483"/>
      <c r="AC72" s="483"/>
    </row>
    <row r="73" spans="1:68" ht="27" customHeight="1" x14ac:dyDescent="0.25">
      <c r="A73" s="55" t="s">
        <v>161</v>
      </c>
      <c r="B73" s="55" t="s">
        <v>162</v>
      </c>
      <c r="C73" s="32">
        <v>4301051546</v>
      </c>
      <c r="D73" s="494">
        <v>4607091386967</v>
      </c>
      <c r="E73" s="495"/>
      <c r="F73" s="486">
        <v>1.4</v>
      </c>
      <c r="G73" s="33">
        <v>6</v>
      </c>
      <c r="H73" s="486">
        <v>8.4</v>
      </c>
      <c r="I73" s="486">
        <v>8.9190000000000005</v>
      </c>
      <c r="J73" s="33">
        <v>64</v>
      </c>
      <c r="K73" s="33" t="s">
        <v>101</v>
      </c>
      <c r="L73" s="33"/>
      <c r="M73" s="34" t="s">
        <v>102</v>
      </c>
      <c r="N73" s="34"/>
      <c r="O73" s="33">
        <v>45</v>
      </c>
      <c r="P73" s="4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3" s="492"/>
      <c r="R73" s="492"/>
      <c r="S73" s="492"/>
      <c r="T73" s="493"/>
      <c r="U73" s="35"/>
      <c r="V73" s="35"/>
      <c r="W73" s="36" t="s">
        <v>71</v>
      </c>
      <c r="X73" s="487"/>
      <c r="Y73" s="488">
        <f t="shared" ref="Y73:Y78" si="5"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22" t="s">
        <v>163</v>
      </c>
      <c r="AG73" s="65"/>
      <c r="AJ73" s="69"/>
      <c r="AK73" s="69">
        <v>0</v>
      </c>
      <c r="BB73" s="123" t="s">
        <v>1</v>
      </c>
      <c r="BM73" s="65">
        <f t="shared" ref="BM73:BM78" si="6">IFERROR(X73*I73/H73,"0")</f>
        <v>0</v>
      </c>
      <c r="BN73" s="65">
        <f t="shared" ref="BN73:BN78" si="7">IFERROR(Y73*I73/H73,"0")</f>
        <v>0</v>
      </c>
      <c r="BO73" s="65">
        <f t="shared" ref="BO73:BO78" si="8">IFERROR(1/J73*(X73/H73),"0")</f>
        <v>0</v>
      </c>
      <c r="BP73" s="65">
        <f t="shared" ref="BP73:BP78" si="9">IFERROR(1/J73*(Y73/H73),"0")</f>
        <v>0</v>
      </c>
    </row>
    <row r="74" spans="1:68" ht="27" customHeight="1" x14ac:dyDescent="0.25">
      <c r="A74" s="55" t="s">
        <v>161</v>
      </c>
      <c r="B74" s="55" t="s">
        <v>164</v>
      </c>
      <c r="C74" s="32">
        <v>4301051437</v>
      </c>
      <c r="D74" s="494">
        <v>4607091386967</v>
      </c>
      <c r="E74" s="495"/>
      <c r="F74" s="486">
        <v>1.35</v>
      </c>
      <c r="G74" s="33">
        <v>6</v>
      </c>
      <c r="H74" s="486">
        <v>8.1</v>
      </c>
      <c r="I74" s="486">
        <v>8.6189999999999998</v>
      </c>
      <c r="J74" s="33">
        <v>64</v>
      </c>
      <c r="K74" s="33" t="s">
        <v>101</v>
      </c>
      <c r="L74" s="33"/>
      <c r="M74" s="34" t="s">
        <v>102</v>
      </c>
      <c r="N74" s="34"/>
      <c r="O74" s="33">
        <v>45</v>
      </c>
      <c r="P74" s="6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4" s="492"/>
      <c r="R74" s="492"/>
      <c r="S74" s="492"/>
      <c r="T74" s="493"/>
      <c r="U74" s="35"/>
      <c r="V74" s="35"/>
      <c r="W74" s="36" t="s">
        <v>71</v>
      </c>
      <c r="X74" s="487"/>
      <c r="Y74" s="488">
        <f t="shared" si="5"/>
        <v>0</v>
      </c>
      <c r="Z74" s="37" t="str">
        <f>IFERROR(IF(Y74=0,"",ROUNDUP(Y74/H74,0)*0.01898),"")</f>
        <v/>
      </c>
      <c r="AA74" s="57"/>
      <c r="AB74" s="58"/>
      <c r="AC74" s="124" t="s">
        <v>163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27" customHeight="1" x14ac:dyDescent="0.25">
      <c r="A75" s="55" t="s">
        <v>165</v>
      </c>
      <c r="B75" s="55" t="s">
        <v>166</v>
      </c>
      <c r="C75" s="32">
        <v>4301051436</v>
      </c>
      <c r="D75" s="494">
        <v>4607091385731</v>
      </c>
      <c r="E75" s="495"/>
      <c r="F75" s="486">
        <v>0.45</v>
      </c>
      <c r="G75" s="33">
        <v>6</v>
      </c>
      <c r="H75" s="486">
        <v>2.7</v>
      </c>
      <c r="I75" s="486">
        <v>2.952</v>
      </c>
      <c r="J75" s="33">
        <v>182</v>
      </c>
      <c r="K75" s="33" t="s">
        <v>69</v>
      </c>
      <c r="L75" s="33"/>
      <c r="M75" s="34" t="s">
        <v>102</v>
      </c>
      <c r="N75" s="34"/>
      <c r="O75" s="33">
        <v>45</v>
      </c>
      <c r="P75" s="7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5" s="492"/>
      <c r="R75" s="492"/>
      <c r="S75" s="492"/>
      <c r="T75" s="493"/>
      <c r="U75" s="35"/>
      <c r="V75" s="35"/>
      <c r="W75" s="36" t="s">
        <v>71</v>
      </c>
      <c r="X75" s="487">
        <v>0</v>
      </c>
      <c r="Y75" s="48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163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16.5" customHeight="1" x14ac:dyDescent="0.25">
      <c r="A76" s="55" t="s">
        <v>167</v>
      </c>
      <c r="B76" s="55" t="s">
        <v>168</v>
      </c>
      <c r="C76" s="32">
        <v>4301051438</v>
      </c>
      <c r="D76" s="494">
        <v>4680115880894</v>
      </c>
      <c r="E76" s="495"/>
      <c r="F76" s="486">
        <v>0.33</v>
      </c>
      <c r="G76" s="33">
        <v>6</v>
      </c>
      <c r="H76" s="486">
        <v>1.98</v>
      </c>
      <c r="I76" s="486">
        <v>2.238</v>
      </c>
      <c r="J76" s="33">
        <v>182</v>
      </c>
      <c r="K76" s="33" t="s">
        <v>69</v>
      </c>
      <c r="L76" s="33"/>
      <c r="M76" s="34" t="s">
        <v>102</v>
      </c>
      <c r="N76" s="34"/>
      <c r="O76" s="33">
        <v>45</v>
      </c>
      <c r="P76" s="6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6" s="492"/>
      <c r="R76" s="492"/>
      <c r="S76" s="492"/>
      <c r="T76" s="493"/>
      <c r="U76" s="35"/>
      <c r="V76" s="35"/>
      <c r="W76" s="36" t="s">
        <v>71</v>
      </c>
      <c r="X76" s="487">
        <v>0</v>
      </c>
      <c r="Y76" s="488">
        <f t="shared" si="5"/>
        <v>0</v>
      </c>
      <c r="Z76" s="37" t="str">
        <f>IFERROR(IF(Y76=0,"",ROUNDUP(Y76/H76,0)*0.00651),"")</f>
        <v/>
      </c>
      <c r="AA76" s="57"/>
      <c r="AB76" s="58"/>
      <c r="AC76" s="128" t="s">
        <v>169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170</v>
      </c>
      <c r="B77" s="55" t="s">
        <v>171</v>
      </c>
      <c r="C77" s="32">
        <v>4301051687</v>
      </c>
      <c r="D77" s="494">
        <v>4680115880214</v>
      </c>
      <c r="E77" s="495"/>
      <c r="F77" s="486">
        <v>0.45</v>
      </c>
      <c r="G77" s="33">
        <v>4</v>
      </c>
      <c r="H77" s="486">
        <v>1.8</v>
      </c>
      <c r="I77" s="486">
        <v>2.032</v>
      </c>
      <c r="J77" s="33">
        <v>182</v>
      </c>
      <c r="K77" s="33" t="s">
        <v>69</v>
      </c>
      <c r="L77" s="33"/>
      <c r="M77" s="34" t="s">
        <v>102</v>
      </c>
      <c r="N77" s="34"/>
      <c r="O77" s="33">
        <v>45</v>
      </c>
      <c r="P77" s="658" t="s">
        <v>172</v>
      </c>
      <c r="Q77" s="492"/>
      <c r="R77" s="492"/>
      <c r="S77" s="492"/>
      <c r="T77" s="493"/>
      <c r="U77" s="35"/>
      <c r="V77" s="35"/>
      <c r="W77" s="36" t="s">
        <v>71</v>
      </c>
      <c r="X77" s="487">
        <v>0</v>
      </c>
      <c r="Y77" s="48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169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ht="27" customHeight="1" x14ac:dyDescent="0.25">
      <c r="A78" s="55" t="s">
        <v>170</v>
      </c>
      <c r="B78" s="55" t="s">
        <v>173</v>
      </c>
      <c r="C78" s="32">
        <v>4301051439</v>
      </c>
      <c r="D78" s="494">
        <v>4680115880214</v>
      </c>
      <c r="E78" s="495"/>
      <c r="F78" s="486">
        <v>0.45</v>
      </c>
      <c r="G78" s="33">
        <v>6</v>
      </c>
      <c r="H78" s="486">
        <v>2.7</v>
      </c>
      <c r="I78" s="486">
        <v>2.988</v>
      </c>
      <c r="J78" s="33">
        <v>132</v>
      </c>
      <c r="K78" s="33" t="s">
        <v>110</v>
      </c>
      <c r="L78" s="33"/>
      <c r="M78" s="34" t="s">
        <v>102</v>
      </c>
      <c r="N78" s="34"/>
      <c r="O78" s="33">
        <v>45</v>
      </c>
      <c r="P78" s="5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8" s="492"/>
      <c r="R78" s="492"/>
      <c r="S78" s="492"/>
      <c r="T78" s="493"/>
      <c r="U78" s="35"/>
      <c r="V78" s="35"/>
      <c r="W78" s="36" t="s">
        <v>71</v>
      </c>
      <c r="X78" s="487">
        <v>99</v>
      </c>
      <c r="Y78" s="488">
        <f t="shared" si="5"/>
        <v>99.9</v>
      </c>
      <c r="Z78" s="37">
        <f>IFERROR(IF(Y78=0,"",ROUNDUP(Y78/H78,0)*0.00902),"")</f>
        <v>0.33374000000000004</v>
      </c>
      <c r="AA78" s="57"/>
      <c r="AB78" s="58"/>
      <c r="AC78" s="132" t="s">
        <v>169</v>
      </c>
      <c r="AG78" s="65"/>
      <c r="AJ78" s="69"/>
      <c r="AK78" s="69">
        <v>0</v>
      </c>
      <c r="BB78" s="133" t="s">
        <v>1</v>
      </c>
      <c r="BM78" s="65">
        <f t="shared" si="6"/>
        <v>109.56</v>
      </c>
      <c r="BN78" s="65">
        <f t="shared" si="7"/>
        <v>110.55600000000001</v>
      </c>
      <c r="BO78" s="65">
        <f t="shared" si="8"/>
        <v>0.27777777777777779</v>
      </c>
      <c r="BP78" s="65">
        <f t="shared" si="9"/>
        <v>0.28030303030303033</v>
      </c>
    </row>
    <row r="79" spans="1:68" x14ac:dyDescent="0.2">
      <c r="A79" s="505"/>
      <c r="B79" s="501"/>
      <c r="C79" s="501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6"/>
      <c r="P79" s="497" t="s">
        <v>88</v>
      </c>
      <c r="Q79" s="498"/>
      <c r="R79" s="498"/>
      <c r="S79" s="498"/>
      <c r="T79" s="498"/>
      <c r="U79" s="498"/>
      <c r="V79" s="499"/>
      <c r="W79" s="38" t="s">
        <v>89</v>
      </c>
      <c r="X79" s="489">
        <f>IFERROR(X73/H73,"0")+IFERROR(X74/H74,"0")+IFERROR(X75/H75,"0")+IFERROR(X76/H76,"0")+IFERROR(X77/H77,"0")+IFERROR(X78/H78,"0")</f>
        <v>36.666666666666664</v>
      </c>
      <c r="Y79" s="489">
        <f>IFERROR(Y73/H73,"0")+IFERROR(Y74/H74,"0")+IFERROR(Y75/H75,"0")+IFERROR(Y76/H76,"0")+IFERROR(Y77/H77,"0")+IFERROR(Y78/H78,"0")</f>
        <v>37</v>
      </c>
      <c r="Z79" s="489">
        <f>IFERROR(IF(Z73="",0,Z73),"0")+IFERROR(IF(Z74="",0,Z74),"0")+IFERROR(IF(Z75="",0,Z75),"0")+IFERROR(IF(Z76="",0,Z76),"0")+IFERROR(IF(Z77="",0,Z77),"0")+IFERROR(IF(Z78="",0,Z78),"0")</f>
        <v>0.33374000000000004</v>
      </c>
      <c r="AA79" s="490"/>
      <c r="AB79" s="490"/>
      <c r="AC79" s="490"/>
    </row>
    <row r="80" spans="1:68" x14ac:dyDescent="0.2">
      <c r="A80" s="501"/>
      <c r="B80" s="501"/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501"/>
      <c r="N80" s="501"/>
      <c r="O80" s="506"/>
      <c r="P80" s="497" t="s">
        <v>88</v>
      </c>
      <c r="Q80" s="498"/>
      <c r="R80" s="498"/>
      <c r="S80" s="498"/>
      <c r="T80" s="498"/>
      <c r="U80" s="498"/>
      <c r="V80" s="499"/>
      <c r="W80" s="38" t="s">
        <v>71</v>
      </c>
      <c r="X80" s="489">
        <f>IFERROR(SUM(X73:X78),"0")</f>
        <v>99</v>
      </c>
      <c r="Y80" s="489">
        <f>IFERROR(SUM(Y73:Y78),"0")</f>
        <v>99.9</v>
      </c>
      <c r="Z80" s="38"/>
      <c r="AA80" s="490"/>
      <c r="AB80" s="490"/>
      <c r="AC80" s="490"/>
    </row>
    <row r="81" spans="1:68" ht="16.5" customHeight="1" x14ac:dyDescent="0.25">
      <c r="A81" s="500" t="s">
        <v>174</v>
      </c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482"/>
      <c r="AB81" s="482"/>
      <c r="AC81" s="482"/>
    </row>
    <row r="82" spans="1:68" ht="14.25" customHeight="1" x14ac:dyDescent="0.25">
      <c r="A82" s="512" t="s">
        <v>98</v>
      </c>
      <c r="B82" s="501"/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501"/>
      <c r="N82" s="501"/>
      <c r="O82" s="501"/>
      <c r="P82" s="501"/>
      <c r="Q82" s="501"/>
      <c r="R82" s="501"/>
      <c r="S82" s="501"/>
      <c r="T82" s="501"/>
      <c r="U82" s="501"/>
      <c r="V82" s="501"/>
      <c r="W82" s="501"/>
      <c r="X82" s="501"/>
      <c r="Y82" s="501"/>
      <c r="Z82" s="501"/>
      <c r="AA82" s="483"/>
      <c r="AB82" s="483"/>
      <c r="AC82" s="483"/>
    </row>
    <row r="83" spans="1:68" ht="16.5" customHeight="1" x14ac:dyDescent="0.25">
      <c r="A83" s="55" t="s">
        <v>175</v>
      </c>
      <c r="B83" s="55" t="s">
        <v>176</v>
      </c>
      <c r="C83" s="32">
        <v>4301011703</v>
      </c>
      <c r="D83" s="494">
        <v>4680115882133</v>
      </c>
      <c r="E83" s="495"/>
      <c r="F83" s="486">
        <v>1.4</v>
      </c>
      <c r="G83" s="33">
        <v>8</v>
      </c>
      <c r="H83" s="486">
        <v>11.2</v>
      </c>
      <c r="I83" s="486">
        <v>11.635</v>
      </c>
      <c r="J83" s="33">
        <v>64</v>
      </c>
      <c r="K83" s="33" t="s">
        <v>101</v>
      </c>
      <c r="L83" s="33"/>
      <c r="M83" s="34" t="s">
        <v>106</v>
      </c>
      <c r="N83" s="34"/>
      <c r="O83" s="33">
        <v>50</v>
      </c>
      <c r="P83" s="7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3" s="492"/>
      <c r="R83" s="492"/>
      <c r="S83" s="492"/>
      <c r="T83" s="493"/>
      <c r="U83" s="35"/>
      <c r="V83" s="35"/>
      <c r="W83" s="36" t="s">
        <v>71</v>
      </c>
      <c r="X83" s="487">
        <v>0</v>
      </c>
      <c r="Y83" s="48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177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178</v>
      </c>
      <c r="B84" s="55" t="s">
        <v>179</v>
      </c>
      <c r="C84" s="32">
        <v>4301011415</v>
      </c>
      <c r="D84" s="494">
        <v>4680115880429</v>
      </c>
      <c r="E84" s="495"/>
      <c r="F84" s="486">
        <v>0.45</v>
      </c>
      <c r="G84" s="33">
        <v>10</v>
      </c>
      <c r="H84" s="486">
        <v>4.5</v>
      </c>
      <c r="I84" s="486">
        <v>4.71</v>
      </c>
      <c r="J84" s="33">
        <v>132</v>
      </c>
      <c r="K84" s="33" t="s">
        <v>110</v>
      </c>
      <c r="L84" s="33"/>
      <c r="M84" s="34" t="s">
        <v>102</v>
      </c>
      <c r="N84" s="34"/>
      <c r="O84" s="33">
        <v>50</v>
      </c>
      <c r="P84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92"/>
      <c r="R84" s="492"/>
      <c r="S84" s="492"/>
      <c r="T84" s="493"/>
      <c r="U84" s="35"/>
      <c r="V84" s="35"/>
      <c r="W84" s="36" t="s">
        <v>71</v>
      </c>
      <c r="X84" s="487">
        <v>225</v>
      </c>
      <c r="Y84" s="488">
        <f>IFERROR(IF(X84="",0,CEILING((X84/$H84),1)*$H84),"")</f>
        <v>225</v>
      </c>
      <c r="Z84" s="37">
        <f>IFERROR(IF(Y84=0,"",ROUNDUP(Y84/H84,0)*0.00902),"")</f>
        <v>0.45100000000000001</v>
      </c>
      <c r="AA84" s="57"/>
      <c r="AB84" s="58"/>
      <c r="AC84" s="136" t="s">
        <v>177</v>
      </c>
      <c r="AG84" s="65"/>
      <c r="AJ84" s="69"/>
      <c r="AK84" s="69">
        <v>0</v>
      </c>
      <c r="BB84" s="137" t="s">
        <v>1</v>
      </c>
      <c r="BM84" s="65">
        <f>IFERROR(X84*I84/H84,"0")</f>
        <v>235.5</v>
      </c>
      <c r="BN84" s="65">
        <f>IFERROR(Y84*I84/H84,"0")</f>
        <v>235.5</v>
      </c>
      <c r="BO84" s="65">
        <f>IFERROR(1/J84*(X84/H84),"0")</f>
        <v>0.37878787878787878</v>
      </c>
      <c r="BP84" s="65">
        <f>IFERROR(1/J84*(Y84/H84),"0")</f>
        <v>0.37878787878787878</v>
      </c>
    </row>
    <row r="85" spans="1:68" ht="16.5" customHeight="1" x14ac:dyDescent="0.25">
      <c r="A85" s="55" t="s">
        <v>180</v>
      </c>
      <c r="B85" s="55" t="s">
        <v>181</v>
      </c>
      <c r="C85" s="32">
        <v>4301011462</v>
      </c>
      <c r="D85" s="494">
        <v>4680115881457</v>
      </c>
      <c r="E85" s="495"/>
      <c r="F85" s="486">
        <v>0.75</v>
      </c>
      <c r="G85" s="33">
        <v>6</v>
      </c>
      <c r="H85" s="486">
        <v>4.5</v>
      </c>
      <c r="I85" s="486">
        <v>4.71</v>
      </c>
      <c r="J85" s="33">
        <v>132</v>
      </c>
      <c r="K85" s="33" t="s">
        <v>110</v>
      </c>
      <c r="L85" s="33"/>
      <c r="M85" s="34" t="s">
        <v>102</v>
      </c>
      <c r="N85" s="34"/>
      <c r="O85" s="33">
        <v>50</v>
      </c>
      <c r="P85" s="7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92"/>
      <c r="R85" s="492"/>
      <c r="S85" s="492"/>
      <c r="T85" s="493"/>
      <c r="U85" s="35"/>
      <c r="V85" s="35"/>
      <c r="W85" s="36" t="s">
        <v>71</v>
      </c>
      <c r="X85" s="487">
        <v>0</v>
      </c>
      <c r="Y85" s="48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177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505"/>
      <c r="B86" s="501"/>
      <c r="C86" s="501"/>
      <c r="D86" s="501"/>
      <c r="E86" s="501"/>
      <c r="F86" s="501"/>
      <c r="G86" s="501"/>
      <c r="H86" s="501"/>
      <c r="I86" s="501"/>
      <c r="J86" s="501"/>
      <c r="K86" s="501"/>
      <c r="L86" s="501"/>
      <c r="M86" s="501"/>
      <c r="N86" s="501"/>
      <c r="O86" s="506"/>
      <c r="P86" s="497" t="s">
        <v>88</v>
      </c>
      <c r="Q86" s="498"/>
      <c r="R86" s="498"/>
      <c r="S86" s="498"/>
      <c r="T86" s="498"/>
      <c r="U86" s="498"/>
      <c r="V86" s="499"/>
      <c r="W86" s="38" t="s">
        <v>89</v>
      </c>
      <c r="X86" s="489">
        <f>IFERROR(X83/H83,"0")+IFERROR(X84/H84,"0")+IFERROR(X85/H85,"0")</f>
        <v>50</v>
      </c>
      <c r="Y86" s="489">
        <f>IFERROR(Y83/H83,"0")+IFERROR(Y84/H84,"0")+IFERROR(Y85/H85,"0")</f>
        <v>50</v>
      </c>
      <c r="Z86" s="489">
        <f>IFERROR(IF(Z83="",0,Z83),"0")+IFERROR(IF(Z84="",0,Z84),"0")+IFERROR(IF(Z85="",0,Z85),"0")</f>
        <v>0.45100000000000001</v>
      </c>
      <c r="AA86" s="490"/>
      <c r="AB86" s="490"/>
      <c r="AC86" s="490"/>
    </row>
    <row r="87" spans="1:68" x14ac:dyDescent="0.2">
      <c r="A87" s="501"/>
      <c r="B87" s="501"/>
      <c r="C87" s="501"/>
      <c r="D87" s="501"/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6"/>
      <c r="P87" s="497" t="s">
        <v>88</v>
      </c>
      <c r="Q87" s="498"/>
      <c r="R87" s="498"/>
      <c r="S87" s="498"/>
      <c r="T87" s="498"/>
      <c r="U87" s="498"/>
      <c r="V87" s="499"/>
      <c r="W87" s="38" t="s">
        <v>71</v>
      </c>
      <c r="X87" s="489">
        <f>IFERROR(SUM(X83:X85),"0")</f>
        <v>225</v>
      </c>
      <c r="Y87" s="489">
        <f>IFERROR(SUM(Y83:Y85),"0")</f>
        <v>225</v>
      </c>
      <c r="Z87" s="38"/>
      <c r="AA87" s="490"/>
      <c r="AB87" s="490"/>
      <c r="AC87" s="490"/>
    </row>
    <row r="88" spans="1:68" ht="14.25" customHeight="1" x14ac:dyDescent="0.25">
      <c r="A88" s="512" t="s">
        <v>137</v>
      </c>
      <c r="B88" s="501"/>
      <c r="C88" s="501"/>
      <c r="D88" s="501"/>
      <c r="E88" s="501"/>
      <c r="F88" s="501"/>
      <c r="G88" s="501"/>
      <c r="H88" s="501"/>
      <c r="I88" s="501"/>
      <c r="J88" s="501"/>
      <c r="K88" s="501"/>
      <c r="L88" s="501"/>
      <c r="M88" s="501"/>
      <c r="N88" s="501"/>
      <c r="O88" s="501"/>
      <c r="P88" s="501"/>
      <c r="Q88" s="501"/>
      <c r="R88" s="501"/>
      <c r="S88" s="501"/>
      <c r="T88" s="501"/>
      <c r="U88" s="501"/>
      <c r="V88" s="501"/>
      <c r="W88" s="501"/>
      <c r="X88" s="501"/>
      <c r="Y88" s="501"/>
      <c r="Z88" s="501"/>
      <c r="AA88" s="483"/>
      <c r="AB88" s="483"/>
      <c r="AC88" s="483"/>
    </row>
    <row r="89" spans="1:68" ht="16.5" customHeight="1" x14ac:dyDescent="0.25">
      <c r="A89" s="55" t="s">
        <v>182</v>
      </c>
      <c r="B89" s="55" t="s">
        <v>183</v>
      </c>
      <c r="C89" s="32">
        <v>4301020345</v>
      </c>
      <c r="D89" s="494">
        <v>4680115881488</v>
      </c>
      <c r="E89" s="495"/>
      <c r="F89" s="486">
        <v>1.35</v>
      </c>
      <c r="G89" s="33">
        <v>8</v>
      </c>
      <c r="H89" s="486">
        <v>10.8</v>
      </c>
      <c r="I89" s="486">
        <v>11.234999999999999</v>
      </c>
      <c r="J89" s="33">
        <v>64</v>
      </c>
      <c r="K89" s="33" t="s">
        <v>101</v>
      </c>
      <c r="L89" s="33"/>
      <c r="M89" s="34" t="s">
        <v>106</v>
      </c>
      <c r="N89" s="34"/>
      <c r="O89" s="33">
        <v>55</v>
      </c>
      <c r="P89" s="6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92"/>
      <c r="R89" s="492"/>
      <c r="S89" s="492"/>
      <c r="T89" s="493"/>
      <c r="U89" s="35"/>
      <c r="V89" s="35"/>
      <c r="W89" s="36" t="s">
        <v>71</v>
      </c>
      <c r="X89" s="487">
        <v>0</v>
      </c>
      <c r="Y89" s="48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184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185</v>
      </c>
      <c r="B90" s="55" t="s">
        <v>186</v>
      </c>
      <c r="C90" s="32">
        <v>4301020346</v>
      </c>
      <c r="D90" s="494">
        <v>4680115882775</v>
      </c>
      <c r="E90" s="495"/>
      <c r="F90" s="486">
        <v>0.3</v>
      </c>
      <c r="G90" s="33">
        <v>8</v>
      </c>
      <c r="H90" s="486">
        <v>2.4</v>
      </c>
      <c r="I90" s="486">
        <v>2.5</v>
      </c>
      <c r="J90" s="33">
        <v>234</v>
      </c>
      <c r="K90" s="33" t="s">
        <v>187</v>
      </c>
      <c r="L90" s="33"/>
      <c r="M90" s="34" t="s">
        <v>106</v>
      </c>
      <c r="N90" s="34"/>
      <c r="O90" s="33">
        <v>55</v>
      </c>
      <c r="P90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92"/>
      <c r="R90" s="492"/>
      <c r="S90" s="492"/>
      <c r="T90" s="493"/>
      <c r="U90" s="35"/>
      <c r="V90" s="35"/>
      <c r="W90" s="36" t="s">
        <v>71</v>
      </c>
      <c r="X90" s="487">
        <v>0</v>
      </c>
      <c r="Y90" s="48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184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188</v>
      </c>
      <c r="B91" s="55" t="s">
        <v>189</v>
      </c>
      <c r="C91" s="32">
        <v>4301020344</v>
      </c>
      <c r="D91" s="494">
        <v>4680115880658</v>
      </c>
      <c r="E91" s="495"/>
      <c r="F91" s="486">
        <v>0.4</v>
      </c>
      <c r="G91" s="33">
        <v>6</v>
      </c>
      <c r="H91" s="486">
        <v>2.4</v>
      </c>
      <c r="I91" s="486">
        <v>2.58</v>
      </c>
      <c r="J91" s="33">
        <v>182</v>
      </c>
      <c r="K91" s="33" t="s">
        <v>69</v>
      </c>
      <c r="L91" s="33"/>
      <c r="M91" s="34" t="s">
        <v>106</v>
      </c>
      <c r="N91" s="34"/>
      <c r="O91" s="33">
        <v>55</v>
      </c>
      <c r="P91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92"/>
      <c r="R91" s="492"/>
      <c r="S91" s="492"/>
      <c r="T91" s="493"/>
      <c r="U91" s="35"/>
      <c r="V91" s="35"/>
      <c r="W91" s="36" t="s">
        <v>71</v>
      </c>
      <c r="X91" s="487">
        <v>0</v>
      </c>
      <c r="Y91" s="48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184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505"/>
      <c r="B92" s="501"/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6"/>
      <c r="P92" s="497" t="s">
        <v>88</v>
      </c>
      <c r="Q92" s="498"/>
      <c r="R92" s="498"/>
      <c r="S92" s="498"/>
      <c r="T92" s="498"/>
      <c r="U92" s="498"/>
      <c r="V92" s="499"/>
      <c r="W92" s="38" t="s">
        <v>89</v>
      </c>
      <c r="X92" s="489">
        <f>IFERROR(X89/H89,"0")+IFERROR(X90/H90,"0")+IFERROR(X91/H91,"0")</f>
        <v>0</v>
      </c>
      <c r="Y92" s="489">
        <f>IFERROR(Y89/H89,"0")+IFERROR(Y90/H90,"0")+IFERROR(Y91/H91,"0")</f>
        <v>0</v>
      </c>
      <c r="Z92" s="489">
        <f>IFERROR(IF(Z89="",0,Z89),"0")+IFERROR(IF(Z90="",0,Z90),"0")+IFERROR(IF(Z91="",0,Z91),"0")</f>
        <v>0</v>
      </c>
      <c r="AA92" s="490"/>
      <c r="AB92" s="490"/>
      <c r="AC92" s="490"/>
    </row>
    <row r="93" spans="1:68" x14ac:dyDescent="0.2">
      <c r="A93" s="501"/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6"/>
      <c r="P93" s="497" t="s">
        <v>88</v>
      </c>
      <c r="Q93" s="498"/>
      <c r="R93" s="498"/>
      <c r="S93" s="498"/>
      <c r="T93" s="498"/>
      <c r="U93" s="498"/>
      <c r="V93" s="499"/>
      <c r="W93" s="38" t="s">
        <v>71</v>
      </c>
      <c r="X93" s="489">
        <f>IFERROR(SUM(X89:X91),"0")</f>
        <v>0</v>
      </c>
      <c r="Y93" s="489">
        <f>IFERROR(SUM(Y89:Y91),"0")</f>
        <v>0</v>
      </c>
      <c r="Z93" s="38"/>
      <c r="AA93" s="490"/>
      <c r="AB93" s="490"/>
      <c r="AC93" s="490"/>
    </row>
    <row r="94" spans="1:68" ht="14.25" customHeight="1" x14ac:dyDescent="0.25">
      <c r="A94" s="512" t="s">
        <v>66</v>
      </c>
      <c r="B94" s="501"/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  <c r="P94" s="501"/>
      <c r="Q94" s="501"/>
      <c r="R94" s="501"/>
      <c r="S94" s="501"/>
      <c r="T94" s="501"/>
      <c r="U94" s="501"/>
      <c r="V94" s="501"/>
      <c r="W94" s="501"/>
      <c r="X94" s="501"/>
      <c r="Y94" s="501"/>
      <c r="Z94" s="501"/>
      <c r="AA94" s="483"/>
      <c r="AB94" s="483"/>
      <c r="AC94" s="483"/>
    </row>
    <row r="95" spans="1:68" ht="27" customHeight="1" x14ac:dyDescent="0.25">
      <c r="A95" s="55" t="s">
        <v>190</v>
      </c>
      <c r="B95" s="55" t="s">
        <v>191</v>
      </c>
      <c r="C95" s="32">
        <v>4301051625</v>
      </c>
      <c r="D95" s="494">
        <v>4607091385168</v>
      </c>
      <c r="E95" s="495"/>
      <c r="F95" s="486">
        <v>1.4</v>
      </c>
      <c r="G95" s="33">
        <v>6</v>
      </c>
      <c r="H95" s="486">
        <v>8.4</v>
      </c>
      <c r="I95" s="486">
        <v>8.9130000000000003</v>
      </c>
      <c r="J95" s="33">
        <v>64</v>
      </c>
      <c r="K95" s="33" t="s">
        <v>101</v>
      </c>
      <c r="L95" s="33"/>
      <c r="M95" s="34" t="s">
        <v>102</v>
      </c>
      <c r="N95" s="34"/>
      <c r="O95" s="33">
        <v>45</v>
      </c>
      <c r="P95" s="5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92"/>
      <c r="R95" s="492"/>
      <c r="S95" s="492"/>
      <c r="T95" s="493"/>
      <c r="U95" s="35"/>
      <c r="V95" s="35"/>
      <c r="W95" s="36" t="s">
        <v>71</v>
      </c>
      <c r="X95" s="487">
        <v>650</v>
      </c>
      <c r="Y95" s="488">
        <f>IFERROR(IF(X95="",0,CEILING((X95/$H95),1)*$H95),"")</f>
        <v>655.20000000000005</v>
      </c>
      <c r="Z95" s="37">
        <f>IFERROR(IF(Y95=0,"",ROUNDUP(Y95/H95,0)*0.01898),"")</f>
        <v>1.48044</v>
      </c>
      <c r="AA95" s="57"/>
      <c r="AB95" s="58"/>
      <c r="AC95" s="146" t="s">
        <v>192</v>
      </c>
      <c r="AG95" s="65"/>
      <c r="AJ95" s="69"/>
      <c r="AK95" s="69">
        <v>0</v>
      </c>
      <c r="BB95" s="147" t="s">
        <v>1</v>
      </c>
      <c r="BM95" s="65">
        <f>IFERROR(X95*I95/H95,"0")</f>
        <v>689.69642857142856</v>
      </c>
      <c r="BN95" s="65">
        <f>IFERROR(Y95*I95/H95,"0")</f>
        <v>695.21400000000006</v>
      </c>
      <c r="BO95" s="65">
        <f>IFERROR(1/J95*(X95/H95),"0")</f>
        <v>1.2090773809523809</v>
      </c>
      <c r="BP95" s="65">
        <f>IFERROR(1/J95*(Y95/H95),"0")</f>
        <v>1.21875</v>
      </c>
    </row>
    <row r="96" spans="1:68" ht="37.5" customHeight="1" x14ac:dyDescent="0.25">
      <c r="A96" s="55" t="s">
        <v>190</v>
      </c>
      <c r="B96" s="55" t="s">
        <v>193</v>
      </c>
      <c r="C96" s="32">
        <v>4301051360</v>
      </c>
      <c r="D96" s="494">
        <v>4607091385168</v>
      </c>
      <c r="E96" s="495"/>
      <c r="F96" s="486">
        <v>1.35</v>
      </c>
      <c r="G96" s="33">
        <v>6</v>
      </c>
      <c r="H96" s="486">
        <v>8.1</v>
      </c>
      <c r="I96" s="486">
        <v>8.6129999999999995</v>
      </c>
      <c r="J96" s="33">
        <v>64</v>
      </c>
      <c r="K96" s="33" t="s">
        <v>101</v>
      </c>
      <c r="L96" s="33"/>
      <c r="M96" s="34" t="s">
        <v>102</v>
      </c>
      <c r="N96" s="34"/>
      <c r="O96" s="33">
        <v>45</v>
      </c>
      <c r="P96" s="6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6" s="492"/>
      <c r="R96" s="492"/>
      <c r="S96" s="492"/>
      <c r="T96" s="493"/>
      <c r="U96" s="35"/>
      <c r="V96" s="35"/>
      <c r="W96" s="36" t="s">
        <v>71</v>
      </c>
      <c r="X96" s="487">
        <v>0</v>
      </c>
      <c r="Y96" s="488">
        <f>IFERROR(IF(X96="",0,CEILING((X96/$H96),1)*$H96),"")</f>
        <v>0</v>
      </c>
      <c r="Z96" s="37" t="str">
        <f>IFERROR(IF(Y96=0,"",ROUNDUP(Y96/H96,0)*0.01898),"")</f>
        <v/>
      </c>
      <c r="AA96" s="57"/>
      <c r="AB96" s="58"/>
      <c r="AC96" s="148" t="s">
        <v>194</v>
      </c>
      <c r="AG96" s="65"/>
      <c r="AJ96" s="69"/>
      <c r="AK96" s="69">
        <v>0</v>
      </c>
      <c r="BB96" s="149" t="s">
        <v>1</v>
      </c>
      <c r="BM96" s="65">
        <f>IFERROR(X96*I96/H96,"0")</f>
        <v>0</v>
      </c>
      <c r="BN96" s="65">
        <f>IFERROR(Y96*I96/H96,"0")</f>
        <v>0</v>
      </c>
      <c r="BO96" s="65">
        <f>IFERROR(1/J96*(X96/H96),"0")</f>
        <v>0</v>
      </c>
      <c r="BP96" s="65">
        <f>IFERROR(1/J96*(Y96/H96),"0")</f>
        <v>0</v>
      </c>
    </row>
    <row r="97" spans="1:68" ht="37.5" customHeight="1" x14ac:dyDescent="0.25">
      <c r="A97" s="55" t="s">
        <v>195</v>
      </c>
      <c r="B97" s="55" t="s">
        <v>196</v>
      </c>
      <c r="C97" s="32">
        <v>4301051362</v>
      </c>
      <c r="D97" s="494">
        <v>4607091383256</v>
      </c>
      <c r="E97" s="495"/>
      <c r="F97" s="486">
        <v>0.33</v>
      </c>
      <c r="G97" s="33">
        <v>6</v>
      </c>
      <c r="H97" s="486">
        <v>1.98</v>
      </c>
      <c r="I97" s="486">
        <v>2.226</v>
      </c>
      <c r="J97" s="33">
        <v>182</v>
      </c>
      <c r="K97" s="33" t="s">
        <v>69</v>
      </c>
      <c r="L97" s="33"/>
      <c r="M97" s="34" t="s">
        <v>102</v>
      </c>
      <c r="N97" s="34"/>
      <c r="O97" s="33">
        <v>45</v>
      </c>
      <c r="P97" s="56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7" s="492"/>
      <c r="R97" s="492"/>
      <c r="S97" s="492"/>
      <c r="T97" s="493"/>
      <c r="U97" s="35"/>
      <c r="V97" s="35"/>
      <c r="W97" s="36" t="s">
        <v>71</v>
      </c>
      <c r="X97" s="487">
        <v>0</v>
      </c>
      <c r="Y97" s="488">
        <f>IFERROR(IF(X97="",0,CEILING((X97/$H97),1)*$H97),"")</f>
        <v>0</v>
      </c>
      <c r="Z97" s="37" t="str">
        <f>IFERROR(IF(Y97=0,"",ROUNDUP(Y97/H97,0)*0.00651),"")</f>
        <v/>
      </c>
      <c r="AA97" s="57"/>
      <c r="AB97" s="58"/>
      <c r="AC97" s="150" t="s">
        <v>194</v>
      </c>
      <c r="AG97" s="65"/>
      <c r="AJ97" s="69"/>
      <c r="AK97" s="69">
        <v>0</v>
      </c>
      <c r="BB97" s="151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37.5" customHeight="1" x14ac:dyDescent="0.25">
      <c r="A98" s="55" t="s">
        <v>197</v>
      </c>
      <c r="B98" s="55" t="s">
        <v>198</v>
      </c>
      <c r="C98" s="32">
        <v>4301051358</v>
      </c>
      <c r="D98" s="494">
        <v>4607091385748</v>
      </c>
      <c r="E98" s="495"/>
      <c r="F98" s="486">
        <v>0.45</v>
      </c>
      <c r="G98" s="33">
        <v>6</v>
      </c>
      <c r="H98" s="486">
        <v>2.7</v>
      </c>
      <c r="I98" s="486">
        <v>2.952</v>
      </c>
      <c r="J98" s="33">
        <v>182</v>
      </c>
      <c r="K98" s="33" t="s">
        <v>69</v>
      </c>
      <c r="L98" s="33"/>
      <c r="M98" s="34" t="s">
        <v>102</v>
      </c>
      <c r="N98" s="34"/>
      <c r="O98" s="33">
        <v>45</v>
      </c>
      <c r="P98" s="70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98" s="492"/>
      <c r="R98" s="492"/>
      <c r="S98" s="492"/>
      <c r="T98" s="493"/>
      <c r="U98" s="35"/>
      <c r="V98" s="35"/>
      <c r="W98" s="36" t="s">
        <v>71</v>
      </c>
      <c r="X98" s="487">
        <v>180</v>
      </c>
      <c r="Y98" s="488">
        <f>IFERROR(IF(X98="",0,CEILING((X98/$H98),1)*$H98),"")</f>
        <v>180.9</v>
      </c>
      <c r="Z98" s="37">
        <f>IFERROR(IF(Y98=0,"",ROUNDUP(Y98/H98,0)*0.00651),"")</f>
        <v>0.43617</v>
      </c>
      <c r="AA98" s="57"/>
      <c r="AB98" s="58"/>
      <c r="AC98" s="152" t="s">
        <v>194</v>
      </c>
      <c r="AG98" s="65"/>
      <c r="AJ98" s="69"/>
      <c r="AK98" s="69">
        <v>0</v>
      </c>
      <c r="BB98" s="153" t="s">
        <v>1</v>
      </c>
      <c r="BM98" s="65">
        <f>IFERROR(X98*I98/H98,"0")</f>
        <v>196.79999999999998</v>
      </c>
      <c r="BN98" s="65">
        <f>IFERROR(Y98*I98/H98,"0")</f>
        <v>197.78399999999999</v>
      </c>
      <c r="BO98" s="65">
        <f>IFERROR(1/J98*(X98/H98),"0")</f>
        <v>0.36630036630036628</v>
      </c>
      <c r="BP98" s="65">
        <f>IFERROR(1/J98*(Y98/H98),"0")</f>
        <v>0.36813186813186816</v>
      </c>
    </row>
    <row r="99" spans="1:68" x14ac:dyDescent="0.2">
      <c r="A99" s="505"/>
      <c r="B99" s="501"/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6"/>
      <c r="P99" s="497" t="s">
        <v>88</v>
      </c>
      <c r="Q99" s="498"/>
      <c r="R99" s="498"/>
      <c r="S99" s="498"/>
      <c r="T99" s="498"/>
      <c r="U99" s="498"/>
      <c r="V99" s="499"/>
      <c r="W99" s="38" t="s">
        <v>89</v>
      </c>
      <c r="X99" s="489">
        <f>IFERROR(X95/H95,"0")+IFERROR(X96/H96,"0")+IFERROR(X97/H97,"0")+IFERROR(X98/H98,"0")</f>
        <v>144.04761904761904</v>
      </c>
      <c r="Y99" s="489">
        <f>IFERROR(Y95/H95,"0")+IFERROR(Y96/H96,"0")+IFERROR(Y97/H97,"0")+IFERROR(Y98/H98,"0")</f>
        <v>145</v>
      </c>
      <c r="Z99" s="489">
        <f>IFERROR(IF(Z95="",0,Z95),"0")+IFERROR(IF(Z96="",0,Z96),"0")+IFERROR(IF(Z97="",0,Z97),"0")+IFERROR(IF(Z98="",0,Z98),"0")</f>
        <v>1.9166099999999999</v>
      </c>
      <c r="AA99" s="490"/>
      <c r="AB99" s="490"/>
      <c r="AC99" s="490"/>
    </row>
    <row r="100" spans="1:68" x14ac:dyDescent="0.2">
      <c r="A100" s="501"/>
      <c r="B100" s="501"/>
      <c r="C100" s="501"/>
      <c r="D100" s="501"/>
      <c r="E100" s="501"/>
      <c r="F100" s="501"/>
      <c r="G100" s="501"/>
      <c r="H100" s="501"/>
      <c r="I100" s="501"/>
      <c r="J100" s="501"/>
      <c r="K100" s="501"/>
      <c r="L100" s="501"/>
      <c r="M100" s="501"/>
      <c r="N100" s="501"/>
      <c r="O100" s="506"/>
      <c r="P100" s="497" t="s">
        <v>88</v>
      </c>
      <c r="Q100" s="498"/>
      <c r="R100" s="498"/>
      <c r="S100" s="498"/>
      <c r="T100" s="498"/>
      <c r="U100" s="498"/>
      <c r="V100" s="499"/>
      <c r="W100" s="38" t="s">
        <v>71</v>
      </c>
      <c r="X100" s="489">
        <f>IFERROR(SUM(X95:X98),"0")</f>
        <v>830</v>
      </c>
      <c r="Y100" s="489">
        <f>IFERROR(SUM(Y95:Y98),"0")</f>
        <v>836.1</v>
      </c>
      <c r="Z100" s="38"/>
      <c r="AA100" s="490"/>
      <c r="AB100" s="490"/>
      <c r="AC100" s="490"/>
    </row>
    <row r="101" spans="1:68" ht="14.25" customHeight="1" x14ac:dyDescent="0.25">
      <c r="A101" s="512" t="s">
        <v>148</v>
      </c>
      <c r="B101" s="501"/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  <c r="P101" s="501"/>
      <c r="Q101" s="501"/>
      <c r="R101" s="501"/>
      <c r="S101" s="501"/>
      <c r="T101" s="501"/>
      <c r="U101" s="501"/>
      <c r="V101" s="501"/>
      <c r="W101" s="501"/>
      <c r="X101" s="501"/>
      <c r="Y101" s="501"/>
      <c r="Z101" s="501"/>
      <c r="AA101" s="483"/>
      <c r="AB101" s="483"/>
      <c r="AC101" s="483"/>
    </row>
    <row r="102" spans="1:68" ht="27" customHeight="1" x14ac:dyDescent="0.25">
      <c r="A102" s="55" t="s">
        <v>199</v>
      </c>
      <c r="B102" s="55" t="s">
        <v>200</v>
      </c>
      <c r="C102" s="32">
        <v>4301060317</v>
      </c>
      <c r="D102" s="494">
        <v>4680115880238</v>
      </c>
      <c r="E102" s="495"/>
      <c r="F102" s="486">
        <v>0.33</v>
      </c>
      <c r="G102" s="33">
        <v>6</v>
      </c>
      <c r="H102" s="486">
        <v>1.98</v>
      </c>
      <c r="I102" s="486">
        <v>2.238</v>
      </c>
      <c r="J102" s="33">
        <v>182</v>
      </c>
      <c r="K102" s="33" t="s">
        <v>69</v>
      </c>
      <c r="L102" s="33"/>
      <c r="M102" s="34" t="s">
        <v>102</v>
      </c>
      <c r="N102" s="34"/>
      <c r="O102" s="33">
        <v>40</v>
      </c>
      <c r="P102" s="7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2" s="492"/>
      <c r="R102" s="492"/>
      <c r="S102" s="492"/>
      <c r="T102" s="493"/>
      <c r="U102" s="35"/>
      <c r="V102" s="35"/>
      <c r="W102" s="36" t="s">
        <v>71</v>
      </c>
      <c r="X102" s="487">
        <v>0</v>
      </c>
      <c r="Y102" s="488">
        <f>IFERROR(IF(X102="",0,CEILING((X102/$H102),1)*$H102),"")</f>
        <v>0</v>
      </c>
      <c r="Z102" s="37" t="str">
        <f>IFERROR(IF(Y102=0,"",ROUNDUP(Y102/H102,0)*0.00651),"")</f>
        <v/>
      </c>
      <c r="AA102" s="57"/>
      <c r="AB102" s="58"/>
      <c r="AC102" s="154" t="s">
        <v>201</v>
      </c>
      <c r="AG102" s="65"/>
      <c r="AJ102" s="69"/>
      <c r="AK102" s="69">
        <v>0</v>
      </c>
      <c r="BB102" s="155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x14ac:dyDescent="0.2">
      <c r="A103" s="505"/>
      <c r="B103" s="501"/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6"/>
      <c r="P103" s="497" t="s">
        <v>88</v>
      </c>
      <c r="Q103" s="498"/>
      <c r="R103" s="498"/>
      <c r="S103" s="498"/>
      <c r="T103" s="498"/>
      <c r="U103" s="498"/>
      <c r="V103" s="499"/>
      <c r="W103" s="38" t="s">
        <v>89</v>
      </c>
      <c r="X103" s="489">
        <f>IFERROR(X102/H102,"0")</f>
        <v>0</v>
      </c>
      <c r="Y103" s="489">
        <f>IFERROR(Y102/H102,"0")</f>
        <v>0</v>
      </c>
      <c r="Z103" s="489">
        <f>IFERROR(IF(Z102="",0,Z102),"0")</f>
        <v>0</v>
      </c>
      <c r="AA103" s="490"/>
      <c r="AB103" s="490"/>
      <c r="AC103" s="490"/>
    </row>
    <row r="104" spans="1:68" x14ac:dyDescent="0.2">
      <c r="A104" s="501"/>
      <c r="B104" s="501"/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6"/>
      <c r="P104" s="497" t="s">
        <v>88</v>
      </c>
      <c r="Q104" s="498"/>
      <c r="R104" s="498"/>
      <c r="S104" s="498"/>
      <c r="T104" s="498"/>
      <c r="U104" s="498"/>
      <c r="V104" s="499"/>
      <c r="W104" s="38" t="s">
        <v>71</v>
      </c>
      <c r="X104" s="489">
        <f>IFERROR(SUM(X102:X102),"0")</f>
        <v>0</v>
      </c>
      <c r="Y104" s="489">
        <f>IFERROR(SUM(Y102:Y102),"0")</f>
        <v>0</v>
      </c>
      <c r="Z104" s="38"/>
      <c r="AA104" s="490"/>
      <c r="AB104" s="490"/>
      <c r="AC104" s="490"/>
    </row>
    <row r="105" spans="1:68" ht="16.5" customHeight="1" x14ac:dyDescent="0.25">
      <c r="A105" s="500" t="s">
        <v>202</v>
      </c>
      <c r="B105" s="501"/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  <c r="T105" s="501"/>
      <c r="U105" s="501"/>
      <c r="V105" s="501"/>
      <c r="W105" s="501"/>
      <c r="X105" s="501"/>
      <c r="Y105" s="501"/>
      <c r="Z105" s="501"/>
      <c r="AA105" s="482"/>
      <c r="AB105" s="482"/>
      <c r="AC105" s="482"/>
    </row>
    <row r="106" spans="1:68" ht="14.25" customHeight="1" x14ac:dyDescent="0.25">
      <c r="A106" s="512" t="s">
        <v>98</v>
      </c>
      <c r="B106" s="501"/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  <c r="P106" s="501"/>
      <c r="Q106" s="501"/>
      <c r="R106" s="501"/>
      <c r="S106" s="501"/>
      <c r="T106" s="501"/>
      <c r="U106" s="501"/>
      <c r="V106" s="501"/>
      <c r="W106" s="501"/>
      <c r="X106" s="501"/>
      <c r="Y106" s="501"/>
      <c r="Z106" s="501"/>
      <c r="AA106" s="483"/>
      <c r="AB106" s="483"/>
      <c r="AC106" s="483"/>
    </row>
    <row r="107" spans="1:68" ht="16.5" customHeight="1" x14ac:dyDescent="0.25">
      <c r="A107" s="55" t="s">
        <v>203</v>
      </c>
      <c r="B107" s="55" t="s">
        <v>204</v>
      </c>
      <c r="C107" s="32">
        <v>4301011988</v>
      </c>
      <c r="D107" s="494">
        <v>4680115885561</v>
      </c>
      <c r="E107" s="495"/>
      <c r="F107" s="486">
        <v>1.35</v>
      </c>
      <c r="G107" s="33">
        <v>4</v>
      </c>
      <c r="H107" s="486">
        <v>5.4</v>
      </c>
      <c r="I107" s="486">
        <v>7.24</v>
      </c>
      <c r="J107" s="33">
        <v>104</v>
      </c>
      <c r="K107" s="33" t="s">
        <v>101</v>
      </c>
      <c r="L107" s="33"/>
      <c r="M107" s="34" t="s">
        <v>205</v>
      </c>
      <c r="N107" s="34"/>
      <c r="O107" s="33">
        <v>90</v>
      </c>
      <c r="P107" s="735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07" s="492"/>
      <c r="R107" s="492"/>
      <c r="S107" s="492"/>
      <c r="T107" s="493"/>
      <c r="U107" s="35"/>
      <c r="V107" s="35"/>
      <c r="W107" s="36" t="s">
        <v>71</v>
      </c>
      <c r="X107" s="487">
        <v>0</v>
      </c>
      <c r="Y107" s="488">
        <f>IFERROR(IF(X107="",0,CEILING((X107/$H107),1)*$H107),"")</f>
        <v>0</v>
      </c>
      <c r="Z107" s="37" t="str">
        <f>IFERROR(IF(Y107=0,"",ROUNDUP(Y107/H107,0)*0.01196),"")</f>
        <v/>
      </c>
      <c r="AA107" s="57"/>
      <c r="AB107" s="58"/>
      <c r="AC107" s="156" t="s">
        <v>206</v>
      </c>
      <c r="AG107" s="65"/>
      <c r="AJ107" s="69"/>
      <c r="AK107" s="69">
        <v>0</v>
      </c>
      <c r="BB107" s="157" t="s">
        <v>1</v>
      </c>
      <c r="BM107" s="65">
        <f>IFERROR(X107*I107/H107,"0")</f>
        <v>0</v>
      </c>
      <c r="BN107" s="65">
        <f>IFERROR(Y107*I107/H107,"0")</f>
        <v>0</v>
      </c>
      <c r="BO107" s="65">
        <f>IFERROR(1/J107*(X107/H107),"0")</f>
        <v>0</v>
      </c>
      <c r="BP107" s="65">
        <f>IFERROR(1/J107*(Y107/H107),"0")</f>
        <v>0</v>
      </c>
    </row>
    <row r="108" spans="1:68" x14ac:dyDescent="0.2">
      <c r="A108" s="505"/>
      <c r="B108" s="501"/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6"/>
      <c r="P108" s="497" t="s">
        <v>88</v>
      </c>
      <c r="Q108" s="498"/>
      <c r="R108" s="498"/>
      <c r="S108" s="498"/>
      <c r="T108" s="498"/>
      <c r="U108" s="498"/>
      <c r="V108" s="499"/>
      <c r="W108" s="38" t="s">
        <v>89</v>
      </c>
      <c r="X108" s="489">
        <f>IFERROR(X107/H107,"0")</f>
        <v>0</v>
      </c>
      <c r="Y108" s="489">
        <f>IFERROR(Y107/H107,"0")</f>
        <v>0</v>
      </c>
      <c r="Z108" s="489">
        <f>IFERROR(IF(Z107="",0,Z107),"0")</f>
        <v>0</v>
      </c>
      <c r="AA108" s="490"/>
      <c r="AB108" s="490"/>
      <c r="AC108" s="490"/>
    </row>
    <row r="109" spans="1:68" x14ac:dyDescent="0.2">
      <c r="A109" s="501"/>
      <c r="B109" s="501"/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6"/>
      <c r="P109" s="497" t="s">
        <v>88</v>
      </c>
      <c r="Q109" s="498"/>
      <c r="R109" s="498"/>
      <c r="S109" s="498"/>
      <c r="T109" s="498"/>
      <c r="U109" s="498"/>
      <c r="V109" s="499"/>
      <c r="W109" s="38" t="s">
        <v>71</v>
      </c>
      <c r="X109" s="489">
        <f>IFERROR(SUM(X107:X107),"0")</f>
        <v>0</v>
      </c>
      <c r="Y109" s="489">
        <f>IFERROR(SUM(Y107:Y107),"0")</f>
        <v>0</v>
      </c>
      <c r="Z109" s="38"/>
      <c r="AA109" s="490"/>
      <c r="AB109" s="490"/>
      <c r="AC109" s="490"/>
    </row>
    <row r="110" spans="1:68" ht="14.25" customHeight="1" x14ac:dyDescent="0.25">
      <c r="A110" s="512" t="s">
        <v>66</v>
      </c>
      <c r="B110" s="501"/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  <c r="P110" s="501"/>
      <c r="Q110" s="501"/>
      <c r="R110" s="501"/>
      <c r="S110" s="501"/>
      <c r="T110" s="501"/>
      <c r="U110" s="501"/>
      <c r="V110" s="501"/>
      <c r="W110" s="501"/>
      <c r="X110" s="501"/>
      <c r="Y110" s="501"/>
      <c r="Z110" s="501"/>
      <c r="AA110" s="483"/>
      <c r="AB110" s="483"/>
      <c r="AC110" s="483"/>
    </row>
    <row r="111" spans="1:68" ht="16.5" customHeight="1" x14ac:dyDescent="0.25">
      <c r="A111" s="55" t="s">
        <v>207</v>
      </c>
      <c r="B111" s="55" t="s">
        <v>208</v>
      </c>
      <c r="C111" s="32">
        <v>4301051817</v>
      </c>
      <c r="D111" s="494">
        <v>4680115885585</v>
      </c>
      <c r="E111" s="495"/>
      <c r="F111" s="486">
        <v>1</v>
      </c>
      <c r="G111" s="33">
        <v>4</v>
      </c>
      <c r="H111" s="486">
        <v>4</v>
      </c>
      <c r="I111" s="486">
        <v>5.69</v>
      </c>
      <c r="J111" s="33">
        <v>120</v>
      </c>
      <c r="K111" s="33" t="s">
        <v>110</v>
      </c>
      <c r="L111" s="33"/>
      <c r="M111" s="34" t="s">
        <v>205</v>
      </c>
      <c r="N111" s="34"/>
      <c r="O111" s="33">
        <v>45</v>
      </c>
      <c r="P111" s="718" t="s">
        <v>209</v>
      </c>
      <c r="Q111" s="492"/>
      <c r="R111" s="492"/>
      <c r="S111" s="492"/>
      <c r="T111" s="493"/>
      <c r="U111" s="35"/>
      <c r="V111" s="35"/>
      <c r="W111" s="36" t="s">
        <v>71</v>
      </c>
      <c r="X111" s="487">
        <v>0</v>
      </c>
      <c r="Y111" s="488">
        <f>IFERROR(IF(X111="",0,CEILING((X111/$H111),1)*$H111),"")</f>
        <v>0</v>
      </c>
      <c r="Z111" s="37" t="str">
        <f>IFERROR(IF(Y111=0,"",ROUNDUP(Y111/H111,0)*0.00937),"")</f>
        <v/>
      </c>
      <c r="AA111" s="57"/>
      <c r="AB111" s="58"/>
      <c r="AC111" s="158" t="s">
        <v>206</v>
      </c>
      <c r="AG111" s="65"/>
      <c r="AJ111" s="69"/>
      <c r="AK111" s="69">
        <v>0</v>
      </c>
      <c r="BB111" s="159" t="s">
        <v>1</v>
      </c>
      <c r="BM111" s="65">
        <f>IFERROR(X111*I111/H111,"0")</f>
        <v>0</v>
      </c>
      <c r="BN111" s="65">
        <f>IFERROR(Y111*I111/H111,"0")</f>
        <v>0</v>
      </c>
      <c r="BO111" s="65">
        <f>IFERROR(1/J111*(X111/H111),"0")</f>
        <v>0</v>
      </c>
      <c r="BP111" s="65">
        <f>IFERROR(1/J111*(Y111/H111),"0")</f>
        <v>0</v>
      </c>
    </row>
    <row r="112" spans="1:68" x14ac:dyDescent="0.2">
      <c r="A112" s="505"/>
      <c r="B112" s="501"/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6"/>
      <c r="P112" s="497" t="s">
        <v>88</v>
      </c>
      <c r="Q112" s="498"/>
      <c r="R112" s="498"/>
      <c r="S112" s="498"/>
      <c r="T112" s="498"/>
      <c r="U112" s="498"/>
      <c r="V112" s="499"/>
      <c r="W112" s="38" t="s">
        <v>89</v>
      </c>
      <c r="X112" s="489">
        <f>IFERROR(X111/H111,"0")</f>
        <v>0</v>
      </c>
      <c r="Y112" s="489">
        <f>IFERROR(Y111/H111,"0")</f>
        <v>0</v>
      </c>
      <c r="Z112" s="489">
        <f>IFERROR(IF(Z111="",0,Z111),"0")</f>
        <v>0</v>
      </c>
      <c r="AA112" s="490"/>
      <c r="AB112" s="490"/>
      <c r="AC112" s="490"/>
    </row>
    <row r="113" spans="1:68" x14ac:dyDescent="0.2">
      <c r="A113" s="501"/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6"/>
      <c r="P113" s="497" t="s">
        <v>88</v>
      </c>
      <c r="Q113" s="498"/>
      <c r="R113" s="498"/>
      <c r="S113" s="498"/>
      <c r="T113" s="498"/>
      <c r="U113" s="498"/>
      <c r="V113" s="499"/>
      <c r="W113" s="38" t="s">
        <v>71</v>
      </c>
      <c r="X113" s="489">
        <f>IFERROR(SUM(X111:X111),"0")</f>
        <v>0</v>
      </c>
      <c r="Y113" s="489">
        <f>IFERROR(SUM(Y111:Y111),"0")</f>
        <v>0</v>
      </c>
      <c r="Z113" s="38"/>
      <c r="AA113" s="490"/>
      <c r="AB113" s="490"/>
      <c r="AC113" s="490"/>
    </row>
    <row r="114" spans="1:68" ht="16.5" customHeight="1" x14ac:dyDescent="0.25">
      <c r="A114" s="500" t="s">
        <v>96</v>
      </c>
      <c r="B114" s="501"/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  <c r="X114" s="501"/>
      <c r="Y114" s="501"/>
      <c r="Z114" s="501"/>
      <c r="AA114" s="482"/>
      <c r="AB114" s="482"/>
      <c r="AC114" s="482"/>
    </row>
    <row r="115" spans="1:68" ht="14.25" customHeight="1" x14ac:dyDescent="0.25">
      <c r="A115" s="512" t="s">
        <v>98</v>
      </c>
      <c r="B115" s="501"/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  <c r="P115" s="501"/>
      <c r="Q115" s="501"/>
      <c r="R115" s="501"/>
      <c r="S115" s="501"/>
      <c r="T115" s="501"/>
      <c r="U115" s="501"/>
      <c r="V115" s="501"/>
      <c r="W115" s="501"/>
      <c r="X115" s="501"/>
      <c r="Y115" s="501"/>
      <c r="Z115" s="501"/>
      <c r="AA115" s="483"/>
      <c r="AB115" s="483"/>
      <c r="AC115" s="483"/>
    </row>
    <row r="116" spans="1:68" ht="27" customHeight="1" x14ac:dyDescent="0.25">
      <c r="A116" s="55" t="s">
        <v>210</v>
      </c>
      <c r="B116" s="55" t="s">
        <v>211</v>
      </c>
      <c r="C116" s="32">
        <v>4301011705</v>
      </c>
      <c r="D116" s="494">
        <v>4607091384604</v>
      </c>
      <c r="E116" s="495"/>
      <c r="F116" s="486">
        <v>0.4</v>
      </c>
      <c r="G116" s="33">
        <v>10</v>
      </c>
      <c r="H116" s="486">
        <v>4</v>
      </c>
      <c r="I116" s="486">
        <v>4.21</v>
      </c>
      <c r="J116" s="33">
        <v>132</v>
      </c>
      <c r="K116" s="33" t="s">
        <v>110</v>
      </c>
      <c r="L116" s="33"/>
      <c r="M116" s="34" t="s">
        <v>106</v>
      </c>
      <c r="N116" s="34"/>
      <c r="O116" s="33">
        <v>50</v>
      </c>
      <c r="P116" s="5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6" s="492"/>
      <c r="R116" s="492"/>
      <c r="S116" s="492"/>
      <c r="T116" s="493"/>
      <c r="U116" s="35"/>
      <c r="V116" s="35"/>
      <c r="W116" s="36" t="s">
        <v>71</v>
      </c>
      <c r="X116" s="487">
        <v>0</v>
      </c>
      <c r="Y116" s="488">
        <f>IFERROR(IF(X116="",0,CEILING((X116/$H116),1)*$H116),"")</f>
        <v>0</v>
      </c>
      <c r="Z116" s="37" t="str">
        <f>IFERROR(IF(Y116=0,"",ROUNDUP(Y116/H116,0)*0.00902),"")</f>
        <v/>
      </c>
      <c r="AA116" s="57"/>
      <c r="AB116" s="58"/>
      <c r="AC116" s="160" t="s">
        <v>212</v>
      </c>
      <c r="AG116" s="65"/>
      <c r="AJ116" s="69"/>
      <c r="AK116" s="69">
        <v>0</v>
      </c>
      <c r="BB116" s="161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x14ac:dyDescent="0.2">
      <c r="A117" s="505"/>
      <c r="B117" s="501"/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6"/>
      <c r="P117" s="497" t="s">
        <v>88</v>
      </c>
      <c r="Q117" s="498"/>
      <c r="R117" s="498"/>
      <c r="S117" s="498"/>
      <c r="T117" s="498"/>
      <c r="U117" s="498"/>
      <c r="V117" s="499"/>
      <c r="W117" s="38" t="s">
        <v>89</v>
      </c>
      <c r="X117" s="489">
        <f>IFERROR(X116/H116,"0")</f>
        <v>0</v>
      </c>
      <c r="Y117" s="489">
        <f>IFERROR(Y116/H116,"0")</f>
        <v>0</v>
      </c>
      <c r="Z117" s="489">
        <f>IFERROR(IF(Z116="",0,Z116),"0")</f>
        <v>0</v>
      </c>
      <c r="AA117" s="490"/>
      <c r="AB117" s="490"/>
      <c r="AC117" s="490"/>
    </row>
    <row r="118" spans="1:68" x14ac:dyDescent="0.2">
      <c r="A118" s="501"/>
      <c r="B118" s="501"/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6"/>
      <c r="P118" s="497" t="s">
        <v>88</v>
      </c>
      <c r="Q118" s="498"/>
      <c r="R118" s="498"/>
      <c r="S118" s="498"/>
      <c r="T118" s="498"/>
      <c r="U118" s="498"/>
      <c r="V118" s="499"/>
      <c r="W118" s="38" t="s">
        <v>71</v>
      </c>
      <c r="X118" s="489">
        <f>IFERROR(SUM(X116:X116),"0")</f>
        <v>0</v>
      </c>
      <c r="Y118" s="489">
        <f>IFERROR(SUM(Y116:Y116),"0")</f>
        <v>0</v>
      </c>
      <c r="Z118" s="38"/>
      <c r="AA118" s="490"/>
      <c r="AB118" s="490"/>
      <c r="AC118" s="490"/>
    </row>
    <row r="119" spans="1:68" ht="14.25" customHeight="1" x14ac:dyDescent="0.25">
      <c r="A119" s="512" t="s">
        <v>213</v>
      </c>
      <c r="B119" s="501"/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  <c r="P119" s="501"/>
      <c r="Q119" s="501"/>
      <c r="R119" s="501"/>
      <c r="S119" s="501"/>
      <c r="T119" s="501"/>
      <c r="U119" s="501"/>
      <c r="V119" s="501"/>
      <c r="W119" s="501"/>
      <c r="X119" s="501"/>
      <c r="Y119" s="501"/>
      <c r="Z119" s="501"/>
      <c r="AA119" s="483"/>
      <c r="AB119" s="483"/>
      <c r="AC119" s="483"/>
    </row>
    <row r="120" spans="1:68" ht="16.5" customHeight="1" x14ac:dyDescent="0.25">
      <c r="A120" s="55" t="s">
        <v>214</v>
      </c>
      <c r="B120" s="55" t="s">
        <v>215</v>
      </c>
      <c r="C120" s="32">
        <v>4301030895</v>
      </c>
      <c r="D120" s="494">
        <v>4607091387667</v>
      </c>
      <c r="E120" s="495"/>
      <c r="F120" s="486">
        <v>0.9</v>
      </c>
      <c r="G120" s="33">
        <v>10</v>
      </c>
      <c r="H120" s="486">
        <v>9</v>
      </c>
      <c r="I120" s="486">
        <v>9.5850000000000009</v>
      </c>
      <c r="J120" s="33">
        <v>64</v>
      </c>
      <c r="K120" s="33" t="s">
        <v>101</v>
      </c>
      <c r="L120" s="33"/>
      <c r="M120" s="34" t="s">
        <v>106</v>
      </c>
      <c r="N120" s="34"/>
      <c r="O120" s="33">
        <v>40</v>
      </c>
      <c r="P120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20" s="492"/>
      <c r="R120" s="492"/>
      <c r="S120" s="492"/>
      <c r="T120" s="493"/>
      <c r="U120" s="35"/>
      <c r="V120" s="35"/>
      <c r="W120" s="36" t="s">
        <v>71</v>
      </c>
      <c r="X120" s="487">
        <v>0</v>
      </c>
      <c r="Y120" s="488">
        <f>IFERROR(IF(X120="",0,CEILING((X120/$H120),1)*$H120),"")</f>
        <v>0</v>
      </c>
      <c r="Z120" s="37" t="str">
        <f>IFERROR(IF(Y120=0,"",ROUNDUP(Y120/H120,0)*0.01898),"")</f>
        <v/>
      </c>
      <c r="AA120" s="57"/>
      <c r="AB120" s="58"/>
      <c r="AC120" s="162" t="s">
        <v>216</v>
      </c>
      <c r="AG120" s="65"/>
      <c r="AJ120" s="69"/>
      <c r="AK120" s="69">
        <v>0</v>
      </c>
      <c r="BB120" s="163" t="s">
        <v>1</v>
      </c>
      <c r="BM120" s="65">
        <f>IFERROR(X120*I120/H120,"0")</f>
        <v>0</v>
      </c>
      <c r="BN120" s="65">
        <f>IFERROR(Y120*I120/H120,"0")</f>
        <v>0</v>
      </c>
      <c r="BO120" s="65">
        <f>IFERROR(1/J120*(X120/H120),"0")</f>
        <v>0</v>
      </c>
      <c r="BP120" s="65">
        <f>IFERROR(1/J120*(Y120/H120),"0")</f>
        <v>0</v>
      </c>
    </row>
    <row r="121" spans="1:68" ht="27" customHeight="1" x14ac:dyDescent="0.25">
      <c r="A121" s="55" t="s">
        <v>217</v>
      </c>
      <c r="B121" s="55" t="s">
        <v>218</v>
      </c>
      <c r="C121" s="32">
        <v>4301030961</v>
      </c>
      <c r="D121" s="494">
        <v>4607091387636</v>
      </c>
      <c r="E121" s="495"/>
      <c r="F121" s="486">
        <v>0.7</v>
      </c>
      <c r="G121" s="33">
        <v>6</v>
      </c>
      <c r="H121" s="486">
        <v>4.2</v>
      </c>
      <c r="I121" s="486">
        <v>4.5</v>
      </c>
      <c r="J121" s="33">
        <v>132</v>
      </c>
      <c r="K121" s="33" t="s">
        <v>110</v>
      </c>
      <c r="L121" s="33"/>
      <c r="M121" s="34" t="s">
        <v>70</v>
      </c>
      <c r="N121" s="34"/>
      <c r="O121" s="33">
        <v>40</v>
      </c>
      <c r="P121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21" s="492"/>
      <c r="R121" s="492"/>
      <c r="S121" s="492"/>
      <c r="T121" s="493"/>
      <c r="U121" s="35"/>
      <c r="V121" s="35"/>
      <c r="W121" s="36" t="s">
        <v>71</v>
      </c>
      <c r="X121" s="487">
        <v>0</v>
      </c>
      <c r="Y121" s="488">
        <f>IFERROR(IF(X121="",0,CEILING((X121/$H121),1)*$H121),"")</f>
        <v>0</v>
      </c>
      <c r="Z121" s="37" t="str">
        <f>IFERROR(IF(Y121=0,"",ROUNDUP(Y121/H121,0)*0.00902),"")</f>
        <v/>
      </c>
      <c r="AA121" s="57"/>
      <c r="AB121" s="58"/>
      <c r="AC121" s="164" t="s">
        <v>219</v>
      </c>
      <c r="AG121" s="65"/>
      <c r="AJ121" s="69"/>
      <c r="AK121" s="69">
        <v>0</v>
      </c>
      <c r="BB121" s="165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16.5" customHeight="1" x14ac:dyDescent="0.25">
      <c r="A122" s="55" t="s">
        <v>220</v>
      </c>
      <c r="B122" s="55" t="s">
        <v>221</v>
      </c>
      <c r="C122" s="32">
        <v>4301030963</v>
      </c>
      <c r="D122" s="494">
        <v>4607091382426</v>
      </c>
      <c r="E122" s="495"/>
      <c r="F122" s="486">
        <v>0.9</v>
      </c>
      <c r="G122" s="33">
        <v>10</v>
      </c>
      <c r="H122" s="486">
        <v>9</v>
      </c>
      <c r="I122" s="486">
        <v>9.5850000000000009</v>
      </c>
      <c r="J122" s="33">
        <v>64</v>
      </c>
      <c r="K122" s="33" t="s">
        <v>101</v>
      </c>
      <c r="L122" s="33"/>
      <c r="M122" s="34" t="s">
        <v>70</v>
      </c>
      <c r="N122" s="34"/>
      <c r="O122" s="33">
        <v>40</v>
      </c>
      <c r="P122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22" s="492"/>
      <c r="R122" s="492"/>
      <c r="S122" s="492"/>
      <c r="T122" s="493"/>
      <c r="U122" s="35"/>
      <c r="V122" s="35"/>
      <c r="W122" s="36" t="s">
        <v>71</v>
      </c>
      <c r="X122" s="487">
        <v>0</v>
      </c>
      <c r="Y122" s="488">
        <f>IFERROR(IF(X122="",0,CEILING((X122/$H122),1)*$H122),"")</f>
        <v>0</v>
      </c>
      <c r="Z122" s="37" t="str">
        <f>IFERROR(IF(Y122=0,"",ROUNDUP(Y122/H122,0)*0.01898),"")</f>
        <v/>
      </c>
      <c r="AA122" s="57"/>
      <c r="AB122" s="58"/>
      <c r="AC122" s="166" t="s">
        <v>222</v>
      </c>
      <c r="AG122" s="65"/>
      <c r="AJ122" s="69"/>
      <c r="AK122" s="69">
        <v>0</v>
      </c>
      <c r="BB122" s="167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4301030962</v>
      </c>
      <c r="D123" s="494">
        <v>4607091386547</v>
      </c>
      <c r="E123" s="495"/>
      <c r="F123" s="486">
        <v>0.35</v>
      </c>
      <c r="G123" s="33">
        <v>8</v>
      </c>
      <c r="H123" s="486">
        <v>2.8</v>
      </c>
      <c r="I123" s="486">
        <v>2.94</v>
      </c>
      <c r="J123" s="33">
        <v>234</v>
      </c>
      <c r="K123" s="33" t="s">
        <v>187</v>
      </c>
      <c r="L123" s="33"/>
      <c r="M123" s="34" t="s">
        <v>70</v>
      </c>
      <c r="N123" s="34"/>
      <c r="O123" s="33">
        <v>40</v>
      </c>
      <c r="P123" s="7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23" s="492"/>
      <c r="R123" s="492"/>
      <c r="S123" s="492"/>
      <c r="T123" s="493"/>
      <c r="U123" s="35"/>
      <c r="V123" s="35"/>
      <c r="W123" s="36" t="s">
        <v>71</v>
      </c>
      <c r="X123" s="487">
        <v>0</v>
      </c>
      <c r="Y123" s="488">
        <f>IFERROR(IF(X123="",0,CEILING((X123/$H123),1)*$H123),"")</f>
        <v>0</v>
      </c>
      <c r="Z123" s="37" t="str">
        <f>IFERROR(IF(Y123=0,"",ROUNDUP(Y123/H123,0)*0.00502),"")</f>
        <v/>
      </c>
      <c r="AA123" s="57"/>
      <c r="AB123" s="58"/>
      <c r="AC123" s="168" t="s">
        <v>219</v>
      </c>
      <c r="AG123" s="65"/>
      <c r="AJ123" s="69"/>
      <c r="AK123" s="69">
        <v>0</v>
      </c>
      <c r="BB123" s="169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225</v>
      </c>
      <c r="B124" s="55" t="s">
        <v>226</v>
      </c>
      <c r="C124" s="32">
        <v>4301030964</v>
      </c>
      <c r="D124" s="494">
        <v>4607091382464</v>
      </c>
      <c r="E124" s="495"/>
      <c r="F124" s="486">
        <v>0.35</v>
      </c>
      <c r="G124" s="33">
        <v>8</v>
      </c>
      <c r="H124" s="486">
        <v>2.8</v>
      </c>
      <c r="I124" s="486">
        <v>2.964</v>
      </c>
      <c r="J124" s="33">
        <v>234</v>
      </c>
      <c r="K124" s="33" t="s">
        <v>187</v>
      </c>
      <c r="L124" s="33"/>
      <c r="M124" s="34" t="s">
        <v>70</v>
      </c>
      <c r="N124" s="34"/>
      <c r="O124" s="33">
        <v>40</v>
      </c>
      <c r="P124" s="7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24" s="492"/>
      <c r="R124" s="492"/>
      <c r="S124" s="492"/>
      <c r="T124" s="493"/>
      <c r="U124" s="35"/>
      <c r="V124" s="35"/>
      <c r="W124" s="36" t="s">
        <v>71</v>
      </c>
      <c r="X124" s="487">
        <v>0</v>
      </c>
      <c r="Y124" s="488">
        <f>IFERROR(IF(X124="",0,CEILING((X124/$H124),1)*$H124),"")</f>
        <v>0</v>
      </c>
      <c r="Z124" s="37" t="str">
        <f>IFERROR(IF(Y124=0,"",ROUNDUP(Y124/H124,0)*0.00502),"")</f>
        <v/>
      </c>
      <c r="AA124" s="57"/>
      <c r="AB124" s="58"/>
      <c r="AC124" s="170" t="s">
        <v>222</v>
      </c>
      <c r="AG124" s="65"/>
      <c r="AJ124" s="69"/>
      <c r="AK124" s="69">
        <v>0</v>
      </c>
      <c r="BB124" s="171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505"/>
      <c r="B125" s="501"/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6"/>
      <c r="P125" s="497" t="s">
        <v>88</v>
      </c>
      <c r="Q125" s="498"/>
      <c r="R125" s="498"/>
      <c r="S125" s="498"/>
      <c r="T125" s="498"/>
      <c r="U125" s="498"/>
      <c r="V125" s="499"/>
      <c r="W125" s="38" t="s">
        <v>89</v>
      </c>
      <c r="X125" s="489">
        <f>IFERROR(X120/H120,"0")+IFERROR(X121/H121,"0")+IFERROR(X122/H122,"0")+IFERROR(X123/H123,"0")+IFERROR(X124/H124,"0")</f>
        <v>0</v>
      </c>
      <c r="Y125" s="489">
        <f>IFERROR(Y120/H120,"0")+IFERROR(Y121/H121,"0")+IFERROR(Y122/H122,"0")+IFERROR(Y123/H123,"0")+IFERROR(Y124/H124,"0")</f>
        <v>0</v>
      </c>
      <c r="Z125" s="489">
        <f>IFERROR(IF(Z120="",0,Z120),"0")+IFERROR(IF(Z121="",0,Z121),"0")+IFERROR(IF(Z122="",0,Z122),"0")+IFERROR(IF(Z123="",0,Z123),"0")+IFERROR(IF(Z124="",0,Z124),"0")</f>
        <v>0</v>
      </c>
      <c r="AA125" s="490"/>
      <c r="AB125" s="490"/>
      <c r="AC125" s="490"/>
    </row>
    <row r="126" spans="1:68" x14ac:dyDescent="0.2">
      <c r="A126" s="501"/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6"/>
      <c r="P126" s="497" t="s">
        <v>88</v>
      </c>
      <c r="Q126" s="498"/>
      <c r="R126" s="498"/>
      <c r="S126" s="498"/>
      <c r="T126" s="498"/>
      <c r="U126" s="498"/>
      <c r="V126" s="499"/>
      <c r="W126" s="38" t="s">
        <v>71</v>
      </c>
      <c r="X126" s="489">
        <f>IFERROR(SUM(X120:X124),"0")</f>
        <v>0</v>
      </c>
      <c r="Y126" s="489">
        <f>IFERROR(SUM(Y120:Y124),"0")</f>
        <v>0</v>
      </c>
      <c r="Z126" s="38"/>
      <c r="AA126" s="490"/>
      <c r="AB126" s="490"/>
      <c r="AC126" s="490"/>
    </row>
    <row r="127" spans="1:68" ht="14.25" customHeight="1" x14ac:dyDescent="0.25">
      <c r="A127" s="512" t="s">
        <v>66</v>
      </c>
      <c r="B127" s="501"/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  <c r="P127" s="501"/>
      <c r="Q127" s="501"/>
      <c r="R127" s="501"/>
      <c r="S127" s="501"/>
      <c r="T127" s="501"/>
      <c r="U127" s="501"/>
      <c r="V127" s="501"/>
      <c r="W127" s="501"/>
      <c r="X127" s="501"/>
      <c r="Y127" s="501"/>
      <c r="Z127" s="501"/>
      <c r="AA127" s="483"/>
      <c r="AB127" s="483"/>
      <c r="AC127" s="483"/>
    </row>
    <row r="128" spans="1:68" ht="16.5" customHeight="1" x14ac:dyDescent="0.25">
      <c r="A128" s="55" t="s">
        <v>227</v>
      </c>
      <c r="B128" s="55" t="s">
        <v>228</v>
      </c>
      <c r="C128" s="32">
        <v>4301051653</v>
      </c>
      <c r="D128" s="494">
        <v>4607091386264</v>
      </c>
      <c r="E128" s="495"/>
      <c r="F128" s="486">
        <v>0.5</v>
      </c>
      <c r="G128" s="33">
        <v>6</v>
      </c>
      <c r="H128" s="486">
        <v>3</v>
      </c>
      <c r="I128" s="486">
        <v>3.258</v>
      </c>
      <c r="J128" s="33">
        <v>182</v>
      </c>
      <c r="K128" s="33" t="s">
        <v>69</v>
      </c>
      <c r="L128" s="33"/>
      <c r="M128" s="34" t="s">
        <v>102</v>
      </c>
      <c r="N128" s="34"/>
      <c r="O128" s="33">
        <v>31</v>
      </c>
      <c r="P128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8" s="492"/>
      <c r="R128" s="492"/>
      <c r="S128" s="492"/>
      <c r="T128" s="493"/>
      <c r="U128" s="35"/>
      <c r="V128" s="35"/>
      <c r="W128" s="36" t="s">
        <v>71</v>
      </c>
      <c r="X128" s="487">
        <v>0</v>
      </c>
      <c r="Y128" s="488">
        <f>IFERROR(IF(X128="",0,CEILING((X128/$H128),1)*$H128),"")</f>
        <v>0</v>
      </c>
      <c r="Z128" s="37" t="str">
        <f>IFERROR(IF(Y128=0,"",ROUNDUP(Y128/H128,0)*0.00651),"")</f>
        <v/>
      </c>
      <c r="AA128" s="57"/>
      <c r="AB128" s="58"/>
      <c r="AC128" s="172" t="s">
        <v>229</v>
      </c>
      <c r="AG128" s="65"/>
      <c r="AJ128" s="69"/>
      <c r="AK128" s="69">
        <v>0</v>
      </c>
      <c r="BB128" s="173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ht="27" customHeight="1" x14ac:dyDescent="0.25">
      <c r="A129" s="55" t="s">
        <v>230</v>
      </c>
      <c r="B129" s="55" t="s">
        <v>231</v>
      </c>
      <c r="C129" s="32">
        <v>4301051313</v>
      </c>
      <c r="D129" s="494">
        <v>4607091385427</v>
      </c>
      <c r="E129" s="495"/>
      <c r="F129" s="486">
        <v>0.5</v>
      </c>
      <c r="G129" s="33">
        <v>6</v>
      </c>
      <c r="H129" s="486">
        <v>3</v>
      </c>
      <c r="I129" s="486">
        <v>3.2519999999999998</v>
      </c>
      <c r="J129" s="33">
        <v>182</v>
      </c>
      <c r="K129" s="33" t="s">
        <v>69</v>
      </c>
      <c r="L129" s="33"/>
      <c r="M129" s="34" t="s">
        <v>70</v>
      </c>
      <c r="N129" s="34"/>
      <c r="O129" s="33">
        <v>40</v>
      </c>
      <c r="P12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9" s="492"/>
      <c r="R129" s="492"/>
      <c r="S129" s="492"/>
      <c r="T129" s="493"/>
      <c r="U129" s="35"/>
      <c r="V129" s="35"/>
      <c r="W129" s="36" t="s">
        <v>71</v>
      </c>
      <c r="X129" s="487">
        <v>0</v>
      </c>
      <c r="Y129" s="488">
        <f>IFERROR(IF(X129="",0,CEILING((X129/$H129),1)*$H129),"")</f>
        <v>0</v>
      </c>
      <c r="Z129" s="37" t="str">
        <f>IFERROR(IF(Y129=0,"",ROUNDUP(Y129/H129,0)*0.00651),"")</f>
        <v/>
      </c>
      <c r="AA129" s="57"/>
      <c r="AB129" s="58"/>
      <c r="AC129" s="174" t="s">
        <v>232</v>
      </c>
      <c r="AG129" s="65"/>
      <c r="AJ129" s="69"/>
      <c r="AK129" s="69">
        <v>0</v>
      </c>
      <c r="BB129" s="175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x14ac:dyDescent="0.2">
      <c r="A130" s="505"/>
      <c r="B130" s="501"/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6"/>
      <c r="P130" s="497" t="s">
        <v>88</v>
      </c>
      <c r="Q130" s="498"/>
      <c r="R130" s="498"/>
      <c r="S130" s="498"/>
      <c r="T130" s="498"/>
      <c r="U130" s="498"/>
      <c r="V130" s="499"/>
      <c r="W130" s="38" t="s">
        <v>89</v>
      </c>
      <c r="X130" s="489">
        <f>IFERROR(X128/H128,"0")+IFERROR(X129/H129,"0")</f>
        <v>0</v>
      </c>
      <c r="Y130" s="489">
        <f>IFERROR(Y128/H128,"0")+IFERROR(Y129/H129,"0")</f>
        <v>0</v>
      </c>
      <c r="Z130" s="489">
        <f>IFERROR(IF(Z128="",0,Z128),"0")+IFERROR(IF(Z129="",0,Z129),"0")</f>
        <v>0</v>
      </c>
      <c r="AA130" s="490"/>
      <c r="AB130" s="490"/>
      <c r="AC130" s="490"/>
    </row>
    <row r="131" spans="1:68" x14ac:dyDescent="0.2">
      <c r="A131" s="501"/>
      <c r="B131" s="501"/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6"/>
      <c r="P131" s="497" t="s">
        <v>88</v>
      </c>
      <c r="Q131" s="498"/>
      <c r="R131" s="498"/>
      <c r="S131" s="498"/>
      <c r="T131" s="498"/>
      <c r="U131" s="498"/>
      <c r="V131" s="499"/>
      <c r="W131" s="38" t="s">
        <v>71</v>
      </c>
      <c r="X131" s="489">
        <f>IFERROR(SUM(X128:X129),"0")</f>
        <v>0</v>
      </c>
      <c r="Y131" s="489">
        <f>IFERROR(SUM(Y128:Y129),"0")</f>
        <v>0</v>
      </c>
      <c r="Z131" s="38"/>
      <c r="AA131" s="490"/>
      <c r="AB131" s="490"/>
      <c r="AC131" s="490"/>
    </row>
    <row r="132" spans="1:68" ht="27.75" customHeight="1" x14ac:dyDescent="0.2">
      <c r="A132" s="544" t="s">
        <v>233</v>
      </c>
      <c r="B132" s="545"/>
      <c r="C132" s="545"/>
      <c r="D132" s="545"/>
      <c r="E132" s="545"/>
      <c r="F132" s="545"/>
      <c r="G132" s="545"/>
      <c r="H132" s="545"/>
      <c r="I132" s="545"/>
      <c r="J132" s="545"/>
      <c r="K132" s="545"/>
      <c r="L132" s="545"/>
      <c r="M132" s="545"/>
      <c r="N132" s="545"/>
      <c r="O132" s="545"/>
      <c r="P132" s="545"/>
      <c r="Q132" s="545"/>
      <c r="R132" s="545"/>
      <c r="S132" s="545"/>
      <c r="T132" s="545"/>
      <c r="U132" s="545"/>
      <c r="V132" s="545"/>
      <c r="W132" s="545"/>
      <c r="X132" s="545"/>
      <c r="Y132" s="545"/>
      <c r="Z132" s="545"/>
      <c r="AA132" s="49"/>
      <c r="AB132" s="49"/>
      <c r="AC132" s="49"/>
    </row>
    <row r="133" spans="1:68" ht="16.5" customHeight="1" x14ac:dyDescent="0.25">
      <c r="A133" s="500" t="s">
        <v>234</v>
      </c>
      <c r="B133" s="501"/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  <c r="X133" s="501"/>
      <c r="Y133" s="501"/>
      <c r="Z133" s="501"/>
      <c r="AA133" s="482"/>
      <c r="AB133" s="482"/>
      <c r="AC133" s="482"/>
    </row>
    <row r="134" spans="1:68" ht="14.25" customHeight="1" x14ac:dyDescent="0.25">
      <c r="A134" s="512" t="s">
        <v>213</v>
      </c>
      <c r="B134" s="501"/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  <c r="P134" s="501"/>
      <c r="Q134" s="501"/>
      <c r="R134" s="501"/>
      <c r="S134" s="501"/>
      <c r="T134" s="501"/>
      <c r="U134" s="501"/>
      <c r="V134" s="501"/>
      <c r="W134" s="501"/>
      <c r="X134" s="501"/>
      <c r="Y134" s="501"/>
      <c r="Z134" s="501"/>
      <c r="AA134" s="483"/>
      <c r="AB134" s="483"/>
      <c r="AC134" s="483"/>
    </row>
    <row r="135" spans="1:68" ht="27" customHeight="1" x14ac:dyDescent="0.25">
      <c r="A135" s="55" t="s">
        <v>235</v>
      </c>
      <c r="B135" s="55" t="s">
        <v>236</v>
      </c>
      <c r="C135" s="32">
        <v>4301031191</v>
      </c>
      <c r="D135" s="494">
        <v>4680115880993</v>
      </c>
      <c r="E135" s="495"/>
      <c r="F135" s="486">
        <v>0.7</v>
      </c>
      <c r="G135" s="33">
        <v>6</v>
      </c>
      <c r="H135" s="486">
        <v>4.2</v>
      </c>
      <c r="I135" s="486">
        <v>4.47</v>
      </c>
      <c r="J135" s="33">
        <v>132</v>
      </c>
      <c r="K135" s="33" t="s">
        <v>110</v>
      </c>
      <c r="L135" s="33"/>
      <c r="M135" s="34" t="s">
        <v>70</v>
      </c>
      <c r="N135" s="34"/>
      <c r="O135" s="33">
        <v>40</v>
      </c>
      <c r="P135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35" s="492"/>
      <c r="R135" s="492"/>
      <c r="S135" s="492"/>
      <c r="T135" s="493"/>
      <c r="U135" s="35"/>
      <c r="V135" s="35"/>
      <c r="W135" s="36" t="s">
        <v>71</v>
      </c>
      <c r="X135" s="487">
        <v>0</v>
      </c>
      <c r="Y135" s="488">
        <f t="shared" ref="Y135:Y142" si="10">IFERROR(IF(X135="",0,CEILING((X135/$H135),1)*$H135),"")</f>
        <v>0</v>
      </c>
      <c r="Z135" s="37" t="str">
        <f>IFERROR(IF(Y135=0,"",ROUNDUP(Y135/H135,0)*0.00902),"")</f>
        <v/>
      </c>
      <c r="AA135" s="57"/>
      <c r="AB135" s="58"/>
      <c r="AC135" s="176" t="s">
        <v>237</v>
      </c>
      <c r="AG135" s="65"/>
      <c r="AJ135" s="69"/>
      <c r="AK135" s="69">
        <v>0</v>
      </c>
      <c r="BB135" s="177" t="s">
        <v>1</v>
      </c>
      <c r="BM135" s="65">
        <f t="shared" ref="BM135:BM142" si="11">IFERROR(X135*I135/H135,"0")</f>
        <v>0</v>
      </c>
      <c r="BN135" s="65">
        <f t="shared" ref="BN135:BN142" si="12">IFERROR(Y135*I135/H135,"0")</f>
        <v>0</v>
      </c>
      <c r="BO135" s="65">
        <f t="shared" ref="BO135:BO142" si="13">IFERROR(1/J135*(X135/H135),"0")</f>
        <v>0</v>
      </c>
      <c r="BP135" s="65">
        <f t="shared" ref="BP135:BP142" si="14">IFERROR(1/J135*(Y135/H135),"0")</f>
        <v>0</v>
      </c>
    </row>
    <row r="136" spans="1:68" ht="27" customHeight="1" x14ac:dyDescent="0.25">
      <c r="A136" s="55" t="s">
        <v>238</v>
      </c>
      <c r="B136" s="55" t="s">
        <v>239</v>
      </c>
      <c r="C136" s="32">
        <v>4301031204</v>
      </c>
      <c r="D136" s="494">
        <v>4680115881761</v>
      </c>
      <c r="E136" s="495"/>
      <c r="F136" s="486">
        <v>0.7</v>
      </c>
      <c r="G136" s="33">
        <v>6</v>
      </c>
      <c r="H136" s="486">
        <v>4.2</v>
      </c>
      <c r="I136" s="486">
        <v>4.47</v>
      </c>
      <c r="J136" s="33">
        <v>132</v>
      </c>
      <c r="K136" s="33" t="s">
        <v>110</v>
      </c>
      <c r="L136" s="33"/>
      <c r="M136" s="34" t="s">
        <v>70</v>
      </c>
      <c r="N136" s="34"/>
      <c r="O136" s="33">
        <v>40</v>
      </c>
      <c r="P136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6" s="492"/>
      <c r="R136" s="492"/>
      <c r="S136" s="492"/>
      <c r="T136" s="493"/>
      <c r="U136" s="35"/>
      <c r="V136" s="35"/>
      <c r="W136" s="36" t="s">
        <v>71</v>
      </c>
      <c r="X136" s="487">
        <v>220</v>
      </c>
      <c r="Y136" s="488">
        <f t="shared" si="10"/>
        <v>222.60000000000002</v>
      </c>
      <c r="Z136" s="37">
        <f>IFERROR(IF(Y136=0,"",ROUNDUP(Y136/H136,0)*0.00902),"")</f>
        <v>0.47806000000000004</v>
      </c>
      <c r="AA136" s="57"/>
      <c r="AB136" s="58"/>
      <c r="AC136" s="178" t="s">
        <v>240</v>
      </c>
      <c r="AG136" s="65"/>
      <c r="AJ136" s="69"/>
      <c r="AK136" s="69">
        <v>0</v>
      </c>
      <c r="BB136" s="179" t="s">
        <v>1</v>
      </c>
      <c r="BM136" s="65">
        <f t="shared" si="11"/>
        <v>234.14285714285714</v>
      </c>
      <c r="BN136" s="65">
        <f t="shared" si="12"/>
        <v>236.91</v>
      </c>
      <c r="BO136" s="65">
        <f t="shared" si="13"/>
        <v>0.3968253968253968</v>
      </c>
      <c r="BP136" s="65">
        <f t="shared" si="14"/>
        <v>0.40151515151515155</v>
      </c>
    </row>
    <row r="137" spans="1:68" ht="27" customHeight="1" x14ac:dyDescent="0.25">
      <c r="A137" s="55" t="s">
        <v>241</v>
      </c>
      <c r="B137" s="55" t="s">
        <v>242</v>
      </c>
      <c r="C137" s="32">
        <v>4301031201</v>
      </c>
      <c r="D137" s="494">
        <v>4680115881563</v>
      </c>
      <c r="E137" s="495"/>
      <c r="F137" s="486">
        <v>0.7</v>
      </c>
      <c r="G137" s="33">
        <v>6</v>
      </c>
      <c r="H137" s="486">
        <v>4.2</v>
      </c>
      <c r="I137" s="486">
        <v>4.41</v>
      </c>
      <c r="J137" s="33">
        <v>132</v>
      </c>
      <c r="K137" s="33" t="s">
        <v>110</v>
      </c>
      <c r="L137" s="33"/>
      <c r="M137" s="34" t="s">
        <v>70</v>
      </c>
      <c r="N137" s="34"/>
      <c r="O137" s="33">
        <v>40</v>
      </c>
      <c r="P137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7" s="492"/>
      <c r="R137" s="492"/>
      <c r="S137" s="492"/>
      <c r="T137" s="493"/>
      <c r="U137" s="35"/>
      <c r="V137" s="35"/>
      <c r="W137" s="36" t="s">
        <v>71</v>
      </c>
      <c r="X137" s="487">
        <v>180</v>
      </c>
      <c r="Y137" s="488">
        <f t="shared" si="10"/>
        <v>180.6</v>
      </c>
      <c r="Z137" s="37">
        <f>IFERROR(IF(Y137=0,"",ROUNDUP(Y137/H137,0)*0.00902),"")</f>
        <v>0.38785999999999998</v>
      </c>
      <c r="AA137" s="57"/>
      <c r="AB137" s="58"/>
      <c r="AC137" s="180" t="s">
        <v>243</v>
      </c>
      <c r="AG137" s="65"/>
      <c r="AJ137" s="69"/>
      <c r="AK137" s="69">
        <v>0</v>
      </c>
      <c r="BB137" s="181" t="s">
        <v>1</v>
      </c>
      <c r="BM137" s="65">
        <f t="shared" si="11"/>
        <v>189</v>
      </c>
      <c r="BN137" s="65">
        <f t="shared" si="12"/>
        <v>189.63</v>
      </c>
      <c r="BO137" s="65">
        <f t="shared" si="13"/>
        <v>0.32467532467532467</v>
      </c>
      <c r="BP137" s="65">
        <f t="shared" si="14"/>
        <v>0.32575757575757575</v>
      </c>
    </row>
    <row r="138" spans="1:68" ht="27" customHeight="1" x14ac:dyDescent="0.25">
      <c r="A138" s="55" t="s">
        <v>244</v>
      </c>
      <c r="B138" s="55" t="s">
        <v>245</v>
      </c>
      <c r="C138" s="32">
        <v>4301031199</v>
      </c>
      <c r="D138" s="494">
        <v>4680115880986</v>
      </c>
      <c r="E138" s="495"/>
      <c r="F138" s="486">
        <v>0.35</v>
      </c>
      <c r="G138" s="33">
        <v>6</v>
      </c>
      <c r="H138" s="486">
        <v>2.1</v>
      </c>
      <c r="I138" s="486">
        <v>2.23</v>
      </c>
      <c r="J138" s="33">
        <v>234</v>
      </c>
      <c r="K138" s="33" t="s">
        <v>187</v>
      </c>
      <c r="L138" s="33"/>
      <c r="M138" s="34" t="s">
        <v>70</v>
      </c>
      <c r="N138" s="34"/>
      <c r="O138" s="33">
        <v>40</v>
      </c>
      <c r="P138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8" s="492"/>
      <c r="R138" s="492"/>
      <c r="S138" s="492"/>
      <c r="T138" s="493"/>
      <c r="U138" s="35"/>
      <c r="V138" s="35"/>
      <c r="W138" s="36" t="s">
        <v>71</v>
      </c>
      <c r="X138" s="487">
        <v>0</v>
      </c>
      <c r="Y138" s="488">
        <f t="shared" si="10"/>
        <v>0</v>
      </c>
      <c r="Z138" s="37" t="str">
        <f>IFERROR(IF(Y138=0,"",ROUNDUP(Y138/H138,0)*0.00502),"")</f>
        <v/>
      </c>
      <c r="AA138" s="57"/>
      <c r="AB138" s="58"/>
      <c r="AC138" s="182" t="s">
        <v>237</v>
      </c>
      <c r="AG138" s="65"/>
      <c r="AJ138" s="69"/>
      <c r="AK138" s="69">
        <v>0</v>
      </c>
      <c r="BB138" s="183" t="s">
        <v>1</v>
      </c>
      <c r="BM138" s="65">
        <f t="shared" si="11"/>
        <v>0</v>
      </c>
      <c r="BN138" s="65">
        <f t="shared" si="12"/>
        <v>0</v>
      </c>
      <c r="BO138" s="65">
        <f t="shared" si="13"/>
        <v>0</v>
      </c>
      <c r="BP138" s="65">
        <f t="shared" si="14"/>
        <v>0</v>
      </c>
    </row>
    <row r="139" spans="1:68" ht="27" customHeight="1" x14ac:dyDescent="0.25">
      <c r="A139" s="55" t="s">
        <v>246</v>
      </c>
      <c r="B139" s="55" t="s">
        <v>247</v>
      </c>
      <c r="C139" s="32">
        <v>4301031205</v>
      </c>
      <c r="D139" s="494">
        <v>4680115881785</v>
      </c>
      <c r="E139" s="495"/>
      <c r="F139" s="486">
        <v>0.35</v>
      </c>
      <c r="G139" s="33">
        <v>6</v>
      </c>
      <c r="H139" s="486">
        <v>2.1</v>
      </c>
      <c r="I139" s="486">
        <v>2.23</v>
      </c>
      <c r="J139" s="33">
        <v>234</v>
      </c>
      <c r="K139" s="33" t="s">
        <v>187</v>
      </c>
      <c r="L139" s="33"/>
      <c r="M139" s="34" t="s">
        <v>70</v>
      </c>
      <c r="N139" s="34"/>
      <c r="O139" s="33">
        <v>40</v>
      </c>
      <c r="P139" s="7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9" s="492"/>
      <c r="R139" s="492"/>
      <c r="S139" s="492"/>
      <c r="T139" s="493"/>
      <c r="U139" s="35"/>
      <c r="V139" s="35"/>
      <c r="W139" s="36" t="s">
        <v>71</v>
      </c>
      <c r="X139" s="487"/>
      <c r="Y139" s="488">
        <f t="shared" si="10"/>
        <v>0</v>
      </c>
      <c r="Z139" s="37" t="str">
        <f>IFERROR(IF(Y139=0,"",ROUNDUP(Y139/H139,0)*0.00502),"")</f>
        <v/>
      </c>
      <c r="AA139" s="57"/>
      <c r="AB139" s="58"/>
      <c r="AC139" s="184" t="s">
        <v>240</v>
      </c>
      <c r="AG139" s="65"/>
      <c r="AJ139" s="69"/>
      <c r="AK139" s="69">
        <v>0</v>
      </c>
      <c r="BB139" s="185" t="s">
        <v>1</v>
      </c>
      <c r="BM139" s="65">
        <f t="shared" si="11"/>
        <v>0</v>
      </c>
      <c r="BN139" s="65">
        <f t="shared" si="12"/>
        <v>0</v>
      </c>
      <c r="BO139" s="65">
        <f t="shared" si="13"/>
        <v>0</v>
      </c>
      <c r="BP139" s="65">
        <f t="shared" si="14"/>
        <v>0</v>
      </c>
    </row>
    <row r="140" spans="1:68" ht="27" customHeight="1" x14ac:dyDescent="0.25">
      <c r="A140" s="55" t="s">
        <v>248</v>
      </c>
      <c r="B140" s="55" t="s">
        <v>249</v>
      </c>
      <c r="C140" s="32">
        <v>4301031202</v>
      </c>
      <c r="D140" s="494">
        <v>4680115881679</v>
      </c>
      <c r="E140" s="495"/>
      <c r="F140" s="486">
        <v>0.35</v>
      </c>
      <c r="G140" s="33">
        <v>6</v>
      </c>
      <c r="H140" s="486">
        <v>2.1</v>
      </c>
      <c r="I140" s="486">
        <v>2.2000000000000002</v>
      </c>
      <c r="J140" s="33">
        <v>234</v>
      </c>
      <c r="K140" s="33" t="s">
        <v>187</v>
      </c>
      <c r="L140" s="33"/>
      <c r="M140" s="34" t="s">
        <v>70</v>
      </c>
      <c r="N140" s="34"/>
      <c r="O140" s="33">
        <v>40</v>
      </c>
      <c r="P140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0" s="492"/>
      <c r="R140" s="492"/>
      <c r="S140" s="492"/>
      <c r="T140" s="493"/>
      <c r="U140" s="35"/>
      <c r="V140" s="35"/>
      <c r="W140" s="36" t="s">
        <v>71</v>
      </c>
      <c r="X140" s="487">
        <v>158</v>
      </c>
      <c r="Y140" s="488">
        <f t="shared" si="10"/>
        <v>159.6</v>
      </c>
      <c r="Z140" s="37">
        <f>IFERROR(IF(Y140=0,"",ROUNDUP(Y140/H140,0)*0.00502),"")</f>
        <v>0.38152000000000003</v>
      </c>
      <c r="AA140" s="57"/>
      <c r="AB140" s="58"/>
      <c r="AC140" s="186" t="s">
        <v>243</v>
      </c>
      <c r="AG140" s="65"/>
      <c r="AJ140" s="69"/>
      <c r="AK140" s="69">
        <v>0</v>
      </c>
      <c r="BB140" s="187" t="s">
        <v>1</v>
      </c>
      <c r="BM140" s="65">
        <f t="shared" si="11"/>
        <v>165.52380952380952</v>
      </c>
      <c r="BN140" s="65">
        <f t="shared" si="12"/>
        <v>167.2</v>
      </c>
      <c r="BO140" s="65">
        <f t="shared" si="13"/>
        <v>0.32153032153032157</v>
      </c>
      <c r="BP140" s="65">
        <f t="shared" si="14"/>
        <v>0.3247863247863248</v>
      </c>
    </row>
    <row r="141" spans="1:68" ht="27" customHeight="1" x14ac:dyDescent="0.25">
      <c r="A141" s="55" t="s">
        <v>250</v>
      </c>
      <c r="B141" s="55" t="s">
        <v>251</v>
      </c>
      <c r="C141" s="32">
        <v>4301031158</v>
      </c>
      <c r="D141" s="494">
        <v>4680115880191</v>
      </c>
      <c r="E141" s="495"/>
      <c r="F141" s="486">
        <v>0.4</v>
      </c>
      <c r="G141" s="33">
        <v>6</v>
      </c>
      <c r="H141" s="486">
        <v>2.4</v>
      </c>
      <c r="I141" s="486">
        <v>2.58</v>
      </c>
      <c r="J141" s="33">
        <v>182</v>
      </c>
      <c r="K141" s="33" t="s">
        <v>69</v>
      </c>
      <c r="L141" s="33"/>
      <c r="M141" s="34" t="s">
        <v>70</v>
      </c>
      <c r="N141" s="34"/>
      <c r="O141" s="33">
        <v>40</v>
      </c>
      <c r="P141" s="6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1" s="492"/>
      <c r="R141" s="492"/>
      <c r="S141" s="492"/>
      <c r="T141" s="493"/>
      <c r="U141" s="35"/>
      <c r="V141" s="35"/>
      <c r="W141" s="36" t="s">
        <v>71</v>
      </c>
      <c r="X141" s="487">
        <v>0</v>
      </c>
      <c r="Y141" s="488">
        <f t="shared" si="10"/>
        <v>0</v>
      </c>
      <c r="Z141" s="37" t="str">
        <f>IFERROR(IF(Y141=0,"",ROUNDUP(Y141/H141,0)*0.00651),"")</f>
        <v/>
      </c>
      <c r="AA141" s="57"/>
      <c r="AB141" s="58"/>
      <c r="AC141" s="188" t="s">
        <v>243</v>
      </c>
      <c r="AG141" s="65"/>
      <c r="AJ141" s="69"/>
      <c r="AK141" s="69">
        <v>0</v>
      </c>
      <c r="BB141" s="189" t="s">
        <v>1</v>
      </c>
      <c r="BM141" s="65">
        <f t="shared" si="11"/>
        <v>0</v>
      </c>
      <c r="BN141" s="65">
        <f t="shared" si="12"/>
        <v>0</v>
      </c>
      <c r="BO141" s="65">
        <f t="shared" si="13"/>
        <v>0</v>
      </c>
      <c r="BP141" s="65">
        <f t="shared" si="14"/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4301031245</v>
      </c>
      <c r="D142" s="494">
        <v>4680115883963</v>
      </c>
      <c r="E142" s="495"/>
      <c r="F142" s="486">
        <v>0.28000000000000003</v>
      </c>
      <c r="G142" s="33">
        <v>6</v>
      </c>
      <c r="H142" s="486">
        <v>1.68</v>
      </c>
      <c r="I142" s="486">
        <v>1.78</v>
      </c>
      <c r="J142" s="33">
        <v>234</v>
      </c>
      <c r="K142" s="33" t="s">
        <v>187</v>
      </c>
      <c r="L142" s="33"/>
      <c r="M142" s="34" t="s">
        <v>70</v>
      </c>
      <c r="N142" s="34"/>
      <c r="O142" s="33">
        <v>40</v>
      </c>
      <c r="P142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42" s="492"/>
      <c r="R142" s="492"/>
      <c r="S142" s="492"/>
      <c r="T142" s="493"/>
      <c r="U142" s="35"/>
      <c r="V142" s="35"/>
      <c r="W142" s="36" t="s">
        <v>71</v>
      </c>
      <c r="X142" s="487">
        <v>0</v>
      </c>
      <c r="Y142" s="488">
        <f t="shared" si="10"/>
        <v>0</v>
      </c>
      <c r="Z142" s="37" t="str">
        <f>IFERROR(IF(Y142=0,"",ROUNDUP(Y142/H142,0)*0.00502),"")</f>
        <v/>
      </c>
      <c r="AA142" s="57"/>
      <c r="AB142" s="58"/>
      <c r="AC142" s="190" t="s">
        <v>254</v>
      </c>
      <c r="AG142" s="65"/>
      <c r="AJ142" s="69"/>
      <c r="AK142" s="69">
        <v>0</v>
      </c>
      <c r="BB142" s="191" t="s">
        <v>1</v>
      </c>
      <c r="BM142" s="65">
        <f t="shared" si="11"/>
        <v>0</v>
      </c>
      <c r="BN142" s="65">
        <f t="shared" si="12"/>
        <v>0</v>
      </c>
      <c r="BO142" s="65">
        <f t="shared" si="13"/>
        <v>0</v>
      </c>
      <c r="BP142" s="65">
        <f t="shared" si="14"/>
        <v>0</v>
      </c>
    </row>
    <row r="143" spans="1:68" x14ac:dyDescent="0.2">
      <c r="A143" s="505"/>
      <c r="B143" s="501"/>
      <c r="C143" s="501"/>
      <c r="D143" s="501"/>
      <c r="E143" s="501"/>
      <c r="F143" s="501"/>
      <c r="G143" s="501"/>
      <c r="H143" s="501"/>
      <c r="I143" s="501"/>
      <c r="J143" s="501"/>
      <c r="K143" s="501"/>
      <c r="L143" s="501"/>
      <c r="M143" s="501"/>
      <c r="N143" s="501"/>
      <c r="O143" s="506"/>
      <c r="P143" s="497" t="s">
        <v>88</v>
      </c>
      <c r="Q143" s="498"/>
      <c r="R143" s="498"/>
      <c r="S143" s="498"/>
      <c r="T143" s="498"/>
      <c r="U143" s="498"/>
      <c r="V143" s="499"/>
      <c r="W143" s="38" t="s">
        <v>89</v>
      </c>
      <c r="X143" s="489">
        <f>IFERROR(X135/H135,"0")+IFERROR(X136/H136,"0")+IFERROR(X137/H137,"0")+IFERROR(X138/H138,"0")+IFERROR(X139/H139,"0")+IFERROR(X140/H140,"0")+IFERROR(X141/H141,"0")+IFERROR(X142/H142,"0")</f>
        <v>170.47619047619048</v>
      </c>
      <c r="Y143" s="489">
        <f>IFERROR(Y135/H135,"0")+IFERROR(Y136/H136,"0")+IFERROR(Y137/H137,"0")+IFERROR(Y138/H138,"0")+IFERROR(Y139/H139,"0")+IFERROR(Y140/H140,"0")+IFERROR(Y141/H141,"0")+IFERROR(Y142/H142,"0")</f>
        <v>172</v>
      </c>
      <c r="Z143" s="489">
        <f>IFERROR(IF(Z135="",0,Z135),"0")+IFERROR(IF(Z136="",0,Z136),"0")+IFERROR(IF(Z137="",0,Z137),"0")+IFERROR(IF(Z138="",0,Z138),"0")+IFERROR(IF(Z139="",0,Z139),"0")+IFERROR(IF(Z140="",0,Z140),"0")+IFERROR(IF(Z141="",0,Z141),"0")+IFERROR(IF(Z142="",0,Z142),"0")</f>
        <v>1.2474400000000001</v>
      </c>
      <c r="AA143" s="490"/>
      <c r="AB143" s="490"/>
      <c r="AC143" s="490"/>
    </row>
    <row r="144" spans="1:68" x14ac:dyDescent="0.2">
      <c r="A144" s="501"/>
      <c r="B144" s="501"/>
      <c r="C144" s="501"/>
      <c r="D144" s="501"/>
      <c r="E144" s="501"/>
      <c r="F144" s="501"/>
      <c r="G144" s="501"/>
      <c r="H144" s="501"/>
      <c r="I144" s="501"/>
      <c r="J144" s="501"/>
      <c r="K144" s="501"/>
      <c r="L144" s="501"/>
      <c r="M144" s="501"/>
      <c r="N144" s="501"/>
      <c r="O144" s="506"/>
      <c r="P144" s="497" t="s">
        <v>88</v>
      </c>
      <c r="Q144" s="498"/>
      <c r="R144" s="498"/>
      <c r="S144" s="498"/>
      <c r="T144" s="498"/>
      <c r="U144" s="498"/>
      <c r="V144" s="499"/>
      <c r="W144" s="38" t="s">
        <v>71</v>
      </c>
      <c r="X144" s="489">
        <f>IFERROR(SUM(X135:X142),"0")</f>
        <v>558</v>
      </c>
      <c r="Y144" s="489">
        <f>IFERROR(SUM(Y135:Y142),"0")</f>
        <v>562.80000000000007</v>
      </c>
      <c r="Z144" s="38"/>
      <c r="AA144" s="490"/>
      <c r="AB144" s="490"/>
      <c r="AC144" s="490"/>
    </row>
    <row r="145" spans="1:68" ht="16.5" customHeight="1" x14ac:dyDescent="0.25">
      <c r="A145" s="500" t="s">
        <v>255</v>
      </c>
      <c r="B145" s="501"/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  <c r="T145" s="501"/>
      <c r="U145" s="501"/>
      <c r="V145" s="501"/>
      <c r="W145" s="501"/>
      <c r="X145" s="501"/>
      <c r="Y145" s="501"/>
      <c r="Z145" s="501"/>
      <c r="AA145" s="482"/>
      <c r="AB145" s="482"/>
      <c r="AC145" s="482"/>
    </row>
    <row r="146" spans="1:68" ht="14.25" customHeight="1" x14ac:dyDescent="0.25">
      <c r="A146" s="512" t="s">
        <v>98</v>
      </c>
      <c r="B146" s="501"/>
      <c r="C146" s="501"/>
      <c r="D146" s="501"/>
      <c r="E146" s="501"/>
      <c r="F146" s="501"/>
      <c r="G146" s="501"/>
      <c r="H146" s="501"/>
      <c r="I146" s="501"/>
      <c r="J146" s="501"/>
      <c r="K146" s="501"/>
      <c r="L146" s="501"/>
      <c r="M146" s="501"/>
      <c r="N146" s="501"/>
      <c r="O146" s="501"/>
      <c r="P146" s="501"/>
      <c r="Q146" s="501"/>
      <c r="R146" s="501"/>
      <c r="S146" s="501"/>
      <c r="T146" s="501"/>
      <c r="U146" s="501"/>
      <c r="V146" s="501"/>
      <c r="W146" s="501"/>
      <c r="X146" s="501"/>
      <c r="Y146" s="501"/>
      <c r="Z146" s="501"/>
      <c r="AA146" s="483"/>
      <c r="AB146" s="483"/>
      <c r="AC146" s="483"/>
    </row>
    <row r="147" spans="1:68" ht="16.5" customHeight="1" x14ac:dyDescent="0.25">
      <c r="A147" s="55" t="s">
        <v>256</v>
      </c>
      <c r="B147" s="55" t="s">
        <v>257</v>
      </c>
      <c r="C147" s="32">
        <v>4301011450</v>
      </c>
      <c r="D147" s="494">
        <v>4680115881402</v>
      </c>
      <c r="E147" s="495"/>
      <c r="F147" s="486">
        <v>1.35</v>
      </c>
      <c r="G147" s="33">
        <v>8</v>
      </c>
      <c r="H147" s="486">
        <v>10.8</v>
      </c>
      <c r="I147" s="486">
        <v>11.234999999999999</v>
      </c>
      <c r="J147" s="33">
        <v>64</v>
      </c>
      <c r="K147" s="33" t="s">
        <v>101</v>
      </c>
      <c r="L147" s="33"/>
      <c r="M147" s="34" t="s">
        <v>106</v>
      </c>
      <c r="N147" s="34"/>
      <c r="O147" s="33">
        <v>55</v>
      </c>
      <c r="P147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7" s="492"/>
      <c r="R147" s="492"/>
      <c r="S147" s="492"/>
      <c r="T147" s="493"/>
      <c r="U147" s="35"/>
      <c r="V147" s="35"/>
      <c r="W147" s="36" t="s">
        <v>71</v>
      </c>
      <c r="X147" s="487">
        <v>0</v>
      </c>
      <c r="Y147" s="488">
        <f>IFERROR(IF(X147="",0,CEILING((X147/$H147),1)*$H147),"")</f>
        <v>0</v>
      </c>
      <c r="Z147" s="37" t="str">
        <f>IFERROR(IF(Y147=0,"",ROUNDUP(Y147/H147,0)*0.01898),"")</f>
        <v/>
      </c>
      <c r="AA147" s="57"/>
      <c r="AB147" s="58"/>
      <c r="AC147" s="192" t="s">
        <v>258</v>
      </c>
      <c r="AG147" s="65"/>
      <c r="AJ147" s="69"/>
      <c r="AK147" s="69">
        <v>0</v>
      </c>
      <c r="BB147" s="193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ht="27" customHeight="1" x14ac:dyDescent="0.25">
      <c r="A148" s="55" t="s">
        <v>259</v>
      </c>
      <c r="B148" s="55" t="s">
        <v>260</v>
      </c>
      <c r="C148" s="32">
        <v>4301011768</v>
      </c>
      <c r="D148" s="494">
        <v>4680115881396</v>
      </c>
      <c r="E148" s="495"/>
      <c r="F148" s="486">
        <v>0.45</v>
      </c>
      <c r="G148" s="33">
        <v>6</v>
      </c>
      <c r="H148" s="486">
        <v>2.7</v>
      </c>
      <c r="I148" s="486">
        <v>2.88</v>
      </c>
      <c r="J148" s="33">
        <v>182</v>
      </c>
      <c r="K148" s="33" t="s">
        <v>69</v>
      </c>
      <c r="L148" s="33"/>
      <c r="M148" s="34" t="s">
        <v>106</v>
      </c>
      <c r="N148" s="34"/>
      <c r="O148" s="33">
        <v>55</v>
      </c>
      <c r="P148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8" s="492"/>
      <c r="R148" s="492"/>
      <c r="S148" s="492"/>
      <c r="T148" s="493"/>
      <c r="U148" s="35"/>
      <c r="V148" s="35"/>
      <c r="W148" s="36" t="s">
        <v>71</v>
      </c>
      <c r="X148" s="487">
        <v>0</v>
      </c>
      <c r="Y148" s="488">
        <f>IFERROR(IF(X148="",0,CEILING((X148/$H148),1)*$H148),"")</f>
        <v>0</v>
      </c>
      <c r="Z148" s="37" t="str">
        <f>IFERROR(IF(Y148=0,"",ROUNDUP(Y148/H148,0)*0.00651),"")</f>
        <v/>
      </c>
      <c r="AA148" s="57"/>
      <c r="AB148" s="58"/>
      <c r="AC148" s="194" t="s">
        <v>258</v>
      </c>
      <c r="AG148" s="65"/>
      <c r="AJ148" s="69"/>
      <c r="AK148" s="69">
        <v>0</v>
      </c>
      <c r="BB148" s="195" t="s">
        <v>1</v>
      </c>
      <c r="BM148" s="65">
        <f>IFERROR(X148*I148/H148,"0")</f>
        <v>0</v>
      </c>
      <c r="BN148" s="65">
        <f>IFERROR(Y148*I148/H148,"0")</f>
        <v>0</v>
      </c>
      <c r="BO148" s="65">
        <f>IFERROR(1/J148*(X148/H148),"0")</f>
        <v>0</v>
      </c>
      <c r="BP148" s="65">
        <f>IFERROR(1/J148*(Y148/H148),"0")</f>
        <v>0</v>
      </c>
    </row>
    <row r="149" spans="1:68" x14ac:dyDescent="0.2">
      <c r="A149" s="505"/>
      <c r="B149" s="501"/>
      <c r="C149" s="501"/>
      <c r="D149" s="501"/>
      <c r="E149" s="501"/>
      <c r="F149" s="501"/>
      <c r="G149" s="501"/>
      <c r="H149" s="501"/>
      <c r="I149" s="501"/>
      <c r="J149" s="501"/>
      <c r="K149" s="501"/>
      <c r="L149" s="501"/>
      <c r="M149" s="501"/>
      <c r="N149" s="501"/>
      <c r="O149" s="506"/>
      <c r="P149" s="497" t="s">
        <v>88</v>
      </c>
      <c r="Q149" s="498"/>
      <c r="R149" s="498"/>
      <c r="S149" s="498"/>
      <c r="T149" s="498"/>
      <c r="U149" s="498"/>
      <c r="V149" s="499"/>
      <c r="W149" s="38" t="s">
        <v>89</v>
      </c>
      <c r="X149" s="489">
        <f>IFERROR(X147/H147,"0")+IFERROR(X148/H148,"0")</f>
        <v>0</v>
      </c>
      <c r="Y149" s="489">
        <f>IFERROR(Y147/H147,"0")+IFERROR(Y148/H148,"0")</f>
        <v>0</v>
      </c>
      <c r="Z149" s="489">
        <f>IFERROR(IF(Z147="",0,Z147),"0")+IFERROR(IF(Z148="",0,Z148),"0")</f>
        <v>0</v>
      </c>
      <c r="AA149" s="490"/>
      <c r="AB149" s="490"/>
      <c r="AC149" s="490"/>
    </row>
    <row r="150" spans="1:68" x14ac:dyDescent="0.2">
      <c r="A150" s="501"/>
      <c r="B150" s="501"/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1"/>
      <c r="O150" s="506"/>
      <c r="P150" s="497" t="s">
        <v>88</v>
      </c>
      <c r="Q150" s="498"/>
      <c r="R150" s="498"/>
      <c r="S150" s="498"/>
      <c r="T150" s="498"/>
      <c r="U150" s="498"/>
      <c r="V150" s="499"/>
      <c r="W150" s="38" t="s">
        <v>71</v>
      </c>
      <c r="X150" s="489">
        <f>IFERROR(SUM(X147:X148),"0")</f>
        <v>0</v>
      </c>
      <c r="Y150" s="489">
        <f>IFERROR(SUM(Y147:Y148),"0")</f>
        <v>0</v>
      </c>
      <c r="Z150" s="38"/>
      <c r="AA150" s="490"/>
      <c r="AB150" s="490"/>
      <c r="AC150" s="490"/>
    </row>
    <row r="151" spans="1:68" ht="14.25" customHeight="1" x14ac:dyDescent="0.25">
      <c r="A151" s="512" t="s">
        <v>137</v>
      </c>
      <c r="B151" s="501"/>
      <c r="C151" s="501"/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  <c r="P151" s="501"/>
      <c r="Q151" s="501"/>
      <c r="R151" s="501"/>
      <c r="S151" s="501"/>
      <c r="T151" s="501"/>
      <c r="U151" s="501"/>
      <c r="V151" s="501"/>
      <c r="W151" s="501"/>
      <c r="X151" s="501"/>
      <c r="Y151" s="501"/>
      <c r="Z151" s="501"/>
      <c r="AA151" s="483"/>
      <c r="AB151" s="483"/>
      <c r="AC151" s="483"/>
    </row>
    <row r="152" spans="1:68" ht="16.5" customHeight="1" x14ac:dyDescent="0.25">
      <c r="A152" s="55" t="s">
        <v>261</v>
      </c>
      <c r="B152" s="55" t="s">
        <v>262</v>
      </c>
      <c r="C152" s="32">
        <v>4301020262</v>
      </c>
      <c r="D152" s="494">
        <v>4680115882935</v>
      </c>
      <c r="E152" s="495"/>
      <c r="F152" s="486">
        <v>1.35</v>
      </c>
      <c r="G152" s="33">
        <v>8</v>
      </c>
      <c r="H152" s="486">
        <v>10.8</v>
      </c>
      <c r="I152" s="486">
        <v>11.234999999999999</v>
      </c>
      <c r="J152" s="33">
        <v>64</v>
      </c>
      <c r="K152" s="33" t="s">
        <v>101</v>
      </c>
      <c r="L152" s="33"/>
      <c r="M152" s="34" t="s">
        <v>102</v>
      </c>
      <c r="N152" s="34"/>
      <c r="O152" s="33">
        <v>50</v>
      </c>
      <c r="P152" s="5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52" s="492"/>
      <c r="R152" s="492"/>
      <c r="S152" s="492"/>
      <c r="T152" s="493"/>
      <c r="U152" s="35"/>
      <c r="V152" s="35"/>
      <c r="W152" s="36" t="s">
        <v>71</v>
      </c>
      <c r="X152" s="487">
        <v>90</v>
      </c>
      <c r="Y152" s="488">
        <f>IFERROR(IF(X152="",0,CEILING((X152/$H152),1)*$H152),"")</f>
        <v>97.2</v>
      </c>
      <c r="Z152" s="37">
        <f>IFERROR(IF(Y152=0,"",ROUNDUP(Y152/H152,0)*0.01898),"")</f>
        <v>0.17082</v>
      </c>
      <c r="AA152" s="57"/>
      <c r="AB152" s="58"/>
      <c r="AC152" s="196" t="s">
        <v>263</v>
      </c>
      <c r="AG152" s="65"/>
      <c r="AJ152" s="69"/>
      <c r="AK152" s="69">
        <v>0</v>
      </c>
      <c r="BB152" s="197" t="s">
        <v>1</v>
      </c>
      <c r="BM152" s="65">
        <f>IFERROR(X152*I152/H152,"0")</f>
        <v>93.624999999999986</v>
      </c>
      <c r="BN152" s="65">
        <f>IFERROR(Y152*I152/H152,"0")</f>
        <v>101.11499999999998</v>
      </c>
      <c r="BO152" s="65">
        <f>IFERROR(1/J152*(X152/H152),"0")</f>
        <v>0.13020833333333331</v>
      </c>
      <c r="BP152" s="65">
        <f>IFERROR(1/J152*(Y152/H152),"0")</f>
        <v>0.140625</v>
      </c>
    </row>
    <row r="153" spans="1:68" ht="16.5" customHeight="1" x14ac:dyDescent="0.25">
      <c r="A153" s="55" t="s">
        <v>264</v>
      </c>
      <c r="B153" s="55" t="s">
        <v>265</v>
      </c>
      <c r="C153" s="32">
        <v>4301020220</v>
      </c>
      <c r="D153" s="494">
        <v>4680115880764</v>
      </c>
      <c r="E153" s="495"/>
      <c r="F153" s="486">
        <v>0.35</v>
      </c>
      <c r="G153" s="33">
        <v>6</v>
      </c>
      <c r="H153" s="486">
        <v>2.1</v>
      </c>
      <c r="I153" s="486">
        <v>2.2799999999999998</v>
      </c>
      <c r="J153" s="33">
        <v>182</v>
      </c>
      <c r="K153" s="33" t="s">
        <v>69</v>
      </c>
      <c r="L153" s="33"/>
      <c r="M153" s="34" t="s">
        <v>106</v>
      </c>
      <c r="N153" s="34"/>
      <c r="O153" s="33">
        <v>50</v>
      </c>
      <c r="P153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53" s="492"/>
      <c r="R153" s="492"/>
      <c r="S153" s="492"/>
      <c r="T153" s="493"/>
      <c r="U153" s="35"/>
      <c r="V153" s="35"/>
      <c r="W153" s="36" t="s">
        <v>71</v>
      </c>
      <c r="X153" s="487">
        <v>0</v>
      </c>
      <c r="Y153" s="488">
        <f>IFERROR(IF(X153="",0,CEILING((X153/$H153),1)*$H153),"")</f>
        <v>0</v>
      </c>
      <c r="Z153" s="37" t="str">
        <f>IFERROR(IF(Y153=0,"",ROUNDUP(Y153/H153,0)*0.00651),"")</f>
        <v/>
      </c>
      <c r="AA153" s="57"/>
      <c r="AB153" s="58"/>
      <c r="AC153" s="198" t="s">
        <v>263</v>
      </c>
      <c r="AG153" s="65"/>
      <c r="AJ153" s="69"/>
      <c r="AK153" s="69">
        <v>0</v>
      </c>
      <c r="BB153" s="199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x14ac:dyDescent="0.2">
      <c r="A154" s="505"/>
      <c r="B154" s="501"/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1"/>
      <c r="O154" s="506"/>
      <c r="P154" s="497" t="s">
        <v>88</v>
      </c>
      <c r="Q154" s="498"/>
      <c r="R154" s="498"/>
      <c r="S154" s="498"/>
      <c r="T154" s="498"/>
      <c r="U154" s="498"/>
      <c r="V154" s="499"/>
      <c r="W154" s="38" t="s">
        <v>89</v>
      </c>
      <c r="X154" s="489">
        <f>IFERROR(X152/H152,"0")+IFERROR(X153/H153,"0")</f>
        <v>8.3333333333333321</v>
      </c>
      <c r="Y154" s="489">
        <f>IFERROR(Y152/H152,"0")+IFERROR(Y153/H153,"0")</f>
        <v>9</v>
      </c>
      <c r="Z154" s="489">
        <f>IFERROR(IF(Z152="",0,Z152),"0")+IFERROR(IF(Z153="",0,Z153),"0")</f>
        <v>0.17082</v>
      </c>
      <c r="AA154" s="490"/>
      <c r="AB154" s="490"/>
      <c r="AC154" s="490"/>
    </row>
    <row r="155" spans="1:68" x14ac:dyDescent="0.2">
      <c r="A155" s="501"/>
      <c r="B155" s="501"/>
      <c r="C155" s="501"/>
      <c r="D155" s="501"/>
      <c r="E155" s="501"/>
      <c r="F155" s="501"/>
      <c r="G155" s="501"/>
      <c r="H155" s="501"/>
      <c r="I155" s="501"/>
      <c r="J155" s="501"/>
      <c r="K155" s="501"/>
      <c r="L155" s="501"/>
      <c r="M155" s="501"/>
      <c r="N155" s="501"/>
      <c r="O155" s="506"/>
      <c r="P155" s="497" t="s">
        <v>88</v>
      </c>
      <c r="Q155" s="498"/>
      <c r="R155" s="498"/>
      <c r="S155" s="498"/>
      <c r="T155" s="498"/>
      <c r="U155" s="498"/>
      <c r="V155" s="499"/>
      <c r="W155" s="38" t="s">
        <v>71</v>
      </c>
      <c r="X155" s="489">
        <f>IFERROR(SUM(X152:X153),"0")</f>
        <v>90</v>
      </c>
      <c r="Y155" s="489">
        <f>IFERROR(SUM(Y152:Y153),"0")</f>
        <v>97.2</v>
      </c>
      <c r="Z155" s="38"/>
      <c r="AA155" s="490"/>
      <c r="AB155" s="490"/>
      <c r="AC155" s="490"/>
    </row>
    <row r="156" spans="1:68" ht="14.25" customHeight="1" x14ac:dyDescent="0.25">
      <c r="A156" s="512" t="s">
        <v>213</v>
      </c>
      <c r="B156" s="501"/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  <c r="T156" s="501"/>
      <c r="U156" s="501"/>
      <c r="V156" s="501"/>
      <c r="W156" s="501"/>
      <c r="X156" s="501"/>
      <c r="Y156" s="501"/>
      <c r="Z156" s="501"/>
      <c r="AA156" s="483"/>
      <c r="AB156" s="483"/>
      <c r="AC156" s="483"/>
    </row>
    <row r="157" spans="1:68" ht="27" customHeight="1" x14ac:dyDescent="0.25">
      <c r="A157" s="55" t="s">
        <v>266</v>
      </c>
      <c r="B157" s="55" t="s">
        <v>267</v>
      </c>
      <c r="C157" s="32">
        <v>4301031224</v>
      </c>
      <c r="D157" s="494">
        <v>4680115882683</v>
      </c>
      <c r="E157" s="495"/>
      <c r="F157" s="486">
        <v>0.9</v>
      </c>
      <c r="G157" s="33">
        <v>6</v>
      </c>
      <c r="H157" s="486">
        <v>5.4</v>
      </c>
      <c r="I157" s="486">
        <v>5.61</v>
      </c>
      <c r="J157" s="33">
        <v>132</v>
      </c>
      <c r="K157" s="33" t="s">
        <v>110</v>
      </c>
      <c r="L157" s="33"/>
      <c r="M157" s="34" t="s">
        <v>70</v>
      </c>
      <c r="N157" s="34"/>
      <c r="O157" s="33">
        <v>40</v>
      </c>
      <c r="P157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7" s="492"/>
      <c r="R157" s="492"/>
      <c r="S157" s="492"/>
      <c r="T157" s="493"/>
      <c r="U157" s="35"/>
      <c r="V157" s="35"/>
      <c r="W157" s="36" t="s">
        <v>71</v>
      </c>
      <c r="X157" s="487">
        <v>200</v>
      </c>
      <c r="Y157" s="488">
        <f>IFERROR(IF(X157="",0,CEILING((X157/$H157),1)*$H157),"")</f>
        <v>205.20000000000002</v>
      </c>
      <c r="Z157" s="37">
        <f>IFERROR(IF(Y157=0,"",ROUNDUP(Y157/H157,0)*0.00902),"")</f>
        <v>0.34276000000000001</v>
      </c>
      <c r="AA157" s="57"/>
      <c r="AB157" s="58"/>
      <c r="AC157" s="200" t="s">
        <v>268</v>
      </c>
      <c r="AG157" s="65"/>
      <c r="AJ157" s="69"/>
      <c r="AK157" s="69">
        <v>0</v>
      </c>
      <c r="BB157" s="201" t="s">
        <v>1</v>
      </c>
      <c r="BM157" s="65">
        <f>IFERROR(X157*I157/H157,"0")</f>
        <v>207.77777777777777</v>
      </c>
      <c r="BN157" s="65">
        <f>IFERROR(Y157*I157/H157,"0")</f>
        <v>213.18000000000004</v>
      </c>
      <c r="BO157" s="65">
        <f>IFERROR(1/J157*(X157/H157),"0")</f>
        <v>0.28058361391694725</v>
      </c>
      <c r="BP157" s="65">
        <f>IFERROR(1/J157*(Y157/H157),"0")</f>
        <v>0.2878787878787879</v>
      </c>
    </row>
    <row r="158" spans="1:68" ht="27" customHeight="1" x14ac:dyDescent="0.25">
      <c r="A158" s="55" t="s">
        <v>269</v>
      </c>
      <c r="B158" s="55" t="s">
        <v>270</v>
      </c>
      <c r="C158" s="32">
        <v>4301031230</v>
      </c>
      <c r="D158" s="494">
        <v>4680115882690</v>
      </c>
      <c r="E158" s="495"/>
      <c r="F158" s="486">
        <v>0.9</v>
      </c>
      <c r="G158" s="33">
        <v>6</v>
      </c>
      <c r="H158" s="486">
        <v>5.4</v>
      </c>
      <c r="I158" s="486">
        <v>5.61</v>
      </c>
      <c r="J158" s="33">
        <v>132</v>
      </c>
      <c r="K158" s="33" t="s">
        <v>110</v>
      </c>
      <c r="L158" s="33"/>
      <c r="M158" s="34" t="s">
        <v>70</v>
      </c>
      <c r="N158" s="34"/>
      <c r="O158" s="33">
        <v>40</v>
      </c>
      <c r="P158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8" s="492"/>
      <c r="R158" s="492"/>
      <c r="S158" s="492"/>
      <c r="T158" s="493"/>
      <c r="U158" s="35"/>
      <c r="V158" s="35"/>
      <c r="W158" s="36" t="s">
        <v>71</v>
      </c>
      <c r="X158" s="487">
        <v>0</v>
      </c>
      <c r="Y158" s="488">
        <f>IFERROR(IF(X158="",0,CEILING((X158/$H158),1)*$H158),"")</f>
        <v>0</v>
      </c>
      <c r="Z158" s="37" t="str">
        <f>IFERROR(IF(Y158=0,"",ROUNDUP(Y158/H158,0)*0.00902),"")</f>
        <v/>
      </c>
      <c r="AA158" s="57"/>
      <c r="AB158" s="58"/>
      <c r="AC158" s="202" t="s">
        <v>271</v>
      </c>
      <c r="AG158" s="65"/>
      <c r="AJ158" s="69"/>
      <c r="AK158" s="69">
        <v>0</v>
      </c>
      <c r="BB158" s="203" t="s">
        <v>1</v>
      </c>
      <c r="BM158" s="65">
        <f>IFERROR(X158*I158/H158,"0")</f>
        <v>0</v>
      </c>
      <c r="BN158" s="65">
        <f>IFERROR(Y158*I158/H158,"0")</f>
        <v>0</v>
      </c>
      <c r="BO158" s="65">
        <f>IFERROR(1/J158*(X158/H158),"0")</f>
        <v>0</v>
      </c>
      <c r="BP158" s="65">
        <f>IFERROR(1/J158*(Y158/H158),"0")</f>
        <v>0</v>
      </c>
    </row>
    <row r="159" spans="1:68" ht="27" customHeight="1" x14ac:dyDescent="0.25">
      <c r="A159" s="55" t="s">
        <v>272</v>
      </c>
      <c r="B159" s="55" t="s">
        <v>273</v>
      </c>
      <c r="C159" s="32">
        <v>4301031220</v>
      </c>
      <c r="D159" s="494">
        <v>4680115882669</v>
      </c>
      <c r="E159" s="495"/>
      <c r="F159" s="486">
        <v>0.9</v>
      </c>
      <c r="G159" s="33">
        <v>6</v>
      </c>
      <c r="H159" s="486">
        <v>5.4</v>
      </c>
      <c r="I159" s="486">
        <v>5.61</v>
      </c>
      <c r="J159" s="33">
        <v>132</v>
      </c>
      <c r="K159" s="33" t="s">
        <v>110</v>
      </c>
      <c r="L159" s="33"/>
      <c r="M159" s="34" t="s">
        <v>70</v>
      </c>
      <c r="N159" s="34"/>
      <c r="O159" s="33">
        <v>40</v>
      </c>
      <c r="P159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9" s="492"/>
      <c r="R159" s="492"/>
      <c r="S159" s="492"/>
      <c r="T159" s="493"/>
      <c r="U159" s="35"/>
      <c r="V159" s="35"/>
      <c r="W159" s="36" t="s">
        <v>71</v>
      </c>
      <c r="X159" s="487">
        <v>0</v>
      </c>
      <c r="Y159" s="488">
        <f>IFERROR(IF(X159="",0,CEILING((X159/$H159),1)*$H159),"")</f>
        <v>0</v>
      </c>
      <c r="Z159" s="37" t="str">
        <f>IFERROR(IF(Y159=0,"",ROUNDUP(Y159/H159,0)*0.00902),"")</f>
        <v/>
      </c>
      <c r="AA159" s="57"/>
      <c r="AB159" s="58"/>
      <c r="AC159" s="204" t="s">
        <v>274</v>
      </c>
      <c r="AG159" s="65"/>
      <c r="AJ159" s="69"/>
      <c r="AK159" s="69">
        <v>0</v>
      </c>
      <c r="BB159" s="205" t="s">
        <v>1</v>
      </c>
      <c r="BM159" s="65">
        <f>IFERROR(X159*I159/H159,"0")</f>
        <v>0</v>
      </c>
      <c r="BN159" s="65">
        <f>IFERROR(Y159*I159/H159,"0")</f>
        <v>0</v>
      </c>
      <c r="BO159" s="65">
        <f>IFERROR(1/J159*(X159/H159),"0")</f>
        <v>0</v>
      </c>
      <c r="BP159" s="65">
        <f>IFERROR(1/J159*(Y159/H159),"0")</f>
        <v>0</v>
      </c>
    </row>
    <row r="160" spans="1:68" ht="27" customHeight="1" x14ac:dyDescent="0.25">
      <c r="A160" s="55" t="s">
        <v>275</v>
      </c>
      <c r="B160" s="55" t="s">
        <v>276</v>
      </c>
      <c r="C160" s="32">
        <v>4301031221</v>
      </c>
      <c r="D160" s="494">
        <v>4680115882676</v>
      </c>
      <c r="E160" s="495"/>
      <c r="F160" s="486">
        <v>0.9</v>
      </c>
      <c r="G160" s="33">
        <v>6</v>
      </c>
      <c r="H160" s="486">
        <v>5.4</v>
      </c>
      <c r="I160" s="486">
        <v>5.61</v>
      </c>
      <c r="J160" s="33">
        <v>132</v>
      </c>
      <c r="K160" s="33" t="s">
        <v>110</v>
      </c>
      <c r="L160" s="33"/>
      <c r="M160" s="34" t="s">
        <v>70</v>
      </c>
      <c r="N160" s="34"/>
      <c r="O160" s="33">
        <v>40</v>
      </c>
      <c r="P160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60" s="492"/>
      <c r="R160" s="492"/>
      <c r="S160" s="492"/>
      <c r="T160" s="493"/>
      <c r="U160" s="35"/>
      <c r="V160" s="35"/>
      <c r="W160" s="36" t="s">
        <v>71</v>
      </c>
      <c r="X160" s="487">
        <v>0</v>
      </c>
      <c r="Y160" s="488">
        <f>IFERROR(IF(X160="",0,CEILING((X160/$H160),1)*$H160),"")</f>
        <v>0</v>
      </c>
      <c r="Z160" s="37" t="str">
        <f>IFERROR(IF(Y160=0,"",ROUNDUP(Y160/H160,0)*0.00902),"")</f>
        <v/>
      </c>
      <c r="AA160" s="57"/>
      <c r="AB160" s="58"/>
      <c r="AC160" s="206" t="s">
        <v>277</v>
      </c>
      <c r="AG160" s="65"/>
      <c r="AJ160" s="69"/>
      <c r="AK160" s="69">
        <v>0</v>
      </c>
      <c r="BB160" s="207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505"/>
      <c r="B161" s="501"/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  <c r="N161" s="501"/>
      <c r="O161" s="506"/>
      <c r="P161" s="497" t="s">
        <v>88</v>
      </c>
      <c r="Q161" s="498"/>
      <c r="R161" s="498"/>
      <c r="S161" s="498"/>
      <c r="T161" s="498"/>
      <c r="U161" s="498"/>
      <c r="V161" s="499"/>
      <c r="W161" s="38" t="s">
        <v>89</v>
      </c>
      <c r="X161" s="489">
        <f>IFERROR(X157/H157,"0")+IFERROR(X158/H158,"0")+IFERROR(X159/H159,"0")+IFERROR(X160/H160,"0")</f>
        <v>37.037037037037038</v>
      </c>
      <c r="Y161" s="489">
        <f>IFERROR(Y157/H157,"0")+IFERROR(Y158/H158,"0")+IFERROR(Y159/H159,"0")+IFERROR(Y160/H160,"0")</f>
        <v>38</v>
      </c>
      <c r="Z161" s="489">
        <f>IFERROR(IF(Z157="",0,Z157),"0")+IFERROR(IF(Z158="",0,Z158),"0")+IFERROR(IF(Z159="",0,Z159),"0")+IFERROR(IF(Z160="",0,Z160),"0")</f>
        <v>0.34276000000000001</v>
      </c>
      <c r="AA161" s="490"/>
      <c r="AB161" s="490"/>
      <c r="AC161" s="490"/>
    </row>
    <row r="162" spans="1:68" x14ac:dyDescent="0.2">
      <c r="A162" s="501"/>
      <c r="B162" s="501"/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6"/>
      <c r="P162" s="497" t="s">
        <v>88</v>
      </c>
      <c r="Q162" s="498"/>
      <c r="R162" s="498"/>
      <c r="S162" s="498"/>
      <c r="T162" s="498"/>
      <c r="U162" s="498"/>
      <c r="V162" s="499"/>
      <c r="W162" s="38" t="s">
        <v>71</v>
      </c>
      <c r="X162" s="489">
        <f>IFERROR(SUM(X157:X160),"0")</f>
        <v>200</v>
      </c>
      <c r="Y162" s="489">
        <f>IFERROR(SUM(Y157:Y160),"0")</f>
        <v>205.20000000000002</v>
      </c>
      <c r="Z162" s="38"/>
      <c r="AA162" s="490"/>
      <c r="AB162" s="490"/>
      <c r="AC162" s="490"/>
    </row>
    <row r="163" spans="1:68" ht="14.25" customHeight="1" x14ac:dyDescent="0.25">
      <c r="A163" s="512" t="s">
        <v>66</v>
      </c>
      <c r="B163" s="501"/>
      <c r="C163" s="501"/>
      <c r="D163" s="501"/>
      <c r="E163" s="501"/>
      <c r="F163" s="501"/>
      <c r="G163" s="501"/>
      <c r="H163" s="501"/>
      <c r="I163" s="501"/>
      <c r="J163" s="501"/>
      <c r="K163" s="501"/>
      <c r="L163" s="501"/>
      <c r="M163" s="501"/>
      <c r="N163" s="501"/>
      <c r="O163" s="501"/>
      <c r="P163" s="501"/>
      <c r="Q163" s="501"/>
      <c r="R163" s="501"/>
      <c r="S163" s="501"/>
      <c r="T163" s="501"/>
      <c r="U163" s="501"/>
      <c r="V163" s="501"/>
      <c r="W163" s="501"/>
      <c r="X163" s="501"/>
      <c r="Y163" s="501"/>
      <c r="Z163" s="501"/>
      <c r="AA163" s="483"/>
      <c r="AB163" s="483"/>
      <c r="AC163" s="483"/>
    </row>
    <row r="164" spans="1:68" ht="37.5" customHeight="1" x14ac:dyDescent="0.25">
      <c r="A164" s="55" t="s">
        <v>278</v>
      </c>
      <c r="B164" s="55" t="s">
        <v>279</v>
      </c>
      <c r="C164" s="32">
        <v>4301051408</v>
      </c>
      <c r="D164" s="494">
        <v>4680115881594</v>
      </c>
      <c r="E164" s="495"/>
      <c r="F164" s="486">
        <v>1.35</v>
      </c>
      <c r="G164" s="33">
        <v>6</v>
      </c>
      <c r="H164" s="486">
        <v>8.1</v>
      </c>
      <c r="I164" s="486">
        <v>8.6189999999999998</v>
      </c>
      <c r="J164" s="33">
        <v>64</v>
      </c>
      <c r="K164" s="33" t="s">
        <v>101</v>
      </c>
      <c r="L164" s="33"/>
      <c r="M164" s="34" t="s">
        <v>102</v>
      </c>
      <c r="N164" s="34"/>
      <c r="O164" s="33">
        <v>40</v>
      </c>
      <c r="P16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64" s="492"/>
      <c r="R164" s="492"/>
      <c r="S164" s="492"/>
      <c r="T164" s="493"/>
      <c r="U164" s="35"/>
      <c r="V164" s="35"/>
      <c r="W164" s="36" t="s">
        <v>71</v>
      </c>
      <c r="X164" s="487">
        <v>0</v>
      </c>
      <c r="Y164" s="488">
        <f t="shared" ref="Y164:Y171" si="15">IFERROR(IF(X164="",0,CEILING((X164/$H164),1)*$H164),"")</f>
        <v>0</v>
      </c>
      <c r="Z164" s="37" t="str">
        <f>IFERROR(IF(Y164=0,"",ROUNDUP(Y164/H164,0)*0.01898),"")</f>
        <v/>
      </c>
      <c r="AA164" s="57"/>
      <c r="AB164" s="58"/>
      <c r="AC164" s="208" t="s">
        <v>280</v>
      </c>
      <c r="AG164" s="65"/>
      <c r="AJ164" s="69"/>
      <c r="AK164" s="69">
        <v>0</v>
      </c>
      <c r="BB164" s="209" t="s">
        <v>1</v>
      </c>
      <c r="BM164" s="65">
        <f t="shared" ref="BM164:BM171" si="16">IFERROR(X164*I164/H164,"0")</f>
        <v>0</v>
      </c>
      <c r="BN164" s="65">
        <f t="shared" ref="BN164:BN171" si="17">IFERROR(Y164*I164/H164,"0")</f>
        <v>0</v>
      </c>
      <c r="BO164" s="65">
        <f t="shared" ref="BO164:BO171" si="18">IFERROR(1/J164*(X164/H164),"0")</f>
        <v>0</v>
      </c>
      <c r="BP164" s="65">
        <f t="shared" ref="BP164:BP171" si="19">IFERROR(1/J164*(Y164/H164),"0")</f>
        <v>0</v>
      </c>
    </row>
    <row r="165" spans="1:68" ht="37.5" customHeight="1" x14ac:dyDescent="0.25">
      <c r="A165" s="55" t="s">
        <v>281</v>
      </c>
      <c r="B165" s="55" t="s">
        <v>282</v>
      </c>
      <c r="C165" s="32">
        <v>4301051411</v>
      </c>
      <c r="D165" s="494">
        <v>4680115881617</v>
      </c>
      <c r="E165" s="495"/>
      <c r="F165" s="486">
        <v>1.35</v>
      </c>
      <c r="G165" s="33">
        <v>6</v>
      </c>
      <c r="H165" s="486">
        <v>8.1</v>
      </c>
      <c r="I165" s="486">
        <v>8.6010000000000009</v>
      </c>
      <c r="J165" s="33">
        <v>64</v>
      </c>
      <c r="K165" s="33" t="s">
        <v>101</v>
      </c>
      <c r="L165" s="33"/>
      <c r="M165" s="34" t="s">
        <v>102</v>
      </c>
      <c r="N165" s="34"/>
      <c r="O165" s="33">
        <v>40</v>
      </c>
      <c r="P165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65" s="492"/>
      <c r="R165" s="492"/>
      <c r="S165" s="492"/>
      <c r="T165" s="493"/>
      <c r="U165" s="35"/>
      <c r="V165" s="35"/>
      <c r="W165" s="36" t="s">
        <v>71</v>
      </c>
      <c r="X165" s="487">
        <v>220</v>
      </c>
      <c r="Y165" s="488">
        <f t="shared" si="15"/>
        <v>226.79999999999998</v>
      </c>
      <c r="Z165" s="37">
        <f>IFERROR(IF(Y165=0,"",ROUNDUP(Y165/H165,0)*0.01898),"")</f>
        <v>0.53144000000000002</v>
      </c>
      <c r="AA165" s="57"/>
      <c r="AB165" s="58"/>
      <c r="AC165" s="210" t="s">
        <v>283</v>
      </c>
      <c r="AG165" s="65"/>
      <c r="AJ165" s="69"/>
      <c r="AK165" s="69">
        <v>0</v>
      </c>
      <c r="BB165" s="211" t="s">
        <v>1</v>
      </c>
      <c r="BM165" s="65">
        <f t="shared" si="16"/>
        <v>233.60740740740744</v>
      </c>
      <c r="BN165" s="65">
        <f t="shared" si="17"/>
        <v>240.82800000000003</v>
      </c>
      <c r="BO165" s="65">
        <f t="shared" si="18"/>
        <v>0.42438271604938271</v>
      </c>
      <c r="BP165" s="65">
        <f t="shared" si="19"/>
        <v>0.4375</v>
      </c>
    </row>
    <row r="166" spans="1:68" ht="27" customHeight="1" x14ac:dyDescent="0.25">
      <c r="A166" s="55" t="s">
        <v>284</v>
      </c>
      <c r="B166" s="55" t="s">
        <v>285</v>
      </c>
      <c r="C166" s="32">
        <v>4301051632</v>
      </c>
      <c r="D166" s="494">
        <v>4680115880573</v>
      </c>
      <c r="E166" s="495"/>
      <c r="F166" s="486">
        <v>1.45</v>
      </c>
      <c r="G166" s="33">
        <v>6</v>
      </c>
      <c r="H166" s="486">
        <v>8.6999999999999993</v>
      </c>
      <c r="I166" s="486">
        <v>9.2189999999999994</v>
      </c>
      <c r="J166" s="33">
        <v>64</v>
      </c>
      <c r="K166" s="33" t="s">
        <v>101</v>
      </c>
      <c r="L166" s="33"/>
      <c r="M166" s="34" t="s">
        <v>70</v>
      </c>
      <c r="N166" s="34"/>
      <c r="O166" s="33">
        <v>45</v>
      </c>
      <c r="P166" s="5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6" s="492"/>
      <c r="R166" s="492"/>
      <c r="S166" s="492"/>
      <c r="T166" s="493"/>
      <c r="U166" s="35"/>
      <c r="V166" s="35"/>
      <c r="W166" s="36" t="s">
        <v>71</v>
      </c>
      <c r="X166" s="487">
        <v>350</v>
      </c>
      <c r="Y166" s="488">
        <f t="shared" si="15"/>
        <v>356.7</v>
      </c>
      <c r="Z166" s="37">
        <f>IFERROR(IF(Y166=0,"",ROUNDUP(Y166/H166,0)*0.01898),"")</f>
        <v>0.77817999999999998</v>
      </c>
      <c r="AA166" s="57"/>
      <c r="AB166" s="58"/>
      <c r="AC166" s="212" t="s">
        <v>286</v>
      </c>
      <c r="AG166" s="65"/>
      <c r="AJ166" s="69"/>
      <c r="AK166" s="69">
        <v>0</v>
      </c>
      <c r="BB166" s="213" t="s">
        <v>1</v>
      </c>
      <c r="BM166" s="65">
        <f t="shared" si="16"/>
        <v>370.87931034482756</v>
      </c>
      <c r="BN166" s="65">
        <f t="shared" si="17"/>
        <v>377.97899999999998</v>
      </c>
      <c r="BO166" s="65">
        <f t="shared" si="18"/>
        <v>0.62859195402298851</v>
      </c>
      <c r="BP166" s="65">
        <f t="shared" si="19"/>
        <v>0.640625</v>
      </c>
    </row>
    <row r="167" spans="1:68" ht="37.5" customHeight="1" x14ac:dyDescent="0.25">
      <c r="A167" s="55" t="s">
        <v>287</v>
      </c>
      <c r="B167" s="55" t="s">
        <v>288</v>
      </c>
      <c r="C167" s="32">
        <v>4301051407</v>
      </c>
      <c r="D167" s="494">
        <v>4680115882195</v>
      </c>
      <c r="E167" s="495"/>
      <c r="F167" s="486">
        <v>0.4</v>
      </c>
      <c r="G167" s="33">
        <v>6</v>
      </c>
      <c r="H167" s="486">
        <v>2.4</v>
      </c>
      <c r="I167" s="486">
        <v>2.67</v>
      </c>
      <c r="J167" s="33">
        <v>182</v>
      </c>
      <c r="K167" s="33" t="s">
        <v>69</v>
      </c>
      <c r="L167" s="33"/>
      <c r="M167" s="34" t="s">
        <v>102</v>
      </c>
      <c r="N167" s="34"/>
      <c r="O167" s="33">
        <v>40</v>
      </c>
      <c r="P167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7" s="492"/>
      <c r="R167" s="492"/>
      <c r="S167" s="492"/>
      <c r="T167" s="493"/>
      <c r="U167" s="35"/>
      <c r="V167" s="35"/>
      <c r="W167" s="36" t="s">
        <v>71</v>
      </c>
      <c r="X167" s="487">
        <v>0</v>
      </c>
      <c r="Y167" s="488">
        <f t="shared" si="15"/>
        <v>0</v>
      </c>
      <c r="Z167" s="37" t="str">
        <f>IFERROR(IF(Y167=0,"",ROUNDUP(Y167/H167,0)*0.00651),"")</f>
        <v/>
      </c>
      <c r="AA167" s="57"/>
      <c r="AB167" s="58"/>
      <c r="AC167" s="214" t="s">
        <v>280</v>
      </c>
      <c r="AG167" s="65"/>
      <c r="AJ167" s="69"/>
      <c r="AK167" s="69">
        <v>0</v>
      </c>
      <c r="BB167" s="215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37.5" customHeight="1" x14ac:dyDescent="0.25">
      <c r="A168" s="55" t="s">
        <v>289</v>
      </c>
      <c r="B168" s="55" t="s">
        <v>290</v>
      </c>
      <c r="C168" s="32">
        <v>4301051752</v>
      </c>
      <c r="D168" s="494">
        <v>4680115882607</v>
      </c>
      <c r="E168" s="495"/>
      <c r="F168" s="486">
        <v>0.3</v>
      </c>
      <c r="G168" s="33">
        <v>6</v>
      </c>
      <c r="H168" s="486">
        <v>1.8</v>
      </c>
      <c r="I168" s="486">
        <v>2.052</v>
      </c>
      <c r="J168" s="33">
        <v>182</v>
      </c>
      <c r="K168" s="33" t="s">
        <v>69</v>
      </c>
      <c r="L168" s="33"/>
      <c r="M168" s="34" t="s">
        <v>133</v>
      </c>
      <c r="N168" s="34"/>
      <c r="O168" s="33">
        <v>45</v>
      </c>
      <c r="P168" s="5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8" s="492"/>
      <c r="R168" s="492"/>
      <c r="S168" s="492"/>
      <c r="T168" s="493"/>
      <c r="U168" s="35"/>
      <c r="V168" s="35"/>
      <c r="W168" s="36" t="s">
        <v>71</v>
      </c>
      <c r="X168" s="487">
        <v>0</v>
      </c>
      <c r="Y168" s="488">
        <f t="shared" si="15"/>
        <v>0</v>
      </c>
      <c r="Z168" s="37" t="str">
        <f>IFERROR(IF(Y168=0,"",ROUNDUP(Y168/H168,0)*0.00651),"")</f>
        <v/>
      </c>
      <c r="AA168" s="57"/>
      <c r="AB168" s="58"/>
      <c r="AC168" s="216" t="s">
        <v>291</v>
      </c>
      <c r="AG168" s="65"/>
      <c r="AJ168" s="69"/>
      <c r="AK168" s="69">
        <v>0</v>
      </c>
      <c r="BB168" s="217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292</v>
      </c>
      <c r="B169" s="55" t="s">
        <v>293</v>
      </c>
      <c r="C169" s="32">
        <v>4301051630</v>
      </c>
      <c r="D169" s="494">
        <v>4680115880092</v>
      </c>
      <c r="E169" s="495"/>
      <c r="F169" s="486">
        <v>0.4</v>
      </c>
      <c r="G169" s="33">
        <v>6</v>
      </c>
      <c r="H169" s="486">
        <v>2.4</v>
      </c>
      <c r="I169" s="486">
        <v>2.6520000000000001</v>
      </c>
      <c r="J169" s="33">
        <v>182</v>
      </c>
      <c r="K169" s="33" t="s">
        <v>69</v>
      </c>
      <c r="L169" s="33"/>
      <c r="M169" s="34" t="s">
        <v>70</v>
      </c>
      <c r="N169" s="34"/>
      <c r="O169" s="33">
        <v>45</v>
      </c>
      <c r="P169" s="60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9" s="492"/>
      <c r="R169" s="492"/>
      <c r="S169" s="492"/>
      <c r="T169" s="493"/>
      <c r="U169" s="35"/>
      <c r="V169" s="35"/>
      <c r="W169" s="36" t="s">
        <v>71</v>
      </c>
      <c r="X169" s="487">
        <v>100</v>
      </c>
      <c r="Y169" s="488">
        <f t="shared" si="15"/>
        <v>100.8</v>
      </c>
      <c r="Z169" s="37">
        <f>IFERROR(IF(Y169=0,"",ROUNDUP(Y169/H169,0)*0.00651),"")</f>
        <v>0.27342</v>
      </c>
      <c r="AA169" s="57"/>
      <c r="AB169" s="58"/>
      <c r="AC169" s="218" t="s">
        <v>294</v>
      </c>
      <c r="AG169" s="65"/>
      <c r="AJ169" s="69"/>
      <c r="AK169" s="69">
        <v>0</v>
      </c>
      <c r="BB169" s="219" t="s">
        <v>1</v>
      </c>
      <c r="BM169" s="65">
        <f t="shared" si="16"/>
        <v>110.5</v>
      </c>
      <c r="BN169" s="65">
        <f t="shared" si="17"/>
        <v>111.384</v>
      </c>
      <c r="BO169" s="65">
        <f t="shared" si="18"/>
        <v>0.22893772893772898</v>
      </c>
      <c r="BP169" s="65">
        <f t="shared" si="19"/>
        <v>0.23076923076923078</v>
      </c>
    </row>
    <row r="170" spans="1:68" ht="27" customHeight="1" x14ac:dyDescent="0.25">
      <c r="A170" s="55" t="s">
        <v>295</v>
      </c>
      <c r="B170" s="55" t="s">
        <v>296</v>
      </c>
      <c r="C170" s="32">
        <v>4301051631</v>
      </c>
      <c r="D170" s="494">
        <v>4680115880221</v>
      </c>
      <c r="E170" s="495"/>
      <c r="F170" s="486">
        <v>0.4</v>
      </c>
      <c r="G170" s="33">
        <v>6</v>
      </c>
      <c r="H170" s="486">
        <v>2.4</v>
      </c>
      <c r="I170" s="486">
        <v>2.6520000000000001</v>
      </c>
      <c r="J170" s="33">
        <v>182</v>
      </c>
      <c r="K170" s="33" t="s">
        <v>69</v>
      </c>
      <c r="L170" s="33"/>
      <c r="M170" s="34" t="s">
        <v>70</v>
      </c>
      <c r="N170" s="34"/>
      <c r="O170" s="33">
        <v>45</v>
      </c>
      <c r="P170" s="5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70" s="492"/>
      <c r="R170" s="492"/>
      <c r="S170" s="492"/>
      <c r="T170" s="493"/>
      <c r="U170" s="35"/>
      <c r="V170" s="35"/>
      <c r="W170" s="36" t="s">
        <v>71</v>
      </c>
      <c r="X170" s="487">
        <v>100</v>
      </c>
      <c r="Y170" s="488">
        <f t="shared" si="15"/>
        <v>100.8</v>
      </c>
      <c r="Z170" s="37">
        <f>IFERROR(IF(Y170=0,"",ROUNDUP(Y170/H170,0)*0.00651),"")</f>
        <v>0.27342</v>
      </c>
      <c r="AA170" s="57"/>
      <c r="AB170" s="58"/>
      <c r="AC170" s="220" t="s">
        <v>286</v>
      </c>
      <c r="AG170" s="65"/>
      <c r="AJ170" s="69"/>
      <c r="AK170" s="69">
        <v>0</v>
      </c>
      <c r="BB170" s="221" t="s">
        <v>1</v>
      </c>
      <c r="BM170" s="65">
        <f t="shared" si="16"/>
        <v>110.5</v>
      </c>
      <c r="BN170" s="65">
        <f t="shared" si="17"/>
        <v>111.384</v>
      </c>
      <c r="BO170" s="65">
        <f t="shared" si="18"/>
        <v>0.22893772893772898</v>
      </c>
      <c r="BP170" s="65">
        <f t="shared" si="19"/>
        <v>0.23076923076923078</v>
      </c>
    </row>
    <row r="171" spans="1:68" ht="27" customHeight="1" x14ac:dyDescent="0.25">
      <c r="A171" s="55" t="s">
        <v>297</v>
      </c>
      <c r="B171" s="55" t="s">
        <v>298</v>
      </c>
      <c r="C171" s="32">
        <v>4301051410</v>
      </c>
      <c r="D171" s="494">
        <v>4680115882164</v>
      </c>
      <c r="E171" s="495"/>
      <c r="F171" s="486">
        <v>0.4</v>
      </c>
      <c r="G171" s="33">
        <v>6</v>
      </c>
      <c r="H171" s="486">
        <v>2.4</v>
      </c>
      <c r="I171" s="486">
        <v>2.6579999999999999</v>
      </c>
      <c r="J171" s="33">
        <v>182</v>
      </c>
      <c r="K171" s="33" t="s">
        <v>69</v>
      </c>
      <c r="L171" s="33"/>
      <c r="M171" s="34" t="s">
        <v>102</v>
      </c>
      <c r="N171" s="34"/>
      <c r="O171" s="33">
        <v>40</v>
      </c>
      <c r="P171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71" s="492"/>
      <c r="R171" s="492"/>
      <c r="S171" s="492"/>
      <c r="T171" s="493"/>
      <c r="U171" s="35"/>
      <c r="V171" s="35"/>
      <c r="W171" s="36" t="s">
        <v>71</v>
      </c>
      <c r="X171" s="487">
        <v>0</v>
      </c>
      <c r="Y171" s="488">
        <f t="shared" si="15"/>
        <v>0</v>
      </c>
      <c r="Z171" s="37" t="str">
        <f>IFERROR(IF(Y171=0,"",ROUNDUP(Y171/H171,0)*0.00651),"")</f>
        <v/>
      </c>
      <c r="AA171" s="57"/>
      <c r="AB171" s="58"/>
      <c r="AC171" s="222" t="s">
        <v>299</v>
      </c>
      <c r="AG171" s="65"/>
      <c r="AJ171" s="69"/>
      <c r="AK171" s="69">
        <v>0</v>
      </c>
      <c r="BB171" s="223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505"/>
      <c r="B172" s="501"/>
      <c r="C172" s="501"/>
      <c r="D172" s="501"/>
      <c r="E172" s="501"/>
      <c r="F172" s="501"/>
      <c r="G172" s="501"/>
      <c r="H172" s="501"/>
      <c r="I172" s="501"/>
      <c r="J172" s="501"/>
      <c r="K172" s="501"/>
      <c r="L172" s="501"/>
      <c r="M172" s="501"/>
      <c r="N172" s="501"/>
      <c r="O172" s="506"/>
      <c r="P172" s="497" t="s">
        <v>88</v>
      </c>
      <c r="Q172" s="498"/>
      <c r="R172" s="498"/>
      <c r="S172" s="498"/>
      <c r="T172" s="498"/>
      <c r="U172" s="498"/>
      <c r="V172" s="499"/>
      <c r="W172" s="38" t="s">
        <v>89</v>
      </c>
      <c r="X172" s="489">
        <f>IFERROR(X164/H164,"0")+IFERROR(X165/H165,"0")+IFERROR(X166/H166,"0")+IFERROR(X167/H167,"0")+IFERROR(X168/H168,"0")+IFERROR(X169/H169,"0")+IFERROR(X170/H170,"0")+IFERROR(X171/H171,"0")</f>
        <v>150.7237122179651</v>
      </c>
      <c r="Y172" s="489">
        <f>IFERROR(Y164/H164,"0")+IFERROR(Y165/H165,"0")+IFERROR(Y166/H166,"0")+IFERROR(Y167/H167,"0")+IFERROR(Y168/H168,"0")+IFERROR(Y169/H169,"0")+IFERROR(Y170/H170,"0")+IFERROR(Y171/H171,"0")</f>
        <v>153</v>
      </c>
      <c r="Z172" s="489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1.85646</v>
      </c>
      <c r="AA172" s="490"/>
      <c r="AB172" s="490"/>
      <c r="AC172" s="490"/>
    </row>
    <row r="173" spans="1:68" x14ac:dyDescent="0.2">
      <c r="A173" s="501"/>
      <c r="B173" s="501"/>
      <c r="C173" s="501"/>
      <c r="D173" s="501"/>
      <c r="E173" s="501"/>
      <c r="F173" s="501"/>
      <c r="G173" s="501"/>
      <c r="H173" s="501"/>
      <c r="I173" s="501"/>
      <c r="J173" s="501"/>
      <c r="K173" s="501"/>
      <c r="L173" s="501"/>
      <c r="M173" s="501"/>
      <c r="N173" s="501"/>
      <c r="O173" s="506"/>
      <c r="P173" s="497" t="s">
        <v>88</v>
      </c>
      <c r="Q173" s="498"/>
      <c r="R173" s="498"/>
      <c r="S173" s="498"/>
      <c r="T173" s="498"/>
      <c r="U173" s="498"/>
      <c r="V173" s="499"/>
      <c r="W173" s="38" t="s">
        <v>71</v>
      </c>
      <c r="X173" s="489">
        <f>IFERROR(SUM(X164:X171),"0")</f>
        <v>770</v>
      </c>
      <c r="Y173" s="489">
        <f>IFERROR(SUM(Y164:Y171),"0")</f>
        <v>785.09999999999991</v>
      </c>
      <c r="Z173" s="38"/>
      <c r="AA173" s="490"/>
      <c r="AB173" s="490"/>
      <c r="AC173" s="490"/>
    </row>
    <row r="174" spans="1:68" ht="14.25" customHeight="1" x14ac:dyDescent="0.25">
      <c r="A174" s="512" t="s">
        <v>148</v>
      </c>
      <c r="B174" s="501"/>
      <c r="C174" s="501"/>
      <c r="D174" s="501"/>
      <c r="E174" s="501"/>
      <c r="F174" s="501"/>
      <c r="G174" s="501"/>
      <c r="H174" s="501"/>
      <c r="I174" s="501"/>
      <c r="J174" s="501"/>
      <c r="K174" s="501"/>
      <c r="L174" s="501"/>
      <c r="M174" s="501"/>
      <c r="N174" s="501"/>
      <c r="O174" s="501"/>
      <c r="P174" s="501"/>
      <c r="Q174" s="501"/>
      <c r="R174" s="501"/>
      <c r="S174" s="501"/>
      <c r="T174" s="501"/>
      <c r="U174" s="501"/>
      <c r="V174" s="501"/>
      <c r="W174" s="501"/>
      <c r="X174" s="501"/>
      <c r="Y174" s="501"/>
      <c r="Z174" s="501"/>
      <c r="AA174" s="483"/>
      <c r="AB174" s="483"/>
      <c r="AC174" s="483"/>
    </row>
    <row r="175" spans="1:68" ht="27" customHeight="1" x14ac:dyDescent="0.25">
      <c r="A175" s="55" t="s">
        <v>300</v>
      </c>
      <c r="B175" s="55" t="s">
        <v>301</v>
      </c>
      <c r="C175" s="32">
        <v>4301060460</v>
      </c>
      <c r="D175" s="494">
        <v>4680115882874</v>
      </c>
      <c r="E175" s="495"/>
      <c r="F175" s="486">
        <v>0.8</v>
      </c>
      <c r="G175" s="33">
        <v>4</v>
      </c>
      <c r="H175" s="486">
        <v>3.2</v>
      </c>
      <c r="I175" s="486">
        <v>3.4660000000000002</v>
      </c>
      <c r="J175" s="33">
        <v>132</v>
      </c>
      <c r="K175" s="33" t="s">
        <v>110</v>
      </c>
      <c r="L175" s="33"/>
      <c r="M175" s="34" t="s">
        <v>133</v>
      </c>
      <c r="N175" s="34"/>
      <c r="O175" s="33">
        <v>30</v>
      </c>
      <c r="P175" s="708" t="s">
        <v>302</v>
      </c>
      <c r="Q175" s="492"/>
      <c r="R175" s="492"/>
      <c r="S175" s="492"/>
      <c r="T175" s="493"/>
      <c r="U175" s="35"/>
      <c r="V175" s="35"/>
      <c r="W175" s="36" t="s">
        <v>71</v>
      </c>
      <c r="X175" s="487">
        <v>0</v>
      </c>
      <c r="Y175" s="488">
        <f>IFERROR(IF(X175="",0,CEILING((X175/$H175),1)*$H175),"")</f>
        <v>0</v>
      </c>
      <c r="Z175" s="37" t="str">
        <f>IFERROR(IF(Y175=0,"",ROUNDUP(Y175/H175,0)*0.00902),"")</f>
        <v/>
      </c>
      <c r="AA175" s="57"/>
      <c r="AB175" s="58"/>
      <c r="AC175" s="224" t="s">
        <v>303</v>
      </c>
      <c r="AG175" s="65"/>
      <c r="AJ175" s="69"/>
      <c r="AK175" s="69">
        <v>0</v>
      </c>
      <c r="BB175" s="225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16.5" customHeight="1" x14ac:dyDescent="0.25">
      <c r="A176" s="55" t="s">
        <v>300</v>
      </c>
      <c r="B176" s="55" t="s">
        <v>304</v>
      </c>
      <c r="C176" s="32">
        <v>4301060404</v>
      </c>
      <c r="D176" s="494">
        <v>4680115882874</v>
      </c>
      <c r="E176" s="495"/>
      <c r="F176" s="486">
        <v>0.8</v>
      </c>
      <c r="G176" s="33">
        <v>4</v>
      </c>
      <c r="H176" s="486">
        <v>3.2</v>
      </c>
      <c r="I176" s="486">
        <v>3.4660000000000002</v>
      </c>
      <c r="J176" s="33">
        <v>132</v>
      </c>
      <c r="K176" s="33" t="s">
        <v>110</v>
      </c>
      <c r="L176" s="33"/>
      <c r="M176" s="34" t="s">
        <v>70</v>
      </c>
      <c r="N176" s="34"/>
      <c r="O176" s="33">
        <v>40</v>
      </c>
      <c r="P176" s="7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176" s="492"/>
      <c r="R176" s="492"/>
      <c r="S176" s="492"/>
      <c r="T176" s="493"/>
      <c r="U176" s="35"/>
      <c r="V176" s="35"/>
      <c r="W176" s="36" t="s">
        <v>71</v>
      </c>
      <c r="X176" s="487">
        <v>0</v>
      </c>
      <c r="Y176" s="488">
        <f>IFERROR(IF(X176="",0,CEILING((X176/$H176),1)*$H176),"")</f>
        <v>0</v>
      </c>
      <c r="Z176" s="37" t="str">
        <f>IFERROR(IF(Y176=0,"",ROUNDUP(Y176/H176,0)*0.00902),"")</f>
        <v/>
      </c>
      <c r="AA176" s="57"/>
      <c r="AB176" s="58"/>
      <c r="AC176" s="226" t="s">
        <v>305</v>
      </c>
      <c r="AG176" s="65"/>
      <c r="AJ176" s="69"/>
      <c r="AK176" s="69">
        <v>0</v>
      </c>
      <c r="BB176" s="227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37.5" customHeight="1" x14ac:dyDescent="0.25">
      <c r="A177" s="55" t="s">
        <v>306</v>
      </c>
      <c r="B177" s="55" t="s">
        <v>307</v>
      </c>
      <c r="C177" s="32">
        <v>4301060359</v>
      </c>
      <c r="D177" s="494">
        <v>4680115884434</v>
      </c>
      <c r="E177" s="495"/>
      <c r="F177" s="486">
        <v>0.8</v>
      </c>
      <c r="G177" s="33">
        <v>4</v>
      </c>
      <c r="H177" s="486">
        <v>3.2</v>
      </c>
      <c r="I177" s="486">
        <v>3.4660000000000002</v>
      </c>
      <c r="J177" s="33">
        <v>132</v>
      </c>
      <c r="K177" s="33" t="s">
        <v>110</v>
      </c>
      <c r="L177" s="33"/>
      <c r="M177" s="34" t="s">
        <v>70</v>
      </c>
      <c r="N177" s="34"/>
      <c r="O177" s="33">
        <v>30</v>
      </c>
      <c r="P177" s="7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7" s="492"/>
      <c r="R177" s="492"/>
      <c r="S177" s="492"/>
      <c r="T177" s="493"/>
      <c r="U177" s="35"/>
      <c r="V177" s="35"/>
      <c r="W177" s="36" t="s">
        <v>71</v>
      </c>
      <c r="X177" s="487">
        <v>0</v>
      </c>
      <c r="Y177" s="488">
        <f>IFERROR(IF(X177="",0,CEILING((X177/$H177),1)*$H177),"")</f>
        <v>0</v>
      </c>
      <c r="Z177" s="37" t="str">
        <f>IFERROR(IF(Y177=0,"",ROUNDUP(Y177/H177,0)*0.00902),"")</f>
        <v/>
      </c>
      <c r="AA177" s="57"/>
      <c r="AB177" s="58"/>
      <c r="AC177" s="228" t="s">
        <v>308</v>
      </c>
      <c r="AG177" s="65"/>
      <c r="AJ177" s="69"/>
      <c r="AK177" s="69">
        <v>0</v>
      </c>
      <c r="BB177" s="229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309</v>
      </c>
      <c r="B178" s="55" t="s">
        <v>310</v>
      </c>
      <c r="C178" s="32">
        <v>4301060389</v>
      </c>
      <c r="D178" s="494">
        <v>4680115880801</v>
      </c>
      <c r="E178" s="495"/>
      <c r="F178" s="486">
        <v>0.4</v>
      </c>
      <c r="G178" s="33">
        <v>6</v>
      </c>
      <c r="H178" s="486">
        <v>2.4</v>
      </c>
      <c r="I178" s="486">
        <v>2.6520000000000001</v>
      </c>
      <c r="J178" s="33">
        <v>182</v>
      </c>
      <c r="K178" s="33" t="s">
        <v>69</v>
      </c>
      <c r="L178" s="33"/>
      <c r="M178" s="34" t="s">
        <v>102</v>
      </c>
      <c r="N178" s="34"/>
      <c r="O178" s="33">
        <v>40</v>
      </c>
      <c r="P178" s="7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8" s="492"/>
      <c r="R178" s="492"/>
      <c r="S178" s="492"/>
      <c r="T178" s="493"/>
      <c r="U178" s="35"/>
      <c r="V178" s="35"/>
      <c r="W178" s="36" t="s">
        <v>71</v>
      </c>
      <c r="X178" s="487">
        <v>0</v>
      </c>
      <c r="Y178" s="488">
        <f>IFERROR(IF(X178="",0,CEILING((X178/$H178),1)*$H178),"")</f>
        <v>0</v>
      </c>
      <c r="Z178" s="37" t="str">
        <f>IFERROR(IF(Y178=0,"",ROUNDUP(Y178/H178,0)*0.00651),"")</f>
        <v/>
      </c>
      <c r="AA178" s="57"/>
      <c r="AB178" s="58"/>
      <c r="AC178" s="230" t="s">
        <v>311</v>
      </c>
      <c r="AG178" s="65"/>
      <c r="AJ178" s="69"/>
      <c r="AK178" s="69">
        <v>0</v>
      </c>
      <c r="BB178" s="231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x14ac:dyDescent="0.2">
      <c r="A179" s="505"/>
      <c r="B179" s="501"/>
      <c r="C179" s="501"/>
      <c r="D179" s="501"/>
      <c r="E179" s="501"/>
      <c r="F179" s="501"/>
      <c r="G179" s="501"/>
      <c r="H179" s="501"/>
      <c r="I179" s="501"/>
      <c r="J179" s="501"/>
      <c r="K179" s="501"/>
      <c r="L179" s="501"/>
      <c r="M179" s="501"/>
      <c r="N179" s="501"/>
      <c r="O179" s="506"/>
      <c r="P179" s="497" t="s">
        <v>88</v>
      </c>
      <c r="Q179" s="498"/>
      <c r="R179" s="498"/>
      <c r="S179" s="498"/>
      <c r="T179" s="498"/>
      <c r="U179" s="498"/>
      <c r="V179" s="499"/>
      <c r="W179" s="38" t="s">
        <v>89</v>
      </c>
      <c r="X179" s="489">
        <f>IFERROR(X175/H175,"0")+IFERROR(X176/H176,"0")+IFERROR(X177/H177,"0")+IFERROR(X178/H178,"0")</f>
        <v>0</v>
      </c>
      <c r="Y179" s="489">
        <f>IFERROR(Y175/H175,"0")+IFERROR(Y176/H176,"0")+IFERROR(Y177/H177,"0")+IFERROR(Y178/H178,"0")</f>
        <v>0</v>
      </c>
      <c r="Z179" s="489">
        <f>IFERROR(IF(Z175="",0,Z175),"0")+IFERROR(IF(Z176="",0,Z176),"0")+IFERROR(IF(Z177="",0,Z177),"0")+IFERROR(IF(Z178="",0,Z178),"0")</f>
        <v>0</v>
      </c>
      <c r="AA179" s="490"/>
      <c r="AB179" s="490"/>
      <c r="AC179" s="490"/>
    </row>
    <row r="180" spans="1:68" x14ac:dyDescent="0.2">
      <c r="A180" s="501"/>
      <c r="B180" s="501"/>
      <c r="C180" s="501"/>
      <c r="D180" s="501"/>
      <c r="E180" s="501"/>
      <c r="F180" s="501"/>
      <c r="G180" s="501"/>
      <c r="H180" s="501"/>
      <c r="I180" s="501"/>
      <c r="J180" s="501"/>
      <c r="K180" s="501"/>
      <c r="L180" s="501"/>
      <c r="M180" s="501"/>
      <c r="N180" s="501"/>
      <c r="O180" s="506"/>
      <c r="P180" s="497" t="s">
        <v>88</v>
      </c>
      <c r="Q180" s="498"/>
      <c r="R180" s="498"/>
      <c r="S180" s="498"/>
      <c r="T180" s="498"/>
      <c r="U180" s="498"/>
      <c r="V180" s="499"/>
      <c r="W180" s="38" t="s">
        <v>71</v>
      </c>
      <c r="X180" s="489">
        <f>IFERROR(SUM(X175:X178),"0")</f>
        <v>0</v>
      </c>
      <c r="Y180" s="489">
        <f>IFERROR(SUM(Y175:Y178),"0")</f>
        <v>0</v>
      </c>
      <c r="Z180" s="38"/>
      <c r="AA180" s="490"/>
      <c r="AB180" s="490"/>
      <c r="AC180" s="490"/>
    </row>
    <row r="181" spans="1:68" ht="16.5" customHeight="1" x14ac:dyDescent="0.25">
      <c r="A181" s="500" t="s">
        <v>312</v>
      </c>
      <c r="B181" s="501"/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  <c r="P181" s="501"/>
      <c r="Q181" s="501"/>
      <c r="R181" s="501"/>
      <c r="S181" s="501"/>
      <c r="T181" s="501"/>
      <c r="U181" s="501"/>
      <c r="V181" s="501"/>
      <c r="W181" s="501"/>
      <c r="X181" s="501"/>
      <c r="Y181" s="501"/>
      <c r="Z181" s="501"/>
      <c r="AA181" s="482"/>
      <c r="AB181" s="482"/>
      <c r="AC181" s="482"/>
    </row>
    <row r="182" spans="1:68" ht="14.25" customHeight="1" x14ac:dyDescent="0.25">
      <c r="A182" s="512" t="s">
        <v>98</v>
      </c>
      <c r="B182" s="501"/>
      <c r="C182" s="501"/>
      <c r="D182" s="501"/>
      <c r="E182" s="501"/>
      <c r="F182" s="501"/>
      <c r="G182" s="501"/>
      <c r="H182" s="501"/>
      <c r="I182" s="501"/>
      <c r="J182" s="501"/>
      <c r="K182" s="501"/>
      <c r="L182" s="501"/>
      <c r="M182" s="501"/>
      <c r="N182" s="501"/>
      <c r="O182" s="501"/>
      <c r="P182" s="501"/>
      <c r="Q182" s="501"/>
      <c r="R182" s="501"/>
      <c r="S182" s="501"/>
      <c r="T182" s="501"/>
      <c r="U182" s="501"/>
      <c r="V182" s="501"/>
      <c r="W182" s="501"/>
      <c r="X182" s="501"/>
      <c r="Y182" s="501"/>
      <c r="Z182" s="501"/>
      <c r="AA182" s="483"/>
      <c r="AB182" s="483"/>
      <c r="AC182" s="483"/>
    </row>
    <row r="183" spans="1:68" ht="27" customHeight="1" x14ac:dyDescent="0.25">
      <c r="A183" s="55" t="s">
        <v>313</v>
      </c>
      <c r="B183" s="55" t="s">
        <v>314</v>
      </c>
      <c r="C183" s="32">
        <v>4301011717</v>
      </c>
      <c r="D183" s="494">
        <v>4680115884274</v>
      </c>
      <c r="E183" s="495"/>
      <c r="F183" s="486">
        <v>1.45</v>
      </c>
      <c r="G183" s="33">
        <v>8</v>
      </c>
      <c r="H183" s="486">
        <v>11.6</v>
      </c>
      <c r="I183" s="486">
        <v>12.035</v>
      </c>
      <c r="J183" s="33">
        <v>64</v>
      </c>
      <c r="K183" s="33" t="s">
        <v>101</v>
      </c>
      <c r="L183" s="33"/>
      <c r="M183" s="34" t="s">
        <v>106</v>
      </c>
      <c r="N183" s="34"/>
      <c r="O183" s="33">
        <v>55</v>
      </c>
      <c r="P183" s="7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183" s="492"/>
      <c r="R183" s="492"/>
      <c r="S183" s="492"/>
      <c r="T183" s="493"/>
      <c r="U183" s="35"/>
      <c r="V183" s="35"/>
      <c r="W183" s="36" t="s">
        <v>71</v>
      </c>
      <c r="X183" s="487">
        <v>0</v>
      </c>
      <c r="Y183" s="488">
        <f t="shared" ref="Y183:Y188" si="20">IFERROR(IF(X183="",0,CEILING((X183/$H183),1)*$H183),"")</f>
        <v>0</v>
      </c>
      <c r="Z183" s="37" t="str">
        <f>IFERROR(IF(Y183=0,"",ROUNDUP(Y183/H183,0)*0.01898),"")</f>
        <v/>
      </c>
      <c r="AA183" s="57"/>
      <c r="AB183" s="58"/>
      <c r="AC183" s="232" t="s">
        <v>315</v>
      </c>
      <c r="AG183" s="65"/>
      <c r="AJ183" s="69"/>
      <c r="AK183" s="69">
        <v>0</v>
      </c>
      <c r="BB183" s="233" t="s">
        <v>1</v>
      </c>
      <c r="BM183" s="65">
        <f t="shared" ref="BM183:BM188" si="21">IFERROR(X183*I183/H183,"0")</f>
        <v>0</v>
      </c>
      <c r="BN183" s="65">
        <f t="shared" ref="BN183:BN188" si="22">IFERROR(Y183*I183/H183,"0")</f>
        <v>0</v>
      </c>
      <c r="BO183" s="65">
        <f t="shared" ref="BO183:BO188" si="23">IFERROR(1/J183*(X183/H183),"0")</f>
        <v>0</v>
      </c>
      <c r="BP183" s="65">
        <f t="shared" ref="BP183:BP188" si="24">IFERROR(1/J183*(Y183/H183),"0")</f>
        <v>0</v>
      </c>
    </row>
    <row r="184" spans="1:68" ht="27" customHeight="1" x14ac:dyDescent="0.25">
      <c r="A184" s="55" t="s">
        <v>316</v>
      </c>
      <c r="B184" s="55" t="s">
        <v>317</v>
      </c>
      <c r="C184" s="32">
        <v>4301011719</v>
      </c>
      <c r="D184" s="494">
        <v>4680115884298</v>
      </c>
      <c r="E184" s="495"/>
      <c r="F184" s="486">
        <v>1.45</v>
      </c>
      <c r="G184" s="33">
        <v>8</v>
      </c>
      <c r="H184" s="486">
        <v>11.6</v>
      </c>
      <c r="I184" s="486">
        <v>12.035</v>
      </c>
      <c r="J184" s="33">
        <v>64</v>
      </c>
      <c r="K184" s="33" t="s">
        <v>101</v>
      </c>
      <c r="L184" s="33"/>
      <c r="M184" s="34" t="s">
        <v>106</v>
      </c>
      <c r="N184" s="34"/>
      <c r="O184" s="33">
        <v>55</v>
      </c>
      <c r="P184" s="5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84" s="492"/>
      <c r="R184" s="492"/>
      <c r="S184" s="492"/>
      <c r="T184" s="493"/>
      <c r="U184" s="35"/>
      <c r="V184" s="35"/>
      <c r="W184" s="36" t="s">
        <v>71</v>
      </c>
      <c r="X184" s="487">
        <v>0</v>
      </c>
      <c r="Y184" s="488">
        <f t="shared" si="20"/>
        <v>0</v>
      </c>
      <c r="Z184" s="37" t="str">
        <f>IFERROR(IF(Y184=0,"",ROUNDUP(Y184/H184,0)*0.01898),"")</f>
        <v/>
      </c>
      <c r="AA184" s="57"/>
      <c r="AB184" s="58"/>
      <c r="AC184" s="234" t="s">
        <v>318</v>
      </c>
      <c r="AG184" s="65"/>
      <c r="AJ184" s="69"/>
      <c r="AK184" s="69">
        <v>0</v>
      </c>
      <c r="BB184" s="235" t="s">
        <v>1</v>
      </c>
      <c r="BM184" s="65">
        <f t="shared" si="21"/>
        <v>0</v>
      </c>
      <c r="BN184" s="65">
        <f t="shared" si="22"/>
        <v>0</v>
      </c>
      <c r="BO184" s="65">
        <f t="shared" si="23"/>
        <v>0</v>
      </c>
      <c r="BP184" s="65">
        <f t="shared" si="24"/>
        <v>0</v>
      </c>
    </row>
    <row r="185" spans="1:68" ht="27" customHeight="1" x14ac:dyDescent="0.25">
      <c r="A185" s="55" t="s">
        <v>319</v>
      </c>
      <c r="B185" s="55" t="s">
        <v>320</v>
      </c>
      <c r="C185" s="32">
        <v>4301011733</v>
      </c>
      <c r="D185" s="494">
        <v>4680115884250</v>
      </c>
      <c r="E185" s="495"/>
      <c r="F185" s="486">
        <v>1.45</v>
      </c>
      <c r="G185" s="33">
        <v>8</v>
      </c>
      <c r="H185" s="486">
        <v>11.6</v>
      </c>
      <c r="I185" s="486">
        <v>12.035</v>
      </c>
      <c r="J185" s="33">
        <v>64</v>
      </c>
      <c r="K185" s="33" t="s">
        <v>101</v>
      </c>
      <c r="L185" s="33"/>
      <c r="M185" s="34" t="s">
        <v>102</v>
      </c>
      <c r="N185" s="34"/>
      <c r="O185" s="33">
        <v>55</v>
      </c>
      <c r="P185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85" s="492"/>
      <c r="R185" s="492"/>
      <c r="S185" s="492"/>
      <c r="T185" s="493"/>
      <c r="U185" s="35"/>
      <c r="V185" s="35"/>
      <c r="W185" s="36" t="s">
        <v>71</v>
      </c>
      <c r="X185" s="487">
        <v>0</v>
      </c>
      <c r="Y185" s="488">
        <f t="shared" si="20"/>
        <v>0</v>
      </c>
      <c r="Z185" s="37" t="str">
        <f>IFERROR(IF(Y185=0,"",ROUNDUP(Y185/H185,0)*0.01898),"")</f>
        <v/>
      </c>
      <c r="AA185" s="57"/>
      <c r="AB185" s="58"/>
      <c r="AC185" s="236" t="s">
        <v>321</v>
      </c>
      <c r="AG185" s="65"/>
      <c r="AJ185" s="69"/>
      <c r="AK185" s="69">
        <v>0</v>
      </c>
      <c r="BB185" s="237" t="s">
        <v>1</v>
      </c>
      <c r="BM185" s="65">
        <f t="shared" si="21"/>
        <v>0</v>
      </c>
      <c r="BN185" s="65">
        <f t="shared" si="22"/>
        <v>0</v>
      </c>
      <c r="BO185" s="65">
        <f t="shared" si="23"/>
        <v>0</v>
      </c>
      <c r="BP185" s="65">
        <f t="shared" si="24"/>
        <v>0</v>
      </c>
    </row>
    <row r="186" spans="1:68" ht="27" customHeight="1" x14ac:dyDescent="0.25">
      <c r="A186" s="55" t="s">
        <v>322</v>
      </c>
      <c r="B186" s="55" t="s">
        <v>323</v>
      </c>
      <c r="C186" s="32">
        <v>4301011718</v>
      </c>
      <c r="D186" s="494">
        <v>4680115884281</v>
      </c>
      <c r="E186" s="495"/>
      <c r="F186" s="486">
        <v>0.4</v>
      </c>
      <c r="G186" s="33">
        <v>10</v>
      </c>
      <c r="H186" s="486">
        <v>4</v>
      </c>
      <c r="I186" s="486">
        <v>4.21</v>
      </c>
      <c r="J186" s="33">
        <v>132</v>
      </c>
      <c r="K186" s="33" t="s">
        <v>110</v>
      </c>
      <c r="L186" s="33"/>
      <c r="M186" s="34" t="s">
        <v>106</v>
      </c>
      <c r="N186" s="34"/>
      <c r="O186" s="33">
        <v>55</v>
      </c>
      <c r="P186" s="7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186" s="492"/>
      <c r="R186" s="492"/>
      <c r="S186" s="492"/>
      <c r="T186" s="493"/>
      <c r="U186" s="35"/>
      <c r="V186" s="35"/>
      <c r="W186" s="36" t="s">
        <v>71</v>
      </c>
      <c r="X186" s="487">
        <v>0</v>
      </c>
      <c r="Y186" s="488">
        <f t="shared" si="20"/>
        <v>0</v>
      </c>
      <c r="Z186" s="37" t="str">
        <f>IFERROR(IF(Y186=0,"",ROUNDUP(Y186/H186,0)*0.00902),"")</f>
        <v/>
      </c>
      <c r="AA186" s="57"/>
      <c r="AB186" s="58"/>
      <c r="AC186" s="238" t="s">
        <v>315</v>
      </c>
      <c r="AG186" s="65"/>
      <c r="AJ186" s="69"/>
      <c r="AK186" s="69">
        <v>0</v>
      </c>
      <c r="BB186" s="239" t="s">
        <v>1</v>
      </c>
      <c r="BM186" s="65">
        <f t="shared" si="21"/>
        <v>0</v>
      </c>
      <c r="BN186" s="65">
        <f t="shared" si="22"/>
        <v>0</v>
      </c>
      <c r="BO186" s="65">
        <f t="shared" si="23"/>
        <v>0</v>
      </c>
      <c r="BP186" s="65">
        <f t="shared" si="24"/>
        <v>0</v>
      </c>
    </row>
    <row r="187" spans="1:68" ht="27" customHeight="1" x14ac:dyDescent="0.25">
      <c r="A187" s="55" t="s">
        <v>324</v>
      </c>
      <c r="B187" s="55" t="s">
        <v>325</v>
      </c>
      <c r="C187" s="32">
        <v>4301011720</v>
      </c>
      <c r="D187" s="494">
        <v>4680115884199</v>
      </c>
      <c r="E187" s="495"/>
      <c r="F187" s="486">
        <v>0.37</v>
      </c>
      <c r="G187" s="33">
        <v>10</v>
      </c>
      <c r="H187" s="486">
        <v>3.7</v>
      </c>
      <c r="I187" s="486">
        <v>3.91</v>
      </c>
      <c r="J187" s="33">
        <v>132</v>
      </c>
      <c r="K187" s="33" t="s">
        <v>110</v>
      </c>
      <c r="L187" s="33"/>
      <c r="M187" s="34" t="s">
        <v>106</v>
      </c>
      <c r="N187" s="34"/>
      <c r="O187" s="33">
        <v>55</v>
      </c>
      <c r="P187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87" s="492"/>
      <c r="R187" s="492"/>
      <c r="S187" s="492"/>
      <c r="T187" s="493"/>
      <c r="U187" s="35"/>
      <c r="V187" s="35"/>
      <c r="W187" s="36" t="s">
        <v>71</v>
      </c>
      <c r="X187" s="487">
        <v>0</v>
      </c>
      <c r="Y187" s="488">
        <f t="shared" si="20"/>
        <v>0</v>
      </c>
      <c r="Z187" s="37" t="str">
        <f>IFERROR(IF(Y187=0,"",ROUNDUP(Y187/H187,0)*0.00902),"")</f>
        <v/>
      </c>
      <c r="AA187" s="57"/>
      <c r="AB187" s="58"/>
      <c r="AC187" s="240" t="s">
        <v>318</v>
      </c>
      <c r="AG187" s="65"/>
      <c r="AJ187" s="69"/>
      <c r="AK187" s="69">
        <v>0</v>
      </c>
      <c r="BB187" s="241" t="s">
        <v>1</v>
      </c>
      <c r="BM187" s="65">
        <f t="shared" si="21"/>
        <v>0</v>
      </c>
      <c r="BN187" s="65">
        <f t="shared" si="22"/>
        <v>0</v>
      </c>
      <c r="BO187" s="65">
        <f t="shared" si="23"/>
        <v>0</v>
      </c>
      <c r="BP187" s="65">
        <f t="shared" si="24"/>
        <v>0</v>
      </c>
    </row>
    <row r="188" spans="1:68" ht="27" customHeight="1" x14ac:dyDescent="0.25">
      <c r="A188" s="55" t="s">
        <v>326</v>
      </c>
      <c r="B188" s="55" t="s">
        <v>327</v>
      </c>
      <c r="C188" s="32">
        <v>4301011716</v>
      </c>
      <c r="D188" s="494">
        <v>4680115884267</v>
      </c>
      <c r="E188" s="495"/>
      <c r="F188" s="486">
        <v>0.4</v>
      </c>
      <c r="G188" s="33">
        <v>10</v>
      </c>
      <c r="H188" s="486">
        <v>4</v>
      </c>
      <c r="I188" s="486">
        <v>4.21</v>
      </c>
      <c r="J188" s="33">
        <v>132</v>
      </c>
      <c r="K188" s="33" t="s">
        <v>110</v>
      </c>
      <c r="L188" s="33"/>
      <c r="M188" s="34" t="s">
        <v>106</v>
      </c>
      <c r="N188" s="34"/>
      <c r="O188" s="33">
        <v>55</v>
      </c>
      <c r="P188" s="7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88" s="492"/>
      <c r="R188" s="492"/>
      <c r="S188" s="492"/>
      <c r="T188" s="493"/>
      <c r="U188" s="35"/>
      <c r="V188" s="35"/>
      <c r="W188" s="36" t="s">
        <v>71</v>
      </c>
      <c r="X188" s="487">
        <v>0</v>
      </c>
      <c r="Y188" s="488">
        <f t="shared" si="20"/>
        <v>0</v>
      </c>
      <c r="Z188" s="37" t="str">
        <f>IFERROR(IF(Y188=0,"",ROUNDUP(Y188/H188,0)*0.00902),"")</f>
        <v/>
      </c>
      <c r="AA188" s="57"/>
      <c r="AB188" s="58"/>
      <c r="AC188" s="242" t="s">
        <v>321</v>
      </c>
      <c r="AG188" s="65"/>
      <c r="AJ188" s="69"/>
      <c r="AK188" s="69">
        <v>0</v>
      </c>
      <c r="BB188" s="243" t="s">
        <v>1</v>
      </c>
      <c r="BM188" s="65">
        <f t="shared" si="21"/>
        <v>0</v>
      </c>
      <c r="BN188" s="65">
        <f t="shared" si="22"/>
        <v>0</v>
      </c>
      <c r="BO188" s="65">
        <f t="shared" si="23"/>
        <v>0</v>
      </c>
      <c r="BP188" s="65">
        <f t="shared" si="24"/>
        <v>0</v>
      </c>
    </row>
    <row r="189" spans="1:68" x14ac:dyDescent="0.2">
      <c r="A189" s="505"/>
      <c r="B189" s="501"/>
      <c r="C189" s="501"/>
      <c r="D189" s="501"/>
      <c r="E189" s="501"/>
      <c r="F189" s="501"/>
      <c r="G189" s="501"/>
      <c r="H189" s="501"/>
      <c r="I189" s="501"/>
      <c r="J189" s="501"/>
      <c r="K189" s="501"/>
      <c r="L189" s="501"/>
      <c r="M189" s="501"/>
      <c r="N189" s="501"/>
      <c r="O189" s="506"/>
      <c r="P189" s="497" t="s">
        <v>88</v>
      </c>
      <c r="Q189" s="498"/>
      <c r="R189" s="498"/>
      <c r="S189" s="498"/>
      <c r="T189" s="498"/>
      <c r="U189" s="498"/>
      <c r="V189" s="499"/>
      <c r="W189" s="38" t="s">
        <v>89</v>
      </c>
      <c r="X189" s="489">
        <f>IFERROR(X183/H183,"0")+IFERROR(X184/H184,"0")+IFERROR(X185/H185,"0")+IFERROR(X186/H186,"0")+IFERROR(X187/H187,"0")+IFERROR(X188/H188,"0")</f>
        <v>0</v>
      </c>
      <c r="Y189" s="489">
        <f>IFERROR(Y183/H183,"0")+IFERROR(Y184/H184,"0")+IFERROR(Y185/H185,"0")+IFERROR(Y186/H186,"0")+IFERROR(Y187/H187,"0")+IFERROR(Y188/H188,"0")</f>
        <v>0</v>
      </c>
      <c r="Z189" s="489">
        <f>IFERROR(IF(Z183="",0,Z183),"0")+IFERROR(IF(Z184="",0,Z184),"0")+IFERROR(IF(Z185="",0,Z185),"0")+IFERROR(IF(Z186="",0,Z186),"0")+IFERROR(IF(Z187="",0,Z187),"0")+IFERROR(IF(Z188="",0,Z188),"0")</f>
        <v>0</v>
      </c>
      <c r="AA189" s="490"/>
      <c r="AB189" s="490"/>
      <c r="AC189" s="490"/>
    </row>
    <row r="190" spans="1:68" x14ac:dyDescent="0.2">
      <c r="A190" s="501"/>
      <c r="B190" s="501"/>
      <c r="C190" s="501"/>
      <c r="D190" s="501"/>
      <c r="E190" s="501"/>
      <c r="F190" s="501"/>
      <c r="G190" s="501"/>
      <c r="H190" s="501"/>
      <c r="I190" s="501"/>
      <c r="J190" s="501"/>
      <c r="K190" s="501"/>
      <c r="L190" s="501"/>
      <c r="M190" s="501"/>
      <c r="N190" s="501"/>
      <c r="O190" s="506"/>
      <c r="P190" s="497" t="s">
        <v>88</v>
      </c>
      <c r="Q190" s="498"/>
      <c r="R190" s="498"/>
      <c r="S190" s="498"/>
      <c r="T190" s="498"/>
      <c r="U190" s="498"/>
      <c r="V190" s="499"/>
      <c r="W190" s="38" t="s">
        <v>71</v>
      </c>
      <c r="X190" s="489">
        <f>IFERROR(SUM(X183:X188),"0")</f>
        <v>0</v>
      </c>
      <c r="Y190" s="489">
        <f>IFERROR(SUM(Y183:Y188),"0")</f>
        <v>0</v>
      </c>
      <c r="Z190" s="38"/>
      <c r="AA190" s="490"/>
      <c r="AB190" s="490"/>
      <c r="AC190" s="490"/>
    </row>
    <row r="191" spans="1:68" ht="16.5" customHeight="1" x14ac:dyDescent="0.25">
      <c r="A191" s="500" t="s">
        <v>328</v>
      </c>
      <c r="B191" s="501"/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  <c r="P191" s="501"/>
      <c r="Q191" s="501"/>
      <c r="R191" s="501"/>
      <c r="S191" s="501"/>
      <c r="T191" s="501"/>
      <c r="U191" s="501"/>
      <c r="V191" s="501"/>
      <c r="W191" s="501"/>
      <c r="X191" s="501"/>
      <c r="Y191" s="501"/>
      <c r="Z191" s="501"/>
      <c r="AA191" s="482"/>
      <c r="AB191" s="482"/>
      <c r="AC191" s="482"/>
    </row>
    <row r="192" spans="1:68" ht="14.25" customHeight="1" x14ac:dyDescent="0.25">
      <c r="A192" s="512" t="s">
        <v>98</v>
      </c>
      <c r="B192" s="501"/>
      <c r="C192" s="501"/>
      <c r="D192" s="501"/>
      <c r="E192" s="501"/>
      <c r="F192" s="501"/>
      <c r="G192" s="501"/>
      <c r="H192" s="501"/>
      <c r="I192" s="501"/>
      <c r="J192" s="501"/>
      <c r="K192" s="501"/>
      <c r="L192" s="501"/>
      <c r="M192" s="501"/>
      <c r="N192" s="501"/>
      <c r="O192" s="501"/>
      <c r="P192" s="501"/>
      <c r="Q192" s="501"/>
      <c r="R192" s="501"/>
      <c r="S192" s="501"/>
      <c r="T192" s="501"/>
      <c r="U192" s="501"/>
      <c r="V192" s="501"/>
      <c r="W192" s="501"/>
      <c r="X192" s="501"/>
      <c r="Y192" s="501"/>
      <c r="Z192" s="501"/>
      <c r="AA192" s="483"/>
      <c r="AB192" s="483"/>
      <c r="AC192" s="483"/>
    </row>
    <row r="193" spans="1:68" ht="27" customHeight="1" x14ac:dyDescent="0.25">
      <c r="A193" s="55" t="s">
        <v>329</v>
      </c>
      <c r="B193" s="55" t="s">
        <v>330</v>
      </c>
      <c r="C193" s="32">
        <v>4301011826</v>
      </c>
      <c r="D193" s="494">
        <v>4680115884137</v>
      </c>
      <c r="E193" s="495"/>
      <c r="F193" s="486">
        <v>1.45</v>
      </c>
      <c r="G193" s="33">
        <v>8</v>
      </c>
      <c r="H193" s="486">
        <v>11.6</v>
      </c>
      <c r="I193" s="486">
        <v>12.035</v>
      </c>
      <c r="J193" s="33">
        <v>64</v>
      </c>
      <c r="K193" s="33" t="s">
        <v>101</v>
      </c>
      <c r="L193" s="33"/>
      <c r="M193" s="34" t="s">
        <v>106</v>
      </c>
      <c r="N193" s="34"/>
      <c r="O193" s="33">
        <v>55</v>
      </c>
      <c r="P193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93" s="492"/>
      <c r="R193" s="492"/>
      <c r="S193" s="492"/>
      <c r="T193" s="493"/>
      <c r="U193" s="35"/>
      <c r="V193" s="35"/>
      <c r="W193" s="36" t="s">
        <v>71</v>
      </c>
      <c r="X193" s="487">
        <v>0</v>
      </c>
      <c r="Y193" s="488">
        <f t="shared" ref="Y193:Y199" si="25">IFERROR(IF(X193="",0,CEILING((X193/$H193),1)*$H193),"")</f>
        <v>0</v>
      </c>
      <c r="Z193" s="37" t="str">
        <f>IFERROR(IF(Y193=0,"",ROUNDUP(Y193/H193,0)*0.01898),"")</f>
        <v/>
      </c>
      <c r="AA193" s="57"/>
      <c r="AB193" s="58"/>
      <c r="AC193" s="244" t="s">
        <v>331</v>
      </c>
      <c r="AG193" s="65"/>
      <c r="AJ193" s="69"/>
      <c r="AK193" s="69">
        <v>0</v>
      </c>
      <c r="BB193" s="245" t="s">
        <v>1</v>
      </c>
      <c r="BM193" s="65">
        <f t="shared" ref="BM193:BM199" si="26">IFERROR(X193*I193/H193,"0")</f>
        <v>0</v>
      </c>
      <c r="BN193" s="65">
        <f t="shared" ref="BN193:BN199" si="27">IFERROR(Y193*I193/H193,"0")</f>
        <v>0</v>
      </c>
      <c r="BO193" s="65">
        <f t="shared" ref="BO193:BO199" si="28">IFERROR(1/J193*(X193/H193),"0")</f>
        <v>0</v>
      </c>
      <c r="BP193" s="65">
        <f t="shared" ref="BP193:BP199" si="29">IFERROR(1/J193*(Y193/H193),"0")</f>
        <v>0</v>
      </c>
    </row>
    <row r="194" spans="1:68" ht="27" customHeight="1" x14ac:dyDescent="0.25">
      <c r="A194" s="55" t="s">
        <v>332</v>
      </c>
      <c r="B194" s="55" t="s">
        <v>333</v>
      </c>
      <c r="C194" s="32">
        <v>4301011724</v>
      </c>
      <c r="D194" s="494">
        <v>4680115884236</v>
      </c>
      <c r="E194" s="495"/>
      <c r="F194" s="486">
        <v>1.45</v>
      </c>
      <c r="G194" s="33">
        <v>8</v>
      </c>
      <c r="H194" s="486">
        <v>11.6</v>
      </c>
      <c r="I194" s="486">
        <v>12.035</v>
      </c>
      <c r="J194" s="33">
        <v>64</v>
      </c>
      <c r="K194" s="33" t="s">
        <v>101</v>
      </c>
      <c r="L194" s="33"/>
      <c r="M194" s="34" t="s">
        <v>106</v>
      </c>
      <c r="N194" s="34"/>
      <c r="O194" s="33">
        <v>55</v>
      </c>
      <c r="P19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94" s="492"/>
      <c r="R194" s="492"/>
      <c r="S194" s="492"/>
      <c r="T194" s="493"/>
      <c r="U194" s="35"/>
      <c r="V194" s="35"/>
      <c r="W194" s="36" t="s">
        <v>71</v>
      </c>
      <c r="X194" s="487">
        <v>0</v>
      </c>
      <c r="Y194" s="488">
        <f t="shared" si="25"/>
        <v>0</v>
      </c>
      <c r="Z194" s="37" t="str">
        <f>IFERROR(IF(Y194=0,"",ROUNDUP(Y194/H194,0)*0.01898),"")</f>
        <v/>
      </c>
      <c r="AA194" s="57"/>
      <c r="AB194" s="58"/>
      <c r="AC194" s="246" t="s">
        <v>334</v>
      </c>
      <c r="AG194" s="65"/>
      <c r="AJ194" s="69"/>
      <c r="AK194" s="69">
        <v>0</v>
      </c>
      <c r="BB194" s="247" t="s">
        <v>1</v>
      </c>
      <c r="BM194" s="65">
        <f t="shared" si="26"/>
        <v>0</v>
      </c>
      <c r="BN194" s="65">
        <f t="shared" si="27"/>
        <v>0</v>
      </c>
      <c r="BO194" s="65">
        <f t="shared" si="28"/>
        <v>0</v>
      </c>
      <c r="BP194" s="65">
        <f t="shared" si="29"/>
        <v>0</v>
      </c>
    </row>
    <row r="195" spans="1:68" ht="27" customHeight="1" x14ac:dyDescent="0.25">
      <c r="A195" s="55" t="s">
        <v>335</v>
      </c>
      <c r="B195" s="55" t="s">
        <v>336</v>
      </c>
      <c r="C195" s="32">
        <v>4301011721</v>
      </c>
      <c r="D195" s="494">
        <v>4680115884175</v>
      </c>
      <c r="E195" s="495"/>
      <c r="F195" s="486">
        <v>1.45</v>
      </c>
      <c r="G195" s="33">
        <v>8</v>
      </c>
      <c r="H195" s="486">
        <v>11.6</v>
      </c>
      <c r="I195" s="486">
        <v>12.035</v>
      </c>
      <c r="J195" s="33">
        <v>64</v>
      </c>
      <c r="K195" s="33" t="s">
        <v>101</v>
      </c>
      <c r="L195" s="33"/>
      <c r="M195" s="34" t="s">
        <v>106</v>
      </c>
      <c r="N195" s="34"/>
      <c r="O195" s="33">
        <v>55</v>
      </c>
      <c r="P195" s="6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95" s="492"/>
      <c r="R195" s="492"/>
      <c r="S195" s="492"/>
      <c r="T195" s="493"/>
      <c r="U195" s="35"/>
      <c r="V195" s="35"/>
      <c r="W195" s="36" t="s">
        <v>71</v>
      </c>
      <c r="X195" s="487">
        <v>0</v>
      </c>
      <c r="Y195" s="488">
        <f t="shared" si="25"/>
        <v>0</v>
      </c>
      <c r="Z195" s="37" t="str">
        <f>IFERROR(IF(Y195=0,"",ROUNDUP(Y195/H195,0)*0.01898),"")</f>
        <v/>
      </c>
      <c r="AA195" s="57"/>
      <c r="AB195" s="58"/>
      <c r="AC195" s="248" t="s">
        <v>337</v>
      </c>
      <c r="AG195" s="65"/>
      <c r="AJ195" s="69"/>
      <c r="AK195" s="69">
        <v>0</v>
      </c>
      <c r="BB195" s="249" t="s">
        <v>1</v>
      </c>
      <c r="BM195" s="65">
        <f t="shared" si="26"/>
        <v>0</v>
      </c>
      <c r="BN195" s="65">
        <f t="shared" si="27"/>
        <v>0</v>
      </c>
      <c r="BO195" s="65">
        <f t="shared" si="28"/>
        <v>0</v>
      </c>
      <c r="BP195" s="65">
        <f t="shared" si="29"/>
        <v>0</v>
      </c>
    </row>
    <row r="196" spans="1:68" ht="27" customHeight="1" x14ac:dyDescent="0.25">
      <c r="A196" s="55" t="s">
        <v>338</v>
      </c>
      <c r="B196" s="55" t="s">
        <v>339</v>
      </c>
      <c r="C196" s="32">
        <v>4301011824</v>
      </c>
      <c r="D196" s="494">
        <v>4680115884144</v>
      </c>
      <c r="E196" s="495"/>
      <c r="F196" s="486">
        <v>0.4</v>
      </c>
      <c r="G196" s="33">
        <v>10</v>
      </c>
      <c r="H196" s="486">
        <v>4</v>
      </c>
      <c r="I196" s="486">
        <v>4.21</v>
      </c>
      <c r="J196" s="33">
        <v>132</v>
      </c>
      <c r="K196" s="33" t="s">
        <v>110</v>
      </c>
      <c r="L196" s="33"/>
      <c r="M196" s="34" t="s">
        <v>106</v>
      </c>
      <c r="N196" s="34"/>
      <c r="O196" s="33">
        <v>55</v>
      </c>
      <c r="P196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96" s="492"/>
      <c r="R196" s="492"/>
      <c r="S196" s="492"/>
      <c r="T196" s="493"/>
      <c r="U196" s="35"/>
      <c r="V196" s="35"/>
      <c r="W196" s="36" t="s">
        <v>71</v>
      </c>
      <c r="X196" s="487">
        <v>0</v>
      </c>
      <c r="Y196" s="488">
        <f t="shared" si="25"/>
        <v>0</v>
      </c>
      <c r="Z196" s="37" t="str">
        <f>IFERROR(IF(Y196=0,"",ROUNDUP(Y196/H196,0)*0.00902),"")</f>
        <v/>
      </c>
      <c r="AA196" s="57"/>
      <c r="AB196" s="58"/>
      <c r="AC196" s="250" t="s">
        <v>331</v>
      </c>
      <c r="AG196" s="65"/>
      <c r="AJ196" s="69"/>
      <c r="AK196" s="69">
        <v>0</v>
      </c>
      <c r="BB196" s="251" t="s">
        <v>1</v>
      </c>
      <c r="BM196" s="65">
        <f t="shared" si="26"/>
        <v>0</v>
      </c>
      <c r="BN196" s="65">
        <f t="shared" si="27"/>
        <v>0</v>
      </c>
      <c r="BO196" s="65">
        <f t="shared" si="28"/>
        <v>0</v>
      </c>
      <c r="BP196" s="65">
        <f t="shared" si="29"/>
        <v>0</v>
      </c>
    </row>
    <row r="197" spans="1:68" ht="27" customHeight="1" x14ac:dyDescent="0.25">
      <c r="A197" s="55" t="s">
        <v>340</v>
      </c>
      <c r="B197" s="55" t="s">
        <v>341</v>
      </c>
      <c r="C197" s="32">
        <v>4301011963</v>
      </c>
      <c r="D197" s="494">
        <v>4680115885288</v>
      </c>
      <c r="E197" s="495"/>
      <c r="F197" s="486">
        <v>0.37</v>
      </c>
      <c r="G197" s="33">
        <v>10</v>
      </c>
      <c r="H197" s="486">
        <v>3.7</v>
      </c>
      <c r="I197" s="486">
        <v>3.91</v>
      </c>
      <c r="J197" s="33">
        <v>132</v>
      </c>
      <c r="K197" s="33" t="s">
        <v>110</v>
      </c>
      <c r="L197" s="33"/>
      <c r="M197" s="34" t="s">
        <v>106</v>
      </c>
      <c r="N197" s="34"/>
      <c r="O197" s="33">
        <v>55</v>
      </c>
      <c r="P197" s="6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97" s="492"/>
      <c r="R197" s="492"/>
      <c r="S197" s="492"/>
      <c r="T197" s="493"/>
      <c r="U197" s="35"/>
      <c r="V197" s="35"/>
      <c r="W197" s="36" t="s">
        <v>71</v>
      </c>
      <c r="X197" s="487">
        <v>0</v>
      </c>
      <c r="Y197" s="488">
        <f t="shared" si="25"/>
        <v>0</v>
      </c>
      <c r="Z197" s="37" t="str">
        <f>IFERROR(IF(Y197=0,"",ROUNDUP(Y197/H197,0)*0.00902),"")</f>
        <v/>
      </c>
      <c r="AA197" s="57"/>
      <c r="AB197" s="58"/>
      <c r="AC197" s="252" t="s">
        <v>342</v>
      </c>
      <c r="AG197" s="65"/>
      <c r="AJ197" s="69"/>
      <c r="AK197" s="69">
        <v>0</v>
      </c>
      <c r="BB197" s="253" t="s">
        <v>1</v>
      </c>
      <c r="BM197" s="65">
        <f t="shared" si="26"/>
        <v>0</v>
      </c>
      <c r="BN197" s="65">
        <f t="shared" si="27"/>
        <v>0</v>
      </c>
      <c r="BO197" s="65">
        <f t="shared" si="28"/>
        <v>0</v>
      </c>
      <c r="BP197" s="65">
        <f t="shared" si="29"/>
        <v>0</v>
      </c>
    </row>
    <row r="198" spans="1:68" ht="27" customHeight="1" x14ac:dyDescent="0.25">
      <c r="A198" s="55" t="s">
        <v>343</v>
      </c>
      <c r="B198" s="55" t="s">
        <v>344</v>
      </c>
      <c r="C198" s="32">
        <v>4301011726</v>
      </c>
      <c r="D198" s="494">
        <v>4680115884182</v>
      </c>
      <c r="E198" s="495"/>
      <c r="F198" s="486">
        <v>0.37</v>
      </c>
      <c r="G198" s="33">
        <v>10</v>
      </c>
      <c r="H198" s="486">
        <v>3.7</v>
      </c>
      <c r="I198" s="486">
        <v>3.91</v>
      </c>
      <c r="J198" s="33">
        <v>132</v>
      </c>
      <c r="K198" s="33" t="s">
        <v>110</v>
      </c>
      <c r="L198" s="33"/>
      <c r="M198" s="34" t="s">
        <v>106</v>
      </c>
      <c r="N198" s="34"/>
      <c r="O198" s="33">
        <v>55</v>
      </c>
      <c r="P198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98" s="492"/>
      <c r="R198" s="492"/>
      <c r="S198" s="492"/>
      <c r="T198" s="493"/>
      <c r="U198" s="35"/>
      <c r="V198" s="35"/>
      <c r="W198" s="36" t="s">
        <v>71</v>
      </c>
      <c r="X198" s="487">
        <v>0</v>
      </c>
      <c r="Y198" s="488">
        <f t="shared" si="25"/>
        <v>0</v>
      </c>
      <c r="Z198" s="37" t="str">
        <f>IFERROR(IF(Y198=0,"",ROUNDUP(Y198/H198,0)*0.00902),"")</f>
        <v/>
      </c>
      <c r="AA198" s="57"/>
      <c r="AB198" s="58"/>
      <c r="AC198" s="254" t="s">
        <v>334</v>
      </c>
      <c r="AG198" s="65"/>
      <c r="AJ198" s="69"/>
      <c r="AK198" s="69">
        <v>0</v>
      </c>
      <c r="BB198" s="255" t="s">
        <v>1</v>
      </c>
      <c r="BM198" s="65">
        <f t="shared" si="26"/>
        <v>0</v>
      </c>
      <c r="BN198" s="65">
        <f t="shared" si="27"/>
        <v>0</v>
      </c>
      <c r="BO198" s="65">
        <f t="shared" si="28"/>
        <v>0</v>
      </c>
      <c r="BP198" s="65">
        <f t="shared" si="29"/>
        <v>0</v>
      </c>
    </row>
    <row r="199" spans="1:68" ht="27" customHeight="1" x14ac:dyDescent="0.25">
      <c r="A199" s="55" t="s">
        <v>345</v>
      </c>
      <c r="B199" s="55" t="s">
        <v>346</v>
      </c>
      <c r="C199" s="32">
        <v>4301011722</v>
      </c>
      <c r="D199" s="494">
        <v>4680115884205</v>
      </c>
      <c r="E199" s="495"/>
      <c r="F199" s="486">
        <v>0.4</v>
      </c>
      <c r="G199" s="33">
        <v>10</v>
      </c>
      <c r="H199" s="486">
        <v>4</v>
      </c>
      <c r="I199" s="486">
        <v>4.21</v>
      </c>
      <c r="J199" s="33">
        <v>132</v>
      </c>
      <c r="K199" s="33" t="s">
        <v>110</v>
      </c>
      <c r="L199" s="33"/>
      <c r="M199" s="34" t="s">
        <v>106</v>
      </c>
      <c r="N199" s="34"/>
      <c r="O199" s="33">
        <v>55</v>
      </c>
      <c r="P199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9" s="492"/>
      <c r="R199" s="492"/>
      <c r="S199" s="492"/>
      <c r="T199" s="493"/>
      <c r="U199" s="35"/>
      <c r="V199" s="35"/>
      <c r="W199" s="36" t="s">
        <v>71</v>
      </c>
      <c r="X199" s="487">
        <v>0</v>
      </c>
      <c r="Y199" s="488">
        <f t="shared" si="25"/>
        <v>0</v>
      </c>
      <c r="Z199" s="37" t="str">
        <f>IFERROR(IF(Y199=0,"",ROUNDUP(Y199/H199,0)*0.00902),"")</f>
        <v/>
      </c>
      <c r="AA199" s="57"/>
      <c r="AB199" s="58"/>
      <c r="AC199" s="256" t="s">
        <v>337</v>
      </c>
      <c r="AG199" s="65"/>
      <c r="AJ199" s="69"/>
      <c r="AK199" s="69">
        <v>0</v>
      </c>
      <c r="BB199" s="257" t="s">
        <v>1</v>
      </c>
      <c r="BM199" s="65">
        <f t="shared" si="26"/>
        <v>0</v>
      </c>
      <c r="BN199" s="65">
        <f t="shared" si="27"/>
        <v>0</v>
      </c>
      <c r="BO199" s="65">
        <f t="shared" si="28"/>
        <v>0</v>
      </c>
      <c r="BP199" s="65">
        <f t="shared" si="29"/>
        <v>0</v>
      </c>
    </row>
    <row r="200" spans="1:68" x14ac:dyDescent="0.2">
      <c r="A200" s="505"/>
      <c r="B200" s="501"/>
      <c r="C200" s="501"/>
      <c r="D200" s="501"/>
      <c r="E200" s="501"/>
      <c r="F200" s="501"/>
      <c r="G200" s="501"/>
      <c r="H200" s="501"/>
      <c r="I200" s="501"/>
      <c r="J200" s="501"/>
      <c r="K200" s="501"/>
      <c r="L200" s="501"/>
      <c r="M200" s="501"/>
      <c r="N200" s="501"/>
      <c r="O200" s="506"/>
      <c r="P200" s="497" t="s">
        <v>88</v>
      </c>
      <c r="Q200" s="498"/>
      <c r="R200" s="498"/>
      <c r="S200" s="498"/>
      <c r="T200" s="498"/>
      <c r="U200" s="498"/>
      <c r="V200" s="499"/>
      <c r="W200" s="38" t="s">
        <v>89</v>
      </c>
      <c r="X200" s="489">
        <f>IFERROR(X193/H193,"0")+IFERROR(X194/H194,"0")+IFERROR(X195/H195,"0")+IFERROR(X196/H196,"0")+IFERROR(X197/H197,"0")+IFERROR(X198/H198,"0")+IFERROR(X199/H199,"0")</f>
        <v>0</v>
      </c>
      <c r="Y200" s="489">
        <f>IFERROR(Y193/H193,"0")+IFERROR(Y194/H194,"0")+IFERROR(Y195/H195,"0")+IFERROR(Y196/H196,"0")+IFERROR(Y197/H197,"0")+IFERROR(Y198/H198,"0")+IFERROR(Y199/H199,"0")</f>
        <v>0</v>
      </c>
      <c r="Z200" s="489">
        <f>IFERROR(IF(Z193="",0,Z193),"0")+IFERROR(IF(Z194="",0,Z194),"0")+IFERROR(IF(Z195="",0,Z195),"0")+IFERROR(IF(Z196="",0,Z196),"0")+IFERROR(IF(Z197="",0,Z197),"0")+IFERROR(IF(Z198="",0,Z198),"0")+IFERROR(IF(Z199="",0,Z199),"0")</f>
        <v>0</v>
      </c>
      <c r="AA200" s="490"/>
      <c r="AB200" s="490"/>
      <c r="AC200" s="490"/>
    </row>
    <row r="201" spans="1:68" x14ac:dyDescent="0.2">
      <c r="A201" s="501"/>
      <c r="B201" s="501"/>
      <c r="C201" s="501"/>
      <c r="D201" s="501"/>
      <c r="E201" s="501"/>
      <c r="F201" s="501"/>
      <c r="G201" s="501"/>
      <c r="H201" s="501"/>
      <c r="I201" s="501"/>
      <c r="J201" s="501"/>
      <c r="K201" s="501"/>
      <c r="L201" s="501"/>
      <c r="M201" s="501"/>
      <c r="N201" s="501"/>
      <c r="O201" s="506"/>
      <c r="P201" s="497" t="s">
        <v>88</v>
      </c>
      <c r="Q201" s="498"/>
      <c r="R201" s="498"/>
      <c r="S201" s="498"/>
      <c r="T201" s="498"/>
      <c r="U201" s="498"/>
      <c r="V201" s="499"/>
      <c r="W201" s="38" t="s">
        <v>71</v>
      </c>
      <c r="X201" s="489">
        <f>IFERROR(SUM(X193:X199),"0")</f>
        <v>0</v>
      </c>
      <c r="Y201" s="489">
        <f>IFERROR(SUM(Y193:Y199),"0")</f>
        <v>0</v>
      </c>
      <c r="Z201" s="38"/>
      <c r="AA201" s="490"/>
      <c r="AB201" s="490"/>
      <c r="AC201" s="490"/>
    </row>
    <row r="202" spans="1:68" ht="16.5" customHeight="1" x14ac:dyDescent="0.25">
      <c r="A202" s="500" t="s">
        <v>347</v>
      </c>
      <c r="B202" s="501"/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  <c r="P202" s="501"/>
      <c r="Q202" s="501"/>
      <c r="R202" s="501"/>
      <c r="S202" s="501"/>
      <c r="T202" s="501"/>
      <c r="U202" s="501"/>
      <c r="V202" s="501"/>
      <c r="W202" s="501"/>
      <c r="X202" s="501"/>
      <c r="Y202" s="501"/>
      <c r="Z202" s="501"/>
      <c r="AA202" s="482"/>
      <c r="AB202" s="482"/>
      <c r="AC202" s="482"/>
    </row>
    <row r="203" spans="1:68" ht="14.25" customHeight="1" x14ac:dyDescent="0.25">
      <c r="A203" s="512" t="s">
        <v>98</v>
      </c>
      <c r="B203" s="501"/>
      <c r="C203" s="501"/>
      <c r="D203" s="501"/>
      <c r="E203" s="501"/>
      <c r="F203" s="501"/>
      <c r="G203" s="501"/>
      <c r="H203" s="501"/>
      <c r="I203" s="501"/>
      <c r="J203" s="501"/>
      <c r="K203" s="501"/>
      <c r="L203" s="501"/>
      <c r="M203" s="501"/>
      <c r="N203" s="501"/>
      <c r="O203" s="501"/>
      <c r="P203" s="501"/>
      <c r="Q203" s="501"/>
      <c r="R203" s="501"/>
      <c r="S203" s="501"/>
      <c r="T203" s="501"/>
      <c r="U203" s="501"/>
      <c r="V203" s="501"/>
      <c r="W203" s="501"/>
      <c r="X203" s="501"/>
      <c r="Y203" s="501"/>
      <c r="Z203" s="501"/>
      <c r="AA203" s="483"/>
      <c r="AB203" s="483"/>
      <c r="AC203" s="483"/>
    </row>
    <row r="204" spans="1:68" ht="27" customHeight="1" x14ac:dyDescent="0.25">
      <c r="A204" s="55" t="s">
        <v>348</v>
      </c>
      <c r="B204" s="55" t="s">
        <v>349</v>
      </c>
      <c r="C204" s="32">
        <v>4301011855</v>
      </c>
      <c r="D204" s="494">
        <v>4680115885837</v>
      </c>
      <c r="E204" s="495"/>
      <c r="F204" s="486">
        <v>1.35</v>
      </c>
      <c r="G204" s="33">
        <v>8</v>
      </c>
      <c r="H204" s="486">
        <v>10.8</v>
      </c>
      <c r="I204" s="486">
        <v>11.234999999999999</v>
      </c>
      <c r="J204" s="33">
        <v>64</v>
      </c>
      <c r="K204" s="33" t="s">
        <v>101</v>
      </c>
      <c r="L204" s="33"/>
      <c r="M204" s="34" t="s">
        <v>106</v>
      </c>
      <c r="N204" s="34"/>
      <c r="O204" s="33">
        <v>55</v>
      </c>
      <c r="P204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04" s="492"/>
      <c r="R204" s="492"/>
      <c r="S204" s="492"/>
      <c r="T204" s="493"/>
      <c r="U204" s="35"/>
      <c r="V204" s="35"/>
      <c r="W204" s="36" t="s">
        <v>71</v>
      </c>
      <c r="X204" s="487">
        <v>0</v>
      </c>
      <c r="Y204" s="48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58" t="s">
        <v>350</v>
      </c>
      <c r="AG204" s="65"/>
      <c r="AJ204" s="69"/>
      <c r="AK204" s="69">
        <v>0</v>
      </c>
      <c r="BB204" s="259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ht="27" customHeight="1" x14ac:dyDescent="0.25">
      <c r="A205" s="55" t="s">
        <v>351</v>
      </c>
      <c r="B205" s="55" t="s">
        <v>352</v>
      </c>
      <c r="C205" s="32">
        <v>4301011850</v>
      </c>
      <c r="D205" s="494">
        <v>4680115885806</v>
      </c>
      <c r="E205" s="495"/>
      <c r="F205" s="486">
        <v>1.35</v>
      </c>
      <c r="G205" s="33">
        <v>8</v>
      </c>
      <c r="H205" s="486">
        <v>10.8</v>
      </c>
      <c r="I205" s="486">
        <v>11.234999999999999</v>
      </c>
      <c r="J205" s="33">
        <v>64</v>
      </c>
      <c r="K205" s="33" t="s">
        <v>101</v>
      </c>
      <c r="L205" s="33"/>
      <c r="M205" s="34" t="s">
        <v>106</v>
      </c>
      <c r="N205" s="34"/>
      <c r="O205" s="33">
        <v>55</v>
      </c>
      <c r="P205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05" s="492"/>
      <c r="R205" s="492"/>
      <c r="S205" s="492"/>
      <c r="T205" s="493"/>
      <c r="U205" s="35"/>
      <c r="V205" s="35"/>
      <c r="W205" s="36" t="s">
        <v>71</v>
      </c>
      <c r="X205" s="487">
        <v>0</v>
      </c>
      <c r="Y205" s="48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60" t="s">
        <v>353</v>
      </c>
      <c r="AG205" s="65"/>
      <c r="AJ205" s="69"/>
      <c r="AK205" s="69">
        <v>0</v>
      </c>
      <c r="BB205" s="261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37.5" customHeight="1" x14ac:dyDescent="0.25">
      <c r="A206" s="55" t="s">
        <v>354</v>
      </c>
      <c r="B206" s="55" t="s">
        <v>355</v>
      </c>
      <c r="C206" s="32">
        <v>4301011853</v>
      </c>
      <c r="D206" s="494">
        <v>4680115885851</v>
      </c>
      <c r="E206" s="495"/>
      <c r="F206" s="486">
        <v>1.35</v>
      </c>
      <c r="G206" s="33">
        <v>8</v>
      </c>
      <c r="H206" s="486">
        <v>10.8</v>
      </c>
      <c r="I206" s="486">
        <v>11.234999999999999</v>
      </c>
      <c r="J206" s="33">
        <v>64</v>
      </c>
      <c r="K206" s="33" t="s">
        <v>101</v>
      </c>
      <c r="L206" s="33"/>
      <c r="M206" s="34" t="s">
        <v>106</v>
      </c>
      <c r="N206" s="34"/>
      <c r="O206" s="33">
        <v>55</v>
      </c>
      <c r="P206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06" s="492"/>
      <c r="R206" s="492"/>
      <c r="S206" s="492"/>
      <c r="T206" s="493"/>
      <c r="U206" s="35"/>
      <c r="V206" s="35"/>
      <c r="W206" s="36" t="s">
        <v>71</v>
      </c>
      <c r="X206" s="487">
        <v>0</v>
      </c>
      <c r="Y206" s="48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62" t="s">
        <v>356</v>
      </c>
      <c r="AG206" s="65"/>
      <c r="AJ206" s="69"/>
      <c r="AK206" s="69">
        <v>0</v>
      </c>
      <c r="BB206" s="263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357</v>
      </c>
      <c r="B207" s="55" t="s">
        <v>358</v>
      </c>
      <c r="C207" s="32">
        <v>4301011852</v>
      </c>
      <c r="D207" s="494">
        <v>4680115885844</v>
      </c>
      <c r="E207" s="495"/>
      <c r="F207" s="486">
        <v>0.4</v>
      </c>
      <c r="G207" s="33">
        <v>10</v>
      </c>
      <c r="H207" s="486">
        <v>4</v>
      </c>
      <c r="I207" s="486">
        <v>4.21</v>
      </c>
      <c r="J207" s="33">
        <v>132</v>
      </c>
      <c r="K207" s="33" t="s">
        <v>110</v>
      </c>
      <c r="L207" s="33"/>
      <c r="M207" s="34" t="s">
        <v>106</v>
      </c>
      <c r="N207" s="34"/>
      <c r="O207" s="33">
        <v>55</v>
      </c>
      <c r="P207" s="6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07" s="492"/>
      <c r="R207" s="492"/>
      <c r="S207" s="492"/>
      <c r="T207" s="493"/>
      <c r="U207" s="35"/>
      <c r="V207" s="35"/>
      <c r="W207" s="36" t="s">
        <v>71</v>
      </c>
      <c r="X207" s="487">
        <v>0</v>
      </c>
      <c r="Y207" s="488">
        <f>IFERROR(IF(X207="",0,CEILING((X207/$H207),1)*$H207),"")</f>
        <v>0</v>
      </c>
      <c r="Z207" s="37" t="str">
        <f>IFERROR(IF(Y207=0,"",ROUNDUP(Y207/H207,0)*0.00902),"")</f>
        <v/>
      </c>
      <c r="AA207" s="57"/>
      <c r="AB207" s="58"/>
      <c r="AC207" s="264" t="s">
        <v>359</v>
      </c>
      <c r="AG207" s="65"/>
      <c r="AJ207" s="69"/>
      <c r="AK207" s="69">
        <v>0</v>
      </c>
      <c r="BB207" s="265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360</v>
      </c>
      <c r="B208" s="55" t="s">
        <v>361</v>
      </c>
      <c r="C208" s="32">
        <v>4301011851</v>
      </c>
      <c r="D208" s="494">
        <v>4680115885820</v>
      </c>
      <c r="E208" s="495"/>
      <c r="F208" s="486">
        <v>0.4</v>
      </c>
      <c r="G208" s="33">
        <v>10</v>
      </c>
      <c r="H208" s="486">
        <v>4</v>
      </c>
      <c r="I208" s="486">
        <v>4.21</v>
      </c>
      <c r="J208" s="33">
        <v>132</v>
      </c>
      <c r="K208" s="33" t="s">
        <v>110</v>
      </c>
      <c r="L208" s="33"/>
      <c r="M208" s="34" t="s">
        <v>106</v>
      </c>
      <c r="N208" s="34"/>
      <c r="O208" s="33">
        <v>55</v>
      </c>
      <c r="P208" s="6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08" s="492"/>
      <c r="R208" s="492"/>
      <c r="S208" s="492"/>
      <c r="T208" s="493"/>
      <c r="U208" s="35"/>
      <c r="V208" s="35"/>
      <c r="W208" s="36" t="s">
        <v>71</v>
      </c>
      <c r="X208" s="487">
        <v>100</v>
      </c>
      <c r="Y208" s="488">
        <f>IFERROR(IF(X208="",0,CEILING((X208/$H208),1)*$H208),"")</f>
        <v>100</v>
      </c>
      <c r="Z208" s="37">
        <f>IFERROR(IF(Y208=0,"",ROUNDUP(Y208/H208,0)*0.00902),"")</f>
        <v>0.22550000000000001</v>
      </c>
      <c r="AA208" s="57"/>
      <c r="AB208" s="58"/>
      <c r="AC208" s="266" t="s">
        <v>362</v>
      </c>
      <c r="AG208" s="65"/>
      <c r="AJ208" s="69"/>
      <c r="AK208" s="69">
        <v>0</v>
      </c>
      <c r="BB208" s="267" t="s">
        <v>1</v>
      </c>
      <c r="BM208" s="65">
        <f>IFERROR(X208*I208/H208,"0")</f>
        <v>105.25</v>
      </c>
      <c r="BN208" s="65">
        <f>IFERROR(Y208*I208/H208,"0")</f>
        <v>105.25</v>
      </c>
      <c r="BO208" s="65">
        <f>IFERROR(1/J208*(X208/H208),"0")</f>
        <v>0.18939393939393939</v>
      </c>
      <c r="BP208" s="65">
        <f>IFERROR(1/J208*(Y208/H208),"0")</f>
        <v>0.18939393939393939</v>
      </c>
    </row>
    <row r="209" spans="1:68" x14ac:dyDescent="0.2">
      <c r="A209" s="505"/>
      <c r="B209" s="501"/>
      <c r="C209" s="501"/>
      <c r="D209" s="501"/>
      <c r="E209" s="501"/>
      <c r="F209" s="501"/>
      <c r="G209" s="501"/>
      <c r="H209" s="501"/>
      <c r="I209" s="501"/>
      <c r="J209" s="501"/>
      <c r="K209" s="501"/>
      <c r="L209" s="501"/>
      <c r="M209" s="501"/>
      <c r="N209" s="501"/>
      <c r="O209" s="506"/>
      <c r="P209" s="497" t="s">
        <v>88</v>
      </c>
      <c r="Q209" s="498"/>
      <c r="R209" s="498"/>
      <c r="S209" s="498"/>
      <c r="T209" s="498"/>
      <c r="U209" s="498"/>
      <c r="V209" s="499"/>
      <c r="W209" s="38" t="s">
        <v>89</v>
      </c>
      <c r="X209" s="489">
        <f>IFERROR(X204/H204,"0")+IFERROR(X205/H205,"0")+IFERROR(X206/H206,"0")+IFERROR(X207/H207,"0")+IFERROR(X208/H208,"0")</f>
        <v>25</v>
      </c>
      <c r="Y209" s="489">
        <f>IFERROR(Y204/H204,"0")+IFERROR(Y205/H205,"0")+IFERROR(Y206/H206,"0")+IFERROR(Y207/H207,"0")+IFERROR(Y208/H208,"0")</f>
        <v>25</v>
      </c>
      <c r="Z209" s="489">
        <f>IFERROR(IF(Z204="",0,Z204),"0")+IFERROR(IF(Z205="",0,Z205),"0")+IFERROR(IF(Z206="",0,Z206),"0")+IFERROR(IF(Z207="",0,Z207),"0")+IFERROR(IF(Z208="",0,Z208),"0")</f>
        <v>0.22550000000000001</v>
      </c>
      <c r="AA209" s="490"/>
      <c r="AB209" s="490"/>
      <c r="AC209" s="490"/>
    </row>
    <row r="210" spans="1:68" x14ac:dyDescent="0.2">
      <c r="A210" s="501"/>
      <c r="B210" s="501"/>
      <c r="C210" s="501"/>
      <c r="D210" s="501"/>
      <c r="E210" s="501"/>
      <c r="F210" s="501"/>
      <c r="G210" s="501"/>
      <c r="H210" s="501"/>
      <c r="I210" s="501"/>
      <c r="J210" s="501"/>
      <c r="K210" s="501"/>
      <c r="L210" s="501"/>
      <c r="M210" s="501"/>
      <c r="N210" s="501"/>
      <c r="O210" s="506"/>
      <c r="P210" s="497" t="s">
        <v>88</v>
      </c>
      <c r="Q210" s="498"/>
      <c r="R210" s="498"/>
      <c r="S210" s="498"/>
      <c r="T210" s="498"/>
      <c r="U210" s="498"/>
      <c r="V210" s="499"/>
      <c r="W210" s="38" t="s">
        <v>71</v>
      </c>
      <c r="X210" s="489">
        <f>IFERROR(SUM(X204:X208),"0")</f>
        <v>100</v>
      </c>
      <c r="Y210" s="489">
        <f>IFERROR(SUM(Y204:Y208),"0")</f>
        <v>100</v>
      </c>
      <c r="Z210" s="38"/>
      <c r="AA210" s="490"/>
      <c r="AB210" s="490"/>
      <c r="AC210" s="490"/>
    </row>
    <row r="211" spans="1:68" ht="16.5" customHeight="1" x14ac:dyDescent="0.25">
      <c r="A211" s="500" t="s">
        <v>363</v>
      </c>
      <c r="B211" s="501"/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  <c r="P211" s="501"/>
      <c r="Q211" s="501"/>
      <c r="R211" s="501"/>
      <c r="S211" s="501"/>
      <c r="T211" s="501"/>
      <c r="U211" s="501"/>
      <c r="V211" s="501"/>
      <c r="W211" s="501"/>
      <c r="X211" s="501"/>
      <c r="Y211" s="501"/>
      <c r="Z211" s="501"/>
      <c r="AA211" s="482"/>
      <c r="AB211" s="482"/>
      <c r="AC211" s="482"/>
    </row>
    <row r="212" spans="1:68" ht="14.25" customHeight="1" x14ac:dyDescent="0.25">
      <c r="A212" s="512" t="s">
        <v>98</v>
      </c>
      <c r="B212" s="501"/>
      <c r="C212" s="501"/>
      <c r="D212" s="501"/>
      <c r="E212" s="501"/>
      <c r="F212" s="501"/>
      <c r="G212" s="501"/>
      <c r="H212" s="501"/>
      <c r="I212" s="501"/>
      <c r="J212" s="501"/>
      <c r="K212" s="501"/>
      <c r="L212" s="501"/>
      <c r="M212" s="501"/>
      <c r="N212" s="501"/>
      <c r="O212" s="501"/>
      <c r="P212" s="501"/>
      <c r="Q212" s="501"/>
      <c r="R212" s="501"/>
      <c r="S212" s="501"/>
      <c r="T212" s="501"/>
      <c r="U212" s="501"/>
      <c r="V212" s="501"/>
      <c r="W212" s="501"/>
      <c r="X212" s="501"/>
      <c r="Y212" s="501"/>
      <c r="Z212" s="501"/>
      <c r="AA212" s="483"/>
      <c r="AB212" s="483"/>
      <c r="AC212" s="483"/>
    </row>
    <row r="213" spans="1:68" ht="27" customHeight="1" x14ac:dyDescent="0.25">
      <c r="A213" s="55" t="s">
        <v>364</v>
      </c>
      <c r="B213" s="55" t="s">
        <v>365</v>
      </c>
      <c r="C213" s="32">
        <v>4301011223</v>
      </c>
      <c r="D213" s="494">
        <v>4607091383423</v>
      </c>
      <c r="E213" s="495"/>
      <c r="F213" s="486">
        <v>1.35</v>
      </c>
      <c r="G213" s="33">
        <v>8</v>
      </c>
      <c r="H213" s="486">
        <v>10.8</v>
      </c>
      <c r="I213" s="486">
        <v>11.331</v>
      </c>
      <c r="J213" s="33">
        <v>64</v>
      </c>
      <c r="K213" s="33" t="s">
        <v>101</v>
      </c>
      <c r="L213" s="33"/>
      <c r="M213" s="34" t="s">
        <v>102</v>
      </c>
      <c r="N213" s="34"/>
      <c r="O213" s="33">
        <v>35</v>
      </c>
      <c r="P213" s="5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13" s="492"/>
      <c r="R213" s="492"/>
      <c r="S213" s="492"/>
      <c r="T213" s="493"/>
      <c r="U213" s="35"/>
      <c r="V213" s="35"/>
      <c r="W213" s="36" t="s">
        <v>71</v>
      </c>
      <c r="X213" s="487">
        <v>0</v>
      </c>
      <c r="Y213" s="488">
        <f>IFERROR(IF(X213="",0,CEILING((X213/$H213),1)*$H213),"")</f>
        <v>0</v>
      </c>
      <c r="Z213" s="37" t="str">
        <f>IFERROR(IF(Y213=0,"",ROUNDUP(Y213/H213,0)*0.01898),"")</f>
        <v/>
      </c>
      <c r="AA213" s="57"/>
      <c r="AB213" s="58"/>
      <c r="AC213" s="268" t="s">
        <v>111</v>
      </c>
      <c r="AG213" s="65"/>
      <c r="AJ213" s="69"/>
      <c r="AK213" s="69">
        <v>0</v>
      </c>
      <c r="BB213" s="269" t="s">
        <v>1</v>
      </c>
      <c r="BM213" s="65">
        <f>IFERROR(X213*I213/H213,"0")</f>
        <v>0</v>
      </c>
      <c r="BN213" s="65">
        <f>IFERROR(Y213*I213/H213,"0")</f>
        <v>0</v>
      </c>
      <c r="BO213" s="65">
        <f>IFERROR(1/J213*(X213/H213),"0")</f>
        <v>0</v>
      </c>
      <c r="BP213" s="65">
        <f>IFERROR(1/J213*(Y213/H213),"0")</f>
        <v>0</v>
      </c>
    </row>
    <row r="214" spans="1:68" x14ac:dyDescent="0.2">
      <c r="A214" s="505"/>
      <c r="B214" s="501"/>
      <c r="C214" s="501"/>
      <c r="D214" s="501"/>
      <c r="E214" s="501"/>
      <c r="F214" s="501"/>
      <c r="G214" s="501"/>
      <c r="H214" s="501"/>
      <c r="I214" s="501"/>
      <c r="J214" s="501"/>
      <c r="K214" s="501"/>
      <c r="L214" s="501"/>
      <c r="M214" s="501"/>
      <c r="N214" s="501"/>
      <c r="O214" s="506"/>
      <c r="P214" s="497" t="s">
        <v>88</v>
      </c>
      <c r="Q214" s="498"/>
      <c r="R214" s="498"/>
      <c r="S214" s="498"/>
      <c r="T214" s="498"/>
      <c r="U214" s="498"/>
      <c r="V214" s="499"/>
      <c r="W214" s="38" t="s">
        <v>89</v>
      </c>
      <c r="X214" s="489">
        <f>IFERROR(X213/H213,"0")</f>
        <v>0</v>
      </c>
      <c r="Y214" s="489">
        <f>IFERROR(Y213/H213,"0")</f>
        <v>0</v>
      </c>
      <c r="Z214" s="489">
        <f>IFERROR(IF(Z213="",0,Z213),"0")</f>
        <v>0</v>
      </c>
      <c r="AA214" s="490"/>
      <c r="AB214" s="490"/>
      <c r="AC214" s="490"/>
    </row>
    <row r="215" spans="1:68" x14ac:dyDescent="0.2">
      <c r="A215" s="501"/>
      <c r="B215" s="501"/>
      <c r="C215" s="501"/>
      <c r="D215" s="501"/>
      <c r="E215" s="501"/>
      <c r="F215" s="501"/>
      <c r="G215" s="501"/>
      <c r="H215" s="501"/>
      <c r="I215" s="501"/>
      <c r="J215" s="501"/>
      <c r="K215" s="501"/>
      <c r="L215" s="501"/>
      <c r="M215" s="501"/>
      <c r="N215" s="501"/>
      <c r="O215" s="506"/>
      <c r="P215" s="497" t="s">
        <v>88</v>
      </c>
      <c r="Q215" s="498"/>
      <c r="R215" s="498"/>
      <c r="S215" s="498"/>
      <c r="T215" s="498"/>
      <c r="U215" s="498"/>
      <c r="V215" s="499"/>
      <c r="W215" s="38" t="s">
        <v>71</v>
      </c>
      <c r="X215" s="489">
        <f>IFERROR(SUM(X213:X213),"0")</f>
        <v>0</v>
      </c>
      <c r="Y215" s="489">
        <f>IFERROR(SUM(Y213:Y213),"0")</f>
        <v>0</v>
      </c>
      <c r="Z215" s="38"/>
      <c r="AA215" s="490"/>
      <c r="AB215" s="490"/>
      <c r="AC215" s="490"/>
    </row>
    <row r="216" spans="1:68" ht="16.5" customHeight="1" x14ac:dyDescent="0.25">
      <c r="A216" s="500" t="s">
        <v>366</v>
      </c>
      <c r="B216" s="501"/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  <c r="P216" s="501"/>
      <c r="Q216" s="501"/>
      <c r="R216" s="501"/>
      <c r="S216" s="501"/>
      <c r="T216" s="501"/>
      <c r="U216" s="501"/>
      <c r="V216" s="501"/>
      <c r="W216" s="501"/>
      <c r="X216" s="501"/>
      <c r="Y216" s="501"/>
      <c r="Z216" s="501"/>
      <c r="AA216" s="482"/>
      <c r="AB216" s="482"/>
      <c r="AC216" s="482"/>
    </row>
    <row r="217" spans="1:68" ht="14.25" customHeight="1" x14ac:dyDescent="0.25">
      <c r="A217" s="512" t="s">
        <v>66</v>
      </c>
      <c r="B217" s="501"/>
      <c r="C217" s="501"/>
      <c r="D217" s="501"/>
      <c r="E217" s="501"/>
      <c r="F217" s="501"/>
      <c r="G217" s="501"/>
      <c r="H217" s="501"/>
      <c r="I217" s="501"/>
      <c r="J217" s="501"/>
      <c r="K217" s="501"/>
      <c r="L217" s="501"/>
      <c r="M217" s="501"/>
      <c r="N217" s="501"/>
      <c r="O217" s="501"/>
      <c r="P217" s="501"/>
      <c r="Q217" s="501"/>
      <c r="R217" s="501"/>
      <c r="S217" s="501"/>
      <c r="T217" s="501"/>
      <c r="U217" s="501"/>
      <c r="V217" s="501"/>
      <c r="W217" s="501"/>
      <c r="X217" s="501"/>
      <c r="Y217" s="501"/>
      <c r="Z217" s="501"/>
      <c r="AA217" s="483"/>
      <c r="AB217" s="483"/>
      <c r="AC217" s="483"/>
    </row>
    <row r="218" spans="1:68" ht="37.5" customHeight="1" x14ac:dyDescent="0.25">
      <c r="A218" s="55" t="s">
        <v>367</v>
      </c>
      <c r="B218" s="55" t="s">
        <v>368</v>
      </c>
      <c r="C218" s="32">
        <v>4301051409</v>
      </c>
      <c r="D218" s="494">
        <v>4680115881556</v>
      </c>
      <c r="E218" s="495"/>
      <c r="F218" s="486">
        <v>1</v>
      </c>
      <c r="G218" s="33">
        <v>4</v>
      </c>
      <c r="H218" s="486">
        <v>4</v>
      </c>
      <c r="I218" s="486">
        <v>4.4080000000000004</v>
      </c>
      <c r="J218" s="33">
        <v>104</v>
      </c>
      <c r="K218" s="33" t="s">
        <v>101</v>
      </c>
      <c r="L218" s="33"/>
      <c r="M218" s="34" t="s">
        <v>102</v>
      </c>
      <c r="N218" s="34"/>
      <c r="O218" s="33">
        <v>45</v>
      </c>
      <c r="P218" s="7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18" s="492"/>
      <c r="R218" s="492"/>
      <c r="S218" s="492"/>
      <c r="T218" s="493"/>
      <c r="U218" s="35"/>
      <c r="V218" s="35"/>
      <c r="W218" s="36" t="s">
        <v>71</v>
      </c>
      <c r="X218" s="487"/>
      <c r="Y218" s="488">
        <f>IFERROR(IF(X218="",0,CEILING((X218/$H218),1)*$H218),"")</f>
        <v>0</v>
      </c>
      <c r="Z218" s="37" t="str">
        <f>IFERROR(IF(Y218=0,"",ROUNDUP(Y218/H218,0)*0.01196),"")</f>
        <v/>
      </c>
      <c r="AA218" s="57"/>
      <c r="AB218" s="58"/>
      <c r="AC218" s="270" t="s">
        <v>369</v>
      </c>
      <c r="AG218" s="65"/>
      <c r="AJ218" s="69"/>
      <c r="AK218" s="69">
        <v>0</v>
      </c>
      <c r="BB218" s="271" t="s">
        <v>1</v>
      </c>
      <c r="BM218" s="65">
        <f>IFERROR(X218*I218/H218,"0")</f>
        <v>0</v>
      </c>
      <c r="BN218" s="65">
        <f>IFERROR(Y218*I218/H218,"0")</f>
        <v>0</v>
      </c>
      <c r="BO218" s="65">
        <f>IFERROR(1/J218*(X218/H218),"0")</f>
        <v>0</v>
      </c>
      <c r="BP218" s="65">
        <f>IFERROR(1/J218*(Y218/H218),"0")</f>
        <v>0</v>
      </c>
    </row>
    <row r="219" spans="1:68" ht="37.5" customHeight="1" x14ac:dyDescent="0.25">
      <c r="A219" s="55" t="s">
        <v>370</v>
      </c>
      <c r="B219" s="55" t="s">
        <v>371</v>
      </c>
      <c r="C219" s="32">
        <v>4301051384</v>
      </c>
      <c r="D219" s="494">
        <v>4680115881211</v>
      </c>
      <c r="E219" s="495"/>
      <c r="F219" s="486">
        <v>0.4</v>
      </c>
      <c r="G219" s="33">
        <v>6</v>
      </c>
      <c r="H219" s="486">
        <v>2.4</v>
      </c>
      <c r="I219" s="486">
        <v>2.58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45</v>
      </c>
      <c r="P219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19" s="492"/>
      <c r="R219" s="492"/>
      <c r="S219" s="492"/>
      <c r="T219" s="493"/>
      <c r="U219" s="35"/>
      <c r="V219" s="35"/>
      <c r="W219" s="36" t="s">
        <v>71</v>
      </c>
      <c r="X219" s="487">
        <v>0</v>
      </c>
      <c r="Y219" s="488">
        <f>IFERROR(IF(X219="",0,CEILING((X219/$H219),1)*$H219),"")</f>
        <v>0</v>
      </c>
      <c r="Z219" s="37" t="str">
        <f>IFERROR(IF(Y219=0,"",ROUNDUP(Y219/H219,0)*0.00651),"")</f>
        <v/>
      </c>
      <c r="AA219" s="57"/>
      <c r="AB219" s="58"/>
      <c r="AC219" s="272" t="s">
        <v>369</v>
      </c>
      <c r="AG219" s="65"/>
      <c r="AJ219" s="69"/>
      <c r="AK219" s="69">
        <v>0</v>
      </c>
      <c r="BB219" s="273" t="s">
        <v>1</v>
      </c>
      <c r="BM219" s="65">
        <f>IFERROR(X219*I219/H219,"0")</f>
        <v>0</v>
      </c>
      <c r="BN219" s="65">
        <f>IFERROR(Y219*I219/H219,"0")</f>
        <v>0</v>
      </c>
      <c r="BO219" s="65">
        <f>IFERROR(1/J219*(X219/H219),"0")</f>
        <v>0</v>
      </c>
      <c r="BP219" s="65">
        <f>IFERROR(1/J219*(Y219/H219),"0")</f>
        <v>0</v>
      </c>
    </row>
    <row r="220" spans="1:68" ht="37.5" customHeight="1" x14ac:dyDescent="0.25">
      <c r="A220" s="55" t="s">
        <v>372</v>
      </c>
      <c r="B220" s="55" t="s">
        <v>373</v>
      </c>
      <c r="C220" s="32">
        <v>4301051378</v>
      </c>
      <c r="D220" s="494">
        <v>4680115881020</v>
      </c>
      <c r="E220" s="495"/>
      <c r="F220" s="486">
        <v>0.84</v>
      </c>
      <c r="G220" s="33">
        <v>4</v>
      </c>
      <c r="H220" s="486">
        <v>3.36</v>
      </c>
      <c r="I220" s="486">
        <v>3.57</v>
      </c>
      <c r="J220" s="33">
        <v>120</v>
      </c>
      <c r="K220" s="33" t="s">
        <v>110</v>
      </c>
      <c r="L220" s="33"/>
      <c r="M220" s="34" t="s">
        <v>70</v>
      </c>
      <c r="N220" s="34"/>
      <c r="O220" s="33">
        <v>45</v>
      </c>
      <c r="P220" s="5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20" s="492"/>
      <c r="R220" s="492"/>
      <c r="S220" s="492"/>
      <c r="T220" s="493"/>
      <c r="U220" s="35"/>
      <c r="V220" s="35"/>
      <c r="W220" s="36" t="s">
        <v>71</v>
      </c>
      <c r="X220" s="487">
        <v>0</v>
      </c>
      <c r="Y220" s="488">
        <f>IFERROR(IF(X220="",0,CEILING((X220/$H220),1)*$H220),"")</f>
        <v>0</v>
      </c>
      <c r="Z220" s="37" t="str">
        <f>IFERROR(IF(Y220=0,"",ROUNDUP(Y220/H220,0)*0.00937),"")</f>
        <v/>
      </c>
      <c r="AA220" s="57"/>
      <c r="AB220" s="58"/>
      <c r="AC220" s="274" t="s">
        <v>374</v>
      </c>
      <c r="AG220" s="65"/>
      <c r="AJ220" s="69"/>
      <c r="AK220" s="69">
        <v>0</v>
      </c>
      <c r="BB220" s="275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x14ac:dyDescent="0.2">
      <c r="A221" s="505"/>
      <c r="B221" s="501"/>
      <c r="C221" s="501"/>
      <c r="D221" s="501"/>
      <c r="E221" s="501"/>
      <c r="F221" s="501"/>
      <c r="G221" s="501"/>
      <c r="H221" s="501"/>
      <c r="I221" s="501"/>
      <c r="J221" s="501"/>
      <c r="K221" s="501"/>
      <c r="L221" s="501"/>
      <c r="M221" s="501"/>
      <c r="N221" s="501"/>
      <c r="O221" s="506"/>
      <c r="P221" s="497" t="s">
        <v>88</v>
      </c>
      <c r="Q221" s="498"/>
      <c r="R221" s="498"/>
      <c r="S221" s="498"/>
      <c r="T221" s="498"/>
      <c r="U221" s="498"/>
      <c r="V221" s="499"/>
      <c r="W221" s="38" t="s">
        <v>89</v>
      </c>
      <c r="X221" s="489">
        <f>IFERROR(X218/H218,"0")+IFERROR(X219/H219,"0")+IFERROR(X220/H220,"0")</f>
        <v>0</v>
      </c>
      <c r="Y221" s="489">
        <f>IFERROR(Y218/H218,"0")+IFERROR(Y219/H219,"0")+IFERROR(Y220/H220,"0")</f>
        <v>0</v>
      </c>
      <c r="Z221" s="489">
        <f>IFERROR(IF(Z218="",0,Z218),"0")+IFERROR(IF(Z219="",0,Z219),"0")+IFERROR(IF(Z220="",0,Z220),"0")</f>
        <v>0</v>
      </c>
      <c r="AA221" s="490"/>
      <c r="AB221" s="490"/>
      <c r="AC221" s="490"/>
    </row>
    <row r="222" spans="1:68" x14ac:dyDescent="0.2">
      <c r="A222" s="501"/>
      <c r="B222" s="501"/>
      <c r="C222" s="501"/>
      <c r="D222" s="501"/>
      <c r="E222" s="501"/>
      <c r="F222" s="501"/>
      <c r="G222" s="501"/>
      <c r="H222" s="501"/>
      <c r="I222" s="501"/>
      <c r="J222" s="501"/>
      <c r="K222" s="501"/>
      <c r="L222" s="501"/>
      <c r="M222" s="501"/>
      <c r="N222" s="501"/>
      <c r="O222" s="506"/>
      <c r="P222" s="497" t="s">
        <v>88</v>
      </c>
      <c r="Q222" s="498"/>
      <c r="R222" s="498"/>
      <c r="S222" s="498"/>
      <c r="T222" s="498"/>
      <c r="U222" s="498"/>
      <c r="V222" s="499"/>
      <c r="W222" s="38" t="s">
        <v>71</v>
      </c>
      <c r="X222" s="489">
        <f>IFERROR(SUM(X218:X220),"0")</f>
        <v>0</v>
      </c>
      <c r="Y222" s="489">
        <f>IFERROR(SUM(Y218:Y220),"0")</f>
        <v>0</v>
      </c>
      <c r="Z222" s="38"/>
      <c r="AA222" s="490"/>
      <c r="AB222" s="490"/>
      <c r="AC222" s="490"/>
    </row>
    <row r="223" spans="1:68" ht="16.5" customHeight="1" x14ac:dyDescent="0.25">
      <c r="A223" s="500" t="s">
        <v>375</v>
      </c>
      <c r="B223" s="501"/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  <c r="P223" s="501"/>
      <c r="Q223" s="501"/>
      <c r="R223" s="501"/>
      <c r="S223" s="501"/>
      <c r="T223" s="501"/>
      <c r="U223" s="501"/>
      <c r="V223" s="501"/>
      <c r="W223" s="501"/>
      <c r="X223" s="501"/>
      <c r="Y223" s="501"/>
      <c r="Z223" s="501"/>
      <c r="AA223" s="482"/>
      <c r="AB223" s="482"/>
      <c r="AC223" s="482"/>
    </row>
    <row r="224" spans="1:68" ht="14.25" customHeight="1" x14ac:dyDescent="0.25">
      <c r="A224" s="512" t="s">
        <v>66</v>
      </c>
      <c r="B224" s="501"/>
      <c r="C224" s="501"/>
      <c r="D224" s="501"/>
      <c r="E224" s="501"/>
      <c r="F224" s="501"/>
      <c r="G224" s="501"/>
      <c r="H224" s="501"/>
      <c r="I224" s="501"/>
      <c r="J224" s="501"/>
      <c r="K224" s="501"/>
      <c r="L224" s="501"/>
      <c r="M224" s="501"/>
      <c r="N224" s="501"/>
      <c r="O224" s="501"/>
      <c r="P224" s="501"/>
      <c r="Q224" s="501"/>
      <c r="R224" s="501"/>
      <c r="S224" s="501"/>
      <c r="T224" s="501"/>
      <c r="U224" s="501"/>
      <c r="V224" s="501"/>
      <c r="W224" s="501"/>
      <c r="X224" s="501"/>
      <c r="Y224" s="501"/>
      <c r="Z224" s="501"/>
      <c r="AA224" s="483"/>
      <c r="AB224" s="483"/>
      <c r="AC224" s="483"/>
    </row>
    <row r="225" spans="1:68" ht="27" customHeight="1" x14ac:dyDescent="0.25">
      <c r="A225" s="55" t="s">
        <v>376</v>
      </c>
      <c r="B225" s="55" t="s">
        <v>377</v>
      </c>
      <c r="C225" s="32">
        <v>4301051524</v>
      </c>
      <c r="D225" s="494">
        <v>4680115883062</v>
      </c>
      <c r="E225" s="495"/>
      <c r="F225" s="486">
        <v>0.4</v>
      </c>
      <c r="G225" s="33">
        <v>6</v>
      </c>
      <c r="H225" s="486">
        <v>2.4</v>
      </c>
      <c r="I225" s="486">
        <v>2.6520000000000001</v>
      </c>
      <c r="J225" s="33">
        <v>182</v>
      </c>
      <c r="K225" s="33" t="s">
        <v>69</v>
      </c>
      <c r="L225" s="33"/>
      <c r="M225" s="34" t="s">
        <v>133</v>
      </c>
      <c r="N225" s="34"/>
      <c r="O225" s="33">
        <v>45</v>
      </c>
      <c r="P225" s="70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25" s="492"/>
      <c r="R225" s="492"/>
      <c r="S225" s="492"/>
      <c r="T225" s="493"/>
      <c r="U225" s="35"/>
      <c r="V225" s="35"/>
      <c r="W225" s="36" t="s">
        <v>71</v>
      </c>
      <c r="X225" s="487">
        <v>0</v>
      </c>
      <c r="Y225" s="48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76" t="s">
        <v>378</v>
      </c>
      <c r="AG225" s="65"/>
      <c r="AJ225" s="69"/>
      <c r="AK225" s="69">
        <v>0</v>
      </c>
      <c r="BB225" s="277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37.5" customHeight="1" x14ac:dyDescent="0.25">
      <c r="A226" s="55" t="s">
        <v>379</v>
      </c>
      <c r="B226" s="55" t="s">
        <v>380</v>
      </c>
      <c r="C226" s="32">
        <v>4301051731</v>
      </c>
      <c r="D226" s="494">
        <v>4680115884618</v>
      </c>
      <c r="E226" s="495"/>
      <c r="F226" s="486">
        <v>0.6</v>
      </c>
      <c r="G226" s="33">
        <v>6</v>
      </c>
      <c r="H226" s="486">
        <v>3.6</v>
      </c>
      <c r="I226" s="486">
        <v>3.81</v>
      </c>
      <c r="J226" s="33">
        <v>132</v>
      </c>
      <c r="K226" s="33" t="s">
        <v>110</v>
      </c>
      <c r="L226" s="33"/>
      <c r="M226" s="34" t="s">
        <v>70</v>
      </c>
      <c r="N226" s="34"/>
      <c r="O226" s="33">
        <v>45</v>
      </c>
      <c r="P226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26" s="492"/>
      <c r="R226" s="492"/>
      <c r="S226" s="492"/>
      <c r="T226" s="493"/>
      <c r="U226" s="35"/>
      <c r="V226" s="35"/>
      <c r="W226" s="36" t="s">
        <v>71</v>
      </c>
      <c r="X226" s="487">
        <v>0</v>
      </c>
      <c r="Y226" s="488">
        <f>IFERROR(IF(X226="",0,CEILING((X226/$H226),1)*$H226),"")</f>
        <v>0</v>
      </c>
      <c r="Z226" s="37" t="str">
        <f>IFERROR(IF(Y226=0,"",ROUNDUP(Y226/H226,0)*0.00902),"")</f>
        <v/>
      </c>
      <c r="AA226" s="57"/>
      <c r="AB226" s="58"/>
      <c r="AC226" s="278" t="s">
        <v>381</v>
      </c>
      <c r="AG226" s="65"/>
      <c r="AJ226" s="69"/>
      <c r="AK226" s="69">
        <v>0</v>
      </c>
      <c r="BB226" s="279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505"/>
      <c r="B227" s="501"/>
      <c r="C227" s="501"/>
      <c r="D227" s="501"/>
      <c r="E227" s="501"/>
      <c r="F227" s="501"/>
      <c r="G227" s="501"/>
      <c r="H227" s="501"/>
      <c r="I227" s="501"/>
      <c r="J227" s="501"/>
      <c r="K227" s="501"/>
      <c r="L227" s="501"/>
      <c r="M227" s="501"/>
      <c r="N227" s="501"/>
      <c r="O227" s="506"/>
      <c r="P227" s="497" t="s">
        <v>88</v>
      </c>
      <c r="Q227" s="498"/>
      <c r="R227" s="498"/>
      <c r="S227" s="498"/>
      <c r="T227" s="498"/>
      <c r="U227" s="498"/>
      <c r="V227" s="499"/>
      <c r="W227" s="38" t="s">
        <v>89</v>
      </c>
      <c r="X227" s="489">
        <f>IFERROR(X225/H225,"0")+IFERROR(X226/H226,"0")</f>
        <v>0</v>
      </c>
      <c r="Y227" s="489">
        <f>IFERROR(Y225/H225,"0")+IFERROR(Y226/H226,"0")</f>
        <v>0</v>
      </c>
      <c r="Z227" s="489">
        <f>IFERROR(IF(Z225="",0,Z225),"0")+IFERROR(IF(Z226="",0,Z226),"0")</f>
        <v>0</v>
      </c>
      <c r="AA227" s="490"/>
      <c r="AB227" s="490"/>
      <c r="AC227" s="490"/>
    </row>
    <row r="228" spans="1:68" x14ac:dyDescent="0.2">
      <c r="A228" s="501"/>
      <c r="B228" s="501"/>
      <c r="C228" s="501"/>
      <c r="D228" s="501"/>
      <c r="E228" s="501"/>
      <c r="F228" s="501"/>
      <c r="G228" s="501"/>
      <c r="H228" s="501"/>
      <c r="I228" s="501"/>
      <c r="J228" s="501"/>
      <c r="K228" s="501"/>
      <c r="L228" s="501"/>
      <c r="M228" s="501"/>
      <c r="N228" s="501"/>
      <c r="O228" s="506"/>
      <c r="P228" s="497" t="s">
        <v>88</v>
      </c>
      <c r="Q228" s="498"/>
      <c r="R228" s="498"/>
      <c r="S228" s="498"/>
      <c r="T228" s="498"/>
      <c r="U228" s="498"/>
      <c r="V228" s="499"/>
      <c r="W228" s="38" t="s">
        <v>71</v>
      </c>
      <c r="X228" s="489">
        <f>IFERROR(SUM(X225:X226),"0")</f>
        <v>0</v>
      </c>
      <c r="Y228" s="489">
        <f>IFERROR(SUM(Y225:Y226),"0")</f>
        <v>0</v>
      </c>
      <c r="Z228" s="38"/>
      <c r="AA228" s="490"/>
      <c r="AB228" s="490"/>
      <c r="AC228" s="490"/>
    </row>
    <row r="229" spans="1:68" ht="16.5" customHeight="1" x14ac:dyDescent="0.25">
      <c r="A229" s="500" t="s">
        <v>382</v>
      </c>
      <c r="B229" s="501"/>
      <c r="C229" s="501"/>
      <c r="D229" s="501"/>
      <c r="E229" s="501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  <c r="P229" s="501"/>
      <c r="Q229" s="501"/>
      <c r="R229" s="501"/>
      <c r="S229" s="501"/>
      <c r="T229" s="501"/>
      <c r="U229" s="501"/>
      <c r="V229" s="501"/>
      <c r="W229" s="501"/>
      <c r="X229" s="501"/>
      <c r="Y229" s="501"/>
      <c r="Z229" s="501"/>
      <c r="AA229" s="482"/>
      <c r="AB229" s="482"/>
      <c r="AC229" s="482"/>
    </row>
    <row r="230" spans="1:68" ht="14.25" customHeight="1" x14ac:dyDescent="0.25">
      <c r="A230" s="512" t="s">
        <v>213</v>
      </c>
      <c r="B230" s="501"/>
      <c r="C230" s="501"/>
      <c r="D230" s="501"/>
      <c r="E230" s="501"/>
      <c r="F230" s="501"/>
      <c r="G230" s="501"/>
      <c r="H230" s="501"/>
      <c r="I230" s="501"/>
      <c r="J230" s="501"/>
      <c r="K230" s="501"/>
      <c r="L230" s="501"/>
      <c r="M230" s="501"/>
      <c r="N230" s="501"/>
      <c r="O230" s="501"/>
      <c r="P230" s="501"/>
      <c r="Q230" s="501"/>
      <c r="R230" s="501"/>
      <c r="S230" s="501"/>
      <c r="T230" s="501"/>
      <c r="U230" s="501"/>
      <c r="V230" s="501"/>
      <c r="W230" s="501"/>
      <c r="X230" s="501"/>
      <c r="Y230" s="501"/>
      <c r="Z230" s="501"/>
      <c r="AA230" s="483"/>
      <c r="AB230" s="483"/>
      <c r="AC230" s="483"/>
    </row>
    <row r="231" spans="1:68" ht="27" customHeight="1" x14ac:dyDescent="0.25">
      <c r="A231" s="55" t="s">
        <v>383</v>
      </c>
      <c r="B231" s="55" t="s">
        <v>384</v>
      </c>
      <c r="C231" s="32">
        <v>4301031305</v>
      </c>
      <c r="D231" s="494">
        <v>4607091389845</v>
      </c>
      <c r="E231" s="495"/>
      <c r="F231" s="486">
        <v>0.35</v>
      </c>
      <c r="G231" s="33">
        <v>6</v>
      </c>
      <c r="H231" s="486">
        <v>2.1</v>
      </c>
      <c r="I231" s="486">
        <v>2.2000000000000002</v>
      </c>
      <c r="J231" s="33">
        <v>234</v>
      </c>
      <c r="K231" s="33" t="s">
        <v>187</v>
      </c>
      <c r="L231" s="33"/>
      <c r="M231" s="34" t="s">
        <v>70</v>
      </c>
      <c r="N231" s="34"/>
      <c r="O231" s="33">
        <v>40</v>
      </c>
      <c r="P231" s="4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31" s="492"/>
      <c r="R231" s="492"/>
      <c r="S231" s="492"/>
      <c r="T231" s="493"/>
      <c r="U231" s="35"/>
      <c r="V231" s="35"/>
      <c r="W231" s="36" t="s">
        <v>71</v>
      </c>
      <c r="X231" s="487">
        <v>0</v>
      </c>
      <c r="Y231" s="488">
        <f>IFERROR(IF(X231="",0,CEILING((X231/$H231),1)*$H231),"")</f>
        <v>0</v>
      </c>
      <c r="Z231" s="37" t="str">
        <f>IFERROR(IF(Y231=0,"",ROUNDUP(Y231/H231,0)*0.00502),"")</f>
        <v/>
      </c>
      <c r="AA231" s="57"/>
      <c r="AB231" s="58"/>
      <c r="AC231" s="280" t="s">
        <v>385</v>
      </c>
      <c r="AG231" s="65"/>
      <c r="AJ231" s="69"/>
      <c r="AK231" s="69">
        <v>0</v>
      </c>
      <c r="BB231" s="28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386</v>
      </c>
      <c r="B232" s="55" t="s">
        <v>387</v>
      </c>
      <c r="C232" s="32">
        <v>4301031306</v>
      </c>
      <c r="D232" s="494">
        <v>4680115882881</v>
      </c>
      <c r="E232" s="495"/>
      <c r="F232" s="486">
        <v>0.28000000000000003</v>
      </c>
      <c r="G232" s="33">
        <v>6</v>
      </c>
      <c r="H232" s="486">
        <v>1.68</v>
      </c>
      <c r="I232" s="486">
        <v>1.81</v>
      </c>
      <c r="J232" s="33">
        <v>234</v>
      </c>
      <c r="K232" s="33" t="s">
        <v>187</v>
      </c>
      <c r="L232" s="33"/>
      <c r="M232" s="34" t="s">
        <v>70</v>
      </c>
      <c r="N232" s="34"/>
      <c r="O232" s="33">
        <v>40</v>
      </c>
      <c r="P232" s="6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2" s="492"/>
      <c r="R232" s="492"/>
      <c r="S232" s="492"/>
      <c r="T232" s="493"/>
      <c r="U232" s="35"/>
      <c r="V232" s="35"/>
      <c r="W232" s="36" t="s">
        <v>71</v>
      </c>
      <c r="X232" s="487">
        <v>0</v>
      </c>
      <c r="Y232" s="488">
        <f>IFERROR(IF(X232="",0,CEILING((X232/$H232),1)*$H232),"")</f>
        <v>0</v>
      </c>
      <c r="Z232" s="37" t="str">
        <f>IFERROR(IF(Y232=0,"",ROUNDUP(Y232/H232,0)*0.00502),"")</f>
        <v/>
      </c>
      <c r="AA232" s="57"/>
      <c r="AB232" s="58"/>
      <c r="AC232" s="282" t="s">
        <v>385</v>
      </c>
      <c r="AG232" s="65"/>
      <c r="AJ232" s="69"/>
      <c r="AK232" s="69">
        <v>0</v>
      </c>
      <c r="BB232" s="28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505"/>
      <c r="B233" s="501"/>
      <c r="C233" s="501"/>
      <c r="D233" s="501"/>
      <c r="E233" s="501"/>
      <c r="F233" s="501"/>
      <c r="G233" s="501"/>
      <c r="H233" s="501"/>
      <c r="I233" s="501"/>
      <c r="J233" s="501"/>
      <c r="K233" s="501"/>
      <c r="L233" s="501"/>
      <c r="M233" s="501"/>
      <c r="N233" s="501"/>
      <c r="O233" s="506"/>
      <c r="P233" s="497" t="s">
        <v>88</v>
      </c>
      <c r="Q233" s="498"/>
      <c r="R233" s="498"/>
      <c r="S233" s="498"/>
      <c r="T233" s="498"/>
      <c r="U233" s="498"/>
      <c r="V233" s="499"/>
      <c r="W233" s="38" t="s">
        <v>89</v>
      </c>
      <c r="X233" s="489">
        <f>IFERROR(X231/H231,"0")+IFERROR(X232/H232,"0")</f>
        <v>0</v>
      </c>
      <c r="Y233" s="489">
        <f>IFERROR(Y231/H231,"0")+IFERROR(Y232/H232,"0")</f>
        <v>0</v>
      </c>
      <c r="Z233" s="489">
        <f>IFERROR(IF(Z231="",0,Z231),"0")+IFERROR(IF(Z232="",0,Z232),"0")</f>
        <v>0</v>
      </c>
      <c r="AA233" s="490"/>
      <c r="AB233" s="490"/>
      <c r="AC233" s="490"/>
    </row>
    <row r="234" spans="1:68" x14ac:dyDescent="0.2">
      <c r="A234" s="501"/>
      <c r="B234" s="501"/>
      <c r="C234" s="501"/>
      <c r="D234" s="501"/>
      <c r="E234" s="501"/>
      <c r="F234" s="501"/>
      <c r="G234" s="501"/>
      <c r="H234" s="501"/>
      <c r="I234" s="501"/>
      <c r="J234" s="501"/>
      <c r="K234" s="501"/>
      <c r="L234" s="501"/>
      <c r="M234" s="501"/>
      <c r="N234" s="501"/>
      <c r="O234" s="506"/>
      <c r="P234" s="497" t="s">
        <v>88</v>
      </c>
      <c r="Q234" s="498"/>
      <c r="R234" s="498"/>
      <c r="S234" s="498"/>
      <c r="T234" s="498"/>
      <c r="U234" s="498"/>
      <c r="V234" s="499"/>
      <c r="W234" s="38" t="s">
        <v>71</v>
      </c>
      <c r="X234" s="489">
        <f>IFERROR(SUM(X231:X232),"0")</f>
        <v>0</v>
      </c>
      <c r="Y234" s="489">
        <f>IFERROR(SUM(Y231:Y232),"0")</f>
        <v>0</v>
      </c>
      <c r="Z234" s="38"/>
      <c r="AA234" s="490"/>
      <c r="AB234" s="490"/>
      <c r="AC234" s="490"/>
    </row>
    <row r="235" spans="1:68" ht="16.5" customHeight="1" x14ac:dyDescent="0.25">
      <c r="A235" s="500" t="s">
        <v>388</v>
      </c>
      <c r="B235" s="501"/>
      <c r="C235" s="501"/>
      <c r="D235" s="501"/>
      <c r="E235" s="501"/>
      <c r="F235" s="501"/>
      <c r="G235" s="501"/>
      <c r="H235" s="501"/>
      <c r="I235" s="501"/>
      <c r="J235" s="501"/>
      <c r="K235" s="501"/>
      <c r="L235" s="501"/>
      <c r="M235" s="501"/>
      <c r="N235" s="501"/>
      <c r="O235" s="501"/>
      <c r="P235" s="501"/>
      <c r="Q235" s="501"/>
      <c r="R235" s="501"/>
      <c r="S235" s="501"/>
      <c r="T235" s="501"/>
      <c r="U235" s="501"/>
      <c r="V235" s="501"/>
      <c r="W235" s="501"/>
      <c r="X235" s="501"/>
      <c r="Y235" s="501"/>
      <c r="Z235" s="501"/>
      <c r="AA235" s="482"/>
      <c r="AB235" s="482"/>
      <c r="AC235" s="482"/>
    </row>
    <row r="236" spans="1:68" ht="14.25" customHeight="1" x14ac:dyDescent="0.25">
      <c r="A236" s="512" t="s">
        <v>98</v>
      </c>
      <c r="B236" s="501"/>
      <c r="C236" s="501"/>
      <c r="D236" s="501"/>
      <c r="E236" s="501"/>
      <c r="F236" s="501"/>
      <c r="G236" s="501"/>
      <c r="H236" s="501"/>
      <c r="I236" s="501"/>
      <c r="J236" s="501"/>
      <c r="K236" s="501"/>
      <c r="L236" s="501"/>
      <c r="M236" s="501"/>
      <c r="N236" s="501"/>
      <c r="O236" s="501"/>
      <c r="P236" s="501"/>
      <c r="Q236" s="501"/>
      <c r="R236" s="501"/>
      <c r="S236" s="501"/>
      <c r="T236" s="501"/>
      <c r="U236" s="501"/>
      <c r="V236" s="501"/>
      <c r="W236" s="501"/>
      <c r="X236" s="501"/>
      <c r="Y236" s="501"/>
      <c r="Z236" s="501"/>
      <c r="AA236" s="483"/>
      <c r="AB236" s="483"/>
      <c r="AC236" s="483"/>
    </row>
    <row r="237" spans="1:68" ht="27" customHeight="1" x14ac:dyDescent="0.25">
      <c r="A237" s="55" t="s">
        <v>389</v>
      </c>
      <c r="B237" s="55" t="s">
        <v>390</v>
      </c>
      <c r="C237" s="32">
        <v>4301012024</v>
      </c>
      <c r="D237" s="494">
        <v>4680115885615</v>
      </c>
      <c r="E237" s="495"/>
      <c r="F237" s="486">
        <v>1.35</v>
      </c>
      <c r="G237" s="33">
        <v>8</v>
      </c>
      <c r="H237" s="486">
        <v>10.8</v>
      </c>
      <c r="I237" s="486">
        <v>11.234999999999999</v>
      </c>
      <c r="J237" s="33">
        <v>64</v>
      </c>
      <c r="K237" s="33" t="s">
        <v>101</v>
      </c>
      <c r="L237" s="33"/>
      <c r="M237" s="34" t="s">
        <v>102</v>
      </c>
      <c r="N237" s="34"/>
      <c r="O237" s="33">
        <v>55</v>
      </c>
      <c r="P237" s="5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7" s="492"/>
      <c r="R237" s="492"/>
      <c r="S237" s="492"/>
      <c r="T237" s="493"/>
      <c r="U237" s="35"/>
      <c r="V237" s="35"/>
      <c r="W237" s="36" t="s">
        <v>71</v>
      </c>
      <c r="X237" s="487">
        <v>0</v>
      </c>
      <c r="Y237" s="488">
        <f t="shared" ref="Y237:Y242" si="30">IFERROR(IF(X237="",0,CEILING((X237/$H237),1)*$H237),"")</f>
        <v>0</v>
      </c>
      <c r="Z237" s="37" t="str">
        <f>IFERROR(IF(Y237=0,"",ROUNDUP(Y237/H237,0)*0.01898),"")</f>
        <v/>
      </c>
      <c r="AA237" s="57"/>
      <c r="AB237" s="58"/>
      <c r="AC237" s="284" t="s">
        <v>391</v>
      </c>
      <c r="AG237" s="65"/>
      <c r="AJ237" s="69"/>
      <c r="AK237" s="69">
        <v>0</v>
      </c>
      <c r="BB237" s="285" t="s">
        <v>1</v>
      </c>
      <c r="BM237" s="65">
        <f t="shared" ref="BM237:BM242" si="31">IFERROR(X237*I237/H237,"0")</f>
        <v>0</v>
      </c>
      <c r="BN237" s="65">
        <f t="shared" ref="BN237:BN242" si="32">IFERROR(Y237*I237/H237,"0")</f>
        <v>0</v>
      </c>
      <c r="BO237" s="65">
        <f t="shared" ref="BO237:BO242" si="33">IFERROR(1/J237*(X237/H237),"0")</f>
        <v>0</v>
      </c>
      <c r="BP237" s="65">
        <f t="shared" ref="BP237:BP242" si="34">IFERROR(1/J237*(Y237/H237),"0")</f>
        <v>0</v>
      </c>
    </row>
    <row r="238" spans="1:68" ht="27" customHeight="1" x14ac:dyDescent="0.25">
      <c r="A238" s="55" t="s">
        <v>392</v>
      </c>
      <c r="B238" s="55" t="s">
        <v>393</v>
      </c>
      <c r="C238" s="32">
        <v>4301012016</v>
      </c>
      <c r="D238" s="494">
        <v>4680115885554</v>
      </c>
      <c r="E238" s="495"/>
      <c r="F238" s="486">
        <v>1.35</v>
      </c>
      <c r="G238" s="33">
        <v>8</v>
      </c>
      <c r="H238" s="486">
        <v>10.8</v>
      </c>
      <c r="I238" s="486">
        <v>11.234999999999999</v>
      </c>
      <c r="J238" s="33">
        <v>64</v>
      </c>
      <c r="K238" s="33" t="s">
        <v>101</v>
      </c>
      <c r="L238" s="33"/>
      <c r="M238" s="34" t="s">
        <v>102</v>
      </c>
      <c r="N238" s="34"/>
      <c r="O238" s="33">
        <v>55</v>
      </c>
      <c r="P238" s="6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8" s="492"/>
      <c r="R238" s="492"/>
      <c r="S238" s="492"/>
      <c r="T238" s="493"/>
      <c r="U238" s="35"/>
      <c r="V238" s="35"/>
      <c r="W238" s="36" t="s">
        <v>71</v>
      </c>
      <c r="X238" s="487">
        <v>0</v>
      </c>
      <c r="Y238" s="488">
        <f t="shared" si="30"/>
        <v>0</v>
      </c>
      <c r="Z238" s="37" t="str">
        <f>IFERROR(IF(Y238=0,"",ROUNDUP(Y238/H238,0)*0.01898),"")</f>
        <v/>
      </c>
      <c r="AA238" s="57"/>
      <c r="AB238" s="58"/>
      <c r="AC238" s="286" t="s">
        <v>394</v>
      </c>
      <c r="AG238" s="65"/>
      <c r="AJ238" s="69"/>
      <c r="AK238" s="69">
        <v>0</v>
      </c>
      <c r="BB238" s="287" t="s">
        <v>1</v>
      </c>
      <c r="BM238" s="65">
        <f t="shared" si="31"/>
        <v>0</v>
      </c>
      <c r="BN238" s="65">
        <f t="shared" si="32"/>
        <v>0</v>
      </c>
      <c r="BO238" s="65">
        <f t="shared" si="33"/>
        <v>0</v>
      </c>
      <c r="BP238" s="65">
        <f t="shared" si="34"/>
        <v>0</v>
      </c>
    </row>
    <row r="239" spans="1:68" ht="37.5" customHeight="1" x14ac:dyDescent="0.25">
      <c r="A239" s="55" t="s">
        <v>395</v>
      </c>
      <c r="B239" s="55" t="s">
        <v>396</v>
      </c>
      <c r="C239" s="32">
        <v>4301011858</v>
      </c>
      <c r="D239" s="494">
        <v>4680115885646</v>
      </c>
      <c r="E239" s="495"/>
      <c r="F239" s="486">
        <v>1.35</v>
      </c>
      <c r="G239" s="33">
        <v>8</v>
      </c>
      <c r="H239" s="486">
        <v>10.8</v>
      </c>
      <c r="I239" s="486">
        <v>11.234999999999999</v>
      </c>
      <c r="J239" s="33">
        <v>64</v>
      </c>
      <c r="K239" s="33" t="s">
        <v>101</v>
      </c>
      <c r="L239" s="33"/>
      <c r="M239" s="34" t="s">
        <v>106</v>
      </c>
      <c r="N239" s="34"/>
      <c r="O239" s="33">
        <v>55</v>
      </c>
      <c r="P239" s="6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9" s="492"/>
      <c r="R239" s="492"/>
      <c r="S239" s="492"/>
      <c r="T239" s="493"/>
      <c r="U239" s="35"/>
      <c r="V239" s="35"/>
      <c r="W239" s="36" t="s">
        <v>71</v>
      </c>
      <c r="X239" s="487">
        <v>0</v>
      </c>
      <c r="Y239" s="488">
        <f t="shared" si="30"/>
        <v>0</v>
      </c>
      <c r="Z239" s="37" t="str">
        <f>IFERROR(IF(Y239=0,"",ROUNDUP(Y239/H239,0)*0.01898),"")</f>
        <v/>
      </c>
      <c r="AA239" s="57"/>
      <c r="AB239" s="58"/>
      <c r="AC239" s="288" t="s">
        <v>397</v>
      </c>
      <c r="AG239" s="65"/>
      <c r="AJ239" s="69"/>
      <c r="AK239" s="69">
        <v>0</v>
      </c>
      <c r="BB239" s="289" t="s">
        <v>1</v>
      </c>
      <c r="BM239" s="65">
        <f t="shared" si="31"/>
        <v>0</v>
      </c>
      <c r="BN239" s="65">
        <f t="shared" si="32"/>
        <v>0</v>
      </c>
      <c r="BO239" s="65">
        <f t="shared" si="33"/>
        <v>0</v>
      </c>
      <c r="BP239" s="65">
        <f t="shared" si="34"/>
        <v>0</v>
      </c>
    </row>
    <row r="240" spans="1:68" ht="27" customHeight="1" x14ac:dyDescent="0.25">
      <c r="A240" s="55" t="s">
        <v>398</v>
      </c>
      <c r="B240" s="55" t="s">
        <v>399</v>
      </c>
      <c r="C240" s="32">
        <v>4301011857</v>
      </c>
      <c r="D240" s="494">
        <v>4680115885622</v>
      </c>
      <c r="E240" s="495"/>
      <c r="F240" s="486">
        <v>0.4</v>
      </c>
      <c r="G240" s="33">
        <v>10</v>
      </c>
      <c r="H240" s="486">
        <v>4</v>
      </c>
      <c r="I240" s="486">
        <v>4.21</v>
      </c>
      <c r="J240" s="33">
        <v>132</v>
      </c>
      <c r="K240" s="33" t="s">
        <v>110</v>
      </c>
      <c r="L240" s="33"/>
      <c r="M240" s="34" t="s">
        <v>106</v>
      </c>
      <c r="N240" s="34"/>
      <c r="O240" s="33">
        <v>55</v>
      </c>
      <c r="P240" s="5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40" s="492"/>
      <c r="R240" s="492"/>
      <c r="S240" s="492"/>
      <c r="T240" s="493"/>
      <c r="U240" s="35"/>
      <c r="V240" s="35"/>
      <c r="W240" s="36" t="s">
        <v>71</v>
      </c>
      <c r="X240" s="487">
        <v>0</v>
      </c>
      <c r="Y240" s="488">
        <f t="shared" si="30"/>
        <v>0</v>
      </c>
      <c r="Z240" s="37" t="str">
        <f>IFERROR(IF(Y240=0,"",ROUNDUP(Y240/H240,0)*0.00902),"")</f>
        <v/>
      </c>
      <c r="AA240" s="57"/>
      <c r="AB240" s="58"/>
      <c r="AC240" s="290" t="s">
        <v>400</v>
      </c>
      <c r="AG240" s="65"/>
      <c r="AJ240" s="69"/>
      <c r="AK240" s="69">
        <v>0</v>
      </c>
      <c r="BB240" s="291" t="s">
        <v>1</v>
      </c>
      <c r="BM240" s="65">
        <f t="shared" si="31"/>
        <v>0</v>
      </c>
      <c r="BN240" s="65">
        <f t="shared" si="32"/>
        <v>0</v>
      </c>
      <c r="BO240" s="65">
        <f t="shared" si="33"/>
        <v>0</v>
      </c>
      <c r="BP240" s="65">
        <f t="shared" si="34"/>
        <v>0</v>
      </c>
    </row>
    <row r="241" spans="1:68" ht="27" customHeight="1" x14ac:dyDescent="0.25">
      <c r="A241" s="55" t="s">
        <v>401</v>
      </c>
      <c r="B241" s="55" t="s">
        <v>402</v>
      </c>
      <c r="C241" s="32">
        <v>4301011573</v>
      </c>
      <c r="D241" s="494">
        <v>4680115881938</v>
      </c>
      <c r="E241" s="495"/>
      <c r="F241" s="486">
        <v>0.4</v>
      </c>
      <c r="G241" s="33">
        <v>10</v>
      </c>
      <c r="H241" s="486">
        <v>4</v>
      </c>
      <c r="I241" s="486">
        <v>4.21</v>
      </c>
      <c r="J241" s="33">
        <v>132</v>
      </c>
      <c r="K241" s="33" t="s">
        <v>110</v>
      </c>
      <c r="L241" s="33"/>
      <c r="M241" s="34" t="s">
        <v>106</v>
      </c>
      <c r="N241" s="34"/>
      <c r="O241" s="33">
        <v>90</v>
      </c>
      <c r="P241" s="7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41" s="492"/>
      <c r="R241" s="492"/>
      <c r="S241" s="492"/>
      <c r="T241" s="493"/>
      <c r="U241" s="35"/>
      <c r="V241" s="35"/>
      <c r="W241" s="36" t="s">
        <v>71</v>
      </c>
      <c r="X241" s="487">
        <v>0</v>
      </c>
      <c r="Y241" s="488">
        <f t="shared" si="30"/>
        <v>0</v>
      </c>
      <c r="Z241" s="37" t="str">
        <f>IFERROR(IF(Y241=0,"",ROUNDUP(Y241/H241,0)*0.00902),"")</f>
        <v/>
      </c>
      <c r="AA241" s="57"/>
      <c r="AB241" s="58"/>
      <c r="AC241" s="292" t="s">
        <v>403</v>
      </c>
      <c r="AG241" s="65"/>
      <c r="AJ241" s="69"/>
      <c r="AK241" s="69">
        <v>0</v>
      </c>
      <c r="BB241" s="293" t="s">
        <v>1</v>
      </c>
      <c r="BM241" s="65">
        <f t="shared" si="31"/>
        <v>0</v>
      </c>
      <c r="BN241" s="65">
        <f t="shared" si="32"/>
        <v>0</v>
      </c>
      <c r="BO241" s="65">
        <f t="shared" si="33"/>
        <v>0</v>
      </c>
      <c r="BP241" s="65">
        <f t="shared" si="34"/>
        <v>0</v>
      </c>
    </row>
    <row r="242" spans="1:68" ht="27" customHeight="1" x14ac:dyDescent="0.25">
      <c r="A242" s="55" t="s">
        <v>404</v>
      </c>
      <c r="B242" s="55" t="s">
        <v>405</v>
      </c>
      <c r="C242" s="32">
        <v>4301011859</v>
      </c>
      <c r="D242" s="494">
        <v>4680115885608</v>
      </c>
      <c r="E242" s="495"/>
      <c r="F242" s="486">
        <v>0.4</v>
      </c>
      <c r="G242" s="33">
        <v>10</v>
      </c>
      <c r="H242" s="486">
        <v>4</v>
      </c>
      <c r="I242" s="486">
        <v>4.21</v>
      </c>
      <c r="J242" s="33">
        <v>132</v>
      </c>
      <c r="K242" s="33" t="s">
        <v>110</v>
      </c>
      <c r="L242" s="33"/>
      <c r="M242" s="34" t="s">
        <v>106</v>
      </c>
      <c r="N242" s="34"/>
      <c r="O242" s="33">
        <v>55</v>
      </c>
      <c r="P242" s="5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42" s="492"/>
      <c r="R242" s="492"/>
      <c r="S242" s="492"/>
      <c r="T242" s="493"/>
      <c r="U242" s="35"/>
      <c r="V242" s="35"/>
      <c r="W242" s="36" t="s">
        <v>71</v>
      </c>
      <c r="X242" s="487">
        <v>0</v>
      </c>
      <c r="Y242" s="488">
        <f t="shared" si="30"/>
        <v>0</v>
      </c>
      <c r="Z242" s="37" t="str">
        <f>IFERROR(IF(Y242=0,"",ROUNDUP(Y242/H242,0)*0.00902),"")</f>
        <v/>
      </c>
      <c r="AA242" s="57"/>
      <c r="AB242" s="58"/>
      <c r="AC242" s="294" t="s">
        <v>394</v>
      </c>
      <c r="AG242" s="65"/>
      <c r="AJ242" s="69"/>
      <c r="AK242" s="69">
        <v>0</v>
      </c>
      <c r="BB242" s="295" t="s">
        <v>1</v>
      </c>
      <c r="BM242" s="65">
        <f t="shared" si="31"/>
        <v>0</v>
      </c>
      <c r="BN242" s="65">
        <f t="shared" si="32"/>
        <v>0</v>
      </c>
      <c r="BO242" s="65">
        <f t="shared" si="33"/>
        <v>0</v>
      </c>
      <c r="BP242" s="65">
        <f t="shared" si="34"/>
        <v>0</v>
      </c>
    </row>
    <row r="243" spans="1:68" x14ac:dyDescent="0.2">
      <c r="A243" s="505"/>
      <c r="B243" s="501"/>
      <c r="C243" s="501"/>
      <c r="D243" s="501"/>
      <c r="E243" s="501"/>
      <c r="F243" s="501"/>
      <c r="G243" s="501"/>
      <c r="H243" s="501"/>
      <c r="I243" s="501"/>
      <c r="J243" s="501"/>
      <c r="K243" s="501"/>
      <c r="L243" s="501"/>
      <c r="M243" s="501"/>
      <c r="N243" s="501"/>
      <c r="O243" s="506"/>
      <c r="P243" s="497" t="s">
        <v>88</v>
      </c>
      <c r="Q243" s="498"/>
      <c r="R243" s="498"/>
      <c r="S243" s="498"/>
      <c r="T243" s="498"/>
      <c r="U243" s="498"/>
      <c r="V243" s="499"/>
      <c r="W243" s="38" t="s">
        <v>89</v>
      </c>
      <c r="X243" s="489">
        <f>IFERROR(X237/H237,"0")+IFERROR(X238/H238,"0")+IFERROR(X239/H239,"0")+IFERROR(X240/H240,"0")+IFERROR(X241/H241,"0")+IFERROR(X242/H242,"0")</f>
        <v>0</v>
      </c>
      <c r="Y243" s="489">
        <f>IFERROR(Y237/H237,"0")+IFERROR(Y238/H238,"0")+IFERROR(Y239/H239,"0")+IFERROR(Y240/H240,"0")+IFERROR(Y241/H241,"0")+IFERROR(Y242/H242,"0")</f>
        <v>0</v>
      </c>
      <c r="Z243" s="489">
        <f>IFERROR(IF(Z237="",0,Z237),"0")+IFERROR(IF(Z238="",0,Z238),"0")+IFERROR(IF(Z239="",0,Z239),"0")+IFERROR(IF(Z240="",0,Z240),"0")+IFERROR(IF(Z241="",0,Z241),"0")+IFERROR(IF(Z242="",0,Z242),"0")</f>
        <v>0</v>
      </c>
      <c r="AA243" s="490"/>
      <c r="AB243" s="490"/>
      <c r="AC243" s="490"/>
    </row>
    <row r="244" spans="1:68" x14ac:dyDescent="0.2">
      <c r="A244" s="501"/>
      <c r="B244" s="501"/>
      <c r="C244" s="501"/>
      <c r="D244" s="501"/>
      <c r="E244" s="501"/>
      <c r="F244" s="501"/>
      <c r="G244" s="501"/>
      <c r="H244" s="501"/>
      <c r="I244" s="501"/>
      <c r="J244" s="501"/>
      <c r="K244" s="501"/>
      <c r="L244" s="501"/>
      <c r="M244" s="501"/>
      <c r="N244" s="501"/>
      <c r="O244" s="506"/>
      <c r="P244" s="497" t="s">
        <v>88</v>
      </c>
      <c r="Q244" s="498"/>
      <c r="R244" s="498"/>
      <c r="S244" s="498"/>
      <c r="T244" s="498"/>
      <c r="U244" s="498"/>
      <c r="V244" s="499"/>
      <c r="W244" s="38" t="s">
        <v>71</v>
      </c>
      <c r="X244" s="489">
        <f>IFERROR(SUM(X237:X242),"0")</f>
        <v>0</v>
      </c>
      <c r="Y244" s="489">
        <f>IFERROR(SUM(Y237:Y242),"0")</f>
        <v>0</v>
      </c>
      <c r="Z244" s="38"/>
      <c r="AA244" s="490"/>
      <c r="AB244" s="490"/>
      <c r="AC244" s="490"/>
    </row>
    <row r="245" spans="1:68" ht="14.25" customHeight="1" x14ac:dyDescent="0.25">
      <c r="A245" s="512" t="s">
        <v>213</v>
      </c>
      <c r="B245" s="501"/>
      <c r="C245" s="501"/>
      <c r="D245" s="501"/>
      <c r="E245" s="501"/>
      <c r="F245" s="501"/>
      <c r="G245" s="501"/>
      <c r="H245" s="501"/>
      <c r="I245" s="501"/>
      <c r="J245" s="501"/>
      <c r="K245" s="501"/>
      <c r="L245" s="501"/>
      <c r="M245" s="501"/>
      <c r="N245" s="501"/>
      <c r="O245" s="501"/>
      <c r="P245" s="501"/>
      <c r="Q245" s="501"/>
      <c r="R245" s="501"/>
      <c r="S245" s="501"/>
      <c r="T245" s="501"/>
      <c r="U245" s="501"/>
      <c r="V245" s="501"/>
      <c r="W245" s="501"/>
      <c r="X245" s="501"/>
      <c r="Y245" s="501"/>
      <c r="Z245" s="501"/>
      <c r="AA245" s="483"/>
      <c r="AB245" s="483"/>
      <c r="AC245" s="483"/>
    </row>
    <row r="246" spans="1:68" ht="27" customHeight="1" x14ac:dyDescent="0.25">
      <c r="A246" s="55" t="s">
        <v>406</v>
      </c>
      <c r="B246" s="55" t="s">
        <v>407</v>
      </c>
      <c r="C246" s="32">
        <v>4301030878</v>
      </c>
      <c r="D246" s="494">
        <v>4607091387193</v>
      </c>
      <c r="E246" s="495"/>
      <c r="F246" s="486">
        <v>0.7</v>
      </c>
      <c r="G246" s="33">
        <v>6</v>
      </c>
      <c r="H246" s="486">
        <v>4.2</v>
      </c>
      <c r="I246" s="486">
        <v>4.47</v>
      </c>
      <c r="J246" s="33">
        <v>132</v>
      </c>
      <c r="K246" s="33" t="s">
        <v>110</v>
      </c>
      <c r="L246" s="33"/>
      <c r="M246" s="34" t="s">
        <v>70</v>
      </c>
      <c r="N246" s="34"/>
      <c r="O246" s="33">
        <v>35</v>
      </c>
      <c r="P246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6" s="492"/>
      <c r="R246" s="492"/>
      <c r="S246" s="492"/>
      <c r="T246" s="493"/>
      <c r="U246" s="35"/>
      <c r="V246" s="35"/>
      <c r="W246" s="36" t="s">
        <v>71</v>
      </c>
      <c r="X246" s="487">
        <v>0</v>
      </c>
      <c r="Y246" s="488">
        <f>IFERROR(IF(X246="",0,CEILING((X246/$H246),1)*$H246),"")</f>
        <v>0</v>
      </c>
      <c r="Z246" s="37" t="str">
        <f>IFERROR(IF(Y246=0,"",ROUNDUP(Y246/H246,0)*0.00902),"")</f>
        <v/>
      </c>
      <c r="AA246" s="57"/>
      <c r="AB246" s="58"/>
      <c r="AC246" s="296" t="s">
        <v>408</v>
      </c>
      <c r="AG246" s="65"/>
      <c r="AJ246" s="69"/>
      <c r="AK246" s="69">
        <v>0</v>
      </c>
      <c r="BB246" s="297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409</v>
      </c>
      <c r="B247" s="55" t="s">
        <v>410</v>
      </c>
      <c r="C247" s="32">
        <v>4301031153</v>
      </c>
      <c r="D247" s="494">
        <v>4607091387230</v>
      </c>
      <c r="E247" s="495"/>
      <c r="F247" s="486">
        <v>0.7</v>
      </c>
      <c r="G247" s="33">
        <v>6</v>
      </c>
      <c r="H247" s="486">
        <v>4.2</v>
      </c>
      <c r="I247" s="486">
        <v>4.47</v>
      </c>
      <c r="J247" s="33">
        <v>132</v>
      </c>
      <c r="K247" s="33" t="s">
        <v>110</v>
      </c>
      <c r="L247" s="33"/>
      <c r="M247" s="34" t="s">
        <v>70</v>
      </c>
      <c r="N247" s="34"/>
      <c r="O247" s="33">
        <v>40</v>
      </c>
      <c r="P247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7" s="492"/>
      <c r="R247" s="492"/>
      <c r="S247" s="492"/>
      <c r="T247" s="493"/>
      <c r="U247" s="35"/>
      <c r="V247" s="35"/>
      <c r="W247" s="36" t="s">
        <v>71</v>
      </c>
      <c r="X247" s="487">
        <v>0</v>
      </c>
      <c r="Y247" s="488">
        <f>IFERROR(IF(X247="",0,CEILING((X247/$H247),1)*$H247),"")</f>
        <v>0</v>
      </c>
      <c r="Z247" s="37" t="str">
        <f>IFERROR(IF(Y247=0,"",ROUNDUP(Y247/H247,0)*0.00902),"")</f>
        <v/>
      </c>
      <c r="AA247" s="57"/>
      <c r="AB247" s="58"/>
      <c r="AC247" s="298" t="s">
        <v>411</v>
      </c>
      <c r="AG247" s="65"/>
      <c r="AJ247" s="69"/>
      <c r="AK247" s="69">
        <v>0</v>
      </c>
      <c r="BB247" s="299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ht="27" customHeight="1" x14ac:dyDescent="0.25">
      <c r="A248" s="55" t="s">
        <v>412</v>
      </c>
      <c r="B248" s="55" t="s">
        <v>413</v>
      </c>
      <c r="C248" s="32">
        <v>4301031154</v>
      </c>
      <c r="D248" s="494">
        <v>4607091387292</v>
      </c>
      <c r="E248" s="495"/>
      <c r="F248" s="486">
        <v>0.73</v>
      </c>
      <c r="G248" s="33">
        <v>6</v>
      </c>
      <c r="H248" s="486">
        <v>4.38</v>
      </c>
      <c r="I248" s="486">
        <v>4.6500000000000004</v>
      </c>
      <c r="J248" s="33">
        <v>132</v>
      </c>
      <c r="K248" s="33" t="s">
        <v>110</v>
      </c>
      <c r="L248" s="33"/>
      <c r="M248" s="34" t="s">
        <v>70</v>
      </c>
      <c r="N248" s="34"/>
      <c r="O248" s="33">
        <v>45</v>
      </c>
      <c r="P248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8" s="492"/>
      <c r="R248" s="492"/>
      <c r="S248" s="492"/>
      <c r="T248" s="493"/>
      <c r="U248" s="35"/>
      <c r="V248" s="35"/>
      <c r="W248" s="36" t="s">
        <v>71</v>
      </c>
      <c r="X248" s="487">
        <v>0</v>
      </c>
      <c r="Y248" s="488">
        <f>IFERROR(IF(X248="",0,CEILING((X248/$H248),1)*$H248),"")</f>
        <v>0</v>
      </c>
      <c r="Z248" s="37" t="str">
        <f>IFERROR(IF(Y248=0,"",ROUNDUP(Y248/H248,0)*0.00902),"")</f>
        <v/>
      </c>
      <c r="AA248" s="57"/>
      <c r="AB248" s="58"/>
      <c r="AC248" s="300" t="s">
        <v>414</v>
      </c>
      <c r="AG248" s="65"/>
      <c r="AJ248" s="69"/>
      <c r="AK248" s="69">
        <v>0</v>
      </c>
      <c r="BB248" s="301" t="s">
        <v>1</v>
      </c>
      <c r="BM248" s="65">
        <f>IFERROR(X248*I248/H248,"0")</f>
        <v>0</v>
      </c>
      <c r="BN248" s="65">
        <f>IFERROR(Y248*I248/H248,"0")</f>
        <v>0</v>
      </c>
      <c r="BO248" s="65">
        <f>IFERROR(1/J248*(X248/H248),"0")</f>
        <v>0</v>
      </c>
      <c r="BP248" s="65">
        <f>IFERROR(1/J248*(Y248/H248),"0")</f>
        <v>0</v>
      </c>
    </row>
    <row r="249" spans="1:68" ht="27" customHeight="1" x14ac:dyDescent="0.25">
      <c r="A249" s="55" t="s">
        <v>415</v>
      </c>
      <c r="B249" s="55" t="s">
        <v>416</v>
      </c>
      <c r="C249" s="32">
        <v>4301031152</v>
      </c>
      <c r="D249" s="494">
        <v>4607091387285</v>
      </c>
      <c r="E249" s="495"/>
      <c r="F249" s="486">
        <v>0.35</v>
      </c>
      <c r="G249" s="33">
        <v>6</v>
      </c>
      <c r="H249" s="486">
        <v>2.1</v>
      </c>
      <c r="I249" s="486">
        <v>2.23</v>
      </c>
      <c r="J249" s="33">
        <v>234</v>
      </c>
      <c r="K249" s="33" t="s">
        <v>187</v>
      </c>
      <c r="L249" s="33"/>
      <c r="M249" s="34" t="s">
        <v>70</v>
      </c>
      <c r="N249" s="34"/>
      <c r="O249" s="33">
        <v>40</v>
      </c>
      <c r="P249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9" s="492"/>
      <c r="R249" s="492"/>
      <c r="S249" s="492"/>
      <c r="T249" s="493"/>
      <c r="U249" s="35"/>
      <c r="V249" s="35"/>
      <c r="W249" s="36" t="s">
        <v>71</v>
      </c>
      <c r="X249" s="487">
        <v>0</v>
      </c>
      <c r="Y249" s="488">
        <f>IFERROR(IF(X249="",0,CEILING((X249/$H249),1)*$H249),"")</f>
        <v>0</v>
      </c>
      <c r="Z249" s="37" t="str">
        <f>IFERROR(IF(Y249=0,"",ROUNDUP(Y249/H249,0)*0.00502),"")</f>
        <v/>
      </c>
      <c r="AA249" s="57"/>
      <c r="AB249" s="58"/>
      <c r="AC249" s="302" t="s">
        <v>411</v>
      </c>
      <c r="AG249" s="65"/>
      <c r="AJ249" s="69"/>
      <c r="AK249" s="69">
        <v>0</v>
      </c>
      <c r="BB249" s="303" t="s">
        <v>1</v>
      </c>
      <c r="BM249" s="65">
        <f>IFERROR(X249*I249/H249,"0")</f>
        <v>0</v>
      </c>
      <c r="BN249" s="65">
        <f>IFERROR(Y249*I249/H249,"0")</f>
        <v>0</v>
      </c>
      <c r="BO249" s="65">
        <f>IFERROR(1/J249*(X249/H249),"0")</f>
        <v>0</v>
      </c>
      <c r="BP249" s="65">
        <f>IFERROR(1/J249*(Y249/H249),"0")</f>
        <v>0</v>
      </c>
    </row>
    <row r="250" spans="1:68" x14ac:dyDescent="0.2">
      <c r="A250" s="505"/>
      <c r="B250" s="501"/>
      <c r="C250" s="501"/>
      <c r="D250" s="501"/>
      <c r="E250" s="501"/>
      <c r="F250" s="501"/>
      <c r="G250" s="501"/>
      <c r="H250" s="501"/>
      <c r="I250" s="501"/>
      <c r="J250" s="501"/>
      <c r="K250" s="501"/>
      <c r="L250" s="501"/>
      <c r="M250" s="501"/>
      <c r="N250" s="501"/>
      <c r="O250" s="506"/>
      <c r="P250" s="497" t="s">
        <v>88</v>
      </c>
      <c r="Q250" s="498"/>
      <c r="R250" s="498"/>
      <c r="S250" s="498"/>
      <c r="T250" s="498"/>
      <c r="U250" s="498"/>
      <c r="V250" s="499"/>
      <c r="W250" s="38" t="s">
        <v>89</v>
      </c>
      <c r="X250" s="489">
        <f>IFERROR(X246/H246,"0")+IFERROR(X247/H247,"0")+IFERROR(X248/H248,"0")+IFERROR(X249/H249,"0")</f>
        <v>0</v>
      </c>
      <c r="Y250" s="489">
        <f>IFERROR(Y246/H246,"0")+IFERROR(Y247/H247,"0")+IFERROR(Y248/H248,"0")+IFERROR(Y249/H249,"0")</f>
        <v>0</v>
      </c>
      <c r="Z250" s="489">
        <f>IFERROR(IF(Z246="",0,Z246),"0")+IFERROR(IF(Z247="",0,Z247),"0")+IFERROR(IF(Z248="",0,Z248),"0")+IFERROR(IF(Z249="",0,Z249),"0")</f>
        <v>0</v>
      </c>
      <c r="AA250" s="490"/>
      <c r="AB250" s="490"/>
      <c r="AC250" s="490"/>
    </row>
    <row r="251" spans="1:68" x14ac:dyDescent="0.2">
      <c r="A251" s="501"/>
      <c r="B251" s="501"/>
      <c r="C251" s="501"/>
      <c r="D251" s="501"/>
      <c r="E251" s="501"/>
      <c r="F251" s="501"/>
      <c r="G251" s="501"/>
      <c r="H251" s="501"/>
      <c r="I251" s="501"/>
      <c r="J251" s="501"/>
      <c r="K251" s="501"/>
      <c r="L251" s="501"/>
      <c r="M251" s="501"/>
      <c r="N251" s="501"/>
      <c r="O251" s="506"/>
      <c r="P251" s="497" t="s">
        <v>88</v>
      </c>
      <c r="Q251" s="498"/>
      <c r="R251" s="498"/>
      <c r="S251" s="498"/>
      <c r="T251" s="498"/>
      <c r="U251" s="498"/>
      <c r="V251" s="499"/>
      <c r="W251" s="38" t="s">
        <v>71</v>
      </c>
      <c r="X251" s="489">
        <f>IFERROR(SUM(X246:X249),"0")</f>
        <v>0</v>
      </c>
      <c r="Y251" s="489">
        <f>IFERROR(SUM(Y246:Y249),"0")</f>
        <v>0</v>
      </c>
      <c r="Z251" s="38"/>
      <c r="AA251" s="490"/>
      <c r="AB251" s="490"/>
      <c r="AC251" s="490"/>
    </row>
    <row r="252" spans="1:68" ht="14.25" customHeight="1" x14ac:dyDescent="0.25">
      <c r="A252" s="512" t="s">
        <v>66</v>
      </c>
      <c r="B252" s="501"/>
      <c r="C252" s="501"/>
      <c r="D252" s="501"/>
      <c r="E252" s="501"/>
      <c r="F252" s="501"/>
      <c r="G252" s="501"/>
      <c r="H252" s="501"/>
      <c r="I252" s="501"/>
      <c r="J252" s="501"/>
      <c r="K252" s="501"/>
      <c r="L252" s="501"/>
      <c r="M252" s="501"/>
      <c r="N252" s="501"/>
      <c r="O252" s="501"/>
      <c r="P252" s="501"/>
      <c r="Q252" s="501"/>
      <c r="R252" s="501"/>
      <c r="S252" s="501"/>
      <c r="T252" s="501"/>
      <c r="U252" s="501"/>
      <c r="V252" s="501"/>
      <c r="W252" s="501"/>
      <c r="X252" s="501"/>
      <c r="Y252" s="501"/>
      <c r="Z252" s="501"/>
      <c r="AA252" s="483"/>
      <c r="AB252" s="483"/>
      <c r="AC252" s="483"/>
    </row>
    <row r="253" spans="1:68" ht="48" customHeight="1" x14ac:dyDescent="0.25">
      <c r="A253" s="55" t="s">
        <v>417</v>
      </c>
      <c r="B253" s="55" t="s">
        <v>418</v>
      </c>
      <c r="C253" s="32">
        <v>4301051100</v>
      </c>
      <c r="D253" s="494">
        <v>4607091387766</v>
      </c>
      <c r="E253" s="495"/>
      <c r="F253" s="486">
        <v>1.3</v>
      </c>
      <c r="G253" s="33">
        <v>6</v>
      </c>
      <c r="H253" s="486">
        <v>7.8</v>
      </c>
      <c r="I253" s="486">
        <v>8.3130000000000006</v>
      </c>
      <c r="J253" s="33">
        <v>64</v>
      </c>
      <c r="K253" s="33" t="s">
        <v>101</v>
      </c>
      <c r="L253" s="33"/>
      <c r="M253" s="34" t="s">
        <v>102</v>
      </c>
      <c r="N253" s="34"/>
      <c r="O253" s="33">
        <v>40</v>
      </c>
      <c r="P253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53" s="492"/>
      <c r="R253" s="492"/>
      <c r="S253" s="492"/>
      <c r="T253" s="493"/>
      <c r="U253" s="35"/>
      <c r="V253" s="35"/>
      <c r="W253" s="36" t="s">
        <v>71</v>
      </c>
      <c r="X253" s="487">
        <v>0</v>
      </c>
      <c r="Y253" s="488">
        <f t="shared" ref="Y253:Y258" si="35">IFERROR(IF(X253="",0,CEILING((X253/$H253),1)*$H253),"")</f>
        <v>0</v>
      </c>
      <c r="Z253" s="37" t="str">
        <f>IFERROR(IF(Y253=0,"",ROUNDUP(Y253/H253,0)*0.01898),"")</f>
        <v/>
      </c>
      <c r="AA253" s="57"/>
      <c r="AB253" s="58"/>
      <c r="AC253" s="304" t="s">
        <v>419</v>
      </c>
      <c r="AG253" s="65"/>
      <c r="AJ253" s="69"/>
      <c r="AK253" s="69">
        <v>0</v>
      </c>
      <c r="BB253" s="305" t="s">
        <v>1</v>
      </c>
      <c r="BM253" s="65">
        <f t="shared" ref="BM253:BM258" si="36">IFERROR(X253*I253/H253,"0")</f>
        <v>0</v>
      </c>
      <c r="BN253" s="65">
        <f t="shared" ref="BN253:BN258" si="37">IFERROR(Y253*I253/H253,"0")</f>
        <v>0</v>
      </c>
      <c r="BO253" s="65">
        <f t="shared" ref="BO253:BO258" si="38">IFERROR(1/J253*(X253/H253),"0")</f>
        <v>0</v>
      </c>
      <c r="BP253" s="65">
        <f t="shared" ref="BP253:BP258" si="39">IFERROR(1/J253*(Y253/H253),"0")</f>
        <v>0</v>
      </c>
    </row>
    <row r="254" spans="1:68" ht="37.5" customHeight="1" x14ac:dyDescent="0.25">
      <c r="A254" s="55" t="s">
        <v>420</v>
      </c>
      <c r="B254" s="55" t="s">
        <v>421</v>
      </c>
      <c r="C254" s="32">
        <v>4301051116</v>
      </c>
      <c r="D254" s="494">
        <v>4607091387957</v>
      </c>
      <c r="E254" s="495"/>
      <c r="F254" s="486">
        <v>1.3</v>
      </c>
      <c r="G254" s="33">
        <v>6</v>
      </c>
      <c r="H254" s="486">
        <v>7.8</v>
      </c>
      <c r="I254" s="486">
        <v>8.3190000000000008</v>
      </c>
      <c r="J254" s="33">
        <v>64</v>
      </c>
      <c r="K254" s="33" t="s">
        <v>101</v>
      </c>
      <c r="L254" s="33"/>
      <c r="M254" s="34" t="s">
        <v>70</v>
      </c>
      <c r="N254" s="34"/>
      <c r="O254" s="33">
        <v>40</v>
      </c>
      <c r="P254" s="6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54" s="492"/>
      <c r="R254" s="492"/>
      <c r="S254" s="492"/>
      <c r="T254" s="493"/>
      <c r="U254" s="35"/>
      <c r="V254" s="35"/>
      <c r="W254" s="36" t="s">
        <v>71</v>
      </c>
      <c r="X254" s="487">
        <v>0</v>
      </c>
      <c r="Y254" s="488">
        <f t="shared" si="35"/>
        <v>0</v>
      </c>
      <c r="Z254" s="37" t="str">
        <f>IFERROR(IF(Y254=0,"",ROUNDUP(Y254/H254,0)*0.01898),"")</f>
        <v/>
      </c>
      <c r="AA254" s="57"/>
      <c r="AB254" s="58"/>
      <c r="AC254" s="306" t="s">
        <v>422</v>
      </c>
      <c r="AG254" s="65"/>
      <c r="AJ254" s="69"/>
      <c r="AK254" s="69">
        <v>0</v>
      </c>
      <c r="BB254" s="307" t="s">
        <v>1</v>
      </c>
      <c r="BM254" s="65">
        <f t="shared" si="36"/>
        <v>0</v>
      </c>
      <c r="BN254" s="65">
        <f t="shared" si="37"/>
        <v>0</v>
      </c>
      <c r="BO254" s="65">
        <f t="shared" si="38"/>
        <v>0</v>
      </c>
      <c r="BP254" s="65">
        <f t="shared" si="39"/>
        <v>0</v>
      </c>
    </row>
    <row r="255" spans="1:68" ht="37.5" customHeight="1" x14ac:dyDescent="0.25">
      <c r="A255" s="55" t="s">
        <v>423</v>
      </c>
      <c r="B255" s="55" t="s">
        <v>424</v>
      </c>
      <c r="C255" s="32">
        <v>4301051115</v>
      </c>
      <c r="D255" s="494">
        <v>4607091387964</v>
      </c>
      <c r="E255" s="495"/>
      <c r="F255" s="486">
        <v>1.35</v>
      </c>
      <c r="G255" s="33">
        <v>6</v>
      </c>
      <c r="H255" s="486">
        <v>8.1</v>
      </c>
      <c r="I255" s="486">
        <v>8.6010000000000009</v>
      </c>
      <c r="J255" s="33">
        <v>64</v>
      </c>
      <c r="K255" s="33" t="s">
        <v>101</v>
      </c>
      <c r="L255" s="33"/>
      <c r="M255" s="34" t="s">
        <v>70</v>
      </c>
      <c r="N255" s="34"/>
      <c r="O255" s="33">
        <v>40</v>
      </c>
      <c r="P255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55" s="492"/>
      <c r="R255" s="492"/>
      <c r="S255" s="492"/>
      <c r="T255" s="493"/>
      <c r="U255" s="35"/>
      <c r="V255" s="35"/>
      <c r="W255" s="36" t="s">
        <v>71</v>
      </c>
      <c r="X255" s="487"/>
      <c r="Y255" s="488">
        <f t="shared" si="35"/>
        <v>0</v>
      </c>
      <c r="Z255" s="37" t="str">
        <f>IFERROR(IF(Y255=0,"",ROUNDUP(Y255/H255,0)*0.01898),"")</f>
        <v/>
      </c>
      <c r="AA255" s="57"/>
      <c r="AB255" s="58"/>
      <c r="AC255" s="308" t="s">
        <v>425</v>
      </c>
      <c r="AG255" s="65"/>
      <c r="AJ255" s="69"/>
      <c r="AK255" s="69">
        <v>0</v>
      </c>
      <c r="BB255" s="309" t="s">
        <v>1</v>
      </c>
      <c r="BM255" s="65">
        <f t="shared" si="36"/>
        <v>0</v>
      </c>
      <c r="BN255" s="65">
        <f t="shared" si="37"/>
        <v>0</v>
      </c>
      <c r="BO255" s="65">
        <f t="shared" si="38"/>
        <v>0</v>
      </c>
      <c r="BP255" s="65">
        <f t="shared" si="39"/>
        <v>0</v>
      </c>
    </row>
    <row r="256" spans="1:68" ht="37.5" customHeight="1" x14ac:dyDescent="0.25">
      <c r="A256" s="55" t="s">
        <v>426</v>
      </c>
      <c r="B256" s="55" t="s">
        <v>427</v>
      </c>
      <c r="C256" s="32">
        <v>4301051705</v>
      </c>
      <c r="D256" s="494">
        <v>4680115884588</v>
      </c>
      <c r="E256" s="495"/>
      <c r="F256" s="486">
        <v>0.5</v>
      </c>
      <c r="G256" s="33">
        <v>6</v>
      </c>
      <c r="H256" s="486">
        <v>3</v>
      </c>
      <c r="I256" s="486">
        <v>3.246</v>
      </c>
      <c r="J256" s="33">
        <v>182</v>
      </c>
      <c r="K256" s="33" t="s">
        <v>69</v>
      </c>
      <c r="L256" s="33"/>
      <c r="M256" s="34" t="s">
        <v>70</v>
      </c>
      <c r="N256" s="34"/>
      <c r="O256" s="33">
        <v>40</v>
      </c>
      <c r="P256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6" s="492"/>
      <c r="R256" s="492"/>
      <c r="S256" s="492"/>
      <c r="T256" s="493"/>
      <c r="U256" s="35"/>
      <c r="V256" s="35"/>
      <c r="W256" s="36" t="s">
        <v>71</v>
      </c>
      <c r="X256" s="487">
        <v>0</v>
      </c>
      <c r="Y256" s="488">
        <f t="shared" si="35"/>
        <v>0</v>
      </c>
      <c r="Z256" s="37" t="str">
        <f>IFERROR(IF(Y256=0,"",ROUNDUP(Y256/H256,0)*0.00651),"")</f>
        <v/>
      </c>
      <c r="AA256" s="57"/>
      <c r="AB256" s="58"/>
      <c r="AC256" s="310" t="s">
        <v>428</v>
      </c>
      <c r="AG256" s="65"/>
      <c r="AJ256" s="69"/>
      <c r="AK256" s="69">
        <v>0</v>
      </c>
      <c r="BB256" s="311" t="s">
        <v>1</v>
      </c>
      <c r="BM256" s="65">
        <f t="shared" si="36"/>
        <v>0</v>
      </c>
      <c r="BN256" s="65">
        <f t="shared" si="37"/>
        <v>0</v>
      </c>
      <c r="BO256" s="65">
        <f t="shared" si="38"/>
        <v>0</v>
      </c>
      <c r="BP256" s="65">
        <f t="shared" si="39"/>
        <v>0</v>
      </c>
    </row>
    <row r="257" spans="1:68" ht="37.5" customHeight="1" x14ac:dyDescent="0.25">
      <c r="A257" s="55" t="s">
        <v>429</v>
      </c>
      <c r="B257" s="55" t="s">
        <v>430</v>
      </c>
      <c r="C257" s="32">
        <v>4301051130</v>
      </c>
      <c r="D257" s="494">
        <v>4607091387537</v>
      </c>
      <c r="E257" s="495"/>
      <c r="F257" s="486">
        <v>0.45</v>
      </c>
      <c r="G257" s="33">
        <v>6</v>
      </c>
      <c r="H257" s="486">
        <v>2.7</v>
      </c>
      <c r="I257" s="486">
        <v>2.97</v>
      </c>
      <c r="J257" s="33">
        <v>182</v>
      </c>
      <c r="K257" s="33" t="s">
        <v>69</v>
      </c>
      <c r="L257" s="33"/>
      <c r="M257" s="34" t="s">
        <v>70</v>
      </c>
      <c r="N257" s="34"/>
      <c r="O257" s="33">
        <v>40</v>
      </c>
      <c r="P257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7" s="492"/>
      <c r="R257" s="492"/>
      <c r="S257" s="492"/>
      <c r="T257" s="493"/>
      <c r="U257" s="35"/>
      <c r="V257" s="35"/>
      <c r="W257" s="36" t="s">
        <v>71</v>
      </c>
      <c r="X257" s="487">
        <v>0</v>
      </c>
      <c r="Y257" s="488">
        <f t="shared" si="35"/>
        <v>0</v>
      </c>
      <c r="Z257" s="37" t="str">
        <f>IFERROR(IF(Y257=0,"",ROUNDUP(Y257/H257,0)*0.00651),"")</f>
        <v/>
      </c>
      <c r="AA257" s="57"/>
      <c r="AB257" s="58"/>
      <c r="AC257" s="312" t="s">
        <v>431</v>
      </c>
      <c r="AG257" s="65"/>
      <c r="AJ257" s="69"/>
      <c r="AK257" s="69">
        <v>0</v>
      </c>
      <c r="BB257" s="313" t="s">
        <v>1</v>
      </c>
      <c r="BM257" s="65">
        <f t="shared" si="36"/>
        <v>0</v>
      </c>
      <c r="BN257" s="65">
        <f t="shared" si="37"/>
        <v>0</v>
      </c>
      <c r="BO257" s="65">
        <f t="shared" si="38"/>
        <v>0</v>
      </c>
      <c r="BP257" s="65">
        <f t="shared" si="39"/>
        <v>0</v>
      </c>
    </row>
    <row r="258" spans="1:68" ht="48" customHeight="1" x14ac:dyDescent="0.25">
      <c r="A258" s="55" t="s">
        <v>432</v>
      </c>
      <c r="B258" s="55" t="s">
        <v>433</v>
      </c>
      <c r="C258" s="32">
        <v>4301051132</v>
      </c>
      <c r="D258" s="494">
        <v>4607091387513</v>
      </c>
      <c r="E258" s="495"/>
      <c r="F258" s="486">
        <v>0.45</v>
      </c>
      <c r="G258" s="33">
        <v>6</v>
      </c>
      <c r="H258" s="486">
        <v>2.7</v>
      </c>
      <c r="I258" s="486">
        <v>2.9580000000000002</v>
      </c>
      <c r="J258" s="33">
        <v>182</v>
      </c>
      <c r="K258" s="33" t="s">
        <v>69</v>
      </c>
      <c r="L258" s="33"/>
      <c r="M258" s="34" t="s">
        <v>70</v>
      </c>
      <c r="N258" s="34"/>
      <c r="O258" s="33">
        <v>40</v>
      </c>
      <c r="P258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8" s="492"/>
      <c r="R258" s="492"/>
      <c r="S258" s="492"/>
      <c r="T258" s="493"/>
      <c r="U258" s="35"/>
      <c r="V258" s="35"/>
      <c r="W258" s="36" t="s">
        <v>71</v>
      </c>
      <c r="X258" s="487">
        <v>0</v>
      </c>
      <c r="Y258" s="488">
        <f t="shared" si="35"/>
        <v>0</v>
      </c>
      <c r="Z258" s="37" t="str">
        <f>IFERROR(IF(Y258=0,"",ROUNDUP(Y258/H258,0)*0.00651),"")</f>
        <v/>
      </c>
      <c r="AA258" s="57"/>
      <c r="AB258" s="58"/>
      <c r="AC258" s="314" t="s">
        <v>434</v>
      </c>
      <c r="AG258" s="65"/>
      <c r="AJ258" s="69"/>
      <c r="AK258" s="69">
        <v>0</v>
      </c>
      <c r="BB258" s="315" t="s">
        <v>1</v>
      </c>
      <c r="BM258" s="65">
        <f t="shared" si="36"/>
        <v>0</v>
      </c>
      <c r="BN258" s="65">
        <f t="shared" si="37"/>
        <v>0</v>
      </c>
      <c r="BO258" s="65">
        <f t="shared" si="38"/>
        <v>0</v>
      </c>
      <c r="BP258" s="65">
        <f t="shared" si="39"/>
        <v>0</v>
      </c>
    </row>
    <row r="259" spans="1:68" x14ac:dyDescent="0.2">
      <c r="A259" s="505"/>
      <c r="B259" s="501"/>
      <c r="C259" s="501"/>
      <c r="D259" s="501"/>
      <c r="E259" s="501"/>
      <c r="F259" s="501"/>
      <c r="G259" s="501"/>
      <c r="H259" s="501"/>
      <c r="I259" s="501"/>
      <c r="J259" s="501"/>
      <c r="K259" s="501"/>
      <c r="L259" s="501"/>
      <c r="M259" s="501"/>
      <c r="N259" s="501"/>
      <c r="O259" s="506"/>
      <c r="P259" s="497" t="s">
        <v>88</v>
      </c>
      <c r="Q259" s="498"/>
      <c r="R259" s="498"/>
      <c r="S259" s="498"/>
      <c r="T259" s="498"/>
      <c r="U259" s="498"/>
      <c r="V259" s="499"/>
      <c r="W259" s="38" t="s">
        <v>89</v>
      </c>
      <c r="X259" s="489">
        <f>IFERROR(X253/H253,"0")+IFERROR(X254/H254,"0")+IFERROR(X255/H255,"0")+IFERROR(X256/H256,"0")+IFERROR(X257/H257,"0")+IFERROR(X258/H258,"0")</f>
        <v>0</v>
      </c>
      <c r="Y259" s="489">
        <f>IFERROR(Y253/H253,"0")+IFERROR(Y254/H254,"0")+IFERROR(Y255/H255,"0")+IFERROR(Y256/H256,"0")+IFERROR(Y257/H257,"0")+IFERROR(Y258/H258,"0")</f>
        <v>0</v>
      </c>
      <c r="Z259" s="489">
        <f>IFERROR(IF(Z253="",0,Z253),"0")+IFERROR(IF(Z254="",0,Z254),"0")+IFERROR(IF(Z255="",0,Z255),"0")+IFERROR(IF(Z256="",0,Z256),"0")+IFERROR(IF(Z257="",0,Z257),"0")+IFERROR(IF(Z258="",0,Z258),"0")</f>
        <v>0</v>
      </c>
      <c r="AA259" s="490"/>
      <c r="AB259" s="490"/>
      <c r="AC259" s="490"/>
    </row>
    <row r="260" spans="1:68" x14ac:dyDescent="0.2">
      <c r="A260" s="501"/>
      <c r="B260" s="501"/>
      <c r="C260" s="501"/>
      <c r="D260" s="501"/>
      <c r="E260" s="501"/>
      <c r="F260" s="501"/>
      <c r="G260" s="501"/>
      <c r="H260" s="501"/>
      <c r="I260" s="501"/>
      <c r="J260" s="501"/>
      <c r="K260" s="501"/>
      <c r="L260" s="501"/>
      <c r="M260" s="501"/>
      <c r="N260" s="501"/>
      <c r="O260" s="506"/>
      <c r="P260" s="497" t="s">
        <v>88</v>
      </c>
      <c r="Q260" s="498"/>
      <c r="R260" s="498"/>
      <c r="S260" s="498"/>
      <c r="T260" s="498"/>
      <c r="U260" s="498"/>
      <c r="V260" s="499"/>
      <c r="W260" s="38" t="s">
        <v>71</v>
      </c>
      <c r="X260" s="489">
        <f>IFERROR(SUM(X253:X258),"0")</f>
        <v>0</v>
      </c>
      <c r="Y260" s="489">
        <f>IFERROR(SUM(Y253:Y258),"0")</f>
        <v>0</v>
      </c>
      <c r="Z260" s="38"/>
      <c r="AA260" s="490"/>
      <c r="AB260" s="490"/>
      <c r="AC260" s="490"/>
    </row>
    <row r="261" spans="1:68" ht="14.25" customHeight="1" x14ac:dyDescent="0.25">
      <c r="A261" s="512" t="s">
        <v>148</v>
      </c>
      <c r="B261" s="501"/>
      <c r="C261" s="501"/>
      <c r="D261" s="501"/>
      <c r="E261" s="501"/>
      <c r="F261" s="501"/>
      <c r="G261" s="501"/>
      <c r="H261" s="501"/>
      <c r="I261" s="501"/>
      <c r="J261" s="501"/>
      <c r="K261" s="501"/>
      <c r="L261" s="501"/>
      <c r="M261" s="501"/>
      <c r="N261" s="501"/>
      <c r="O261" s="501"/>
      <c r="P261" s="501"/>
      <c r="Q261" s="501"/>
      <c r="R261" s="501"/>
      <c r="S261" s="501"/>
      <c r="T261" s="501"/>
      <c r="U261" s="501"/>
      <c r="V261" s="501"/>
      <c r="W261" s="501"/>
      <c r="X261" s="501"/>
      <c r="Y261" s="501"/>
      <c r="Z261" s="501"/>
      <c r="AA261" s="483"/>
      <c r="AB261" s="483"/>
      <c r="AC261" s="483"/>
    </row>
    <row r="262" spans="1:68" ht="37.5" customHeight="1" x14ac:dyDescent="0.25">
      <c r="A262" s="55" t="s">
        <v>435</v>
      </c>
      <c r="B262" s="55" t="s">
        <v>436</v>
      </c>
      <c r="C262" s="32">
        <v>4301060379</v>
      </c>
      <c r="D262" s="494">
        <v>4607091380880</v>
      </c>
      <c r="E262" s="495"/>
      <c r="F262" s="486">
        <v>1.4</v>
      </c>
      <c r="G262" s="33">
        <v>6</v>
      </c>
      <c r="H262" s="486">
        <v>8.4</v>
      </c>
      <c r="I262" s="486">
        <v>8.9190000000000005</v>
      </c>
      <c r="J262" s="33">
        <v>64</v>
      </c>
      <c r="K262" s="33" t="s">
        <v>101</v>
      </c>
      <c r="L262" s="33"/>
      <c r="M262" s="34" t="s">
        <v>70</v>
      </c>
      <c r="N262" s="34"/>
      <c r="O262" s="33">
        <v>30</v>
      </c>
      <c r="P262" s="7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62" s="492"/>
      <c r="R262" s="492"/>
      <c r="S262" s="492"/>
      <c r="T262" s="493"/>
      <c r="U262" s="35"/>
      <c r="V262" s="35"/>
      <c r="W262" s="36" t="s">
        <v>71</v>
      </c>
      <c r="X262" s="487">
        <v>0</v>
      </c>
      <c r="Y262" s="488">
        <f>IFERROR(IF(X262="",0,CEILING((X262/$H262),1)*$H262),"")</f>
        <v>0</v>
      </c>
      <c r="Z262" s="37" t="str">
        <f>IFERROR(IF(Y262=0,"",ROUNDUP(Y262/H262,0)*0.01898),"")</f>
        <v/>
      </c>
      <c r="AA262" s="57"/>
      <c r="AB262" s="58"/>
      <c r="AC262" s="316" t="s">
        <v>437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37.5" customHeight="1" x14ac:dyDescent="0.25">
      <c r="A263" s="55" t="s">
        <v>438</v>
      </c>
      <c r="B263" s="55" t="s">
        <v>439</v>
      </c>
      <c r="C263" s="32">
        <v>4301060308</v>
      </c>
      <c r="D263" s="494">
        <v>4607091384482</v>
      </c>
      <c r="E263" s="495"/>
      <c r="F263" s="486">
        <v>1.3</v>
      </c>
      <c r="G263" s="33">
        <v>6</v>
      </c>
      <c r="H263" s="486">
        <v>7.8</v>
      </c>
      <c r="I263" s="486">
        <v>8.3190000000000008</v>
      </c>
      <c r="J263" s="33">
        <v>64</v>
      </c>
      <c r="K263" s="33" t="s">
        <v>101</v>
      </c>
      <c r="L263" s="33"/>
      <c r="M263" s="34" t="s">
        <v>70</v>
      </c>
      <c r="N263" s="34"/>
      <c r="O263" s="33">
        <v>30</v>
      </c>
      <c r="P263" s="7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63" s="492"/>
      <c r="R263" s="492"/>
      <c r="S263" s="492"/>
      <c r="T263" s="493"/>
      <c r="U263" s="35"/>
      <c r="V263" s="35"/>
      <c r="W263" s="36" t="s">
        <v>71</v>
      </c>
      <c r="X263" s="487">
        <v>0</v>
      </c>
      <c r="Y263" s="488">
        <f>IFERROR(IF(X263="",0,CEILING((X263/$H263),1)*$H263),"")</f>
        <v>0</v>
      </c>
      <c r="Z263" s="37" t="str">
        <f>IFERROR(IF(Y263=0,"",ROUNDUP(Y263/H263,0)*0.01898),"")</f>
        <v/>
      </c>
      <c r="AA263" s="57"/>
      <c r="AB263" s="58"/>
      <c r="AC263" s="318" t="s">
        <v>440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16.5" customHeight="1" x14ac:dyDescent="0.25">
      <c r="A264" s="55" t="s">
        <v>441</v>
      </c>
      <c r="B264" s="55" t="s">
        <v>442</v>
      </c>
      <c r="C264" s="32">
        <v>4301060484</v>
      </c>
      <c r="D264" s="494">
        <v>4607091380897</v>
      </c>
      <c r="E264" s="495"/>
      <c r="F264" s="486">
        <v>1.4</v>
      </c>
      <c r="G264" s="33">
        <v>6</v>
      </c>
      <c r="H264" s="486">
        <v>8.4</v>
      </c>
      <c r="I264" s="486">
        <v>8.9190000000000005</v>
      </c>
      <c r="J264" s="33">
        <v>64</v>
      </c>
      <c r="K264" s="33" t="s">
        <v>101</v>
      </c>
      <c r="L264" s="33"/>
      <c r="M264" s="34" t="s">
        <v>133</v>
      </c>
      <c r="N264" s="34"/>
      <c r="O264" s="33">
        <v>30</v>
      </c>
      <c r="P264" s="614" t="s">
        <v>443</v>
      </c>
      <c r="Q264" s="492"/>
      <c r="R264" s="492"/>
      <c r="S264" s="492"/>
      <c r="T264" s="493"/>
      <c r="U264" s="35"/>
      <c r="V264" s="35"/>
      <c r="W264" s="36" t="s">
        <v>71</v>
      </c>
      <c r="X264" s="487">
        <v>0</v>
      </c>
      <c r="Y264" s="488">
        <f>IFERROR(IF(X264="",0,CEILING((X264/$H264),1)*$H264),"")</f>
        <v>0</v>
      </c>
      <c r="Z264" s="37" t="str">
        <f>IFERROR(IF(Y264=0,"",ROUNDUP(Y264/H264,0)*0.01898),"")</f>
        <v/>
      </c>
      <c r="AA264" s="57"/>
      <c r="AB264" s="58"/>
      <c r="AC264" s="320" t="s">
        <v>444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16.5" customHeight="1" x14ac:dyDescent="0.25">
      <c r="A265" s="55" t="s">
        <v>441</v>
      </c>
      <c r="B265" s="55" t="s">
        <v>445</v>
      </c>
      <c r="C265" s="32">
        <v>4301060325</v>
      </c>
      <c r="D265" s="494">
        <v>4607091380897</v>
      </c>
      <c r="E265" s="495"/>
      <c r="F265" s="486">
        <v>1.4</v>
      </c>
      <c r="G265" s="33">
        <v>6</v>
      </c>
      <c r="H265" s="486">
        <v>8.4</v>
      </c>
      <c r="I265" s="486">
        <v>8.9190000000000005</v>
      </c>
      <c r="J265" s="33">
        <v>64</v>
      </c>
      <c r="K265" s="33" t="s">
        <v>101</v>
      </c>
      <c r="L265" s="33"/>
      <c r="M265" s="34" t="s">
        <v>70</v>
      </c>
      <c r="N265" s="34"/>
      <c r="O265" s="33">
        <v>30</v>
      </c>
      <c r="P265" s="5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65" s="492"/>
      <c r="R265" s="492"/>
      <c r="S265" s="492"/>
      <c r="T265" s="493"/>
      <c r="U265" s="35"/>
      <c r="V265" s="35"/>
      <c r="W265" s="36" t="s">
        <v>71</v>
      </c>
      <c r="X265" s="487">
        <v>0</v>
      </c>
      <c r="Y265" s="488">
        <f>IFERROR(IF(X265="",0,CEILING((X265/$H265),1)*$H265),"")</f>
        <v>0</v>
      </c>
      <c r="Z265" s="37" t="str">
        <f>IFERROR(IF(Y265=0,"",ROUNDUP(Y265/H265,0)*0.01898),"")</f>
        <v/>
      </c>
      <c r="AA265" s="57"/>
      <c r="AB265" s="58"/>
      <c r="AC265" s="322" t="s">
        <v>446</v>
      </c>
      <c r="AG265" s="65"/>
      <c r="AJ265" s="69"/>
      <c r="AK265" s="69">
        <v>0</v>
      </c>
      <c r="BB265" s="323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x14ac:dyDescent="0.2">
      <c r="A266" s="505"/>
      <c r="B266" s="501"/>
      <c r="C266" s="501"/>
      <c r="D266" s="501"/>
      <c r="E266" s="501"/>
      <c r="F266" s="501"/>
      <c r="G266" s="501"/>
      <c r="H266" s="501"/>
      <c r="I266" s="501"/>
      <c r="J266" s="501"/>
      <c r="K266" s="501"/>
      <c r="L266" s="501"/>
      <c r="M266" s="501"/>
      <c r="N266" s="501"/>
      <c r="O266" s="506"/>
      <c r="P266" s="497" t="s">
        <v>88</v>
      </c>
      <c r="Q266" s="498"/>
      <c r="R266" s="498"/>
      <c r="S266" s="498"/>
      <c r="T266" s="498"/>
      <c r="U266" s="498"/>
      <c r="V266" s="499"/>
      <c r="W266" s="38" t="s">
        <v>89</v>
      </c>
      <c r="X266" s="489">
        <f>IFERROR(X262/H262,"0")+IFERROR(X263/H263,"0")+IFERROR(X264/H264,"0")+IFERROR(X265/H265,"0")</f>
        <v>0</v>
      </c>
      <c r="Y266" s="489">
        <f>IFERROR(Y262/H262,"0")+IFERROR(Y263/H263,"0")+IFERROR(Y264/H264,"0")+IFERROR(Y265/H265,"0")</f>
        <v>0</v>
      </c>
      <c r="Z266" s="489">
        <f>IFERROR(IF(Z262="",0,Z262),"0")+IFERROR(IF(Z263="",0,Z263),"0")+IFERROR(IF(Z264="",0,Z264),"0")+IFERROR(IF(Z265="",0,Z265),"0")</f>
        <v>0</v>
      </c>
      <c r="AA266" s="490"/>
      <c r="AB266" s="490"/>
      <c r="AC266" s="490"/>
    </row>
    <row r="267" spans="1:68" x14ac:dyDescent="0.2">
      <c r="A267" s="501"/>
      <c r="B267" s="501"/>
      <c r="C267" s="501"/>
      <c r="D267" s="501"/>
      <c r="E267" s="501"/>
      <c r="F267" s="501"/>
      <c r="G267" s="501"/>
      <c r="H267" s="501"/>
      <c r="I267" s="501"/>
      <c r="J267" s="501"/>
      <c r="K267" s="501"/>
      <c r="L267" s="501"/>
      <c r="M267" s="501"/>
      <c r="N267" s="501"/>
      <c r="O267" s="506"/>
      <c r="P267" s="497" t="s">
        <v>88</v>
      </c>
      <c r="Q267" s="498"/>
      <c r="R267" s="498"/>
      <c r="S267" s="498"/>
      <c r="T267" s="498"/>
      <c r="U267" s="498"/>
      <c r="V267" s="499"/>
      <c r="W267" s="38" t="s">
        <v>71</v>
      </c>
      <c r="X267" s="489">
        <f>IFERROR(SUM(X262:X265),"0")</f>
        <v>0</v>
      </c>
      <c r="Y267" s="489">
        <f>IFERROR(SUM(Y262:Y265),"0")</f>
        <v>0</v>
      </c>
      <c r="Z267" s="38"/>
      <c r="AA267" s="490"/>
      <c r="AB267" s="490"/>
      <c r="AC267" s="490"/>
    </row>
    <row r="268" spans="1:68" ht="14.25" customHeight="1" x14ac:dyDescent="0.25">
      <c r="A268" s="512" t="s">
        <v>90</v>
      </c>
      <c r="B268" s="501"/>
      <c r="C268" s="501"/>
      <c r="D268" s="501"/>
      <c r="E268" s="501"/>
      <c r="F268" s="501"/>
      <c r="G268" s="501"/>
      <c r="H268" s="501"/>
      <c r="I268" s="501"/>
      <c r="J268" s="501"/>
      <c r="K268" s="501"/>
      <c r="L268" s="501"/>
      <c r="M268" s="501"/>
      <c r="N268" s="501"/>
      <c r="O268" s="501"/>
      <c r="P268" s="501"/>
      <c r="Q268" s="501"/>
      <c r="R268" s="501"/>
      <c r="S268" s="501"/>
      <c r="T268" s="501"/>
      <c r="U268" s="501"/>
      <c r="V268" s="501"/>
      <c r="W268" s="501"/>
      <c r="X268" s="501"/>
      <c r="Y268" s="501"/>
      <c r="Z268" s="501"/>
      <c r="AA268" s="483"/>
      <c r="AB268" s="483"/>
      <c r="AC268" s="483"/>
    </row>
    <row r="269" spans="1:68" ht="16.5" customHeight="1" x14ac:dyDescent="0.25">
      <c r="A269" s="55" t="s">
        <v>447</v>
      </c>
      <c r="B269" s="55" t="s">
        <v>448</v>
      </c>
      <c r="C269" s="32">
        <v>4301030232</v>
      </c>
      <c r="D269" s="494">
        <v>4607091388374</v>
      </c>
      <c r="E269" s="495"/>
      <c r="F269" s="486">
        <v>0.38</v>
      </c>
      <c r="G269" s="33">
        <v>8</v>
      </c>
      <c r="H269" s="486">
        <v>3.04</v>
      </c>
      <c r="I269" s="486">
        <v>3.29</v>
      </c>
      <c r="J269" s="33">
        <v>132</v>
      </c>
      <c r="K269" s="33" t="s">
        <v>110</v>
      </c>
      <c r="L269" s="33"/>
      <c r="M269" s="34" t="s">
        <v>93</v>
      </c>
      <c r="N269" s="34"/>
      <c r="O269" s="33">
        <v>180</v>
      </c>
      <c r="P269" s="713" t="s">
        <v>449</v>
      </c>
      <c r="Q269" s="492"/>
      <c r="R269" s="492"/>
      <c r="S269" s="492"/>
      <c r="T269" s="493"/>
      <c r="U269" s="35"/>
      <c r="V269" s="35"/>
      <c r="W269" s="36" t="s">
        <v>71</v>
      </c>
      <c r="X269" s="487">
        <v>0</v>
      </c>
      <c r="Y269" s="488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24" t="s">
        <v>450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451</v>
      </c>
      <c r="B270" s="55" t="s">
        <v>452</v>
      </c>
      <c r="C270" s="32">
        <v>4301030235</v>
      </c>
      <c r="D270" s="494">
        <v>4607091388381</v>
      </c>
      <c r="E270" s="495"/>
      <c r="F270" s="486">
        <v>0.38</v>
      </c>
      <c r="G270" s="33">
        <v>8</v>
      </c>
      <c r="H270" s="486">
        <v>3.04</v>
      </c>
      <c r="I270" s="486">
        <v>3.33</v>
      </c>
      <c r="J270" s="33">
        <v>132</v>
      </c>
      <c r="K270" s="33" t="s">
        <v>110</v>
      </c>
      <c r="L270" s="33"/>
      <c r="M270" s="34" t="s">
        <v>93</v>
      </c>
      <c r="N270" s="34"/>
      <c r="O270" s="33">
        <v>180</v>
      </c>
      <c r="P270" s="732" t="s">
        <v>453</v>
      </c>
      <c r="Q270" s="492"/>
      <c r="R270" s="492"/>
      <c r="S270" s="492"/>
      <c r="T270" s="493"/>
      <c r="U270" s="35"/>
      <c r="V270" s="35"/>
      <c r="W270" s="36" t="s">
        <v>71</v>
      </c>
      <c r="X270" s="487">
        <v>0</v>
      </c>
      <c r="Y270" s="488">
        <f>IFERROR(IF(X270="",0,CEILING((X270/$H270),1)*$H270),"")</f>
        <v>0</v>
      </c>
      <c r="Z270" s="37" t="str">
        <f>IFERROR(IF(Y270=0,"",ROUNDUP(Y270/H270,0)*0.00902),"")</f>
        <v/>
      </c>
      <c r="AA270" s="57"/>
      <c r="AB270" s="58"/>
      <c r="AC270" s="326" t="s">
        <v>450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454</v>
      </c>
      <c r="B271" s="55" t="s">
        <v>455</v>
      </c>
      <c r="C271" s="32">
        <v>4301032015</v>
      </c>
      <c r="D271" s="494">
        <v>4607091383102</v>
      </c>
      <c r="E271" s="495"/>
      <c r="F271" s="486">
        <v>0.17</v>
      </c>
      <c r="G271" s="33">
        <v>15</v>
      </c>
      <c r="H271" s="486">
        <v>2.5499999999999998</v>
      </c>
      <c r="I271" s="486">
        <v>2.9550000000000001</v>
      </c>
      <c r="J271" s="33">
        <v>182</v>
      </c>
      <c r="K271" s="33" t="s">
        <v>69</v>
      </c>
      <c r="L271" s="33"/>
      <c r="M271" s="34" t="s">
        <v>93</v>
      </c>
      <c r="N271" s="34"/>
      <c r="O271" s="33">
        <v>180</v>
      </c>
      <c r="P271" s="5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71" s="492"/>
      <c r="R271" s="492"/>
      <c r="S271" s="492"/>
      <c r="T271" s="493"/>
      <c r="U271" s="35"/>
      <c r="V271" s="35"/>
      <c r="W271" s="36" t="s">
        <v>71</v>
      </c>
      <c r="X271" s="487">
        <v>0</v>
      </c>
      <c r="Y271" s="488">
        <f>IFERROR(IF(X271="",0,CEILING((X271/$H271),1)*$H271),"")</f>
        <v>0</v>
      </c>
      <c r="Z271" s="37" t="str">
        <f>IFERROR(IF(Y271=0,"",ROUNDUP(Y271/H271,0)*0.00651),"")</f>
        <v/>
      </c>
      <c r="AA271" s="57"/>
      <c r="AB271" s="58"/>
      <c r="AC271" s="328" t="s">
        <v>456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457</v>
      </c>
      <c r="B272" s="55" t="s">
        <v>458</v>
      </c>
      <c r="C272" s="32">
        <v>4301030233</v>
      </c>
      <c r="D272" s="494">
        <v>4607091388404</v>
      </c>
      <c r="E272" s="495"/>
      <c r="F272" s="486">
        <v>0.17</v>
      </c>
      <c r="G272" s="33">
        <v>15</v>
      </c>
      <c r="H272" s="486">
        <v>2.5499999999999998</v>
      </c>
      <c r="I272" s="486">
        <v>2.88</v>
      </c>
      <c r="J272" s="33">
        <v>182</v>
      </c>
      <c r="K272" s="33" t="s">
        <v>69</v>
      </c>
      <c r="L272" s="33"/>
      <c r="M272" s="34" t="s">
        <v>93</v>
      </c>
      <c r="N272" s="34"/>
      <c r="O272" s="33">
        <v>180</v>
      </c>
      <c r="P272" s="6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72" s="492"/>
      <c r="R272" s="492"/>
      <c r="S272" s="492"/>
      <c r="T272" s="493"/>
      <c r="U272" s="35"/>
      <c r="V272" s="35"/>
      <c r="W272" s="36" t="s">
        <v>71</v>
      </c>
      <c r="X272" s="487"/>
      <c r="Y272" s="488">
        <f>IFERROR(IF(X272="",0,CEILING((X272/$H272),1)*$H272),"")</f>
        <v>0</v>
      </c>
      <c r="Z272" s="37" t="str">
        <f>IFERROR(IF(Y272=0,"",ROUNDUP(Y272/H272,0)*0.00651),"")</f>
        <v/>
      </c>
      <c r="AA272" s="57"/>
      <c r="AB272" s="58"/>
      <c r="AC272" s="330" t="s">
        <v>450</v>
      </c>
      <c r="AG272" s="65"/>
      <c r="AJ272" s="69"/>
      <c r="AK272" s="69">
        <v>0</v>
      </c>
      <c r="BB272" s="33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505"/>
      <c r="B273" s="501"/>
      <c r="C273" s="501"/>
      <c r="D273" s="501"/>
      <c r="E273" s="501"/>
      <c r="F273" s="501"/>
      <c r="G273" s="501"/>
      <c r="H273" s="501"/>
      <c r="I273" s="501"/>
      <c r="J273" s="501"/>
      <c r="K273" s="501"/>
      <c r="L273" s="501"/>
      <c r="M273" s="501"/>
      <c r="N273" s="501"/>
      <c r="O273" s="506"/>
      <c r="P273" s="497" t="s">
        <v>88</v>
      </c>
      <c r="Q273" s="498"/>
      <c r="R273" s="498"/>
      <c r="S273" s="498"/>
      <c r="T273" s="498"/>
      <c r="U273" s="498"/>
      <c r="V273" s="499"/>
      <c r="W273" s="38" t="s">
        <v>89</v>
      </c>
      <c r="X273" s="489">
        <f>IFERROR(X269/H269,"0")+IFERROR(X270/H270,"0")+IFERROR(X271/H271,"0")+IFERROR(X272/H272,"0")</f>
        <v>0</v>
      </c>
      <c r="Y273" s="489">
        <f>IFERROR(Y269/H269,"0")+IFERROR(Y270/H270,"0")+IFERROR(Y271/H271,"0")+IFERROR(Y272/H272,"0")</f>
        <v>0</v>
      </c>
      <c r="Z273" s="489">
        <f>IFERROR(IF(Z269="",0,Z269),"0")+IFERROR(IF(Z270="",0,Z270),"0")+IFERROR(IF(Z271="",0,Z271),"0")+IFERROR(IF(Z272="",0,Z272),"0")</f>
        <v>0</v>
      </c>
      <c r="AA273" s="490"/>
      <c r="AB273" s="490"/>
      <c r="AC273" s="490"/>
    </row>
    <row r="274" spans="1:68" x14ac:dyDescent="0.2">
      <c r="A274" s="501"/>
      <c r="B274" s="501"/>
      <c r="C274" s="501"/>
      <c r="D274" s="501"/>
      <c r="E274" s="501"/>
      <c r="F274" s="501"/>
      <c r="G274" s="501"/>
      <c r="H274" s="501"/>
      <c r="I274" s="501"/>
      <c r="J274" s="501"/>
      <c r="K274" s="501"/>
      <c r="L274" s="501"/>
      <c r="M274" s="501"/>
      <c r="N274" s="501"/>
      <c r="O274" s="506"/>
      <c r="P274" s="497" t="s">
        <v>88</v>
      </c>
      <c r="Q274" s="498"/>
      <c r="R274" s="498"/>
      <c r="S274" s="498"/>
      <c r="T274" s="498"/>
      <c r="U274" s="498"/>
      <c r="V274" s="499"/>
      <c r="W274" s="38" t="s">
        <v>71</v>
      </c>
      <c r="X274" s="489">
        <f>IFERROR(SUM(X269:X272),"0")</f>
        <v>0</v>
      </c>
      <c r="Y274" s="489">
        <f>IFERROR(SUM(Y269:Y272),"0")</f>
        <v>0</v>
      </c>
      <c r="Z274" s="38"/>
      <c r="AA274" s="490"/>
      <c r="AB274" s="490"/>
      <c r="AC274" s="490"/>
    </row>
    <row r="275" spans="1:68" ht="14.25" customHeight="1" x14ac:dyDescent="0.25">
      <c r="A275" s="512" t="s">
        <v>459</v>
      </c>
      <c r="B275" s="501"/>
      <c r="C275" s="501"/>
      <c r="D275" s="501"/>
      <c r="E275" s="501"/>
      <c r="F275" s="501"/>
      <c r="G275" s="501"/>
      <c r="H275" s="501"/>
      <c r="I275" s="501"/>
      <c r="J275" s="501"/>
      <c r="K275" s="501"/>
      <c r="L275" s="501"/>
      <c r="M275" s="501"/>
      <c r="N275" s="501"/>
      <c r="O275" s="501"/>
      <c r="P275" s="501"/>
      <c r="Q275" s="501"/>
      <c r="R275" s="501"/>
      <c r="S275" s="501"/>
      <c r="T275" s="501"/>
      <c r="U275" s="501"/>
      <c r="V275" s="501"/>
      <c r="W275" s="501"/>
      <c r="X275" s="501"/>
      <c r="Y275" s="501"/>
      <c r="Z275" s="501"/>
      <c r="AA275" s="483"/>
      <c r="AB275" s="483"/>
      <c r="AC275" s="483"/>
    </row>
    <row r="276" spans="1:68" ht="16.5" customHeight="1" x14ac:dyDescent="0.25">
      <c r="A276" s="55" t="s">
        <v>460</v>
      </c>
      <c r="B276" s="55" t="s">
        <v>461</v>
      </c>
      <c r="C276" s="32">
        <v>4301180007</v>
      </c>
      <c r="D276" s="494">
        <v>4680115881808</v>
      </c>
      <c r="E276" s="495"/>
      <c r="F276" s="486">
        <v>0.1</v>
      </c>
      <c r="G276" s="33">
        <v>20</v>
      </c>
      <c r="H276" s="486">
        <v>2</v>
      </c>
      <c r="I276" s="486">
        <v>2.2400000000000002</v>
      </c>
      <c r="J276" s="33">
        <v>238</v>
      </c>
      <c r="K276" s="33" t="s">
        <v>69</v>
      </c>
      <c r="L276" s="33"/>
      <c r="M276" s="34" t="s">
        <v>462</v>
      </c>
      <c r="N276" s="34"/>
      <c r="O276" s="33">
        <v>730</v>
      </c>
      <c r="P276" s="7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76" s="492"/>
      <c r="R276" s="492"/>
      <c r="S276" s="492"/>
      <c r="T276" s="493"/>
      <c r="U276" s="35"/>
      <c r="V276" s="35"/>
      <c r="W276" s="36" t="s">
        <v>71</v>
      </c>
      <c r="X276" s="487">
        <v>0</v>
      </c>
      <c r="Y276" s="488">
        <f>IFERROR(IF(X276="",0,CEILING((X276/$H276),1)*$H276),"")</f>
        <v>0</v>
      </c>
      <c r="Z276" s="37" t="str">
        <f>IFERROR(IF(Y276=0,"",ROUNDUP(Y276/H276,0)*0.00474),"")</f>
        <v/>
      </c>
      <c r="AA276" s="57"/>
      <c r="AB276" s="58"/>
      <c r="AC276" s="332" t="s">
        <v>463</v>
      </c>
      <c r="AG276" s="65"/>
      <c r="AJ276" s="69"/>
      <c r="AK276" s="69">
        <v>0</v>
      </c>
      <c r="BB276" s="33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ht="27" customHeight="1" x14ac:dyDescent="0.25">
      <c r="A277" s="55" t="s">
        <v>464</v>
      </c>
      <c r="B277" s="55" t="s">
        <v>465</v>
      </c>
      <c r="C277" s="32">
        <v>4301180006</v>
      </c>
      <c r="D277" s="494">
        <v>4680115881822</v>
      </c>
      <c r="E277" s="495"/>
      <c r="F277" s="486">
        <v>0.1</v>
      </c>
      <c r="G277" s="33">
        <v>20</v>
      </c>
      <c r="H277" s="486">
        <v>2</v>
      </c>
      <c r="I277" s="486">
        <v>2.2400000000000002</v>
      </c>
      <c r="J277" s="33">
        <v>238</v>
      </c>
      <c r="K277" s="33" t="s">
        <v>69</v>
      </c>
      <c r="L277" s="33"/>
      <c r="M277" s="34" t="s">
        <v>462</v>
      </c>
      <c r="N277" s="34"/>
      <c r="O277" s="33">
        <v>730</v>
      </c>
      <c r="P277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7" s="492"/>
      <c r="R277" s="492"/>
      <c r="S277" s="492"/>
      <c r="T277" s="493"/>
      <c r="U277" s="35"/>
      <c r="V277" s="35"/>
      <c r="W277" s="36" t="s">
        <v>71</v>
      </c>
      <c r="X277" s="487">
        <v>0</v>
      </c>
      <c r="Y277" s="488">
        <f>IFERROR(IF(X277="",0,CEILING((X277/$H277),1)*$H277),"")</f>
        <v>0</v>
      </c>
      <c r="Z277" s="37" t="str">
        <f>IFERROR(IF(Y277=0,"",ROUNDUP(Y277/H277,0)*0.00474),"")</f>
        <v/>
      </c>
      <c r="AA277" s="57"/>
      <c r="AB277" s="58"/>
      <c r="AC277" s="334" t="s">
        <v>463</v>
      </c>
      <c r="AG277" s="65"/>
      <c r="AJ277" s="69"/>
      <c r="AK277" s="69">
        <v>0</v>
      </c>
      <c r="BB277" s="33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ht="27" customHeight="1" x14ac:dyDescent="0.25">
      <c r="A278" s="55" t="s">
        <v>466</v>
      </c>
      <c r="B278" s="55" t="s">
        <v>467</v>
      </c>
      <c r="C278" s="32">
        <v>4301180001</v>
      </c>
      <c r="D278" s="494">
        <v>4680115880016</v>
      </c>
      <c r="E278" s="495"/>
      <c r="F278" s="486">
        <v>0.1</v>
      </c>
      <c r="G278" s="33">
        <v>20</v>
      </c>
      <c r="H278" s="486">
        <v>2</v>
      </c>
      <c r="I278" s="486">
        <v>2.2400000000000002</v>
      </c>
      <c r="J278" s="33">
        <v>238</v>
      </c>
      <c r="K278" s="33" t="s">
        <v>69</v>
      </c>
      <c r="L278" s="33"/>
      <c r="M278" s="34" t="s">
        <v>462</v>
      </c>
      <c r="N278" s="34"/>
      <c r="O278" s="33">
        <v>730</v>
      </c>
      <c r="P278" s="7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8" s="492"/>
      <c r="R278" s="492"/>
      <c r="S278" s="492"/>
      <c r="T278" s="493"/>
      <c r="U278" s="35"/>
      <c r="V278" s="35"/>
      <c r="W278" s="36" t="s">
        <v>71</v>
      </c>
      <c r="X278" s="487">
        <v>0</v>
      </c>
      <c r="Y278" s="488">
        <f>IFERROR(IF(X278="",0,CEILING((X278/$H278),1)*$H278),"")</f>
        <v>0</v>
      </c>
      <c r="Z278" s="37" t="str">
        <f>IFERROR(IF(Y278=0,"",ROUNDUP(Y278/H278,0)*0.00474),"")</f>
        <v/>
      </c>
      <c r="AA278" s="57"/>
      <c r="AB278" s="58"/>
      <c r="AC278" s="336" t="s">
        <v>463</v>
      </c>
      <c r="AG278" s="65"/>
      <c r="AJ278" s="69"/>
      <c r="AK278" s="69">
        <v>0</v>
      </c>
      <c r="BB278" s="33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505"/>
      <c r="B279" s="501"/>
      <c r="C279" s="501"/>
      <c r="D279" s="501"/>
      <c r="E279" s="501"/>
      <c r="F279" s="501"/>
      <c r="G279" s="501"/>
      <c r="H279" s="501"/>
      <c r="I279" s="501"/>
      <c r="J279" s="501"/>
      <c r="K279" s="501"/>
      <c r="L279" s="501"/>
      <c r="M279" s="501"/>
      <c r="N279" s="501"/>
      <c r="O279" s="506"/>
      <c r="P279" s="497" t="s">
        <v>88</v>
      </c>
      <c r="Q279" s="498"/>
      <c r="R279" s="498"/>
      <c r="S279" s="498"/>
      <c r="T279" s="498"/>
      <c r="U279" s="498"/>
      <c r="V279" s="499"/>
      <c r="W279" s="38" t="s">
        <v>89</v>
      </c>
      <c r="X279" s="489">
        <f>IFERROR(X276/H276,"0")+IFERROR(X277/H277,"0")+IFERROR(X278/H278,"0")</f>
        <v>0</v>
      </c>
      <c r="Y279" s="489">
        <f>IFERROR(Y276/H276,"0")+IFERROR(Y277/H277,"0")+IFERROR(Y278/H278,"0")</f>
        <v>0</v>
      </c>
      <c r="Z279" s="489">
        <f>IFERROR(IF(Z276="",0,Z276),"0")+IFERROR(IF(Z277="",0,Z277),"0")+IFERROR(IF(Z278="",0,Z278),"0")</f>
        <v>0</v>
      </c>
      <c r="AA279" s="490"/>
      <c r="AB279" s="490"/>
      <c r="AC279" s="490"/>
    </row>
    <row r="280" spans="1:68" x14ac:dyDescent="0.2">
      <c r="A280" s="501"/>
      <c r="B280" s="501"/>
      <c r="C280" s="501"/>
      <c r="D280" s="501"/>
      <c r="E280" s="501"/>
      <c r="F280" s="501"/>
      <c r="G280" s="501"/>
      <c r="H280" s="501"/>
      <c r="I280" s="501"/>
      <c r="J280" s="501"/>
      <c r="K280" s="501"/>
      <c r="L280" s="501"/>
      <c r="M280" s="501"/>
      <c r="N280" s="501"/>
      <c r="O280" s="506"/>
      <c r="P280" s="497" t="s">
        <v>88</v>
      </c>
      <c r="Q280" s="498"/>
      <c r="R280" s="498"/>
      <c r="S280" s="498"/>
      <c r="T280" s="498"/>
      <c r="U280" s="498"/>
      <c r="V280" s="499"/>
      <c r="W280" s="38" t="s">
        <v>71</v>
      </c>
      <c r="X280" s="489">
        <f>IFERROR(SUM(X276:X278),"0")</f>
        <v>0</v>
      </c>
      <c r="Y280" s="489">
        <f>IFERROR(SUM(Y276:Y278),"0")</f>
        <v>0</v>
      </c>
      <c r="Z280" s="38"/>
      <c r="AA280" s="490"/>
      <c r="AB280" s="490"/>
      <c r="AC280" s="490"/>
    </row>
    <row r="281" spans="1:68" ht="16.5" customHeight="1" x14ac:dyDescent="0.25">
      <c r="A281" s="500" t="s">
        <v>468</v>
      </c>
      <c r="B281" s="501"/>
      <c r="C281" s="501"/>
      <c r="D281" s="501"/>
      <c r="E281" s="501"/>
      <c r="F281" s="501"/>
      <c r="G281" s="501"/>
      <c r="H281" s="501"/>
      <c r="I281" s="501"/>
      <c r="J281" s="501"/>
      <c r="K281" s="501"/>
      <c r="L281" s="501"/>
      <c r="M281" s="501"/>
      <c r="N281" s="501"/>
      <c r="O281" s="501"/>
      <c r="P281" s="501"/>
      <c r="Q281" s="501"/>
      <c r="R281" s="501"/>
      <c r="S281" s="501"/>
      <c r="T281" s="501"/>
      <c r="U281" s="501"/>
      <c r="V281" s="501"/>
      <c r="W281" s="501"/>
      <c r="X281" s="501"/>
      <c r="Y281" s="501"/>
      <c r="Z281" s="501"/>
      <c r="AA281" s="482"/>
      <c r="AB281" s="482"/>
      <c r="AC281" s="482"/>
    </row>
    <row r="282" spans="1:68" ht="14.25" customHeight="1" x14ac:dyDescent="0.25">
      <c r="A282" s="512" t="s">
        <v>213</v>
      </c>
      <c r="B282" s="501"/>
      <c r="C282" s="501"/>
      <c r="D282" s="501"/>
      <c r="E282" s="501"/>
      <c r="F282" s="501"/>
      <c r="G282" s="501"/>
      <c r="H282" s="501"/>
      <c r="I282" s="501"/>
      <c r="J282" s="501"/>
      <c r="K282" s="501"/>
      <c r="L282" s="501"/>
      <c r="M282" s="501"/>
      <c r="N282" s="501"/>
      <c r="O282" s="501"/>
      <c r="P282" s="501"/>
      <c r="Q282" s="501"/>
      <c r="R282" s="501"/>
      <c r="S282" s="501"/>
      <c r="T282" s="501"/>
      <c r="U282" s="501"/>
      <c r="V282" s="501"/>
      <c r="W282" s="501"/>
      <c r="X282" s="501"/>
      <c r="Y282" s="501"/>
      <c r="Z282" s="501"/>
      <c r="AA282" s="483"/>
      <c r="AB282" s="483"/>
      <c r="AC282" s="483"/>
    </row>
    <row r="283" spans="1:68" ht="27" customHeight="1" x14ac:dyDescent="0.25">
      <c r="A283" s="55" t="s">
        <v>469</v>
      </c>
      <c r="B283" s="55" t="s">
        <v>470</v>
      </c>
      <c r="C283" s="32">
        <v>4301031066</v>
      </c>
      <c r="D283" s="494">
        <v>4607091383836</v>
      </c>
      <c r="E283" s="495"/>
      <c r="F283" s="486">
        <v>0.3</v>
      </c>
      <c r="G283" s="33">
        <v>6</v>
      </c>
      <c r="H283" s="486">
        <v>1.8</v>
      </c>
      <c r="I283" s="486">
        <v>2.028</v>
      </c>
      <c r="J283" s="33">
        <v>182</v>
      </c>
      <c r="K283" s="33" t="s">
        <v>69</v>
      </c>
      <c r="L283" s="33"/>
      <c r="M283" s="34" t="s">
        <v>70</v>
      </c>
      <c r="N283" s="34"/>
      <c r="O283" s="33">
        <v>40</v>
      </c>
      <c r="P283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3" s="492"/>
      <c r="R283" s="492"/>
      <c r="S283" s="492"/>
      <c r="T283" s="493"/>
      <c r="U283" s="35"/>
      <c r="V283" s="35"/>
      <c r="W283" s="36" t="s">
        <v>71</v>
      </c>
      <c r="X283" s="487">
        <v>0</v>
      </c>
      <c r="Y283" s="488">
        <f>IFERROR(IF(X283="",0,CEILING((X283/$H283),1)*$H283),"")</f>
        <v>0</v>
      </c>
      <c r="Z283" s="37" t="str">
        <f>IFERROR(IF(Y283=0,"",ROUNDUP(Y283/H283,0)*0.00651),"")</f>
        <v/>
      </c>
      <c r="AA283" s="57"/>
      <c r="AB283" s="58"/>
      <c r="AC283" s="338" t="s">
        <v>471</v>
      </c>
      <c r="AG283" s="65"/>
      <c r="AJ283" s="69"/>
      <c r="AK283" s="69">
        <v>0</v>
      </c>
      <c r="BB283" s="33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x14ac:dyDescent="0.2">
      <c r="A284" s="505"/>
      <c r="B284" s="501"/>
      <c r="C284" s="501"/>
      <c r="D284" s="501"/>
      <c r="E284" s="501"/>
      <c r="F284" s="501"/>
      <c r="G284" s="501"/>
      <c r="H284" s="501"/>
      <c r="I284" s="501"/>
      <c r="J284" s="501"/>
      <c r="K284" s="501"/>
      <c r="L284" s="501"/>
      <c r="M284" s="501"/>
      <c r="N284" s="501"/>
      <c r="O284" s="506"/>
      <c r="P284" s="497" t="s">
        <v>88</v>
      </c>
      <c r="Q284" s="498"/>
      <c r="R284" s="498"/>
      <c r="S284" s="498"/>
      <c r="T284" s="498"/>
      <c r="U284" s="498"/>
      <c r="V284" s="499"/>
      <c r="W284" s="38" t="s">
        <v>89</v>
      </c>
      <c r="X284" s="489">
        <f>IFERROR(X283/H283,"0")</f>
        <v>0</v>
      </c>
      <c r="Y284" s="489">
        <f>IFERROR(Y283/H283,"0")</f>
        <v>0</v>
      </c>
      <c r="Z284" s="489">
        <f>IFERROR(IF(Z283="",0,Z283),"0")</f>
        <v>0</v>
      </c>
      <c r="AA284" s="490"/>
      <c r="AB284" s="490"/>
      <c r="AC284" s="490"/>
    </row>
    <row r="285" spans="1:68" x14ac:dyDescent="0.2">
      <c r="A285" s="501"/>
      <c r="B285" s="501"/>
      <c r="C285" s="501"/>
      <c r="D285" s="501"/>
      <c r="E285" s="501"/>
      <c r="F285" s="501"/>
      <c r="G285" s="501"/>
      <c r="H285" s="501"/>
      <c r="I285" s="501"/>
      <c r="J285" s="501"/>
      <c r="K285" s="501"/>
      <c r="L285" s="501"/>
      <c r="M285" s="501"/>
      <c r="N285" s="501"/>
      <c r="O285" s="506"/>
      <c r="P285" s="497" t="s">
        <v>88</v>
      </c>
      <c r="Q285" s="498"/>
      <c r="R285" s="498"/>
      <c r="S285" s="498"/>
      <c r="T285" s="498"/>
      <c r="U285" s="498"/>
      <c r="V285" s="499"/>
      <c r="W285" s="38" t="s">
        <v>71</v>
      </c>
      <c r="X285" s="489">
        <f>IFERROR(SUM(X283:X283),"0")</f>
        <v>0</v>
      </c>
      <c r="Y285" s="489">
        <f>IFERROR(SUM(Y283:Y283),"0")</f>
        <v>0</v>
      </c>
      <c r="Z285" s="38"/>
      <c r="AA285" s="490"/>
      <c r="AB285" s="490"/>
      <c r="AC285" s="490"/>
    </row>
    <row r="286" spans="1:68" ht="14.25" customHeight="1" x14ac:dyDescent="0.25">
      <c r="A286" s="512" t="s">
        <v>66</v>
      </c>
      <c r="B286" s="501"/>
      <c r="C286" s="501"/>
      <c r="D286" s="501"/>
      <c r="E286" s="501"/>
      <c r="F286" s="501"/>
      <c r="G286" s="501"/>
      <c r="H286" s="501"/>
      <c r="I286" s="501"/>
      <c r="J286" s="501"/>
      <c r="K286" s="501"/>
      <c r="L286" s="501"/>
      <c r="M286" s="501"/>
      <c r="N286" s="501"/>
      <c r="O286" s="501"/>
      <c r="P286" s="501"/>
      <c r="Q286" s="501"/>
      <c r="R286" s="501"/>
      <c r="S286" s="501"/>
      <c r="T286" s="501"/>
      <c r="U286" s="501"/>
      <c r="V286" s="501"/>
      <c r="W286" s="501"/>
      <c r="X286" s="501"/>
      <c r="Y286" s="501"/>
      <c r="Z286" s="501"/>
      <c r="AA286" s="483"/>
      <c r="AB286" s="483"/>
      <c r="AC286" s="483"/>
    </row>
    <row r="287" spans="1:68" ht="37.5" customHeight="1" x14ac:dyDescent="0.25">
      <c r="A287" s="55" t="s">
        <v>472</v>
      </c>
      <c r="B287" s="55" t="s">
        <v>473</v>
      </c>
      <c r="C287" s="32">
        <v>4301051142</v>
      </c>
      <c r="D287" s="494">
        <v>4607091387919</v>
      </c>
      <c r="E287" s="495"/>
      <c r="F287" s="486">
        <v>1.35</v>
      </c>
      <c r="G287" s="33">
        <v>6</v>
      </c>
      <c r="H287" s="486">
        <v>8.1</v>
      </c>
      <c r="I287" s="486">
        <v>8.6189999999999998</v>
      </c>
      <c r="J287" s="33">
        <v>64</v>
      </c>
      <c r="K287" s="33" t="s">
        <v>101</v>
      </c>
      <c r="L287" s="33"/>
      <c r="M287" s="34" t="s">
        <v>70</v>
      </c>
      <c r="N287" s="34"/>
      <c r="O287" s="33">
        <v>45</v>
      </c>
      <c r="P287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7" s="492"/>
      <c r="R287" s="492"/>
      <c r="S287" s="492"/>
      <c r="T287" s="493"/>
      <c r="U287" s="35"/>
      <c r="V287" s="35"/>
      <c r="W287" s="36" t="s">
        <v>71</v>
      </c>
      <c r="X287" s="487">
        <v>0</v>
      </c>
      <c r="Y287" s="488">
        <f>IFERROR(IF(X287="",0,CEILING((X287/$H287),1)*$H287),"")</f>
        <v>0</v>
      </c>
      <c r="Z287" s="37" t="str">
        <f>IFERROR(IF(Y287=0,"",ROUNDUP(Y287/H287,0)*0.01898),"")</f>
        <v/>
      </c>
      <c r="AA287" s="57"/>
      <c r="AB287" s="58"/>
      <c r="AC287" s="340" t="s">
        <v>474</v>
      </c>
      <c r="AG287" s="65"/>
      <c r="AJ287" s="69"/>
      <c r="AK287" s="69">
        <v>0</v>
      </c>
      <c r="BB287" s="34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ht="37.5" customHeight="1" x14ac:dyDescent="0.25">
      <c r="A288" s="55" t="s">
        <v>475</v>
      </c>
      <c r="B288" s="55" t="s">
        <v>476</v>
      </c>
      <c r="C288" s="32">
        <v>4301051461</v>
      </c>
      <c r="D288" s="494">
        <v>4680115883604</v>
      </c>
      <c r="E288" s="495"/>
      <c r="F288" s="486">
        <v>0.35</v>
      </c>
      <c r="G288" s="33">
        <v>6</v>
      </c>
      <c r="H288" s="486">
        <v>2.1</v>
      </c>
      <c r="I288" s="486">
        <v>2.3519999999999999</v>
      </c>
      <c r="J288" s="33">
        <v>182</v>
      </c>
      <c r="K288" s="33" t="s">
        <v>69</v>
      </c>
      <c r="L288" s="33"/>
      <c r="M288" s="34" t="s">
        <v>102</v>
      </c>
      <c r="N288" s="34"/>
      <c r="O288" s="33">
        <v>45</v>
      </c>
      <c r="P288" s="7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8" s="492"/>
      <c r="R288" s="492"/>
      <c r="S288" s="492"/>
      <c r="T288" s="493"/>
      <c r="U288" s="35"/>
      <c r="V288" s="35"/>
      <c r="W288" s="36" t="s">
        <v>71</v>
      </c>
      <c r="X288" s="487">
        <v>53</v>
      </c>
      <c r="Y288" s="488">
        <f>IFERROR(IF(X288="",0,CEILING((X288/$H288),1)*$H288),"")</f>
        <v>54.6</v>
      </c>
      <c r="Z288" s="37">
        <f>IFERROR(IF(Y288=0,"",ROUNDUP(Y288/H288,0)*0.00651),"")</f>
        <v>0.16925999999999999</v>
      </c>
      <c r="AA288" s="57"/>
      <c r="AB288" s="58"/>
      <c r="AC288" s="342" t="s">
        <v>477</v>
      </c>
      <c r="AG288" s="65"/>
      <c r="AJ288" s="69"/>
      <c r="AK288" s="69">
        <v>0</v>
      </c>
      <c r="BB288" s="343" t="s">
        <v>1</v>
      </c>
      <c r="BM288" s="65">
        <f>IFERROR(X288*I288/H288,"0")</f>
        <v>59.359999999999992</v>
      </c>
      <c r="BN288" s="65">
        <f>IFERROR(Y288*I288/H288,"0")</f>
        <v>61.151999999999994</v>
      </c>
      <c r="BO288" s="65">
        <f>IFERROR(1/J288*(X288/H288),"0")</f>
        <v>0.13867085295656725</v>
      </c>
      <c r="BP288" s="65">
        <f>IFERROR(1/J288*(Y288/H288),"0")</f>
        <v>0.14285714285714288</v>
      </c>
    </row>
    <row r="289" spans="1:68" x14ac:dyDescent="0.2">
      <c r="A289" s="505"/>
      <c r="B289" s="501"/>
      <c r="C289" s="501"/>
      <c r="D289" s="501"/>
      <c r="E289" s="501"/>
      <c r="F289" s="501"/>
      <c r="G289" s="501"/>
      <c r="H289" s="501"/>
      <c r="I289" s="501"/>
      <c r="J289" s="501"/>
      <c r="K289" s="501"/>
      <c r="L289" s="501"/>
      <c r="M289" s="501"/>
      <c r="N289" s="501"/>
      <c r="O289" s="506"/>
      <c r="P289" s="497" t="s">
        <v>88</v>
      </c>
      <c r="Q289" s="498"/>
      <c r="R289" s="498"/>
      <c r="S289" s="498"/>
      <c r="T289" s="498"/>
      <c r="U289" s="498"/>
      <c r="V289" s="499"/>
      <c r="W289" s="38" t="s">
        <v>89</v>
      </c>
      <c r="X289" s="489">
        <f>IFERROR(X287/H287,"0")+IFERROR(X288/H288,"0")</f>
        <v>25.238095238095237</v>
      </c>
      <c r="Y289" s="489">
        <f>IFERROR(Y287/H287,"0")+IFERROR(Y288/H288,"0")</f>
        <v>26</v>
      </c>
      <c r="Z289" s="489">
        <f>IFERROR(IF(Z287="",0,Z287),"0")+IFERROR(IF(Z288="",0,Z288),"0")</f>
        <v>0.16925999999999999</v>
      </c>
      <c r="AA289" s="490"/>
      <c r="AB289" s="490"/>
      <c r="AC289" s="490"/>
    </row>
    <row r="290" spans="1:68" x14ac:dyDescent="0.2">
      <c r="A290" s="501"/>
      <c r="B290" s="501"/>
      <c r="C290" s="501"/>
      <c r="D290" s="501"/>
      <c r="E290" s="501"/>
      <c r="F290" s="501"/>
      <c r="G290" s="501"/>
      <c r="H290" s="501"/>
      <c r="I290" s="501"/>
      <c r="J290" s="501"/>
      <c r="K290" s="501"/>
      <c r="L290" s="501"/>
      <c r="M290" s="501"/>
      <c r="N290" s="501"/>
      <c r="O290" s="506"/>
      <c r="P290" s="497" t="s">
        <v>88</v>
      </c>
      <c r="Q290" s="498"/>
      <c r="R290" s="498"/>
      <c r="S290" s="498"/>
      <c r="T290" s="498"/>
      <c r="U290" s="498"/>
      <c r="V290" s="499"/>
      <c r="W290" s="38" t="s">
        <v>71</v>
      </c>
      <c r="X290" s="489">
        <f>IFERROR(SUM(X287:X288),"0")</f>
        <v>53</v>
      </c>
      <c r="Y290" s="489">
        <f>IFERROR(SUM(Y287:Y288),"0")</f>
        <v>54.6</v>
      </c>
      <c r="Z290" s="38"/>
      <c r="AA290" s="490"/>
      <c r="AB290" s="490"/>
      <c r="AC290" s="490"/>
    </row>
    <row r="291" spans="1:68" ht="27.75" customHeight="1" x14ac:dyDescent="0.2">
      <c r="A291" s="544" t="s">
        <v>478</v>
      </c>
      <c r="B291" s="545"/>
      <c r="C291" s="545"/>
      <c r="D291" s="545"/>
      <c r="E291" s="545"/>
      <c r="F291" s="545"/>
      <c r="G291" s="545"/>
      <c r="H291" s="545"/>
      <c r="I291" s="545"/>
      <c r="J291" s="545"/>
      <c r="K291" s="545"/>
      <c r="L291" s="545"/>
      <c r="M291" s="545"/>
      <c r="N291" s="545"/>
      <c r="O291" s="545"/>
      <c r="P291" s="545"/>
      <c r="Q291" s="545"/>
      <c r="R291" s="545"/>
      <c r="S291" s="545"/>
      <c r="T291" s="545"/>
      <c r="U291" s="545"/>
      <c r="V291" s="545"/>
      <c r="W291" s="545"/>
      <c r="X291" s="545"/>
      <c r="Y291" s="545"/>
      <c r="Z291" s="545"/>
      <c r="AA291" s="49"/>
      <c r="AB291" s="49"/>
      <c r="AC291" s="49"/>
    </row>
    <row r="292" spans="1:68" ht="16.5" customHeight="1" x14ac:dyDescent="0.25">
      <c r="A292" s="500" t="s">
        <v>479</v>
      </c>
      <c r="B292" s="501"/>
      <c r="C292" s="501"/>
      <c r="D292" s="501"/>
      <c r="E292" s="501"/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  <c r="P292" s="501"/>
      <c r="Q292" s="501"/>
      <c r="R292" s="501"/>
      <c r="S292" s="501"/>
      <c r="T292" s="501"/>
      <c r="U292" s="501"/>
      <c r="V292" s="501"/>
      <c r="W292" s="501"/>
      <c r="X292" s="501"/>
      <c r="Y292" s="501"/>
      <c r="Z292" s="501"/>
      <c r="AA292" s="482"/>
      <c r="AB292" s="482"/>
      <c r="AC292" s="482"/>
    </row>
    <row r="293" spans="1:68" ht="14.25" customHeight="1" x14ac:dyDescent="0.25">
      <c r="A293" s="512" t="s">
        <v>98</v>
      </c>
      <c r="B293" s="501"/>
      <c r="C293" s="501"/>
      <c r="D293" s="501"/>
      <c r="E293" s="501"/>
      <c r="F293" s="501"/>
      <c r="G293" s="501"/>
      <c r="H293" s="501"/>
      <c r="I293" s="501"/>
      <c r="J293" s="501"/>
      <c r="K293" s="501"/>
      <c r="L293" s="501"/>
      <c r="M293" s="501"/>
      <c r="N293" s="501"/>
      <c r="O293" s="501"/>
      <c r="P293" s="501"/>
      <c r="Q293" s="501"/>
      <c r="R293" s="501"/>
      <c r="S293" s="501"/>
      <c r="T293" s="501"/>
      <c r="U293" s="501"/>
      <c r="V293" s="501"/>
      <c r="W293" s="501"/>
      <c r="X293" s="501"/>
      <c r="Y293" s="501"/>
      <c r="Z293" s="501"/>
      <c r="AA293" s="483"/>
      <c r="AB293" s="483"/>
      <c r="AC293" s="483"/>
    </row>
    <row r="294" spans="1:68" ht="37.5" customHeight="1" x14ac:dyDescent="0.25">
      <c r="A294" s="55" t="s">
        <v>480</v>
      </c>
      <c r="B294" s="55" t="s">
        <v>481</v>
      </c>
      <c r="C294" s="32">
        <v>4301011869</v>
      </c>
      <c r="D294" s="494">
        <v>4680115884847</v>
      </c>
      <c r="E294" s="495"/>
      <c r="F294" s="486">
        <v>2.5</v>
      </c>
      <c r="G294" s="33">
        <v>6</v>
      </c>
      <c r="H294" s="486">
        <v>15</v>
      </c>
      <c r="I294" s="486">
        <v>15.48</v>
      </c>
      <c r="J294" s="33">
        <v>48</v>
      </c>
      <c r="K294" s="33" t="s">
        <v>101</v>
      </c>
      <c r="L294" s="33"/>
      <c r="M294" s="34" t="s">
        <v>70</v>
      </c>
      <c r="N294" s="34"/>
      <c r="O294" s="33">
        <v>60</v>
      </c>
      <c r="P294" s="7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94" s="492"/>
      <c r="R294" s="492"/>
      <c r="S294" s="492"/>
      <c r="T294" s="493"/>
      <c r="U294" s="35"/>
      <c r="V294" s="35"/>
      <c r="W294" s="36" t="s">
        <v>71</v>
      </c>
      <c r="X294" s="487">
        <v>700</v>
      </c>
      <c r="Y294" s="488">
        <f t="shared" ref="Y294:Y299" si="40">IFERROR(IF(X294="",0,CEILING((X294/$H294),1)*$H294),"")</f>
        <v>705</v>
      </c>
      <c r="Z294" s="37">
        <f>IFERROR(IF(Y294=0,"",ROUNDUP(Y294/H294,0)*0.02175),"")</f>
        <v>1.0222499999999999</v>
      </c>
      <c r="AA294" s="57"/>
      <c r="AB294" s="58"/>
      <c r="AC294" s="344" t="s">
        <v>482</v>
      </c>
      <c r="AG294" s="65"/>
      <c r="AJ294" s="69"/>
      <c r="AK294" s="69">
        <v>0</v>
      </c>
      <c r="BB294" s="345" t="s">
        <v>1</v>
      </c>
      <c r="BM294" s="65">
        <f t="shared" ref="BM294:BM299" si="41">IFERROR(X294*I294/H294,"0")</f>
        <v>722.4</v>
      </c>
      <c r="BN294" s="65">
        <f t="shared" ref="BN294:BN299" si="42">IFERROR(Y294*I294/H294,"0")</f>
        <v>727.56</v>
      </c>
      <c r="BO294" s="65">
        <f t="shared" ref="BO294:BO299" si="43">IFERROR(1/J294*(X294/H294),"0")</f>
        <v>0.9722222222222221</v>
      </c>
      <c r="BP294" s="65">
        <f t="shared" ref="BP294:BP299" si="44">IFERROR(1/J294*(Y294/H294),"0")</f>
        <v>0.97916666666666663</v>
      </c>
    </row>
    <row r="295" spans="1:68" ht="27" customHeight="1" x14ac:dyDescent="0.25">
      <c r="A295" s="55" t="s">
        <v>483</v>
      </c>
      <c r="B295" s="55" t="s">
        <v>484</v>
      </c>
      <c r="C295" s="32">
        <v>4301011870</v>
      </c>
      <c r="D295" s="494">
        <v>4680115884854</v>
      </c>
      <c r="E295" s="495"/>
      <c r="F295" s="486">
        <v>2.5</v>
      </c>
      <c r="G295" s="33">
        <v>6</v>
      </c>
      <c r="H295" s="486">
        <v>15</v>
      </c>
      <c r="I295" s="486">
        <v>15.48</v>
      </c>
      <c r="J295" s="33">
        <v>48</v>
      </c>
      <c r="K295" s="33" t="s">
        <v>101</v>
      </c>
      <c r="L295" s="33"/>
      <c r="M295" s="34" t="s">
        <v>70</v>
      </c>
      <c r="N295" s="34"/>
      <c r="O295" s="33">
        <v>60</v>
      </c>
      <c r="P295" s="7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95" s="492"/>
      <c r="R295" s="492"/>
      <c r="S295" s="492"/>
      <c r="T295" s="493"/>
      <c r="U295" s="35"/>
      <c r="V295" s="35"/>
      <c r="W295" s="36" t="s">
        <v>71</v>
      </c>
      <c r="X295" s="487">
        <v>800</v>
      </c>
      <c r="Y295" s="488">
        <f t="shared" si="40"/>
        <v>810</v>
      </c>
      <c r="Z295" s="37">
        <f>IFERROR(IF(Y295=0,"",ROUNDUP(Y295/H295,0)*0.02175),"")</f>
        <v>1.1744999999999999</v>
      </c>
      <c r="AA295" s="57"/>
      <c r="AB295" s="58"/>
      <c r="AC295" s="346" t="s">
        <v>485</v>
      </c>
      <c r="AG295" s="65"/>
      <c r="AJ295" s="69"/>
      <c r="AK295" s="69">
        <v>0</v>
      </c>
      <c r="BB295" s="347" t="s">
        <v>1</v>
      </c>
      <c r="BM295" s="65">
        <f t="shared" si="41"/>
        <v>825.6</v>
      </c>
      <c r="BN295" s="65">
        <f t="shared" si="42"/>
        <v>835.92000000000007</v>
      </c>
      <c r="BO295" s="65">
        <f t="shared" si="43"/>
        <v>1.1111111111111112</v>
      </c>
      <c r="BP295" s="65">
        <f t="shared" si="44"/>
        <v>1.125</v>
      </c>
    </row>
    <row r="296" spans="1:68" ht="37.5" customHeight="1" x14ac:dyDescent="0.25">
      <c r="A296" s="55" t="s">
        <v>486</v>
      </c>
      <c r="B296" s="55" t="s">
        <v>487</v>
      </c>
      <c r="C296" s="32">
        <v>4301011867</v>
      </c>
      <c r="D296" s="494">
        <v>4680115884830</v>
      </c>
      <c r="E296" s="495"/>
      <c r="F296" s="486">
        <v>2.5</v>
      </c>
      <c r="G296" s="33">
        <v>6</v>
      </c>
      <c r="H296" s="486">
        <v>15</v>
      </c>
      <c r="I296" s="486">
        <v>15.48</v>
      </c>
      <c r="J296" s="33">
        <v>48</v>
      </c>
      <c r="K296" s="33" t="s">
        <v>101</v>
      </c>
      <c r="L296" s="33"/>
      <c r="M296" s="34" t="s">
        <v>70</v>
      </c>
      <c r="N296" s="34"/>
      <c r="O296" s="33">
        <v>60</v>
      </c>
      <c r="P296" s="6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96" s="492"/>
      <c r="R296" s="492"/>
      <c r="S296" s="492"/>
      <c r="T296" s="493"/>
      <c r="U296" s="35"/>
      <c r="V296" s="35"/>
      <c r="W296" s="36" t="s">
        <v>71</v>
      </c>
      <c r="X296" s="487">
        <v>700</v>
      </c>
      <c r="Y296" s="488">
        <f t="shared" si="40"/>
        <v>705</v>
      </c>
      <c r="Z296" s="37">
        <f>IFERROR(IF(Y296=0,"",ROUNDUP(Y296/H296,0)*0.02175),"")</f>
        <v>1.0222499999999999</v>
      </c>
      <c r="AA296" s="57"/>
      <c r="AB296" s="58"/>
      <c r="AC296" s="348" t="s">
        <v>488</v>
      </c>
      <c r="AG296" s="65"/>
      <c r="AJ296" s="69"/>
      <c r="AK296" s="69">
        <v>0</v>
      </c>
      <c r="BB296" s="349" t="s">
        <v>1</v>
      </c>
      <c r="BM296" s="65">
        <f t="shared" si="41"/>
        <v>722.4</v>
      </c>
      <c r="BN296" s="65">
        <f t="shared" si="42"/>
        <v>727.56</v>
      </c>
      <c r="BO296" s="65">
        <f t="shared" si="43"/>
        <v>0.9722222222222221</v>
      </c>
      <c r="BP296" s="65">
        <f t="shared" si="44"/>
        <v>0.97916666666666663</v>
      </c>
    </row>
    <row r="297" spans="1:68" ht="27" customHeight="1" x14ac:dyDescent="0.25">
      <c r="A297" s="55" t="s">
        <v>489</v>
      </c>
      <c r="B297" s="55" t="s">
        <v>490</v>
      </c>
      <c r="C297" s="32">
        <v>4301011433</v>
      </c>
      <c r="D297" s="494">
        <v>4680115882638</v>
      </c>
      <c r="E297" s="495"/>
      <c r="F297" s="486">
        <v>0.4</v>
      </c>
      <c r="G297" s="33">
        <v>10</v>
      </c>
      <c r="H297" s="486">
        <v>4</v>
      </c>
      <c r="I297" s="486">
        <v>4.21</v>
      </c>
      <c r="J297" s="33">
        <v>132</v>
      </c>
      <c r="K297" s="33" t="s">
        <v>110</v>
      </c>
      <c r="L297" s="33"/>
      <c r="M297" s="34" t="s">
        <v>106</v>
      </c>
      <c r="N297" s="34"/>
      <c r="O297" s="33">
        <v>90</v>
      </c>
      <c r="P297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7" s="492"/>
      <c r="R297" s="492"/>
      <c r="S297" s="492"/>
      <c r="T297" s="493"/>
      <c r="U297" s="35"/>
      <c r="V297" s="35"/>
      <c r="W297" s="36" t="s">
        <v>71</v>
      </c>
      <c r="X297" s="487">
        <v>0</v>
      </c>
      <c r="Y297" s="488">
        <f t="shared" si="40"/>
        <v>0</v>
      </c>
      <c r="Z297" s="37" t="str">
        <f>IFERROR(IF(Y297=0,"",ROUNDUP(Y297/H297,0)*0.00902),"")</f>
        <v/>
      </c>
      <c r="AA297" s="57"/>
      <c r="AB297" s="58"/>
      <c r="AC297" s="350" t="s">
        <v>491</v>
      </c>
      <c r="AG297" s="65"/>
      <c r="AJ297" s="69"/>
      <c r="AK297" s="69">
        <v>0</v>
      </c>
      <c r="BB297" s="351" t="s">
        <v>1</v>
      </c>
      <c r="BM297" s="65">
        <f t="shared" si="41"/>
        <v>0</v>
      </c>
      <c r="BN297" s="65">
        <f t="shared" si="42"/>
        <v>0</v>
      </c>
      <c r="BO297" s="65">
        <f t="shared" si="43"/>
        <v>0</v>
      </c>
      <c r="BP297" s="65">
        <f t="shared" si="44"/>
        <v>0</v>
      </c>
    </row>
    <row r="298" spans="1:68" ht="27" customHeight="1" x14ac:dyDescent="0.25">
      <c r="A298" s="55" t="s">
        <v>492</v>
      </c>
      <c r="B298" s="55" t="s">
        <v>493</v>
      </c>
      <c r="C298" s="32">
        <v>4301011952</v>
      </c>
      <c r="D298" s="494">
        <v>4680115884922</v>
      </c>
      <c r="E298" s="495"/>
      <c r="F298" s="486">
        <v>0.5</v>
      </c>
      <c r="G298" s="33">
        <v>10</v>
      </c>
      <c r="H298" s="486">
        <v>5</v>
      </c>
      <c r="I298" s="486">
        <v>5.21</v>
      </c>
      <c r="J298" s="33">
        <v>132</v>
      </c>
      <c r="K298" s="33" t="s">
        <v>110</v>
      </c>
      <c r="L298" s="33"/>
      <c r="M298" s="34" t="s">
        <v>70</v>
      </c>
      <c r="N298" s="34"/>
      <c r="O298" s="33">
        <v>60</v>
      </c>
      <c r="P298" s="7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8" s="492"/>
      <c r="R298" s="492"/>
      <c r="S298" s="492"/>
      <c r="T298" s="493"/>
      <c r="U298" s="35"/>
      <c r="V298" s="35"/>
      <c r="W298" s="36" t="s">
        <v>71</v>
      </c>
      <c r="X298" s="487">
        <v>50</v>
      </c>
      <c r="Y298" s="488">
        <f t="shared" si="40"/>
        <v>50</v>
      </c>
      <c r="Z298" s="37">
        <f>IFERROR(IF(Y298=0,"",ROUNDUP(Y298/H298,0)*0.00902),"")</f>
        <v>9.0200000000000002E-2</v>
      </c>
      <c r="AA298" s="57"/>
      <c r="AB298" s="58"/>
      <c r="AC298" s="352" t="s">
        <v>485</v>
      </c>
      <c r="AG298" s="65"/>
      <c r="AJ298" s="69"/>
      <c r="AK298" s="69">
        <v>0</v>
      </c>
      <c r="BB298" s="353" t="s">
        <v>1</v>
      </c>
      <c r="BM298" s="65">
        <f t="shared" si="41"/>
        <v>52.1</v>
      </c>
      <c r="BN298" s="65">
        <f t="shared" si="42"/>
        <v>52.1</v>
      </c>
      <c r="BO298" s="65">
        <f t="shared" si="43"/>
        <v>7.575757575757576E-2</v>
      </c>
      <c r="BP298" s="65">
        <f t="shared" si="44"/>
        <v>7.575757575757576E-2</v>
      </c>
    </row>
    <row r="299" spans="1:68" ht="37.5" customHeight="1" x14ac:dyDescent="0.25">
      <c r="A299" s="55" t="s">
        <v>494</v>
      </c>
      <c r="B299" s="55" t="s">
        <v>495</v>
      </c>
      <c r="C299" s="32">
        <v>4301011868</v>
      </c>
      <c r="D299" s="494">
        <v>4680115884861</v>
      </c>
      <c r="E299" s="495"/>
      <c r="F299" s="486">
        <v>0.5</v>
      </c>
      <c r="G299" s="33">
        <v>10</v>
      </c>
      <c r="H299" s="486">
        <v>5</v>
      </c>
      <c r="I299" s="486">
        <v>5.21</v>
      </c>
      <c r="J299" s="33">
        <v>132</v>
      </c>
      <c r="K299" s="33" t="s">
        <v>110</v>
      </c>
      <c r="L299" s="33"/>
      <c r="M299" s="34" t="s">
        <v>70</v>
      </c>
      <c r="N299" s="34"/>
      <c r="O299" s="33">
        <v>60</v>
      </c>
      <c r="P299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9" s="492"/>
      <c r="R299" s="492"/>
      <c r="S299" s="492"/>
      <c r="T299" s="493"/>
      <c r="U299" s="35"/>
      <c r="V299" s="35"/>
      <c r="W299" s="36" t="s">
        <v>71</v>
      </c>
      <c r="X299" s="487">
        <v>50</v>
      </c>
      <c r="Y299" s="488">
        <f t="shared" si="40"/>
        <v>50</v>
      </c>
      <c r="Z299" s="37">
        <f>IFERROR(IF(Y299=0,"",ROUNDUP(Y299/H299,0)*0.00902),"")</f>
        <v>9.0200000000000002E-2</v>
      </c>
      <c r="AA299" s="57"/>
      <c r="AB299" s="58"/>
      <c r="AC299" s="354" t="s">
        <v>488</v>
      </c>
      <c r="AG299" s="65"/>
      <c r="AJ299" s="69"/>
      <c r="AK299" s="69">
        <v>0</v>
      </c>
      <c r="BB299" s="355" t="s">
        <v>1</v>
      </c>
      <c r="BM299" s="65">
        <f t="shared" si="41"/>
        <v>52.1</v>
      </c>
      <c r="BN299" s="65">
        <f t="shared" si="42"/>
        <v>52.1</v>
      </c>
      <c r="BO299" s="65">
        <f t="shared" si="43"/>
        <v>7.575757575757576E-2</v>
      </c>
      <c r="BP299" s="65">
        <f t="shared" si="44"/>
        <v>7.575757575757576E-2</v>
      </c>
    </row>
    <row r="300" spans="1:68" x14ac:dyDescent="0.2">
      <c r="A300" s="505"/>
      <c r="B300" s="501"/>
      <c r="C300" s="501"/>
      <c r="D300" s="501"/>
      <c r="E300" s="501"/>
      <c r="F300" s="501"/>
      <c r="G300" s="501"/>
      <c r="H300" s="501"/>
      <c r="I300" s="501"/>
      <c r="J300" s="501"/>
      <c r="K300" s="501"/>
      <c r="L300" s="501"/>
      <c r="M300" s="501"/>
      <c r="N300" s="501"/>
      <c r="O300" s="506"/>
      <c r="P300" s="497" t="s">
        <v>88</v>
      </c>
      <c r="Q300" s="498"/>
      <c r="R300" s="498"/>
      <c r="S300" s="498"/>
      <c r="T300" s="498"/>
      <c r="U300" s="498"/>
      <c r="V300" s="499"/>
      <c r="W300" s="38" t="s">
        <v>89</v>
      </c>
      <c r="X300" s="489">
        <f>IFERROR(X294/H294,"0")+IFERROR(X295/H295,"0")+IFERROR(X296/H296,"0")+IFERROR(X297/H297,"0")+IFERROR(X298/H298,"0")+IFERROR(X299/H299,"0")</f>
        <v>166.66666666666666</v>
      </c>
      <c r="Y300" s="489">
        <f>IFERROR(Y294/H294,"0")+IFERROR(Y295/H295,"0")+IFERROR(Y296/H296,"0")+IFERROR(Y297/H297,"0")+IFERROR(Y298/H298,"0")+IFERROR(Y299/H299,"0")</f>
        <v>168</v>
      </c>
      <c r="Z300" s="489">
        <f>IFERROR(IF(Z294="",0,Z294),"0")+IFERROR(IF(Z295="",0,Z295),"0")+IFERROR(IF(Z296="",0,Z296),"0")+IFERROR(IF(Z297="",0,Z297),"0")+IFERROR(IF(Z298="",0,Z298),"0")+IFERROR(IF(Z299="",0,Z299),"0")</f>
        <v>3.3993999999999991</v>
      </c>
      <c r="AA300" s="490"/>
      <c r="AB300" s="490"/>
      <c r="AC300" s="490"/>
    </row>
    <row r="301" spans="1:68" x14ac:dyDescent="0.2">
      <c r="A301" s="501"/>
      <c r="B301" s="501"/>
      <c r="C301" s="501"/>
      <c r="D301" s="501"/>
      <c r="E301" s="501"/>
      <c r="F301" s="501"/>
      <c r="G301" s="501"/>
      <c r="H301" s="501"/>
      <c r="I301" s="501"/>
      <c r="J301" s="501"/>
      <c r="K301" s="501"/>
      <c r="L301" s="501"/>
      <c r="M301" s="501"/>
      <c r="N301" s="501"/>
      <c r="O301" s="506"/>
      <c r="P301" s="497" t="s">
        <v>88</v>
      </c>
      <c r="Q301" s="498"/>
      <c r="R301" s="498"/>
      <c r="S301" s="498"/>
      <c r="T301" s="498"/>
      <c r="U301" s="498"/>
      <c r="V301" s="499"/>
      <c r="W301" s="38" t="s">
        <v>71</v>
      </c>
      <c r="X301" s="489">
        <f>IFERROR(SUM(X294:X299),"0")</f>
        <v>2300</v>
      </c>
      <c r="Y301" s="489">
        <f>IFERROR(SUM(Y294:Y299),"0")</f>
        <v>2320</v>
      </c>
      <c r="Z301" s="38"/>
      <c r="AA301" s="490"/>
      <c r="AB301" s="490"/>
      <c r="AC301" s="490"/>
    </row>
    <row r="302" spans="1:68" ht="14.25" customHeight="1" x14ac:dyDescent="0.25">
      <c r="A302" s="512" t="s">
        <v>137</v>
      </c>
      <c r="B302" s="501"/>
      <c r="C302" s="501"/>
      <c r="D302" s="501"/>
      <c r="E302" s="501"/>
      <c r="F302" s="501"/>
      <c r="G302" s="501"/>
      <c r="H302" s="501"/>
      <c r="I302" s="501"/>
      <c r="J302" s="501"/>
      <c r="K302" s="501"/>
      <c r="L302" s="501"/>
      <c r="M302" s="501"/>
      <c r="N302" s="501"/>
      <c r="O302" s="501"/>
      <c r="P302" s="501"/>
      <c r="Q302" s="501"/>
      <c r="R302" s="501"/>
      <c r="S302" s="501"/>
      <c r="T302" s="501"/>
      <c r="U302" s="501"/>
      <c r="V302" s="501"/>
      <c r="W302" s="501"/>
      <c r="X302" s="501"/>
      <c r="Y302" s="501"/>
      <c r="Z302" s="501"/>
      <c r="AA302" s="483"/>
      <c r="AB302" s="483"/>
      <c r="AC302" s="483"/>
    </row>
    <row r="303" spans="1:68" ht="27" customHeight="1" x14ac:dyDescent="0.25">
      <c r="A303" s="55" t="s">
        <v>496</v>
      </c>
      <c r="B303" s="55" t="s">
        <v>497</v>
      </c>
      <c r="C303" s="32">
        <v>4301020178</v>
      </c>
      <c r="D303" s="494">
        <v>4607091383980</v>
      </c>
      <c r="E303" s="495"/>
      <c r="F303" s="486">
        <v>2.5</v>
      </c>
      <c r="G303" s="33">
        <v>6</v>
      </c>
      <c r="H303" s="486">
        <v>15</v>
      </c>
      <c r="I303" s="486">
        <v>15.48</v>
      </c>
      <c r="J303" s="33">
        <v>48</v>
      </c>
      <c r="K303" s="33" t="s">
        <v>101</v>
      </c>
      <c r="L303" s="33"/>
      <c r="M303" s="34" t="s">
        <v>106</v>
      </c>
      <c r="N303" s="34"/>
      <c r="O303" s="33">
        <v>50</v>
      </c>
      <c r="P303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03" s="492"/>
      <c r="R303" s="492"/>
      <c r="S303" s="492"/>
      <c r="T303" s="493"/>
      <c r="U303" s="35"/>
      <c r="V303" s="35"/>
      <c r="W303" s="36" t="s">
        <v>71</v>
      </c>
      <c r="X303" s="487">
        <v>700</v>
      </c>
      <c r="Y303" s="488">
        <f>IFERROR(IF(X303="",0,CEILING((X303/$H303),1)*$H303),"")</f>
        <v>705</v>
      </c>
      <c r="Z303" s="37">
        <f>IFERROR(IF(Y303=0,"",ROUNDUP(Y303/H303,0)*0.02175),"")</f>
        <v>1.0222499999999999</v>
      </c>
      <c r="AA303" s="57"/>
      <c r="AB303" s="58"/>
      <c r="AC303" s="356" t="s">
        <v>498</v>
      </c>
      <c r="AG303" s="65"/>
      <c r="AJ303" s="69"/>
      <c r="AK303" s="69">
        <v>0</v>
      </c>
      <c r="BB303" s="357" t="s">
        <v>1</v>
      </c>
      <c r="BM303" s="65">
        <f>IFERROR(X303*I303/H303,"0")</f>
        <v>722.4</v>
      </c>
      <c r="BN303" s="65">
        <f>IFERROR(Y303*I303/H303,"0")</f>
        <v>727.56</v>
      </c>
      <c r="BO303" s="65">
        <f>IFERROR(1/J303*(X303/H303),"0")</f>
        <v>0.9722222222222221</v>
      </c>
      <c r="BP303" s="65">
        <f>IFERROR(1/J303*(Y303/H303),"0")</f>
        <v>0.97916666666666663</v>
      </c>
    </row>
    <row r="304" spans="1:68" ht="27" customHeight="1" x14ac:dyDescent="0.25">
      <c r="A304" s="55" t="s">
        <v>499</v>
      </c>
      <c r="B304" s="55" t="s">
        <v>500</v>
      </c>
      <c r="C304" s="32">
        <v>4301020179</v>
      </c>
      <c r="D304" s="494">
        <v>4607091384178</v>
      </c>
      <c r="E304" s="495"/>
      <c r="F304" s="486">
        <v>0.4</v>
      </c>
      <c r="G304" s="33">
        <v>10</v>
      </c>
      <c r="H304" s="486">
        <v>4</v>
      </c>
      <c r="I304" s="486">
        <v>4.21</v>
      </c>
      <c r="J304" s="33">
        <v>132</v>
      </c>
      <c r="K304" s="33" t="s">
        <v>110</v>
      </c>
      <c r="L304" s="33"/>
      <c r="M304" s="34" t="s">
        <v>106</v>
      </c>
      <c r="N304" s="34"/>
      <c r="O304" s="33">
        <v>50</v>
      </c>
      <c r="P304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04" s="492"/>
      <c r="R304" s="492"/>
      <c r="S304" s="492"/>
      <c r="T304" s="493"/>
      <c r="U304" s="35"/>
      <c r="V304" s="35"/>
      <c r="W304" s="36" t="s">
        <v>71</v>
      </c>
      <c r="X304" s="487">
        <v>48</v>
      </c>
      <c r="Y304" s="488">
        <f>IFERROR(IF(X304="",0,CEILING((X304/$H304),1)*$H304),"")</f>
        <v>48</v>
      </c>
      <c r="Z304" s="37">
        <f>IFERROR(IF(Y304=0,"",ROUNDUP(Y304/H304,0)*0.00902),"")</f>
        <v>0.10824</v>
      </c>
      <c r="AA304" s="57"/>
      <c r="AB304" s="58"/>
      <c r="AC304" s="358" t="s">
        <v>498</v>
      </c>
      <c r="AG304" s="65"/>
      <c r="AJ304" s="69"/>
      <c r="AK304" s="69">
        <v>0</v>
      </c>
      <c r="BB304" s="359" t="s">
        <v>1</v>
      </c>
      <c r="BM304" s="65">
        <f>IFERROR(X304*I304/H304,"0")</f>
        <v>50.519999999999996</v>
      </c>
      <c r="BN304" s="65">
        <f>IFERROR(Y304*I304/H304,"0")</f>
        <v>50.519999999999996</v>
      </c>
      <c r="BO304" s="65">
        <f>IFERROR(1/J304*(X304/H304),"0")</f>
        <v>9.0909090909090912E-2</v>
      </c>
      <c r="BP304" s="65">
        <f>IFERROR(1/J304*(Y304/H304),"0")</f>
        <v>9.0909090909090912E-2</v>
      </c>
    </row>
    <row r="305" spans="1:68" x14ac:dyDescent="0.2">
      <c r="A305" s="505"/>
      <c r="B305" s="501"/>
      <c r="C305" s="501"/>
      <c r="D305" s="501"/>
      <c r="E305" s="501"/>
      <c r="F305" s="501"/>
      <c r="G305" s="501"/>
      <c r="H305" s="501"/>
      <c r="I305" s="501"/>
      <c r="J305" s="501"/>
      <c r="K305" s="501"/>
      <c r="L305" s="501"/>
      <c r="M305" s="501"/>
      <c r="N305" s="501"/>
      <c r="O305" s="506"/>
      <c r="P305" s="497" t="s">
        <v>88</v>
      </c>
      <c r="Q305" s="498"/>
      <c r="R305" s="498"/>
      <c r="S305" s="498"/>
      <c r="T305" s="498"/>
      <c r="U305" s="498"/>
      <c r="V305" s="499"/>
      <c r="W305" s="38" t="s">
        <v>89</v>
      </c>
      <c r="X305" s="489">
        <f>IFERROR(X303/H303,"0")+IFERROR(X304/H304,"0")</f>
        <v>58.666666666666664</v>
      </c>
      <c r="Y305" s="489">
        <f>IFERROR(Y303/H303,"0")+IFERROR(Y304/H304,"0")</f>
        <v>59</v>
      </c>
      <c r="Z305" s="489">
        <f>IFERROR(IF(Z303="",0,Z303),"0")+IFERROR(IF(Z304="",0,Z304),"0")</f>
        <v>1.13049</v>
      </c>
      <c r="AA305" s="490"/>
      <c r="AB305" s="490"/>
      <c r="AC305" s="490"/>
    </row>
    <row r="306" spans="1:68" x14ac:dyDescent="0.2">
      <c r="A306" s="501"/>
      <c r="B306" s="501"/>
      <c r="C306" s="501"/>
      <c r="D306" s="501"/>
      <c r="E306" s="501"/>
      <c r="F306" s="501"/>
      <c r="G306" s="501"/>
      <c r="H306" s="501"/>
      <c r="I306" s="501"/>
      <c r="J306" s="501"/>
      <c r="K306" s="501"/>
      <c r="L306" s="501"/>
      <c r="M306" s="501"/>
      <c r="N306" s="501"/>
      <c r="O306" s="506"/>
      <c r="P306" s="497" t="s">
        <v>88</v>
      </c>
      <c r="Q306" s="498"/>
      <c r="R306" s="498"/>
      <c r="S306" s="498"/>
      <c r="T306" s="498"/>
      <c r="U306" s="498"/>
      <c r="V306" s="499"/>
      <c r="W306" s="38" t="s">
        <v>71</v>
      </c>
      <c r="X306" s="489">
        <f>IFERROR(SUM(X303:X304),"0")</f>
        <v>748</v>
      </c>
      <c r="Y306" s="489">
        <f>IFERROR(SUM(Y303:Y304),"0")</f>
        <v>753</v>
      </c>
      <c r="Z306" s="38"/>
      <c r="AA306" s="490"/>
      <c r="AB306" s="490"/>
      <c r="AC306" s="490"/>
    </row>
    <row r="307" spans="1:68" ht="14.25" customHeight="1" x14ac:dyDescent="0.25">
      <c r="A307" s="512" t="s">
        <v>66</v>
      </c>
      <c r="B307" s="501"/>
      <c r="C307" s="501"/>
      <c r="D307" s="501"/>
      <c r="E307" s="501"/>
      <c r="F307" s="501"/>
      <c r="G307" s="501"/>
      <c r="H307" s="501"/>
      <c r="I307" s="501"/>
      <c r="J307" s="501"/>
      <c r="K307" s="501"/>
      <c r="L307" s="501"/>
      <c r="M307" s="501"/>
      <c r="N307" s="501"/>
      <c r="O307" s="501"/>
      <c r="P307" s="501"/>
      <c r="Q307" s="501"/>
      <c r="R307" s="501"/>
      <c r="S307" s="501"/>
      <c r="T307" s="501"/>
      <c r="U307" s="501"/>
      <c r="V307" s="501"/>
      <c r="W307" s="501"/>
      <c r="X307" s="501"/>
      <c r="Y307" s="501"/>
      <c r="Z307" s="501"/>
      <c r="AA307" s="483"/>
      <c r="AB307" s="483"/>
      <c r="AC307" s="483"/>
    </row>
    <row r="308" spans="1:68" ht="27" customHeight="1" x14ac:dyDescent="0.25">
      <c r="A308" s="55" t="s">
        <v>501</v>
      </c>
      <c r="B308" s="55" t="s">
        <v>502</v>
      </c>
      <c r="C308" s="32">
        <v>4301051903</v>
      </c>
      <c r="D308" s="494">
        <v>4607091383928</v>
      </c>
      <c r="E308" s="495"/>
      <c r="F308" s="486">
        <v>1.5</v>
      </c>
      <c r="G308" s="33">
        <v>6</v>
      </c>
      <c r="H308" s="486">
        <v>9</v>
      </c>
      <c r="I308" s="486">
        <v>9.5250000000000004</v>
      </c>
      <c r="J308" s="33">
        <v>64</v>
      </c>
      <c r="K308" s="33" t="s">
        <v>101</v>
      </c>
      <c r="L308" s="33"/>
      <c r="M308" s="34" t="s">
        <v>102</v>
      </c>
      <c r="N308" s="34"/>
      <c r="O308" s="33">
        <v>40</v>
      </c>
      <c r="P308" s="624" t="s">
        <v>503</v>
      </c>
      <c r="Q308" s="492"/>
      <c r="R308" s="492"/>
      <c r="S308" s="492"/>
      <c r="T308" s="493"/>
      <c r="U308" s="35"/>
      <c r="V308" s="35"/>
      <c r="W308" s="36" t="s">
        <v>71</v>
      </c>
      <c r="X308" s="487">
        <v>0</v>
      </c>
      <c r="Y308" s="488">
        <f>IFERROR(IF(X308="",0,CEILING((X308/$H308),1)*$H308),"")</f>
        <v>0</v>
      </c>
      <c r="Z308" s="37" t="str">
        <f>IFERROR(IF(Y308=0,"",ROUNDUP(Y308/H308,0)*0.01898),"")</f>
        <v/>
      </c>
      <c r="AA308" s="57"/>
      <c r="AB308" s="58"/>
      <c r="AC308" s="360" t="s">
        <v>504</v>
      </c>
      <c r="AG308" s="65"/>
      <c r="AJ308" s="69"/>
      <c r="AK308" s="69">
        <v>0</v>
      </c>
      <c r="BB308" s="361" t="s">
        <v>1</v>
      </c>
      <c r="BM308" s="65">
        <f>IFERROR(X308*I308/H308,"0")</f>
        <v>0</v>
      </c>
      <c r="BN308" s="65">
        <f>IFERROR(Y308*I308/H308,"0")</f>
        <v>0</v>
      </c>
      <c r="BO308" s="65">
        <f>IFERROR(1/J308*(X308/H308),"0")</f>
        <v>0</v>
      </c>
      <c r="BP308" s="65">
        <f>IFERROR(1/J308*(Y308/H308),"0")</f>
        <v>0</v>
      </c>
    </row>
    <row r="309" spans="1:68" ht="27" customHeight="1" x14ac:dyDescent="0.25">
      <c r="A309" s="55" t="s">
        <v>505</v>
      </c>
      <c r="B309" s="55" t="s">
        <v>506</v>
      </c>
      <c r="C309" s="32">
        <v>4301051897</v>
      </c>
      <c r="D309" s="494">
        <v>4607091384260</v>
      </c>
      <c r="E309" s="495"/>
      <c r="F309" s="486">
        <v>1.5</v>
      </c>
      <c r="G309" s="33">
        <v>6</v>
      </c>
      <c r="H309" s="486">
        <v>9</v>
      </c>
      <c r="I309" s="486">
        <v>9.5190000000000001</v>
      </c>
      <c r="J309" s="33">
        <v>64</v>
      </c>
      <c r="K309" s="33" t="s">
        <v>101</v>
      </c>
      <c r="L309" s="33"/>
      <c r="M309" s="34" t="s">
        <v>102</v>
      </c>
      <c r="N309" s="34"/>
      <c r="O309" s="33">
        <v>40</v>
      </c>
      <c r="P309" s="651" t="s">
        <v>507</v>
      </c>
      <c r="Q309" s="492"/>
      <c r="R309" s="492"/>
      <c r="S309" s="492"/>
      <c r="T309" s="493"/>
      <c r="U309" s="35"/>
      <c r="V309" s="35"/>
      <c r="W309" s="36" t="s">
        <v>71</v>
      </c>
      <c r="X309" s="487">
        <v>0</v>
      </c>
      <c r="Y309" s="488">
        <f>IFERROR(IF(X309="",0,CEILING((X309/$H309),1)*$H309),"")</f>
        <v>0</v>
      </c>
      <c r="Z309" s="37" t="str">
        <f>IFERROR(IF(Y309=0,"",ROUNDUP(Y309/H309,0)*0.01898),"")</f>
        <v/>
      </c>
      <c r="AA309" s="57"/>
      <c r="AB309" s="58"/>
      <c r="AC309" s="362" t="s">
        <v>508</v>
      </c>
      <c r="AG309" s="65"/>
      <c r="AJ309" s="69"/>
      <c r="AK309" s="69">
        <v>0</v>
      </c>
      <c r="BB309" s="363" t="s">
        <v>1</v>
      </c>
      <c r="BM309" s="65">
        <f>IFERROR(X309*I309/H309,"0")</f>
        <v>0</v>
      </c>
      <c r="BN309" s="65">
        <f>IFERROR(Y309*I309/H309,"0")</f>
        <v>0</v>
      </c>
      <c r="BO309" s="65">
        <f>IFERROR(1/J309*(X309/H309),"0")</f>
        <v>0</v>
      </c>
      <c r="BP309" s="65">
        <f>IFERROR(1/J309*(Y309/H309),"0")</f>
        <v>0</v>
      </c>
    </row>
    <row r="310" spans="1:68" x14ac:dyDescent="0.2">
      <c r="A310" s="505"/>
      <c r="B310" s="501"/>
      <c r="C310" s="501"/>
      <c r="D310" s="501"/>
      <c r="E310" s="501"/>
      <c r="F310" s="501"/>
      <c r="G310" s="501"/>
      <c r="H310" s="501"/>
      <c r="I310" s="501"/>
      <c r="J310" s="501"/>
      <c r="K310" s="501"/>
      <c r="L310" s="501"/>
      <c r="M310" s="501"/>
      <c r="N310" s="501"/>
      <c r="O310" s="506"/>
      <c r="P310" s="497" t="s">
        <v>88</v>
      </c>
      <c r="Q310" s="498"/>
      <c r="R310" s="498"/>
      <c r="S310" s="498"/>
      <c r="T310" s="498"/>
      <c r="U310" s="498"/>
      <c r="V310" s="499"/>
      <c r="W310" s="38" t="s">
        <v>89</v>
      </c>
      <c r="X310" s="489">
        <f>IFERROR(X308/H308,"0")+IFERROR(X309/H309,"0")</f>
        <v>0</v>
      </c>
      <c r="Y310" s="489">
        <f>IFERROR(Y308/H308,"0")+IFERROR(Y309/H309,"0")</f>
        <v>0</v>
      </c>
      <c r="Z310" s="489">
        <f>IFERROR(IF(Z308="",0,Z308),"0")+IFERROR(IF(Z309="",0,Z309),"0")</f>
        <v>0</v>
      </c>
      <c r="AA310" s="490"/>
      <c r="AB310" s="490"/>
      <c r="AC310" s="490"/>
    </row>
    <row r="311" spans="1:68" x14ac:dyDescent="0.2">
      <c r="A311" s="501"/>
      <c r="B311" s="501"/>
      <c r="C311" s="501"/>
      <c r="D311" s="501"/>
      <c r="E311" s="501"/>
      <c r="F311" s="501"/>
      <c r="G311" s="501"/>
      <c r="H311" s="501"/>
      <c r="I311" s="501"/>
      <c r="J311" s="501"/>
      <c r="K311" s="501"/>
      <c r="L311" s="501"/>
      <c r="M311" s="501"/>
      <c r="N311" s="501"/>
      <c r="O311" s="506"/>
      <c r="P311" s="497" t="s">
        <v>88</v>
      </c>
      <c r="Q311" s="498"/>
      <c r="R311" s="498"/>
      <c r="S311" s="498"/>
      <c r="T311" s="498"/>
      <c r="U311" s="498"/>
      <c r="V311" s="499"/>
      <c r="W311" s="38" t="s">
        <v>71</v>
      </c>
      <c r="X311" s="489">
        <f>IFERROR(SUM(X308:X309),"0")</f>
        <v>0</v>
      </c>
      <c r="Y311" s="489">
        <f>IFERROR(SUM(Y308:Y309),"0")</f>
        <v>0</v>
      </c>
      <c r="Z311" s="38"/>
      <c r="AA311" s="490"/>
      <c r="AB311" s="490"/>
      <c r="AC311" s="490"/>
    </row>
    <row r="312" spans="1:68" ht="14.25" customHeight="1" x14ac:dyDescent="0.25">
      <c r="A312" s="512" t="s">
        <v>148</v>
      </c>
      <c r="B312" s="501"/>
      <c r="C312" s="501"/>
      <c r="D312" s="501"/>
      <c r="E312" s="501"/>
      <c r="F312" s="501"/>
      <c r="G312" s="501"/>
      <c r="H312" s="501"/>
      <c r="I312" s="501"/>
      <c r="J312" s="501"/>
      <c r="K312" s="501"/>
      <c r="L312" s="501"/>
      <c r="M312" s="501"/>
      <c r="N312" s="501"/>
      <c r="O312" s="501"/>
      <c r="P312" s="501"/>
      <c r="Q312" s="501"/>
      <c r="R312" s="501"/>
      <c r="S312" s="501"/>
      <c r="T312" s="501"/>
      <c r="U312" s="501"/>
      <c r="V312" s="501"/>
      <c r="W312" s="501"/>
      <c r="X312" s="501"/>
      <c r="Y312" s="501"/>
      <c r="Z312" s="501"/>
      <c r="AA312" s="483"/>
      <c r="AB312" s="483"/>
      <c r="AC312" s="483"/>
    </row>
    <row r="313" spans="1:68" ht="27" customHeight="1" x14ac:dyDescent="0.25">
      <c r="A313" s="55" t="s">
        <v>509</v>
      </c>
      <c r="B313" s="55" t="s">
        <v>510</v>
      </c>
      <c r="C313" s="32">
        <v>4301060439</v>
      </c>
      <c r="D313" s="494">
        <v>4607091384673</v>
      </c>
      <c r="E313" s="495"/>
      <c r="F313" s="486">
        <v>1.5</v>
      </c>
      <c r="G313" s="33">
        <v>6</v>
      </c>
      <c r="H313" s="486">
        <v>9</v>
      </c>
      <c r="I313" s="486">
        <v>9.5190000000000001</v>
      </c>
      <c r="J313" s="33">
        <v>64</v>
      </c>
      <c r="K313" s="33" t="s">
        <v>101</v>
      </c>
      <c r="L313" s="33"/>
      <c r="M313" s="34" t="s">
        <v>102</v>
      </c>
      <c r="N313" s="34"/>
      <c r="O313" s="33">
        <v>30</v>
      </c>
      <c r="P313" s="785" t="s">
        <v>511</v>
      </c>
      <c r="Q313" s="492"/>
      <c r="R313" s="492"/>
      <c r="S313" s="492"/>
      <c r="T313" s="493"/>
      <c r="U313" s="35"/>
      <c r="V313" s="35"/>
      <c r="W313" s="36" t="s">
        <v>71</v>
      </c>
      <c r="X313" s="487">
        <v>0</v>
      </c>
      <c r="Y313" s="48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4" t="s">
        <v>512</v>
      </c>
      <c r="AG313" s="65"/>
      <c r="AJ313" s="69"/>
      <c r="AK313" s="69">
        <v>0</v>
      </c>
      <c r="BB313" s="365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x14ac:dyDescent="0.2">
      <c r="A314" s="505"/>
      <c r="B314" s="501"/>
      <c r="C314" s="501"/>
      <c r="D314" s="501"/>
      <c r="E314" s="501"/>
      <c r="F314" s="501"/>
      <c r="G314" s="501"/>
      <c r="H314" s="501"/>
      <c r="I314" s="501"/>
      <c r="J314" s="501"/>
      <c r="K314" s="501"/>
      <c r="L314" s="501"/>
      <c r="M314" s="501"/>
      <c r="N314" s="501"/>
      <c r="O314" s="506"/>
      <c r="P314" s="497" t="s">
        <v>88</v>
      </c>
      <c r="Q314" s="498"/>
      <c r="R314" s="498"/>
      <c r="S314" s="498"/>
      <c r="T314" s="498"/>
      <c r="U314" s="498"/>
      <c r="V314" s="499"/>
      <c r="W314" s="38" t="s">
        <v>89</v>
      </c>
      <c r="X314" s="489">
        <f>IFERROR(X313/H313,"0")</f>
        <v>0</v>
      </c>
      <c r="Y314" s="489">
        <f>IFERROR(Y313/H313,"0")</f>
        <v>0</v>
      </c>
      <c r="Z314" s="489">
        <f>IFERROR(IF(Z313="",0,Z313),"0")</f>
        <v>0</v>
      </c>
      <c r="AA314" s="490"/>
      <c r="AB314" s="490"/>
      <c r="AC314" s="490"/>
    </row>
    <row r="315" spans="1:68" x14ac:dyDescent="0.2">
      <c r="A315" s="501"/>
      <c r="B315" s="501"/>
      <c r="C315" s="501"/>
      <c r="D315" s="501"/>
      <c r="E315" s="501"/>
      <c r="F315" s="501"/>
      <c r="G315" s="501"/>
      <c r="H315" s="501"/>
      <c r="I315" s="501"/>
      <c r="J315" s="501"/>
      <c r="K315" s="501"/>
      <c r="L315" s="501"/>
      <c r="M315" s="501"/>
      <c r="N315" s="501"/>
      <c r="O315" s="506"/>
      <c r="P315" s="497" t="s">
        <v>88</v>
      </c>
      <c r="Q315" s="498"/>
      <c r="R315" s="498"/>
      <c r="S315" s="498"/>
      <c r="T315" s="498"/>
      <c r="U315" s="498"/>
      <c r="V315" s="499"/>
      <c r="W315" s="38" t="s">
        <v>71</v>
      </c>
      <c r="X315" s="489">
        <f>IFERROR(SUM(X313:X313),"0")</f>
        <v>0</v>
      </c>
      <c r="Y315" s="489">
        <f>IFERROR(SUM(Y313:Y313),"0")</f>
        <v>0</v>
      </c>
      <c r="Z315" s="38"/>
      <c r="AA315" s="490"/>
      <c r="AB315" s="490"/>
      <c r="AC315" s="490"/>
    </row>
    <row r="316" spans="1:68" ht="16.5" customHeight="1" x14ac:dyDescent="0.25">
      <c r="A316" s="500" t="s">
        <v>513</v>
      </c>
      <c r="B316" s="501"/>
      <c r="C316" s="501"/>
      <c r="D316" s="501"/>
      <c r="E316" s="501"/>
      <c r="F316" s="501"/>
      <c r="G316" s="501"/>
      <c r="H316" s="501"/>
      <c r="I316" s="501"/>
      <c r="J316" s="501"/>
      <c r="K316" s="501"/>
      <c r="L316" s="501"/>
      <c r="M316" s="501"/>
      <c r="N316" s="501"/>
      <c r="O316" s="501"/>
      <c r="P316" s="501"/>
      <c r="Q316" s="501"/>
      <c r="R316" s="501"/>
      <c r="S316" s="501"/>
      <c r="T316" s="501"/>
      <c r="U316" s="501"/>
      <c r="V316" s="501"/>
      <c r="W316" s="501"/>
      <c r="X316" s="501"/>
      <c r="Y316" s="501"/>
      <c r="Z316" s="501"/>
      <c r="AA316" s="482"/>
      <c r="AB316" s="482"/>
      <c r="AC316" s="482"/>
    </row>
    <row r="317" spans="1:68" ht="14.25" customHeight="1" x14ac:dyDescent="0.25">
      <c r="A317" s="512" t="s">
        <v>98</v>
      </c>
      <c r="B317" s="501"/>
      <c r="C317" s="501"/>
      <c r="D317" s="501"/>
      <c r="E317" s="501"/>
      <c r="F317" s="501"/>
      <c r="G317" s="501"/>
      <c r="H317" s="501"/>
      <c r="I317" s="501"/>
      <c r="J317" s="501"/>
      <c r="K317" s="501"/>
      <c r="L317" s="501"/>
      <c r="M317" s="501"/>
      <c r="N317" s="501"/>
      <c r="O317" s="501"/>
      <c r="P317" s="501"/>
      <c r="Q317" s="501"/>
      <c r="R317" s="501"/>
      <c r="S317" s="501"/>
      <c r="T317" s="501"/>
      <c r="U317" s="501"/>
      <c r="V317" s="501"/>
      <c r="W317" s="501"/>
      <c r="X317" s="501"/>
      <c r="Y317" s="501"/>
      <c r="Z317" s="501"/>
      <c r="AA317" s="483"/>
      <c r="AB317" s="483"/>
      <c r="AC317" s="483"/>
    </row>
    <row r="318" spans="1:68" ht="37.5" customHeight="1" x14ac:dyDescent="0.25">
      <c r="A318" s="55" t="s">
        <v>514</v>
      </c>
      <c r="B318" s="55" t="s">
        <v>515</v>
      </c>
      <c r="C318" s="32">
        <v>4301011873</v>
      </c>
      <c r="D318" s="494">
        <v>4680115881907</v>
      </c>
      <c r="E318" s="495"/>
      <c r="F318" s="486">
        <v>1.8</v>
      </c>
      <c r="G318" s="33">
        <v>6</v>
      </c>
      <c r="H318" s="486">
        <v>10.8</v>
      </c>
      <c r="I318" s="486">
        <v>11.234999999999999</v>
      </c>
      <c r="J318" s="33">
        <v>64</v>
      </c>
      <c r="K318" s="33" t="s">
        <v>101</v>
      </c>
      <c r="L318" s="33"/>
      <c r="M318" s="34" t="s">
        <v>70</v>
      </c>
      <c r="N318" s="34"/>
      <c r="O318" s="33">
        <v>60</v>
      </c>
      <c r="P318" s="6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8" s="492"/>
      <c r="R318" s="492"/>
      <c r="S318" s="492"/>
      <c r="T318" s="493"/>
      <c r="U318" s="35"/>
      <c r="V318" s="35"/>
      <c r="W318" s="36" t="s">
        <v>71</v>
      </c>
      <c r="X318" s="487">
        <v>0</v>
      </c>
      <c r="Y318" s="488">
        <f>IFERROR(IF(X318="",0,CEILING((X318/$H318),1)*$H318),"")</f>
        <v>0</v>
      </c>
      <c r="Z318" s="37" t="str">
        <f>IFERROR(IF(Y318=0,"",ROUNDUP(Y318/H318,0)*0.01898),"")</f>
        <v/>
      </c>
      <c r="AA318" s="57"/>
      <c r="AB318" s="58"/>
      <c r="AC318" s="366" t="s">
        <v>516</v>
      </c>
      <c r="AG318" s="65"/>
      <c r="AJ318" s="69"/>
      <c r="AK318" s="69">
        <v>0</v>
      </c>
      <c r="BB318" s="36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ht="37.5" customHeight="1" x14ac:dyDescent="0.25">
      <c r="A319" s="55" t="s">
        <v>517</v>
      </c>
      <c r="B319" s="55" t="s">
        <v>518</v>
      </c>
      <c r="C319" s="32">
        <v>4301011872</v>
      </c>
      <c r="D319" s="494">
        <v>4680115883925</v>
      </c>
      <c r="E319" s="495"/>
      <c r="F319" s="486">
        <v>2.5</v>
      </c>
      <c r="G319" s="33">
        <v>6</v>
      </c>
      <c r="H319" s="486">
        <v>15</v>
      </c>
      <c r="I319" s="486">
        <v>15.48</v>
      </c>
      <c r="J319" s="33">
        <v>48</v>
      </c>
      <c r="K319" s="33" t="s">
        <v>101</v>
      </c>
      <c r="L319" s="33"/>
      <c r="M319" s="34" t="s">
        <v>70</v>
      </c>
      <c r="N319" s="34"/>
      <c r="O319" s="33">
        <v>60</v>
      </c>
      <c r="P319" s="7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9" s="492"/>
      <c r="R319" s="492"/>
      <c r="S319" s="492"/>
      <c r="T319" s="493"/>
      <c r="U319" s="35"/>
      <c r="V319" s="35"/>
      <c r="W319" s="36" t="s">
        <v>71</v>
      </c>
      <c r="X319" s="487">
        <v>0</v>
      </c>
      <c r="Y319" s="488">
        <f>IFERROR(IF(X319="",0,CEILING((X319/$H319),1)*$H319),"")</f>
        <v>0</v>
      </c>
      <c r="Z319" s="37" t="str">
        <f>IFERROR(IF(Y319=0,"",ROUNDUP(Y319/H319,0)*0.02175),"")</f>
        <v/>
      </c>
      <c r="AA319" s="57"/>
      <c r="AB319" s="58"/>
      <c r="AC319" s="368" t="s">
        <v>516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37.5" customHeight="1" x14ac:dyDescent="0.25">
      <c r="A320" s="55" t="s">
        <v>519</v>
      </c>
      <c r="B320" s="55" t="s">
        <v>520</v>
      </c>
      <c r="C320" s="32">
        <v>4301011874</v>
      </c>
      <c r="D320" s="494">
        <v>4680115884892</v>
      </c>
      <c r="E320" s="495"/>
      <c r="F320" s="486">
        <v>1.8</v>
      </c>
      <c r="G320" s="33">
        <v>6</v>
      </c>
      <c r="H320" s="486">
        <v>10.8</v>
      </c>
      <c r="I320" s="486">
        <v>11.234999999999999</v>
      </c>
      <c r="J320" s="33">
        <v>64</v>
      </c>
      <c r="K320" s="33" t="s">
        <v>101</v>
      </c>
      <c r="L320" s="33"/>
      <c r="M320" s="34" t="s">
        <v>70</v>
      </c>
      <c r="N320" s="34"/>
      <c r="O320" s="33">
        <v>60</v>
      </c>
      <c r="P320" s="6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0" s="492"/>
      <c r="R320" s="492"/>
      <c r="S320" s="492"/>
      <c r="T320" s="493"/>
      <c r="U320" s="35"/>
      <c r="V320" s="35"/>
      <c r="W320" s="36" t="s">
        <v>71</v>
      </c>
      <c r="X320" s="487">
        <v>0</v>
      </c>
      <c r="Y320" s="488">
        <f>IFERROR(IF(X320="",0,CEILING((X320/$H320),1)*$H320),"")</f>
        <v>0</v>
      </c>
      <c r="Z320" s="37" t="str">
        <f>IFERROR(IF(Y320=0,"",ROUNDUP(Y320/H320,0)*0.01898),"")</f>
        <v/>
      </c>
      <c r="AA320" s="57"/>
      <c r="AB320" s="58"/>
      <c r="AC320" s="370" t="s">
        <v>521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ht="37.5" customHeight="1" x14ac:dyDescent="0.25">
      <c r="A321" s="55" t="s">
        <v>522</v>
      </c>
      <c r="B321" s="55" t="s">
        <v>523</v>
      </c>
      <c r="C321" s="32">
        <v>4301011875</v>
      </c>
      <c r="D321" s="494">
        <v>4680115884885</v>
      </c>
      <c r="E321" s="495"/>
      <c r="F321" s="486">
        <v>0.8</v>
      </c>
      <c r="G321" s="33">
        <v>15</v>
      </c>
      <c r="H321" s="486">
        <v>12</v>
      </c>
      <c r="I321" s="486">
        <v>12.435</v>
      </c>
      <c r="J321" s="33">
        <v>64</v>
      </c>
      <c r="K321" s="33" t="s">
        <v>101</v>
      </c>
      <c r="L321" s="33"/>
      <c r="M321" s="34" t="s">
        <v>70</v>
      </c>
      <c r="N321" s="34"/>
      <c r="O321" s="33">
        <v>60</v>
      </c>
      <c r="P321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1" s="492"/>
      <c r="R321" s="492"/>
      <c r="S321" s="492"/>
      <c r="T321" s="493"/>
      <c r="U321" s="35"/>
      <c r="V321" s="35"/>
      <c r="W321" s="36" t="s">
        <v>71</v>
      </c>
      <c r="X321" s="487"/>
      <c r="Y321" s="488">
        <f>IFERROR(IF(X321="",0,CEILING((X321/$H321),1)*$H321),"")</f>
        <v>0</v>
      </c>
      <c r="Z321" s="37" t="str">
        <f>IFERROR(IF(Y321=0,"",ROUNDUP(Y321/H321,0)*0.01898),"")</f>
        <v/>
      </c>
      <c r="AA321" s="57"/>
      <c r="AB321" s="58"/>
      <c r="AC321" s="372" t="s">
        <v>521</v>
      </c>
      <c r="AG321" s="65"/>
      <c r="AJ321" s="69"/>
      <c r="AK321" s="69">
        <v>0</v>
      </c>
      <c r="BB321" s="373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ht="37.5" customHeight="1" x14ac:dyDescent="0.25">
      <c r="A322" s="55" t="s">
        <v>524</v>
      </c>
      <c r="B322" s="55" t="s">
        <v>525</v>
      </c>
      <c r="C322" s="32">
        <v>4301011871</v>
      </c>
      <c r="D322" s="494">
        <v>4680115884908</v>
      </c>
      <c r="E322" s="495"/>
      <c r="F322" s="486">
        <v>0.4</v>
      </c>
      <c r="G322" s="33">
        <v>10</v>
      </c>
      <c r="H322" s="486">
        <v>4</v>
      </c>
      <c r="I322" s="486">
        <v>4.21</v>
      </c>
      <c r="J322" s="33">
        <v>132</v>
      </c>
      <c r="K322" s="33" t="s">
        <v>110</v>
      </c>
      <c r="L322" s="33"/>
      <c r="M322" s="34" t="s">
        <v>70</v>
      </c>
      <c r="N322" s="34"/>
      <c r="O322" s="33">
        <v>60</v>
      </c>
      <c r="P322" s="6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22" s="492"/>
      <c r="R322" s="492"/>
      <c r="S322" s="492"/>
      <c r="T322" s="493"/>
      <c r="U322" s="35"/>
      <c r="V322" s="35"/>
      <c r="W322" s="36" t="s">
        <v>71</v>
      </c>
      <c r="X322" s="487">
        <v>200</v>
      </c>
      <c r="Y322" s="488">
        <f>IFERROR(IF(X322="",0,CEILING((X322/$H322),1)*$H322),"")</f>
        <v>200</v>
      </c>
      <c r="Z322" s="37">
        <f>IFERROR(IF(Y322=0,"",ROUNDUP(Y322/H322,0)*0.00902),"")</f>
        <v>0.45100000000000001</v>
      </c>
      <c r="AA322" s="57"/>
      <c r="AB322" s="58"/>
      <c r="AC322" s="374" t="s">
        <v>521</v>
      </c>
      <c r="AG322" s="65"/>
      <c r="AJ322" s="69"/>
      <c r="AK322" s="69">
        <v>0</v>
      </c>
      <c r="BB322" s="375" t="s">
        <v>1</v>
      </c>
      <c r="BM322" s="65">
        <f>IFERROR(X322*I322/H322,"0")</f>
        <v>210.5</v>
      </c>
      <c r="BN322" s="65">
        <f>IFERROR(Y322*I322/H322,"0")</f>
        <v>210.5</v>
      </c>
      <c r="BO322" s="65">
        <f>IFERROR(1/J322*(X322/H322),"0")</f>
        <v>0.37878787878787878</v>
      </c>
      <c r="BP322" s="65">
        <f>IFERROR(1/J322*(Y322/H322),"0")</f>
        <v>0.37878787878787878</v>
      </c>
    </row>
    <row r="323" spans="1:68" x14ac:dyDescent="0.2">
      <c r="A323" s="505"/>
      <c r="B323" s="501"/>
      <c r="C323" s="501"/>
      <c r="D323" s="501"/>
      <c r="E323" s="501"/>
      <c r="F323" s="501"/>
      <c r="G323" s="501"/>
      <c r="H323" s="501"/>
      <c r="I323" s="501"/>
      <c r="J323" s="501"/>
      <c r="K323" s="501"/>
      <c r="L323" s="501"/>
      <c r="M323" s="501"/>
      <c r="N323" s="501"/>
      <c r="O323" s="506"/>
      <c r="P323" s="497" t="s">
        <v>88</v>
      </c>
      <c r="Q323" s="498"/>
      <c r="R323" s="498"/>
      <c r="S323" s="498"/>
      <c r="T323" s="498"/>
      <c r="U323" s="498"/>
      <c r="V323" s="499"/>
      <c r="W323" s="38" t="s">
        <v>89</v>
      </c>
      <c r="X323" s="489">
        <f>IFERROR(X318/H318,"0")+IFERROR(X319/H319,"0")+IFERROR(X320/H320,"0")+IFERROR(X321/H321,"0")+IFERROR(X322/H322,"0")</f>
        <v>50</v>
      </c>
      <c r="Y323" s="489">
        <f>IFERROR(Y318/H318,"0")+IFERROR(Y319/H319,"0")+IFERROR(Y320/H320,"0")+IFERROR(Y321/H321,"0")+IFERROR(Y322/H322,"0")</f>
        <v>50</v>
      </c>
      <c r="Z323" s="489">
        <f>IFERROR(IF(Z318="",0,Z318),"0")+IFERROR(IF(Z319="",0,Z319),"0")+IFERROR(IF(Z320="",0,Z320),"0")+IFERROR(IF(Z321="",0,Z321),"0")+IFERROR(IF(Z322="",0,Z322),"0")</f>
        <v>0.45100000000000001</v>
      </c>
      <c r="AA323" s="490"/>
      <c r="AB323" s="490"/>
      <c r="AC323" s="490"/>
    </row>
    <row r="324" spans="1:68" x14ac:dyDescent="0.2">
      <c r="A324" s="501"/>
      <c r="B324" s="501"/>
      <c r="C324" s="501"/>
      <c r="D324" s="501"/>
      <c r="E324" s="501"/>
      <c r="F324" s="501"/>
      <c r="G324" s="501"/>
      <c r="H324" s="501"/>
      <c r="I324" s="501"/>
      <c r="J324" s="501"/>
      <c r="K324" s="501"/>
      <c r="L324" s="501"/>
      <c r="M324" s="501"/>
      <c r="N324" s="501"/>
      <c r="O324" s="506"/>
      <c r="P324" s="497" t="s">
        <v>88</v>
      </c>
      <c r="Q324" s="498"/>
      <c r="R324" s="498"/>
      <c r="S324" s="498"/>
      <c r="T324" s="498"/>
      <c r="U324" s="498"/>
      <c r="V324" s="499"/>
      <c r="W324" s="38" t="s">
        <v>71</v>
      </c>
      <c r="X324" s="489">
        <f>IFERROR(SUM(X318:X322),"0")</f>
        <v>200</v>
      </c>
      <c r="Y324" s="489">
        <f>IFERROR(SUM(Y318:Y322),"0")</f>
        <v>200</v>
      </c>
      <c r="Z324" s="38"/>
      <c r="AA324" s="490"/>
      <c r="AB324" s="490"/>
      <c r="AC324" s="490"/>
    </row>
    <row r="325" spans="1:68" ht="14.25" customHeight="1" x14ac:dyDescent="0.25">
      <c r="A325" s="512" t="s">
        <v>213</v>
      </c>
      <c r="B325" s="501"/>
      <c r="C325" s="501"/>
      <c r="D325" s="501"/>
      <c r="E325" s="501"/>
      <c r="F325" s="501"/>
      <c r="G325" s="501"/>
      <c r="H325" s="501"/>
      <c r="I325" s="501"/>
      <c r="J325" s="501"/>
      <c r="K325" s="501"/>
      <c r="L325" s="501"/>
      <c r="M325" s="501"/>
      <c r="N325" s="501"/>
      <c r="O325" s="501"/>
      <c r="P325" s="501"/>
      <c r="Q325" s="501"/>
      <c r="R325" s="501"/>
      <c r="S325" s="501"/>
      <c r="T325" s="501"/>
      <c r="U325" s="501"/>
      <c r="V325" s="501"/>
      <c r="W325" s="501"/>
      <c r="X325" s="501"/>
      <c r="Y325" s="501"/>
      <c r="Z325" s="501"/>
      <c r="AA325" s="483"/>
      <c r="AB325" s="483"/>
      <c r="AC325" s="483"/>
    </row>
    <row r="326" spans="1:68" ht="27" customHeight="1" x14ac:dyDescent="0.25">
      <c r="A326" s="55" t="s">
        <v>526</v>
      </c>
      <c r="B326" s="55" t="s">
        <v>527</v>
      </c>
      <c r="C326" s="32">
        <v>4301031303</v>
      </c>
      <c r="D326" s="494">
        <v>4607091384802</v>
      </c>
      <c r="E326" s="495"/>
      <c r="F326" s="486">
        <v>0.73</v>
      </c>
      <c r="G326" s="33">
        <v>6</v>
      </c>
      <c r="H326" s="486">
        <v>4.38</v>
      </c>
      <c r="I326" s="486">
        <v>4.6500000000000004</v>
      </c>
      <c r="J326" s="33">
        <v>132</v>
      </c>
      <c r="K326" s="33" t="s">
        <v>110</v>
      </c>
      <c r="L326" s="33"/>
      <c r="M326" s="34" t="s">
        <v>70</v>
      </c>
      <c r="N326" s="34"/>
      <c r="O326" s="33">
        <v>35</v>
      </c>
      <c r="P326" s="5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26" s="492"/>
      <c r="R326" s="492"/>
      <c r="S326" s="492"/>
      <c r="T326" s="493"/>
      <c r="U326" s="35"/>
      <c r="V326" s="35"/>
      <c r="W326" s="36" t="s">
        <v>71</v>
      </c>
      <c r="X326" s="487">
        <v>0</v>
      </c>
      <c r="Y326" s="488">
        <f>IFERROR(IF(X326="",0,CEILING((X326/$H326),1)*$H326),"")</f>
        <v>0</v>
      </c>
      <c r="Z326" s="37" t="str">
        <f>IFERROR(IF(Y326=0,"",ROUNDUP(Y326/H326,0)*0.00902),"")</f>
        <v/>
      </c>
      <c r="AA326" s="57"/>
      <c r="AB326" s="58"/>
      <c r="AC326" s="376" t="s">
        <v>528</v>
      </c>
      <c r="AG326" s="65"/>
      <c r="AJ326" s="69"/>
      <c r="AK326" s="69">
        <v>0</v>
      </c>
      <c r="BB326" s="377" t="s">
        <v>1</v>
      </c>
      <c r="BM326" s="65">
        <f>IFERROR(X326*I326/H326,"0")</f>
        <v>0</v>
      </c>
      <c r="BN326" s="65">
        <f>IFERROR(Y326*I326/H326,"0")</f>
        <v>0</v>
      </c>
      <c r="BO326" s="65">
        <f>IFERROR(1/J326*(X326/H326),"0")</f>
        <v>0</v>
      </c>
      <c r="BP326" s="65">
        <f>IFERROR(1/J326*(Y326/H326),"0")</f>
        <v>0</v>
      </c>
    </row>
    <row r="327" spans="1:68" ht="27" customHeight="1" x14ac:dyDescent="0.25">
      <c r="A327" s="55" t="s">
        <v>529</v>
      </c>
      <c r="B327" s="55" t="s">
        <v>530</v>
      </c>
      <c r="C327" s="32">
        <v>4301031304</v>
      </c>
      <c r="D327" s="494">
        <v>4607091384826</v>
      </c>
      <c r="E327" s="495"/>
      <c r="F327" s="486">
        <v>0.35</v>
      </c>
      <c r="G327" s="33">
        <v>8</v>
      </c>
      <c r="H327" s="486">
        <v>2.8</v>
      </c>
      <c r="I327" s="486">
        <v>2.98</v>
      </c>
      <c r="J327" s="33">
        <v>234</v>
      </c>
      <c r="K327" s="33" t="s">
        <v>187</v>
      </c>
      <c r="L327" s="33"/>
      <c r="M327" s="34" t="s">
        <v>70</v>
      </c>
      <c r="N327" s="34"/>
      <c r="O327" s="33">
        <v>35</v>
      </c>
      <c r="P327" s="6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7" s="492"/>
      <c r="R327" s="492"/>
      <c r="S327" s="492"/>
      <c r="T327" s="493"/>
      <c r="U327" s="35"/>
      <c r="V327" s="35"/>
      <c r="W327" s="36" t="s">
        <v>71</v>
      </c>
      <c r="X327" s="487">
        <v>0</v>
      </c>
      <c r="Y327" s="488">
        <f>IFERROR(IF(X327="",0,CEILING((X327/$H327),1)*$H327),"")</f>
        <v>0</v>
      </c>
      <c r="Z327" s="37" t="str">
        <f>IFERROR(IF(Y327=0,"",ROUNDUP(Y327/H327,0)*0.00502),"")</f>
        <v/>
      </c>
      <c r="AA327" s="57"/>
      <c r="AB327" s="58"/>
      <c r="AC327" s="378" t="s">
        <v>528</v>
      </c>
      <c r="AG327" s="65"/>
      <c r="AJ327" s="69"/>
      <c r="AK327" s="69">
        <v>0</v>
      </c>
      <c r="BB327" s="379" t="s">
        <v>1</v>
      </c>
      <c r="BM327" s="65">
        <f>IFERROR(X327*I327/H327,"0")</f>
        <v>0</v>
      </c>
      <c r="BN327" s="65">
        <f>IFERROR(Y327*I327/H327,"0")</f>
        <v>0</v>
      </c>
      <c r="BO327" s="65">
        <f>IFERROR(1/J327*(X327/H327),"0")</f>
        <v>0</v>
      </c>
      <c r="BP327" s="65">
        <f>IFERROR(1/J327*(Y327/H327),"0")</f>
        <v>0</v>
      </c>
    </row>
    <row r="328" spans="1:68" x14ac:dyDescent="0.2">
      <c r="A328" s="505"/>
      <c r="B328" s="501"/>
      <c r="C328" s="501"/>
      <c r="D328" s="501"/>
      <c r="E328" s="501"/>
      <c r="F328" s="501"/>
      <c r="G328" s="501"/>
      <c r="H328" s="501"/>
      <c r="I328" s="501"/>
      <c r="J328" s="501"/>
      <c r="K328" s="501"/>
      <c r="L328" s="501"/>
      <c r="M328" s="501"/>
      <c r="N328" s="501"/>
      <c r="O328" s="506"/>
      <c r="P328" s="497" t="s">
        <v>88</v>
      </c>
      <c r="Q328" s="498"/>
      <c r="R328" s="498"/>
      <c r="S328" s="498"/>
      <c r="T328" s="498"/>
      <c r="U328" s="498"/>
      <c r="V328" s="499"/>
      <c r="W328" s="38" t="s">
        <v>89</v>
      </c>
      <c r="X328" s="489">
        <f>IFERROR(X326/H326,"0")+IFERROR(X327/H327,"0")</f>
        <v>0</v>
      </c>
      <c r="Y328" s="489">
        <f>IFERROR(Y326/H326,"0")+IFERROR(Y327/H327,"0")</f>
        <v>0</v>
      </c>
      <c r="Z328" s="489">
        <f>IFERROR(IF(Z326="",0,Z326),"0")+IFERROR(IF(Z327="",0,Z327),"0")</f>
        <v>0</v>
      </c>
      <c r="AA328" s="490"/>
      <c r="AB328" s="490"/>
      <c r="AC328" s="490"/>
    </row>
    <row r="329" spans="1:68" x14ac:dyDescent="0.2">
      <c r="A329" s="501"/>
      <c r="B329" s="501"/>
      <c r="C329" s="501"/>
      <c r="D329" s="501"/>
      <c r="E329" s="501"/>
      <c r="F329" s="501"/>
      <c r="G329" s="501"/>
      <c r="H329" s="501"/>
      <c r="I329" s="501"/>
      <c r="J329" s="501"/>
      <c r="K329" s="501"/>
      <c r="L329" s="501"/>
      <c r="M329" s="501"/>
      <c r="N329" s="501"/>
      <c r="O329" s="506"/>
      <c r="P329" s="497" t="s">
        <v>88</v>
      </c>
      <c r="Q329" s="498"/>
      <c r="R329" s="498"/>
      <c r="S329" s="498"/>
      <c r="T329" s="498"/>
      <c r="U329" s="498"/>
      <c r="V329" s="499"/>
      <c r="W329" s="38" t="s">
        <v>71</v>
      </c>
      <c r="X329" s="489">
        <f>IFERROR(SUM(X326:X327),"0")</f>
        <v>0</v>
      </c>
      <c r="Y329" s="489">
        <f>IFERROR(SUM(Y326:Y327),"0")</f>
        <v>0</v>
      </c>
      <c r="Z329" s="38"/>
      <c r="AA329" s="490"/>
      <c r="AB329" s="490"/>
      <c r="AC329" s="490"/>
    </row>
    <row r="330" spans="1:68" ht="14.25" customHeight="1" x14ac:dyDescent="0.25">
      <c r="A330" s="512" t="s">
        <v>66</v>
      </c>
      <c r="B330" s="501"/>
      <c r="C330" s="501"/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  <c r="P330" s="501"/>
      <c r="Q330" s="501"/>
      <c r="R330" s="501"/>
      <c r="S330" s="501"/>
      <c r="T330" s="501"/>
      <c r="U330" s="501"/>
      <c r="V330" s="501"/>
      <c r="W330" s="501"/>
      <c r="X330" s="501"/>
      <c r="Y330" s="501"/>
      <c r="Z330" s="501"/>
      <c r="AA330" s="483"/>
      <c r="AB330" s="483"/>
      <c r="AC330" s="483"/>
    </row>
    <row r="331" spans="1:68" ht="27" customHeight="1" x14ac:dyDescent="0.25">
      <c r="A331" s="55" t="s">
        <v>531</v>
      </c>
      <c r="B331" s="55" t="s">
        <v>532</v>
      </c>
      <c r="C331" s="32">
        <v>4301051899</v>
      </c>
      <c r="D331" s="494">
        <v>4607091384246</v>
      </c>
      <c r="E331" s="495"/>
      <c r="F331" s="486">
        <v>1.5</v>
      </c>
      <c r="G331" s="33">
        <v>6</v>
      </c>
      <c r="H331" s="486">
        <v>9</v>
      </c>
      <c r="I331" s="486">
        <v>9.5190000000000001</v>
      </c>
      <c r="J331" s="33">
        <v>64</v>
      </c>
      <c r="K331" s="33" t="s">
        <v>101</v>
      </c>
      <c r="L331" s="33"/>
      <c r="M331" s="34" t="s">
        <v>102</v>
      </c>
      <c r="N331" s="34"/>
      <c r="O331" s="33">
        <v>40</v>
      </c>
      <c r="P331" s="548" t="s">
        <v>533</v>
      </c>
      <c r="Q331" s="492"/>
      <c r="R331" s="492"/>
      <c r="S331" s="492"/>
      <c r="T331" s="493"/>
      <c r="U331" s="35"/>
      <c r="V331" s="35"/>
      <c r="W331" s="36" t="s">
        <v>71</v>
      </c>
      <c r="X331" s="487"/>
      <c r="Y331" s="488">
        <f>IFERROR(IF(X331="",0,CEILING((X331/$H331),1)*$H331),"")</f>
        <v>0</v>
      </c>
      <c r="Z331" s="37" t="str">
        <f>IFERROR(IF(Y331=0,"",ROUNDUP(Y331/H331,0)*0.01898),"")</f>
        <v/>
      </c>
      <c r="AA331" s="57"/>
      <c r="AB331" s="58"/>
      <c r="AC331" s="380" t="s">
        <v>534</v>
      </c>
      <c r="AG331" s="65"/>
      <c r="AJ331" s="69"/>
      <c r="AK331" s="69">
        <v>0</v>
      </c>
      <c r="BB331" s="381" t="s">
        <v>1</v>
      </c>
      <c r="BM331" s="65">
        <f>IFERROR(X331*I331/H331,"0")</f>
        <v>0</v>
      </c>
      <c r="BN331" s="65">
        <f>IFERROR(Y331*I331/H331,"0")</f>
        <v>0</v>
      </c>
      <c r="BO331" s="65">
        <f>IFERROR(1/J331*(X331/H331),"0")</f>
        <v>0</v>
      </c>
      <c r="BP331" s="65">
        <f>IFERROR(1/J331*(Y331/H331),"0")</f>
        <v>0</v>
      </c>
    </row>
    <row r="332" spans="1:68" ht="37.5" customHeight="1" x14ac:dyDescent="0.25">
      <c r="A332" s="55" t="s">
        <v>535</v>
      </c>
      <c r="B332" s="55" t="s">
        <v>536</v>
      </c>
      <c r="C332" s="32">
        <v>4301051901</v>
      </c>
      <c r="D332" s="494">
        <v>4680115881976</v>
      </c>
      <c r="E332" s="495"/>
      <c r="F332" s="486">
        <v>1.5</v>
      </c>
      <c r="G332" s="33">
        <v>6</v>
      </c>
      <c r="H332" s="486">
        <v>9</v>
      </c>
      <c r="I332" s="486">
        <v>9.4350000000000005</v>
      </c>
      <c r="J332" s="33">
        <v>64</v>
      </c>
      <c r="K332" s="33" t="s">
        <v>101</v>
      </c>
      <c r="L332" s="33"/>
      <c r="M332" s="34" t="s">
        <v>102</v>
      </c>
      <c r="N332" s="34"/>
      <c r="O332" s="33">
        <v>40</v>
      </c>
      <c r="P332" s="676" t="s">
        <v>537</v>
      </c>
      <c r="Q332" s="492"/>
      <c r="R332" s="492"/>
      <c r="S332" s="492"/>
      <c r="T332" s="493"/>
      <c r="U332" s="35"/>
      <c r="V332" s="35"/>
      <c r="W332" s="36" t="s">
        <v>71</v>
      </c>
      <c r="X332" s="487">
        <v>300</v>
      </c>
      <c r="Y332" s="488">
        <f>IFERROR(IF(X332="",0,CEILING((X332/$H332),1)*$H332),"")</f>
        <v>306</v>
      </c>
      <c r="Z332" s="37">
        <f>IFERROR(IF(Y332=0,"",ROUNDUP(Y332/H332,0)*0.01898),"")</f>
        <v>0.64532</v>
      </c>
      <c r="AA332" s="57"/>
      <c r="AB332" s="58"/>
      <c r="AC332" s="382" t="s">
        <v>538</v>
      </c>
      <c r="AG332" s="65"/>
      <c r="AJ332" s="69"/>
      <c r="AK332" s="69">
        <v>0</v>
      </c>
      <c r="BB332" s="383" t="s">
        <v>1</v>
      </c>
      <c r="BM332" s="65">
        <f>IFERROR(X332*I332/H332,"0")</f>
        <v>314.5</v>
      </c>
      <c r="BN332" s="65">
        <f>IFERROR(Y332*I332/H332,"0")</f>
        <v>320.79000000000002</v>
      </c>
      <c r="BO332" s="65">
        <f>IFERROR(1/J332*(X332/H332),"0")</f>
        <v>0.52083333333333337</v>
      </c>
      <c r="BP332" s="65">
        <f>IFERROR(1/J332*(Y332/H332),"0")</f>
        <v>0.53125</v>
      </c>
    </row>
    <row r="333" spans="1:68" ht="37.5" customHeight="1" x14ac:dyDescent="0.25">
      <c r="A333" s="55" t="s">
        <v>539</v>
      </c>
      <c r="B333" s="55" t="s">
        <v>540</v>
      </c>
      <c r="C333" s="32">
        <v>4301051634</v>
      </c>
      <c r="D333" s="494">
        <v>4607091384253</v>
      </c>
      <c r="E333" s="495"/>
      <c r="F333" s="486">
        <v>0.4</v>
      </c>
      <c r="G333" s="33">
        <v>6</v>
      </c>
      <c r="H333" s="486">
        <v>2.4</v>
      </c>
      <c r="I333" s="486">
        <v>2.6640000000000001</v>
      </c>
      <c r="J333" s="33">
        <v>182</v>
      </c>
      <c r="K333" s="33" t="s">
        <v>69</v>
      </c>
      <c r="L333" s="33"/>
      <c r="M333" s="34" t="s">
        <v>70</v>
      </c>
      <c r="N333" s="34"/>
      <c r="O333" s="33">
        <v>40</v>
      </c>
      <c r="P333" s="7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33" s="492"/>
      <c r="R333" s="492"/>
      <c r="S333" s="492"/>
      <c r="T333" s="493"/>
      <c r="U333" s="35"/>
      <c r="V333" s="35"/>
      <c r="W333" s="36" t="s">
        <v>71</v>
      </c>
      <c r="X333" s="487">
        <v>240</v>
      </c>
      <c r="Y333" s="488">
        <f>IFERROR(IF(X333="",0,CEILING((X333/$H333),1)*$H333),"")</f>
        <v>240</v>
      </c>
      <c r="Z333" s="37">
        <f>IFERROR(IF(Y333=0,"",ROUNDUP(Y333/H333,0)*0.00651),"")</f>
        <v>0.65100000000000002</v>
      </c>
      <c r="AA333" s="57"/>
      <c r="AB333" s="58"/>
      <c r="AC333" s="384" t="s">
        <v>541</v>
      </c>
      <c r="AG333" s="65"/>
      <c r="AJ333" s="69"/>
      <c r="AK333" s="69">
        <v>0</v>
      </c>
      <c r="BB333" s="385" t="s">
        <v>1</v>
      </c>
      <c r="BM333" s="65">
        <f>IFERROR(X333*I333/H333,"0")</f>
        <v>266.40000000000003</v>
      </c>
      <c r="BN333" s="65">
        <f>IFERROR(Y333*I333/H333,"0")</f>
        <v>266.40000000000003</v>
      </c>
      <c r="BO333" s="65">
        <f>IFERROR(1/J333*(X333/H333),"0")</f>
        <v>0.5494505494505495</v>
      </c>
      <c r="BP333" s="65">
        <f>IFERROR(1/J333*(Y333/H333),"0")</f>
        <v>0.5494505494505495</v>
      </c>
    </row>
    <row r="334" spans="1:68" ht="27" customHeight="1" x14ac:dyDescent="0.25">
      <c r="A334" s="55" t="s">
        <v>542</v>
      </c>
      <c r="B334" s="55" t="s">
        <v>543</v>
      </c>
      <c r="C334" s="32">
        <v>4301051444</v>
      </c>
      <c r="D334" s="494">
        <v>4680115881969</v>
      </c>
      <c r="E334" s="495"/>
      <c r="F334" s="486">
        <v>0.4</v>
      </c>
      <c r="G334" s="33">
        <v>6</v>
      </c>
      <c r="H334" s="486">
        <v>2.4</v>
      </c>
      <c r="I334" s="486">
        <v>2.58</v>
      </c>
      <c r="J334" s="33">
        <v>182</v>
      </c>
      <c r="K334" s="33" t="s">
        <v>69</v>
      </c>
      <c r="L334" s="33"/>
      <c r="M334" s="34" t="s">
        <v>70</v>
      </c>
      <c r="N334" s="34"/>
      <c r="O334" s="33">
        <v>40</v>
      </c>
      <c r="P334" s="5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34" s="492"/>
      <c r="R334" s="492"/>
      <c r="S334" s="492"/>
      <c r="T334" s="493"/>
      <c r="U334" s="35"/>
      <c r="V334" s="35"/>
      <c r="W334" s="36" t="s">
        <v>71</v>
      </c>
      <c r="X334" s="487"/>
      <c r="Y334" s="488">
        <f>IFERROR(IF(X334="",0,CEILING((X334/$H334),1)*$H334),"")</f>
        <v>0</v>
      </c>
      <c r="Z334" s="37" t="str">
        <f>IFERROR(IF(Y334=0,"",ROUNDUP(Y334/H334,0)*0.00651),"")</f>
        <v/>
      </c>
      <c r="AA334" s="57"/>
      <c r="AB334" s="58"/>
      <c r="AC334" s="386" t="s">
        <v>544</v>
      </c>
      <c r="AG334" s="65"/>
      <c r="AJ334" s="69"/>
      <c r="AK334" s="69">
        <v>0</v>
      </c>
      <c r="BB334" s="387" t="s">
        <v>1</v>
      </c>
      <c r="BM334" s="65">
        <f>IFERROR(X334*I334/H334,"0")</f>
        <v>0</v>
      </c>
      <c r="BN334" s="65">
        <f>IFERROR(Y334*I334/H334,"0")</f>
        <v>0</v>
      </c>
      <c r="BO334" s="65">
        <f>IFERROR(1/J334*(X334/H334),"0")</f>
        <v>0</v>
      </c>
      <c r="BP334" s="65">
        <f>IFERROR(1/J334*(Y334/H334),"0")</f>
        <v>0</v>
      </c>
    </row>
    <row r="335" spans="1:68" x14ac:dyDescent="0.2">
      <c r="A335" s="505"/>
      <c r="B335" s="501"/>
      <c r="C335" s="501"/>
      <c r="D335" s="501"/>
      <c r="E335" s="501"/>
      <c r="F335" s="501"/>
      <c r="G335" s="501"/>
      <c r="H335" s="501"/>
      <c r="I335" s="501"/>
      <c r="J335" s="501"/>
      <c r="K335" s="501"/>
      <c r="L335" s="501"/>
      <c r="M335" s="501"/>
      <c r="N335" s="501"/>
      <c r="O335" s="506"/>
      <c r="P335" s="497" t="s">
        <v>88</v>
      </c>
      <c r="Q335" s="498"/>
      <c r="R335" s="498"/>
      <c r="S335" s="498"/>
      <c r="T335" s="498"/>
      <c r="U335" s="498"/>
      <c r="V335" s="499"/>
      <c r="W335" s="38" t="s">
        <v>89</v>
      </c>
      <c r="X335" s="489">
        <f>IFERROR(X331/H331,"0")+IFERROR(X332/H332,"0")+IFERROR(X333/H333,"0")+IFERROR(X334/H334,"0")</f>
        <v>133.33333333333334</v>
      </c>
      <c r="Y335" s="489">
        <f>IFERROR(Y331/H331,"0")+IFERROR(Y332/H332,"0")+IFERROR(Y333/H333,"0")+IFERROR(Y334/H334,"0")</f>
        <v>134</v>
      </c>
      <c r="Z335" s="489">
        <f>IFERROR(IF(Z331="",0,Z331),"0")+IFERROR(IF(Z332="",0,Z332),"0")+IFERROR(IF(Z333="",0,Z333),"0")+IFERROR(IF(Z334="",0,Z334),"0")</f>
        <v>1.2963200000000001</v>
      </c>
      <c r="AA335" s="490"/>
      <c r="AB335" s="490"/>
      <c r="AC335" s="490"/>
    </row>
    <row r="336" spans="1:68" x14ac:dyDescent="0.2">
      <c r="A336" s="501"/>
      <c r="B336" s="501"/>
      <c r="C336" s="501"/>
      <c r="D336" s="501"/>
      <c r="E336" s="501"/>
      <c r="F336" s="501"/>
      <c r="G336" s="501"/>
      <c r="H336" s="501"/>
      <c r="I336" s="501"/>
      <c r="J336" s="501"/>
      <c r="K336" s="501"/>
      <c r="L336" s="501"/>
      <c r="M336" s="501"/>
      <c r="N336" s="501"/>
      <c r="O336" s="506"/>
      <c r="P336" s="497" t="s">
        <v>88</v>
      </c>
      <c r="Q336" s="498"/>
      <c r="R336" s="498"/>
      <c r="S336" s="498"/>
      <c r="T336" s="498"/>
      <c r="U336" s="498"/>
      <c r="V336" s="499"/>
      <c r="W336" s="38" t="s">
        <v>71</v>
      </c>
      <c r="X336" s="489">
        <f>IFERROR(SUM(X331:X334),"0")</f>
        <v>540</v>
      </c>
      <c r="Y336" s="489">
        <f>IFERROR(SUM(Y331:Y334),"0")</f>
        <v>546</v>
      </c>
      <c r="Z336" s="38"/>
      <c r="AA336" s="490"/>
      <c r="AB336" s="490"/>
      <c r="AC336" s="490"/>
    </row>
    <row r="337" spans="1:68" ht="14.25" customHeight="1" x14ac:dyDescent="0.25">
      <c r="A337" s="512" t="s">
        <v>148</v>
      </c>
      <c r="B337" s="501"/>
      <c r="C337" s="501"/>
      <c r="D337" s="501"/>
      <c r="E337" s="501"/>
      <c r="F337" s="501"/>
      <c r="G337" s="501"/>
      <c r="H337" s="501"/>
      <c r="I337" s="501"/>
      <c r="J337" s="501"/>
      <c r="K337" s="501"/>
      <c r="L337" s="501"/>
      <c r="M337" s="501"/>
      <c r="N337" s="501"/>
      <c r="O337" s="501"/>
      <c r="P337" s="501"/>
      <c r="Q337" s="501"/>
      <c r="R337" s="501"/>
      <c r="S337" s="501"/>
      <c r="T337" s="501"/>
      <c r="U337" s="501"/>
      <c r="V337" s="501"/>
      <c r="W337" s="501"/>
      <c r="X337" s="501"/>
      <c r="Y337" s="501"/>
      <c r="Z337" s="501"/>
      <c r="AA337" s="483"/>
      <c r="AB337" s="483"/>
      <c r="AC337" s="483"/>
    </row>
    <row r="338" spans="1:68" ht="27" customHeight="1" x14ac:dyDescent="0.25">
      <c r="A338" s="55" t="s">
        <v>545</v>
      </c>
      <c r="B338" s="55" t="s">
        <v>546</v>
      </c>
      <c r="C338" s="32">
        <v>4301060441</v>
      </c>
      <c r="D338" s="494">
        <v>4607091389357</v>
      </c>
      <c r="E338" s="495"/>
      <c r="F338" s="486">
        <v>1.5</v>
      </c>
      <c r="G338" s="33">
        <v>6</v>
      </c>
      <c r="H338" s="486">
        <v>9</v>
      </c>
      <c r="I338" s="486">
        <v>9.4350000000000005</v>
      </c>
      <c r="J338" s="33">
        <v>64</v>
      </c>
      <c r="K338" s="33" t="s">
        <v>101</v>
      </c>
      <c r="L338" s="33"/>
      <c r="M338" s="34" t="s">
        <v>102</v>
      </c>
      <c r="N338" s="34"/>
      <c r="O338" s="33">
        <v>40</v>
      </c>
      <c r="P338" s="784" t="s">
        <v>547</v>
      </c>
      <c r="Q338" s="492"/>
      <c r="R338" s="492"/>
      <c r="S338" s="492"/>
      <c r="T338" s="493"/>
      <c r="U338" s="35"/>
      <c r="V338" s="35"/>
      <c r="W338" s="36" t="s">
        <v>71</v>
      </c>
      <c r="X338" s="487">
        <v>400</v>
      </c>
      <c r="Y338" s="488">
        <f>IFERROR(IF(X338="",0,CEILING((X338/$H338),1)*$H338),"")</f>
        <v>405</v>
      </c>
      <c r="Z338" s="37">
        <f>IFERROR(IF(Y338=0,"",ROUNDUP(Y338/H338,0)*0.01898),"")</f>
        <v>0.85409999999999997</v>
      </c>
      <c r="AA338" s="57"/>
      <c r="AB338" s="58"/>
      <c r="AC338" s="388" t="s">
        <v>548</v>
      </c>
      <c r="AG338" s="65"/>
      <c r="AJ338" s="69"/>
      <c r="AK338" s="69">
        <v>0</v>
      </c>
      <c r="BB338" s="389" t="s">
        <v>1</v>
      </c>
      <c r="BM338" s="65">
        <f>IFERROR(X338*I338/H338,"0")</f>
        <v>419.33333333333331</v>
      </c>
      <c r="BN338" s="65">
        <f>IFERROR(Y338*I338/H338,"0")</f>
        <v>424.57500000000005</v>
      </c>
      <c r="BO338" s="65">
        <f>IFERROR(1/J338*(X338/H338),"0")</f>
        <v>0.69444444444444442</v>
      </c>
      <c r="BP338" s="65">
        <f>IFERROR(1/J338*(Y338/H338),"0")</f>
        <v>0.703125</v>
      </c>
    </row>
    <row r="339" spans="1:68" x14ac:dyDescent="0.2">
      <c r="A339" s="505"/>
      <c r="B339" s="501"/>
      <c r="C339" s="501"/>
      <c r="D339" s="501"/>
      <c r="E339" s="501"/>
      <c r="F339" s="501"/>
      <c r="G339" s="501"/>
      <c r="H339" s="501"/>
      <c r="I339" s="501"/>
      <c r="J339" s="501"/>
      <c r="K339" s="501"/>
      <c r="L339" s="501"/>
      <c r="M339" s="501"/>
      <c r="N339" s="501"/>
      <c r="O339" s="506"/>
      <c r="P339" s="497" t="s">
        <v>88</v>
      </c>
      <c r="Q339" s="498"/>
      <c r="R339" s="498"/>
      <c r="S339" s="498"/>
      <c r="T339" s="498"/>
      <c r="U339" s="498"/>
      <c r="V339" s="499"/>
      <c r="W339" s="38" t="s">
        <v>89</v>
      </c>
      <c r="X339" s="489">
        <f>IFERROR(X338/H338,"0")</f>
        <v>44.444444444444443</v>
      </c>
      <c r="Y339" s="489">
        <f>IFERROR(Y338/H338,"0")</f>
        <v>45</v>
      </c>
      <c r="Z339" s="489">
        <f>IFERROR(IF(Z338="",0,Z338),"0")</f>
        <v>0.85409999999999997</v>
      </c>
      <c r="AA339" s="490"/>
      <c r="AB339" s="490"/>
      <c r="AC339" s="490"/>
    </row>
    <row r="340" spans="1:68" x14ac:dyDescent="0.2">
      <c r="A340" s="501"/>
      <c r="B340" s="501"/>
      <c r="C340" s="501"/>
      <c r="D340" s="501"/>
      <c r="E340" s="501"/>
      <c r="F340" s="501"/>
      <c r="G340" s="501"/>
      <c r="H340" s="501"/>
      <c r="I340" s="501"/>
      <c r="J340" s="501"/>
      <c r="K340" s="501"/>
      <c r="L340" s="501"/>
      <c r="M340" s="501"/>
      <c r="N340" s="501"/>
      <c r="O340" s="506"/>
      <c r="P340" s="497" t="s">
        <v>88</v>
      </c>
      <c r="Q340" s="498"/>
      <c r="R340" s="498"/>
      <c r="S340" s="498"/>
      <c r="T340" s="498"/>
      <c r="U340" s="498"/>
      <c r="V340" s="499"/>
      <c r="W340" s="38" t="s">
        <v>71</v>
      </c>
      <c r="X340" s="489">
        <f>IFERROR(SUM(X338:X338),"0")</f>
        <v>400</v>
      </c>
      <c r="Y340" s="489">
        <f>IFERROR(SUM(Y338:Y338),"0")</f>
        <v>405</v>
      </c>
      <c r="Z340" s="38"/>
      <c r="AA340" s="490"/>
      <c r="AB340" s="490"/>
      <c r="AC340" s="490"/>
    </row>
    <row r="341" spans="1:68" ht="27.75" customHeight="1" x14ac:dyDescent="0.2">
      <c r="A341" s="544" t="s">
        <v>549</v>
      </c>
      <c r="B341" s="545"/>
      <c r="C341" s="545"/>
      <c r="D341" s="545"/>
      <c r="E341" s="545"/>
      <c r="F341" s="545"/>
      <c r="G341" s="545"/>
      <c r="H341" s="545"/>
      <c r="I341" s="545"/>
      <c r="J341" s="545"/>
      <c r="K341" s="545"/>
      <c r="L341" s="545"/>
      <c r="M341" s="545"/>
      <c r="N341" s="545"/>
      <c r="O341" s="545"/>
      <c r="P341" s="545"/>
      <c r="Q341" s="545"/>
      <c r="R341" s="545"/>
      <c r="S341" s="545"/>
      <c r="T341" s="545"/>
      <c r="U341" s="545"/>
      <c r="V341" s="545"/>
      <c r="W341" s="545"/>
      <c r="X341" s="545"/>
      <c r="Y341" s="545"/>
      <c r="Z341" s="545"/>
      <c r="AA341" s="49"/>
      <c r="AB341" s="49"/>
      <c r="AC341" s="49"/>
    </row>
    <row r="342" spans="1:68" ht="16.5" customHeight="1" x14ac:dyDescent="0.25">
      <c r="A342" s="500" t="s">
        <v>550</v>
      </c>
      <c r="B342" s="501"/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  <c r="P342" s="501"/>
      <c r="Q342" s="501"/>
      <c r="R342" s="501"/>
      <c r="S342" s="501"/>
      <c r="T342" s="501"/>
      <c r="U342" s="501"/>
      <c r="V342" s="501"/>
      <c r="W342" s="501"/>
      <c r="X342" s="501"/>
      <c r="Y342" s="501"/>
      <c r="Z342" s="501"/>
      <c r="AA342" s="482"/>
      <c r="AB342" s="482"/>
      <c r="AC342" s="482"/>
    </row>
    <row r="343" spans="1:68" ht="14.25" customHeight="1" x14ac:dyDescent="0.25">
      <c r="A343" s="512" t="s">
        <v>98</v>
      </c>
      <c r="B343" s="501"/>
      <c r="C343" s="501"/>
      <c r="D343" s="501"/>
      <c r="E343" s="501"/>
      <c r="F343" s="501"/>
      <c r="G343" s="501"/>
      <c r="H343" s="501"/>
      <c r="I343" s="501"/>
      <c r="J343" s="501"/>
      <c r="K343" s="501"/>
      <c r="L343" s="501"/>
      <c r="M343" s="501"/>
      <c r="N343" s="501"/>
      <c r="O343" s="501"/>
      <c r="P343" s="501"/>
      <c r="Q343" s="501"/>
      <c r="R343" s="501"/>
      <c r="S343" s="501"/>
      <c r="T343" s="501"/>
      <c r="U343" s="501"/>
      <c r="V343" s="501"/>
      <c r="W343" s="501"/>
      <c r="X343" s="501"/>
      <c r="Y343" s="501"/>
      <c r="Z343" s="501"/>
      <c r="AA343" s="483"/>
      <c r="AB343" s="483"/>
      <c r="AC343" s="483"/>
    </row>
    <row r="344" spans="1:68" ht="27" customHeight="1" x14ac:dyDescent="0.25">
      <c r="A344" s="55" t="s">
        <v>551</v>
      </c>
      <c r="B344" s="55" t="s">
        <v>552</v>
      </c>
      <c r="C344" s="32">
        <v>4301011428</v>
      </c>
      <c r="D344" s="494">
        <v>4607091389708</v>
      </c>
      <c r="E344" s="495"/>
      <c r="F344" s="486">
        <v>0.45</v>
      </c>
      <c r="G344" s="33">
        <v>6</v>
      </c>
      <c r="H344" s="486">
        <v>2.7</v>
      </c>
      <c r="I344" s="486">
        <v>2.88</v>
      </c>
      <c r="J344" s="33">
        <v>182</v>
      </c>
      <c r="K344" s="33" t="s">
        <v>69</v>
      </c>
      <c r="L344" s="33"/>
      <c r="M344" s="34" t="s">
        <v>106</v>
      </c>
      <c r="N344" s="34"/>
      <c r="O344" s="33">
        <v>50</v>
      </c>
      <c r="P344" s="7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44" s="492"/>
      <c r="R344" s="492"/>
      <c r="S344" s="492"/>
      <c r="T344" s="493"/>
      <c r="U344" s="35"/>
      <c r="V344" s="35"/>
      <c r="W344" s="36" t="s">
        <v>71</v>
      </c>
      <c r="X344" s="487">
        <v>0</v>
      </c>
      <c r="Y344" s="488">
        <f>IFERROR(IF(X344="",0,CEILING((X344/$H344),1)*$H344),"")</f>
        <v>0</v>
      </c>
      <c r="Z344" s="37" t="str">
        <f>IFERROR(IF(Y344=0,"",ROUNDUP(Y344/H344,0)*0.00651),"")</f>
        <v/>
      </c>
      <c r="AA344" s="57"/>
      <c r="AB344" s="58"/>
      <c r="AC344" s="390" t="s">
        <v>553</v>
      </c>
      <c r="AG344" s="65"/>
      <c r="AJ344" s="69"/>
      <c r="AK344" s="69">
        <v>0</v>
      </c>
      <c r="BB344" s="391" t="s">
        <v>1</v>
      </c>
      <c r="BM344" s="65">
        <f>IFERROR(X344*I344/H344,"0")</f>
        <v>0</v>
      </c>
      <c r="BN344" s="65">
        <f>IFERROR(Y344*I344/H344,"0")</f>
        <v>0</v>
      </c>
      <c r="BO344" s="65">
        <f>IFERROR(1/J344*(X344/H344),"0")</f>
        <v>0</v>
      </c>
      <c r="BP344" s="65">
        <f>IFERROR(1/J344*(Y344/H344),"0")</f>
        <v>0</v>
      </c>
    </row>
    <row r="345" spans="1:68" x14ac:dyDescent="0.2">
      <c r="A345" s="505"/>
      <c r="B345" s="501"/>
      <c r="C345" s="501"/>
      <c r="D345" s="501"/>
      <c r="E345" s="501"/>
      <c r="F345" s="501"/>
      <c r="G345" s="501"/>
      <c r="H345" s="501"/>
      <c r="I345" s="501"/>
      <c r="J345" s="501"/>
      <c r="K345" s="501"/>
      <c r="L345" s="501"/>
      <c r="M345" s="501"/>
      <c r="N345" s="501"/>
      <c r="O345" s="506"/>
      <c r="P345" s="497" t="s">
        <v>88</v>
      </c>
      <c r="Q345" s="498"/>
      <c r="R345" s="498"/>
      <c r="S345" s="498"/>
      <c r="T345" s="498"/>
      <c r="U345" s="498"/>
      <c r="V345" s="499"/>
      <c r="W345" s="38" t="s">
        <v>89</v>
      </c>
      <c r="X345" s="489">
        <f>IFERROR(X344/H344,"0")</f>
        <v>0</v>
      </c>
      <c r="Y345" s="489">
        <f>IFERROR(Y344/H344,"0")</f>
        <v>0</v>
      </c>
      <c r="Z345" s="489">
        <f>IFERROR(IF(Z344="",0,Z344),"0")</f>
        <v>0</v>
      </c>
      <c r="AA345" s="490"/>
      <c r="AB345" s="490"/>
      <c r="AC345" s="490"/>
    </row>
    <row r="346" spans="1:68" x14ac:dyDescent="0.2">
      <c r="A346" s="501"/>
      <c r="B346" s="501"/>
      <c r="C346" s="501"/>
      <c r="D346" s="501"/>
      <c r="E346" s="501"/>
      <c r="F346" s="501"/>
      <c r="G346" s="501"/>
      <c r="H346" s="501"/>
      <c r="I346" s="501"/>
      <c r="J346" s="501"/>
      <c r="K346" s="501"/>
      <c r="L346" s="501"/>
      <c r="M346" s="501"/>
      <c r="N346" s="501"/>
      <c r="O346" s="506"/>
      <c r="P346" s="497" t="s">
        <v>88</v>
      </c>
      <c r="Q346" s="498"/>
      <c r="R346" s="498"/>
      <c r="S346" s="498"/>
      <c r="T346" s="498"/>
      <c r="U346" s="498"/>
      <c r="V346" s="499"/>
      <c r="W346" s="38" t="s">
        <v>71</v>
      </c>
      <c r="X346" s="489">
        <f>IFERROR(SUM(X344:X344),"0")</f>
        <v>0</v>
      </c>
      <c r="Y346" s="489">
        <f>IFERROR(SUM(Y344:Y344),"0")</f>
        <v>0</v>
      </c>
      <c r="Z346" s="38"/>
      <c r="AA346" s="490"/>
      <c r="AB346" s="490"/>
      <c r="AC346" s="490"/>
    </row>
    <row r="347" spans="1:68" ht="14.25" customHeight="1" x14ac:dyDescent="0.25">
      <c r="A347" s="512" t="s">
        <v>213</v>
      </c>
      <c r="B347" s="501"/>
      <c r="C347" s="501"/>
      <c r="D347" s="501"/>
      <c r="E347" s="501"/>
      <c r="F347" s="501"/>
      <c r="G347" s="501"/>
      <c r="H347" s="501"/>
      <c r="I347" s="501"/>
      <c r="J347" s="501"/>
      <c r="K347" s="501"/>
      <c r="L347" s="501"/>
      <c r="M347" s="501"/>
      <c r="N347" s="501"/>
      <c r="O347" s="501"/>
      <c r="P347" s="501"/>
      <c r="Q347" s="501"/>
      <c r="R347" s="501"/>
      <c r="S347" s="501"/>
      <c r="T347" s="501"/>
      <c r="U347" s="501"/>
      <c r="V347" s="501"/>
      <c r="W347" s="501"/>
      <c r="X347" s="501"/>
      <c r="Y347" s="501"/>
      <c r="Z347" s="501"/>
      <c r="AA347" s="483"/>
      <c r="AB347" s="483"/>
      <c r="AC347" s="483"/>
    </row>
    <row r="348" spans="1:68" ht="27" customHeight="1" x14ac:dyDescent="0.25">
      <c r="A348" s="55" t="s">
        <v>554</v>
      </c>
      <c r="B348" s="55" t="s">
        <v>555</v>
      </c>
      <c r="C348" s="32">
        <v>4301031405</v>
      </c>
      <c r="D348" s="494">
        <v>4680115886100</v>
      </c>
      <c r="E348" s="495"/>
      <c r="F348" s="486">
        <v>0.9</v>
      </c>
      <c r="G348" s="33">
        <v>6</v>
      </c>
      <c r="H348" s="486">
        <v>5.4</v>
      </c>
      <c r="I348" s="486">
        <v>5.61</v>
      </c>
      <c r="J348" s="33">
        <v>132</v>
      </c>
      <c r="K348" s="33" t="s">
        <v>110</v>
      </c>
      <c r="L348" s="33"/>
      <c r="M348" s="34" t="s">
        <v>70</v>
      </c>
      <c r="N348" s="34"/>
      <c r="O348" s="33">
        <v>50</v>
      </c>
      <c r="P348" s="723" t="s">
        <v>556</v>
      </c>
      <c r="Q348" s="492"/>
      <c r="R348" s="492"/>
      <c r="S348" s="492"/>
      <c r="T348" s="493"/>
      <c r="U348" s="35"/>
      <c r="V348" s="35"/>
      <c r="W348" s="36" t="s">
        <v>71</v>
      </c>
      <c r="X348" s="487">
        <v>0</v>
      </c>
      <c r="Y348" s="488">
        <f>IFERROR(IF(X348="",0,CEILING((X348/$H348),1)*$H348),"")</f>
        <v>0</v>
      </c>
      <c r="Z348" s="37" t="str">
        <f>IFERROR(IF(Y348=0,"",ROUNDUP(Y348/H348,0)*0.00902),"")</f>
        <v/>
      </c>
      <c r="AA348" s="57"/>
      <c r="AB348" s="58"/>
      <c r="AC348" s="392" t="s">
        <v>557</v>
      </c>
      <c r="AG348" s="65"/>
      <c r="AJ348" s="69"/>
      <c r="AK348" s="69">
        <v>0</v>
      </c>
      <c r="BB348" s="393" t="s">
        <v>1</v>
      </c>
      <c r="BM348" s="65">
        <f>IFERROR(X348*I348/H348,"0")</f>
        <v>0</v>
      </c>
      <c r="BN348" s="65">
        <f>IFERROR(Y348*I348/H348,"0")</f>
        <v>0</v>
      </c>
      <c r="BO348" s="65">
        <f>IFERROR(1/J348*(X348/H348),"0")</f>
        <v>0</v>
      </c>
      <c r="BP348" s="65">
        <f>IFERROR(1/J348*(Y348/H348),"0")</f>
        <v>0</v>
      </c>
    </row>
    <row r="349" spans="1:68" ht="27" customHeight="1" x14ac:dyDescent="0.25">
      <c r="A349" s="55" t="s">
        <v>558</v>
      </c>
      <c r="B349" s="55" t="s">
        <v>559</v>
      </c>
      <c r="C349" s="32">
        <v>4301031406</v>
      </c>
      <c r="D349" s="494">
        <v>4680115886117</v>
      </c>
      <c r="E349" s="495"/>
      <c r="F349" s="486">
        <v>0.9</v>
      </c>
      <c r="G349" s="33">
        <v>6</v>
      </c>
      <c r="H349" s="486">
        <v>5.4</v>
      </c>
      <c r="I349" s="486">
        <v>5.61</v>
      </c>
      <c r="J349" s="33">
        <v>132</v>
      </c>
      <c r="K349" s="33" t="s">
        <v>110</v>
      </c>
      <c r="L349" s="33"/>
      <c r="M349" s="34" t="s">
        <v>70</v>
      </c>
      <c r="N349" s="34"/>
      <c r="O349" s="33">
        <v>50</v>
      </c>
      <c r="P349" s="748" t="s">
        <v>560</v>
      </c>
      <c r="Q349" s="492"/>
      <c r="R349" s="492"/>
      <c r="S349" s="492"/>
      <c r="T349" s="493"/>
      <c r="U349" s="35"/>
      <c r="V349" s="35"/>
      <c r="W349" s="36" t="s">
        <v>71</v>
      </c>
      <c r="X349" s="487">
        <v>0</v>
      </c>
      <c r="Y349" s="488">
        <f>IFERROR(IF(X349="",0,CEILING((X349/$H349),1)*$H349),"")</f>
        <v>0</v>
      </c>
      <c r="Z349" s="37" t="str">
        <f>IFERROR(IF(Y349=0,"",ROUNDUP(Y349/H349,0)*0.00902),"")</f>
        <v/>
      </c>
      <c r="AA349" s="57"/>
      <c r="AB349" s="58"/>
      <c r="AC349" s="394" t="s">
        <v>561</v>
      </c>
      <c r="AG349" s="65"/>
      <c r="AJ349" s="69"/>
      <c r="AK349" s="69">
        <v>0</v>
      </c>
      <c r="BB349" s="395" t="s">
        <v>1</v>
      </c>
      <c r="BM349" s="65">
        <f>IFERROR(X349*I349/H349,"0")</f>
        <v>0</v>
      </c>
      <c r="BN349" s="65">
        <f>IFERROR(Y349*I349/H349,"0")</f>
        <v>0</v>
      </c>
      <c r="BO349" s="65">
        <f>IFERROR(1/J349*(X349/H349),"0")</f>
        <v>0</v>
      </c>
      <c r="BP349" s="65">
        <f>IFERROR(1/J349*(Y349/H349),"0")</f>
        <v>0</v>
      </c>
    </row>
    <row r="350" spans="1:68" ht="27" customHeight="1" x14ac:dyDescent="0.25">
      <c r="A350" s="55" t="s">
        <v>558</v>
      </c>
      <c r="B350" s="55" t="s">
        <v>562</v>
      </c>
      <c r="C350" s="32">
        <v>4301031382</v>
      </c>
      <c r="D350" s="494">
        <v>4680115886117</v>
      </c>
      <c r="E350" s="495"/>
      <c r="F350" s="486">
        <v>0.9</v>
      </c>
      <c r="G350" s="33">
        <v>6</v>
      </c>
      <c r="H350" s="486">
        <v>5.4</v>
      </c>
      <c r="I350" s="486">
        <v>5.61</v>
      </c>
      <c r="J350" s="33">
        <v>120</v>
      </c>
      <c r="K350" s="33" t="s">
        <v>110</v>
      </c>
      <c r="L350" s="33"/>
      <c r="M350" s="34" t="s">
        <v>70</v>
      </c>
      <c r="N350" s="34"/>
      <c r="O350" s="33">
        <v>50</v>
      </c>
      <c r="P350" s="583" t="s">
        <v>560</v>
      </c>
      <c r="Q350" s="492"/>
      <c r="R350" s="492"/>
      <c r="S350" s="492"/>
      <c r="T350" s="493"/>
      <c r="U350" s="35"/>
      <c r="V350" s="35"/>
      <c r="W350" s="36" t="s">
        <v>71</v>
      </c>
      <c r="X350" s="487">
        <v>0</v>
      </c>
      <c r="Y350" s="488">
        <f>IFERROR(IF(X350="",0,CEILING((X350/$H350),1)*$H350),"")</f>
        <v>0</v>
      </c>
      <c r="Z350" s="37" t="str">
        <f>IFERROR(IF(Y350=0,"",ROUNDUP(Y350/H350,0)*0.00937),"")</f>
        <v/>
      </c>
      <c r="AA350" s="57"/>
      <c r="AB350" s="58"/>
      <c r="AC350" s="396" t="s">
        <v>561</v>
      </c>
      <c r="AG350" s="65"/>
      <c r="AJ350" s="69"/>
      <c r="AK350" s="69">
        <v>0</v>
      </c>
      <c r="BB350" s="397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563</v>
      </c>
      <c r="B351" s="55" t="s">
        <v>564</v>
      </c>
      <c r="C351" s="32">
        <v>4301031358</v>
      </c>
      <c r="D351" s="494">
        <v>4607091389531</v>
      </c>
      <c r="E351" s="495"/>
      <c r="F351" s="486">
        <v>0.35</v>
      </c>
      <c r="G351" s="33">
        <v>6</v>
      </c>
      <c r="H351" s="486">
        <v>2.1</v>
      </c>
      <c r="I351" s="486">
        <v>2.23</v>
      </c>
      <c r="J351" s="33">
        <v>234</v>
      </c>
      <c r="K351" s="33" t="s">
        <v>187</v>
      </c>
      <c r="L351" s="33"/>
      <c r="M351" s="34" t="s">
        <v>70</v>
      </c>
      <c r="N351" s="34"/>
      <c r="O351" s="33">
        <v>50</v>
      </c>
      <c r="P351" s="6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51" s="492"/>
      <c r="R351" s="492"/>
      <c r="S351" s="492"/>
      <c r="T351" s="493"/>
      <c r="U351" s="35"/>
      <c r="V351" s="35"/>
      <c r="W351" s="36" t="s">
        <v>71</v>
      </c>
      <c r="X351" s="487">
        <v>0</v>
      </c>
      <c r="Y351" s="488">
        <f>IFERROR(IF(X351="",0,CEILING((X351/$H351),1)*$H351),"")</f>
        <v>0</v>
      </c>
      <c r="Z351" s="37" t="str">
        <f>IFERROR(IF(Y351=0,"",ROUNDUP(Y351/H351,0)*0.00502),"")</f>
        <v/>
      </c>
      <c r="AA351" s="57"/>
      <c r="AB351" s="58"/>
      <c r="AC351" s="398" t="s">
        <v>565</v>
      </c>
      <c r="AG351" s="65"/>
      <c r="AJ351" s="69"/>
      <c r="AK351" s="69">
        <v>0</v>
      </c>
      <c r="BB351" s="39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27" customHeight="1" x14ac:dyDescent="0.25">
      <c r="A352" s="55" t="s">
        <v>566</v>
      </c>
      <c r="B352" s="55" t="s">
        <v>567</v>
      </c>
      <c r="C352" s="32">
        <v>4301031255</v>
      </c>
      <c r="D352" s="494">
        <v>4680115883185</v>
      </c>
      <c r="E352" s="495"/>
      <c r="F352" s="486">
        <v>0.28000000000000003</v>
      </c>
      <c r="G352" s="33">
        <v>6</v>
      </c>
      <c r="H352" s="486">
        <v>1.68</v>
      </c>
      <c r="I352" s="486">
        <v>1.81</v>
      </c>
      <c r="J352" s="33">
        <v>234</v>
      </c>
      <c r="K352" s="33" t="s">
        <v>187</v>
      </c>
      <c r="L352" s="33"/>
      <c r="M352" s="34" t="s">
        <v>70</v>
      </c>
      <c r="N352" s="34"/>
      <c r="O352" s="33">
        <v>45</v>
      </c>
      <c r="P352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352" s="492"/>
      <c r="R352" s="492"/>
      <c r="S352" s="492"/>
      <c r="T352" s="493"/>
      <c r="U352" s="35"/>
      <c r="V352" s="35"/>
      <c r="W352" s="36" t="s">
        <v>71</v>
      </c>
      <c r="X352" s="487">
        <v>0</v>
      </c>
      <c r="Y352" s="488">
        <f>IFERROR(IF(X352="",0,CEILING((X352/$H352),1)*$H352),"")</f>
        <v>0</v>
      </c>
      <c r="Z352" s="37" t="str">
        <f>IFERROR(IF(Y352=0,"",ROUNDUP(Y352/H352,0)*0.00502),"")</f>
        <v/>
      </c>
      <c r="AA352" s="57"/>
      <c r="AB352" s="58"/>
      <c r="AC352" s="400" t="s">
        <v>568</v>
      </c>
      <c r="AG352" s="65"/>
      <c r="AJ352" s="69"/>
      <c r="AK352" s="69">
        <v>0</v>
      </c>
      <c r="BB352" s="40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68" x14ac:dyDescent="0.2">
      <c r="A353" s="505"/>
      <c r="B353" s="501"/>
      <c r="C353" s="501"/>
      <c r="D353" s="501"/>
      <c r="E353" s="501"/>
      <c r="F353" s="501"/>
      <c r="G353" s="501"/>
      <c r="H353" s="501"/>
      <c r="I353" s="501"/>
      <c r="J353" s="501"/>
      <c r="K353" s="501"/>
      <c r="L353" s="501"/>
      <c r="M353" s="501"/>
      <c r="N353" s="501"/>
      <c r="O353" s="506"/>
      <c r="P353" s="497" t="s">
        <v>88</v>
      </c>
      <c r="Q353" s="498"/>
      <c r="R353" s="498"/>
      <c r="S353" s="498"/>
      <c r="T353" s="498"/>
      <c r="U353" s="498"/>
      <c r="V353" s="499"/>
      <c r="W353" s="38" t="s">
        <v>89</v>
      </c>
      <c r="X353" s="489">
        <f>IFERROR(X348/H348,"0")+IFERROR(X349/H349,"0")+IFERROR(X350/H350,"0")+IFERROR(X351/H351,"0")+IFERROR(X352/H352,"0")</f>
        <v>0</v>
      </c>
      <c r="Y353" s="489">
        <f>IFERROR(Y348/H348,"0")+IFERROR(Y349/H349,"0")+IFERROR(Y350/H350,"0")+IFERROR(Y351/H351,"0")+IFERROR(Y352/H352,"0")</f>
        <v>0</v>
      </c>
      <c r="Z353" s="489">
        <f>IFERROR(IF(Z348="",0,Z348),"0")+IFERROR(IF(Z349="",0,Z349),"0")+IFERROR(IF(Z350="",0,Z350),"0")+IFERROR(IF(Z351="",0,Z351),"0")+IFERROR(IF(Z352="",0,Z352),"0")</f>
        <v>0</v>
      </c>
      <c r="AA353" s="490"/>
      <c r="AB353" s="490"/>
      <c r="AC353" s="490"/>
    </row>
    <row r="354" spans="1:68" x14ac:dyDescent="0.2">
      <c r="A354" s="501"/>
      <c r="B354" s="501"/>
      <c r="C354" s="501"/>
      <c r="D354" s="501"/>
      <c r="E354" s="501"/>
      <c r="F354" s="501"/>
      <c r="G354" s="501"/>
      <c r="H354" s="501"/>
      <c r="I354" s="501"/>
      <c r="J354" s="501"/>
      <c r="K354" s="501"/>
      <c r="L354" s="501"/>
      <c r="M354" s="501"/>
      <c r="N354" s="501"/>
      <c r="O354" s="506"/>
      <c r="P354" s="497" t="s">
        <v>88</v>
      </c>
      <c r="Q354" s="498"/>
      <c r="R354" s="498"/>
      <c r="S354" s="498"/>
      <c r="T354" s="498"/>
      <c r="U354" s="498"/>
      <c r="V354" s="499"/>
      <c r="W354" s="38" t="s">
        <v>71</v>
      </c>
      <c r="X354" s="489">
        <f>IFERROR(SUM(X348:X352),"0")</f>
        <v>0</v>
      </c>
      <c r="Y354" s="489">
        <f>IFERROR(SUM(Y348:Y352),"0")</f>
        <v>0</v>
      </c>
      <c r="Z354" s="38"/>
      <c r="AA354" s="490"/>
      <c r="AB354" s="490"/>
      <c r="AC354" s="490"/>
    </row>
    <row r="355" spans="1:68" ht="14.25" customHeight="1" x14ac:dyDescent="0.25">
      <c r="A355" s="512" t="s">
        <v>66</v>
      </c>
      <c r="B355" s="501"/>
      <c r="C355" s="501"/>
      <c r="D355" s="501"/>
      <c r="E355" s="501"/>
      <c r="F355" s="501"/>
      <c r="G355" s="501"/>
      <c r="H355" s="501"/>
      <c r="I355" s="501"/>
      <c r="J355" s="501"/>
      <c r="K355" s="501"/>
      <c r="L355" s="501"/>
      <c r="M355" s="501"/>
      <c r="N355" s="501"/>
      <c r="O355" s="501"/>
      <c r="P355" s="501"/>
      <c r="Q355" s="501"/>
      <c r="R355" s="501"/>
      <c r="S355" s="501"/>
      <c r="T355" s="501"/>
      <c r="U355" s="501"/>
      <c r="V355" s="501"/>
      <c r="W355" s="501"/>
      <c r="X355" s="501"/>
      <c r="Y355" s="501"/>
      <c r="Z355" s="501"/>
      <c r="AA355" s="483"/>
      <c r="AB355" s="483"/>
      <c r="AC355" s="483"/>
    </row>
    <row r="356" spans="1:68" ht="27" customHeight="1" x14ac:dyDescent="0.25">
      <c r="A356" s="55" t="s">
        <v>569</v>
      </c>
      <c r="B356" s="55" t="s">
        <v>570</v>
      </c>
      <c r="C356" s="32">
        <v>4301051284</v>
      </c>
      <c r="D356" s="494">
        <v>4607091384352</v>
      </c>
      <c r="E356" s="495"/>
      <c r="F356" s="486">
        <v>0.6</v>
      </c>
      <c r="G356" s="33">
        <v>4</v>
      </c>
      <c r="H356" s="486">
        <v>2.4</v>
      </c>
      <c r="I356" s="486">
        <v>2.6459999999999999</v>
      </c>
      <c r="J356" s="33">
        <v>132</v>
      </c>
      <c r="K356" s="33" t="s">
        <v>110</v>
      </c>
      <c r="L356" s="33"/>
      <c r="M356" s="34" t="s">
        <v>102</v>
      </c>
      <c r="N356" s="34"/>
      <c r="O356" s="33">
        <v>45</v>
      </c>
      <c r="P356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56" s="492"/>
      <c r="R356" s="492"/>
      <c r="S356" s="492"/>
      <c r="T356" s="493"/>
      <c r="U356" s="35"/>
      <c r="V356" s="35"/>
      <c r="W356" s="36" t="s">
        <v>71</v>
      </c>
      <c r="X356" s="487">
        <v>60</v>
      </c>
      <c r="Y356" s="488">
        <f>IFERROR(IF(X356="",0,CEILING((X356/$H356),1)*$H356),"")</f>
        <v>60</v>
      </c>
      <c r="Z356" s="37">
        <f>IFERROR(IF(Y356=0,"",ROUNDUP(Y356/H356,0)*0.00902),"")</f>
        <v>0.22550000000000001</v>
      </c>
      <c r="AA356" s="57"/>
      <c r="AB356" s="58"/>
      <c r="AC356" s="402" t="s">
        <v>571</v>
      </c>
      <c r="AG356" s="65"/>
      <c r="AJ356" s="69"/>
      <c r="AK356" s="69">
        <v>0</v>
      </c>
      <c r="BB356" s="403" t="s">
        <v>1</v>
      </c>
      <c r="BM356" s="65">
        <f>IFERROR(X356*I356/H356,"0")</f>
        <v>66.150000000000006</v>
      </c>
      <c r="BN356" s="65">
        <f>IFERROR(Y356*I356/H356,"0")</f>
        <v>66.150000000000006</v>
      </c>
      <c r="BO356" s="65">
        <f>IFERROR(1/J356*(X356/H356),"0")</f>
        <v>0.18939393939393939</v>
      </c>
      <c r="BP356" s="65">
        <f>IFERROR(1/J356*(Y356/H356),"0")</f>
        <v>0.18939393939393939</v>
      </c>
    </row>
    <row r="357" spans="1:68" ht="27" customHeight="1" x14ac:dyDescent="0.25">
      <c r="A357" s="55" t="s">
        <v>572</v>
      </c>
      <c r="B357" s="55" t="s">
        <v>573</v>
      </c>
      <c r="C357" s="32">
        <v>4301051431</v>
      </c>
      <c r="D357" s="494">
        <v>4607091389654</v>
      </c>
      <c r="E357" s="495"/>
      <c r="F357" s="486">
        <v>0.33</v>
      </c>
      <c r="G357" s="33">
        <v>6</v>
      </c>
      <c r="H357" s="486">
        <v>1.98</v>
      </c>
      <c r="I357" s="486">
        <v>2.238</v>
      </c>
      <c r="J357" s="33">
        <v>182</v>
      </c>
      <c r="K357" s="33" t="s">
        <v>69</v>
      </c>
      <c r="L357" s="33"/>
      <c r="M357" s="34" t="s">
        <v>102</v>
      </c>
      <c r="N357" s="34"/>
      <c r="O357" s="33">
        <v>45</v>
      </c>
      <c r="P357" s="7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57" s="492"/>
      <c r="R357" s="492"/>
      <c r="S357" s="492"/>
      <c r="T357" s="493"/>
      <c r="U357" s="35"/>
      <c r="V357" s="35"/>
      <c r="W357" s="36" t="s">
        <v>71</v>
      </c>
      <c r="X357" s="487">
        <v>0</v>
      </c>
      <c r="Y357" s="488">
        <f>IFERROR(IF(X357="",0,CEILING((X357/$H357),1)*$H357),"")</f>
        <v>0</v>
      </c>
      <c r="Z357" s="37" t="str">
        <f>IFERROR(IF(Y357=0,"",ROUNDUP(Y357/H357,0)*0.00651),"")</f>
        <v/>
      </c>
      <c r="AA357" s="57"/>
      <c r="AB357" s="58"/>
      <c r="AC357" s="404" t="s">
        <v>574</v>
      </c>
      <c r="AG357" s="65"/>
      <c r="AJ357" s="69"/>
      <c r="AK357" s="69">
        <v>0</v>
      </c>
      <c r="BB357" s="405" t="s">
        <v>1</v>
      </c>
      <c r="BM357" s="65">
        <f>IFERROR(X357*I357/H357,"0")</f>
        <v>0</v>
      </c>
      <c r="BN357" s="65">
        <f>IFERROR(Y357*I357/H357,"0")</f>
        <v>0</v>
      </c>
      <c r="BO357" s="65">
        <f>IFERROR(1/J357*(X357/H357),"0")</f>
        <v>0</v>
      </c>
      <c r="BP357" s="65">
        <f>IFERROR(1/J357*(Y357/H357),"0")</f>
        <v>0</v>
      </c>
    </row>
    <row r="358" spans="1:68" x14ac:dyDescent="0.2">
      <c r="A358" s="505"/>
      <c r="B358" s="501"/>
      <c r="C358" s="501"/>
      <c r="D358" s="501"/>
      <c r="E358" s="501"/>
      <c r="F358" s="501"/>
      <c r="G358" s="501"/>
      <c r="H358" s="501"/>
      <c r="I358" s="501"/>
      <c r="J358" s="501"/>
      <c r="K358" s="501"/>
      <c r="L358" s="501"/>
      <c r="M358" s="501"/>
      <c r="N358" s="501"/>
      <c r="O358" s="506"/>
      <c r="P358" s="497" t="s">
        <v>88</v>
      </c>
      <c r="Q358" s="498"/>
      <c r="R358" s="498"/>
      <c r="S358" s="498"/>
      <c r="T358" s="498"/>
      <c r="U358" s="498"/>
      <c r="V358" s="499"/>
      <c r="W358" s="38" t="s">
        <v>89</v>
      </c>
      <c r="X358" s="489">
        <f>IFERROR(X356/H356,"0")+IFERROR(X357/H357,"0")</f>
        <v>25</v>
      </c>
      <c r="Y358" s="489">
        <f>IFERROR(Y356/H356,"0")+IFERROR(Y357/H357,"0")</f>
        <v>25</v>
      </c>
      <c r="Z358" s="489">
        <f>IFERROR(IF(Z356="",0,Z356),"0")+IFERROR(IF(Z357="",0,Z357),"0")</f>
        <v>0.22550000000000001</v>
      </c>
      <c r="AA358" s="490"/>
      <c r="AB358" s="490"/>
      <c r="AC358" s="490"/>
    </row>
    <row r="359" spans="1:68" x14ac:dyDescent="0.2">
      <c r="A359" s="501"/>
      <c r="B359" s="501"/>
      <c r="C359" s="501"/>
      <c r="D359" s="501"/>
      <c r="E359" s="501"/>
      <c r="F359" s="501"/>
      <c r="G359" s="501"/>
      <c r="H359" s="501"/>
      <c r="I359" s="501"/>
      <c r="J359" s="501"/>
      <c r="K359" s="501"/>
      <c r="L359" s="501"/>
      <c r="M359" s="501"/>
      <c r="N359" s="501"/>
      <c r="O359" s="506"/>
      <c r="P359" s="497" t="s">
        <v>88</v>
      </c>
      <c r="Q359" s="498"/>
      <c r="R359" s="498"/>
      <c r="S359" s="498"/>
      <c r="T359" s="498"/>
      <c r="U359" s="498"/>
      <c r="V359" s="499"/>
      <c r="W359" s="38" t="s">
        <v>71</v>
      </c>
      <c r="X359" s="489">
        <f>IFERROR(SUM(X356:X357),"0")</f>
        <v>60</v>
      </c>
      <c r="Y359" s="489">
        <f>IFERROR(SUM(Y356:Y357),"0")</f>
        <v>60</v>
      </c>
      <c r="Z359" s="38"/>
      <c r="AA359" s="490"/>
      <c r="AB359" s="490"/>
      <c r="AC359" s="490"/>
    </row>
    <row r="360" spans="1:68" ht="16.5" customHeight="1" x14ac:dyDescent="0.25">
      <c r="A360" s="500" t="s">
        <v>575</v>
      </c>
      <c r="B360" s="501"/>
      <c r="C360" s="501"/>
      <c r="D360" s="501"/>
      <c r="E360" s="501"/>
      <c r="F360" s="501"/>
      <c r="G360" s="501"/>
      <c r="H360" s="501"/>
      <c r="I360" s="501"/>
      <c r="J360" s="501"/>
      <c r="K360" s="501"/>
      <c r="L360" s="501"/>
      <c r="M360" s="501"/>
      <c r="N360" s="501"/>
      <c r="O360" s="501"/>
      <c r="P360" s="501"/>
      <c r="Q360" s="501"/>
      <c r="R360" s="501"/>
      <c r="S360" s="501"/>
      <c r="T360" s="501"/>
      <c r="U360" s="501"/>
      <c r="V360" s="501"/>
      <c r="W360" s="501"/>
      <c r="X360" s="501"/>
      <c r="Y360" s="501"/>
      <c r="Z360" s="501"/>
      <c r="AA360" s="482"/>
      <c r="AB360" s="482"/>
      <c r="AC360" s="482"/>
    </row>
    <row r="361" spans="1:68" ht="14.25" customHeight="1" x14ac:dyDescent="0.25">
      <c r="A361" s="512" t="s">
        <v>137</v>
      </c>
      <c r="B361" s="501"/>
      <c r="C361" s="501"/>
      <c r="D361" s="501"/>
      <c r="E361" s="501"/>
      <c r="F361" s="501"/>
      <c r="G361" s="501"/>
      <c r="H361" s="501"/>
      <c r="I361" s="501"/>
      <c r="J361" s="501"/>
      <c r="K361" s="501"/>
      <c r="L361" s="501"/>
      <c r="M361" s="501"/>
      <c r="N361" s="501"/>
      <c r="O361" s="501"/>
      <c r="P361" s="501"/>
      <c r="Q361" s="501"/>
      <c r="R361" s="501"/>
      <c r="S361" s="501"/>
      <c r="T361" s="501"/>
      <c r="U361" s="501"/>
      <c r="V361" s="501"/>
      <c r="W361" s="501"/>
      <c r="X361" s="501"/>
      <c r="Y361" s="501"/>
      <c r="Z361" s="501"/>
      <c r="AA361" s="483"/>
      <c r="AB361" s="483"/>
      <c r="AC361" s="483"/>
    </row>
    <row r="362" spans="1:68" ht="27" customHeight="1" x14ac:dyDescent="0.25">
      <c r="A362" s="55" t="s">
        <v>576</v>
      </c>
      <c r="B362" s="55" t="s">
        <v>577</v>
      </c>
      <c r="C362" s="32">
        <v>4301020315</v>
      </c>
      <c r="D362" s="494">
        <v>4607091389364</v>
      </c>
      <c r="E362" s="495"/>
      <c r="F362" s="486">
        <v>0.42</v>
      </c>
      <c r="G362" s="33">
        <v>6</v>
      </c>
      <c r="H362" s="486">
        <v>2.52</v>
      </c>
      <c r="I362" s="486">
        <v>2.73</v>
      </c>
      <c r="J362" s="33">
        <v>182</v>
      </c>
      <c r="K362" s="33" t="s">
        <v>69</v>
      </c>
      <c r="L362" s="33"/>
      <c r="M362" s="34" t="s">
        <v>70</v>
      </c>
      <c r="N362" s="34"/>
      <c r="O362" s="33">
        <v>40</v>
      </c>
      <c r="P362" s="7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62" s="492"/>
      <c r="R362" s="492"/>
      <c r="S362" s="492"/>
      <c r="T362" s="493"/>
      <c r="U362" s="35"/>
      <c r="V362" s="35"/>
      <c r="W362" s="36" t="s">
        <v>71</v>
      </c>
      <c r="X362" s="487">
        <v>0</v>
      </c>
      <c r="Y362" s="488">
        <f>IFERROR(IF(X362="",0,CEILING((X362/$H362),1)*$H362),"")</f>
        <v>0</v>
      </c>
      <c r="Z362" s="37" t="str">
        <f>IFERROR(IF(Y362=0,"",ROUNDUP(Y362/H362,0)*0.00651),"")</f>
        <v/>
      </c>
      <c r="AA362" s="57"/>
      <c r="AB362" s="58"/>
      <c r="AC362" s="406" t="s">
        <v>578</v>
      </c>
      <c r="AG362" s="65"/>
      <c r="AJ362" s="69"/>
      <c r="AK362" s="69">
        <v>0</v>
      </c>
      <c r="BB362" s="407" t="s">
        <v>1</v>
      </c>
      <c r="BM362" s="65">
        <f>IFERROR(X362*I362/H362,"0")</f>
        <v>0</v>
      </c>
      <c r="BN362" s="65">
        <f>IFERROR(Y362*I362/H362,"0")</f>
        <v>0</v>
      </c>
      <c r="BO362" s="65">
        <f>IFERROR(1/J362*(X362/H362),"0")</f>
        <v>0</v>
      </c>
      <c r="BP362" s="65">
        <f>IFERROR(1/J362*(Y362/H362),"0")</f>
        <v>0</v>
      </c>
    </row>
    <row r="363" spans="1:68" x14ac:dyDescent="0.2">
      <c r="A363" s="505"/>
      <c r="B363" s="501"/>
      <c r="C363" s="501"/>
      <c r="D363" s="501"/>
      <c r="E363" s="501"/>
      <c r="F363" s="501"/>
      <c r="G363" s="501"/>
      <c r="H363" s="501"/>
      <c r="I363" s="501"/>
      <c r="J363" s="501"/>
      <c r="K363" s="501"/>
      <c r="L363" s="501"/>
      <c r="M363" s="501"/>
      <c r="N363" s="501"/>
      <c r="O363" s="506"/>
      <c r="P363" s="497" t="s">
        <v>88</v>
      </c>
      <c r="Q363" s="498"/>
      <c r="R363" s="498"/>
      <c r="S363" s="498"/>
      <c r="T363" s="498"/>
      <c r="U363" s="498"/>
      <c r="V363" s="499"/>
      <c r="W363" s="38" t="s">
        <v>89</v>
      </c>
      <c r="X363" s="489">
        <f>IFERROR(X362/H362,"0")</f>
        <v>0</v>
      </c>
      <c r="Y363" s="489">
        <f>IFERROR(Y362/H362,"0")</f>
        <v>0</v>
      </c>
      <c r="Z363" s="489">
        <f>IFERROR(IF(Z362="",0,Z362),"0")</f>
        <v>0</v>
      </c>
      <c r="AA363" s="490"/>
      <c r="AB363" s="490"/>
      <c r="AC363" s="490"/>
    </row>
    <row r="364" spans="1:68" x14ac:dyDescent="0.2">
      <c r="A364" s="501"/>
      <c r="B364" s="501"/>
      <c r="C364" s="501"/>
      <c r="D364" s="501"/>
      <c r="E364" s="501"/>
      <c r="F364" s="501"/>
      <c r="G364" s="501"/>
      <c r="H364" s="501"/>
      <c r="I364" s="501"/>
      <c r="J364" s="501"/>
      <c r="K364" s="501"/>
      <c r="L364" s="501"/>
      <c r="M364" s="501"/>
      <c r="N364" s="501"/>
      <c r="O364" s="506"/>
      <c r="P364" s="497" t="s">
        <v>88</v>
      </c>
      <c r="Q364" s="498"/>
      <c r="R364" s="498"/>
      <c r="S364" s="498"/>
      <c r="T364" s="498"/>
      <c r="U364" s="498"/>
      <c r="V364" s="499"/>
      <c r="W364" s="38" t="s">
        <v>71</v>
      </c>
      <c r="X364" s="489">
        <f>IFERROR(SUM(X362:X362),"0")</f>
        <v>0</v>
      </c>
      <c r="Y364" s="489">
        <f>IFERROR(SUM(Y362:Y362),"0")</f>
        <v>0</v>
      </c>
      <c r="Z364" s="38"/>
      <c r="AA364" s="490"/>
      <c r="AB364" s="490"/>
      <c r="AC364" s="490"/>
    </row>
    <row r="365" spans="1:68" ht="14.25" customHeight="1" x14ac:dyDescent="0.25">
      <c r="A365" s="512" t="s">
        <v>213</v>
      </c>
      <c r="B365" s="501"/>
      <c r="C365" s="501"/>
      <c r="D365" s="501"/>
      <c r="E365" s="501"/>
      <c r="F365" s="501"/>
      <c r="G365" s="501"/>
      <c r="H365" s="501"/>
      <c r="I365" s="501"/>
      <c r="J365" s="501"/>
      <c r="K365" s="501"/>
      <c r="L365" s="501"/>
      <c r="M365" s="501"/>
      <c r="N365" s="501"/>
      <c r="O365" s="501"/>
      <c r="P365" s="501"/>
      <c r="Q365" s="501"/>
      <c r="R365" s="501"/>
      <c r="S365" s="501"/>
      <c r="T365" s="501"/>
      <c r="U365" s="501"/>
      <c r="V365" s="501"/>
      <c r="W365" s="501"/>
      <c r="X365" s="501"/>
      <c r="Y365" s="501"/>
      <c r="Z365" s="501"/>
      <c r="AA365" s="483"/>
      <c r="AB365" s="483"/>
      <c r="AC365" s="483"/>
    </row>
    <row r="366" spans="1:68" ht="27" customHeight="1" x14ac:dyDescent="0.25">
      <c r="A366" s="55" t="s">
        <v>579</v>
      </c>
      <c r="B366" s="55" t="s">
        <v>580</v>
      </c>
      <c r="C366" s="32">
        <v>4301031403</v>
      </c>
      <c r="D366" s="494">
        <v>4680115886094</v>
      </c>
      <c r="E366" s="495"/>
      <c r="F366" s="486">
        <v>0.9</v>
      </c>
      <c r="G366" s="33">
        <v>6</v>
      </c>
      <c r="H366" s="486">
        <v>5.4</v>
      </c>
      <c r="I366" s="486">
        <v>5.61</v>
      </c>
      <c r="J366" s="33">
        <v>132</v>
      </c>
      <c r="K366" s="33" t="s">
        <v>110</v>
      </c>
      <c r="L366" s="33"/>
      <c r="M366" s="34" t="s">
        <v>106</v>
      </c>
      <c r="N366" s="34"/>
      <c r="O366" s="33">
        <v>50</v>
      </c>
      <c r="P366" s="529" t="s">
        <v>581</v>
      </c>
      <c r="Q366" s="492"/>
      <c r="R366" s="492"/>
      <c r="S366" s="492"/>
      <c r="T366" s="493"/>
      <c r="U366" s="35"/>
      <c r="V366" s="35"/>
      <c r="W366" s="36" t="s">
        <v>71</v>
      </c>
      <c r="X366" s="487">
        <v>0</v>
      </c>
      <c r="Y366" s="488">
        <f>IFERROR(IF(X366="",0,CEILING((X366/$H366),1)*$H366),"")</f>
        <v>0</v>
      </c>
      <c r="Z366" s="37" t="str">
        <f>IFERROR(IF(Y366=0,"",ROUNDUP(Y366/H366,0)*0.00902),"")</f>
        <v/>
      </c>
      <c r="AA366" s="57"/>
      <c r="AB366" s="58"/>
      <c r="AC366" s="408" t="s">
        <v>582</v>
      </c>
      <c r="AG366" s="65"/>
      <c r="AJ366" s="69"/>
      <c r="AK366" s="69">
        <v>0</v>
      </c>
      <c r="BB366" s="409" t="s">
        <v>1</v>
      </c>
      <c r="BM366" s="65">
        <f>IFERROR(X366*I366/H366,"0")</f>
        <v>0</v>
      </c>
      <c r="BN366" s="65">
        <f>IFERROR(Y366*I366/H366,"0")</f>
        <v>0</v>
      </c>
      <c r="BO366" s="65">
        <f>IFERROR(1/J366*(X366/H366),"0")</f>
        <v>0</v>
      </c>
      <c r="BP366" s="65">
        <f>IFERROR(1/J366*(Y366/H366),"0")</f>
        <v>0</v>
      </c>
    </row>
    <row r="367" spans="1:68" x14ac:dyDescent="0.2">
      <c r="A367" s="505"/>
      <c r="B367" s="501"/>
      <c r="C367" s="501"/>
      <c r="D367" s="501"/>
      <c r="E367" s="501"/>
      <c r="F367" s="501"/>
      <c r="G367" s="501"/>
      <c r="H367" s="501"/>
      <c r="I367" s="501"/>
      <c r="J367" s="501"/>
      <c r="K367" s="501"/>
      <c r="L367" s="501"/>
      <c r="M367" s="501"/>
      <c r="N367" s="501"/>
      <c r="O367" s="506"/>
      <c r="P367" s="497" t="s">
        <v>88</v>
      </c>
      <c r="Q367" s="498"/>
      <c r="R367" s="498"/>
      <c r="S367" s="498"/>
      <c r="T367" s="498"/>
      <c r="U367" s="498"/>
      <c r="V367" s="499"/>
      <c r="W367" s="38" t="s">
        <v>89</v>
      </c>
      <c r="X367" s="489">
        <f>IFERROR(X366/H366,"0")</f>
        <v>0</v>
      </c>
      <c r="Y367" s="489">
        <f>IFERROR(Y366/H366,"0")</f>
        <v>0</v>
      </c>
      <c r="Z367" s="489">
        <f>IFERROR(IF(Z366="",0,Z366),"0")</f>
        <v>0</v>
      </c>
      <c r="AA367" s="490"/>
      <c r="AB367" s="490"/>
      <c r="AC367" s="490"/>
    </row>
    <row r="368" spans="1:68" x14ac:dyDescent="0.2">
      <c r="A368" s="501"/>
      <c r="B368" s="501"/>
      <c r="C368" s="501"/>
      <c r="D368" s="501"/>
      <c r="E368" s="501"/>
      <c r="F368" s="501"/>
      <c r="G368" s="501"/>
      <c r="H368" s="501"/>
      <c r="I368" s="501"/>
      <c r="J368" s="501"/>
      <c r="K368" s="501"/>
      <c r="L368" s="501"/>
      <c r="M368" s="501"/>
      <c r="N368" s="501"/>
      <c r="O368" s="506"/>
      <c r="P368" s="497" t="s">
        <v>88</v>
      </c>
      <c r="Q368" s="498"/>
      <c r="R368" s="498"/>
      <c r="S368" s="498"/>
      <c r="T368" s="498"/>
      <c r="U368" s="498"/>
      <c r="V368" s="499"/>
      <c r="W368" s="38" t="s">
        <v>71</v>
      </c>
      <c r="X368" s="489">
        <f>IFERROR(SUM(X366:X366),"0")</f>
        <v>0</v>
      </c>
      <c r="Y368" s="489">
        <f>IFERROR(SUM(Y366:Y366),"0")</f>
        <v>0</v>
      </c>
      <c r="Z368" s="38"/>
      <c r="AA368" s="490"/>
      <c r="AB368" s="490"/>
      <c r="AC368" s="490"/>
    </row>
    <row r="369" spans="1:68" ht="27.75" customHeight="1" x14ac:dyDescent="0.2">
      <c r="A369" s="544" t="s">
        <v>583</v>
      </c>
      <c r="B369" s="545"/>
      <c r="C369" s="545"/>
      <c r="D369" s="545"/>
      <c r="E369" s="545"/>
      <c r="F369" s="545"/>
      <c r="G369" s="545"/>
      <c r="H369" s="545"/>
      <c r="I369" s="545"/>
      <c r="J369" s="545"/>
      <c r="K369" s="545"/>
      <c r="L369" s="545"/>
      <c r="M369" s="545"/>
      <c r="N369" s="545"/>
      <c r="O369" s="545"/>
      <c r="P369" s="545"/>
      <c r="Q369" s="545"/>
      <c r="R369" s="545"/>
      <c r="S369" s="545"/>
      <c r="T369" s="545"/>
      <c r="U369" s="545"/>
      <c r="V369" s="545"/>
      <c r="W369" s="545"/>
      <c r="X369" s="545"/>
      <c r="Y369" s="545"/>
      <c r="Z369" s="545"/>
      <c r="AA369" s="49"/>
      <c r="AB369" s="49"/>
      <c r="AC369" s="49"/>
    </row>
    <row r="370" spans="1:68" ht="16.5" customHeight="1" x14ac:dyDescent="0.25">
      <c r="A370" s="500" t="s">
        <v>583</v>
      </c>
      <c r="B370" s="501"/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  <c r="P370" s="501"/>
      <c r="Q370" s="501"/>
      <c r="R370" s="501"/>
      <c r="S370" s="501"/>
      <c r="T370" s="501"/>
      <c r="U370" s="501"/>
      <c r="V370" s="501"/>
      <c r="W370" s="501"/>
      <c r="X370" s="501"/>
      <c r="Y370" s="501"/>
      <c r="Z370" s="501"/>
      <c r="AA370" s="482"/>
      <c r="AB370" s="482"/>
      <c r="AC370" s="482"/>
    </row>
    <row r="371" spans="1:68" ht="14.25" customHeight="1" x14ac:dyDescent="0.25">
      <c r="A371" s="512" t="s">
        <v>98</v>
      </c>
      <c r="B371" s="501"/>
      <c r="C371" s="501"/>
      <c r="D371" s="501"/>
      <c r="E371" s="501"/>
      <c r="F371" s="501"/>
      <c r="G371" s="501"/>
      <c r="H371" s="501"/>
      <c r="I371" s="501"/>
      <c r="J371" s="501"/>
      <c r="K371" s="501"/>
      <c r="L371" s="501"/>
      <c r="M371" s="501"/>
      <c r="N371" s="501"/>
      <c r="O371" s="501"/>
      <c r="P371" s="501"/>
      <c r="Q371" s="501"/>
      <c r="R371" s="501"/>
      <c r="S371" s="501"/>
      <c r="T371" s="501"/>
      <c r="U371" s="501"/>
      <c r="V371" s="501"/>
      <c r="W371" s="501"/>
      <c r="X371" s="501"/>
      <c r="Y371" s="501"/>
      <c r="Z371" s="501"/>
      <c r="AA371" s="483"/>
      <c r="AB371" s="483"/>
      <c r="AC371" s="483"/>
    </row>
    <row r="372" spans="1:68" ht="27" customHeight="1" x14ac:dyDescent="0.25">
      <c r="A372" s="55" t="s">
        <v>584</v>
      </c>
      <c r="B372" s="55" t="s">
        <v>585</v>
      </c>
      <c r="C372" s="32">
        <v>4301011795</v>
      </c>
      <c r="D372" s="494">
        <v>4607091389067</v>
      </c>
      <c r="E372" s="495"/>
      <c r="F372" s="486">
        <v>0.88</v>
      </c>
      <c r="G372" s="33">
        <v>6</v>
      </c>
      <c r="H372" s="486">
        <v>5.28</v>
      </c>
      <c r="I372" s="486">
        <v>5.64</v>
      </c>
      <c r="J372" s="33">
        <v>104</v>
      </c>
      <c r="K372" s="33" t="s">
        <v>101</v>
      </c>
      <c r="L372" s="33"/>
      <c r="M372" s="34" t="s">
        <v>106</v>
      </c>
      <c r="N372" s="34"/>
      <c r="O372" s="33">
        <v>60</v>
      </c>
      <c r="P372" s="6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72" s="492"/>
      <c r="R372" s="492"/>
      <c r="S372" s="492"/>
      <c r="T372" s="493"/>
      <c r="U372" s="35"/>
      <c r="V372" s="35"/>
      <c r="W372" s="36" t="s">
        <v>71</v>
      </c>
      <c r="X372" s="487">
        <v>0</v>
      </c>
      <c r="Y372" s="488">
        <f t="shared" ref="Y372:Y384" si="45">IFERROR(IF(X372="",0,CEILING((X372/$H372),1)*$H372),"")</f>
        <v>0</v>
      </c>
      <c r="Z372" s="37" t="str">
        <f>IFERROR(IF(Y372=0,"",ROUNDUP(Y372/H372,0)*0.01196),"")</f>
        <v/>
      </c>
      <c r="AA372" s="57"/>
      <c r="AB372" s="58"/>
      <c r="AC372" s="410" t="s">
        <v>103</v>
      </c>
      <c r="AG372" s="65"/>
      <c r="AJ372" s="69"/>
      <c r="AK372" s="69">
        <v>0</v>
      </c>
      <c r="BB372" s="411" t="s">
        <v>1</v>
      </c>
      <c r="BM372" s="65">
        <f t="shared" ref="BM372:BM384" si="46">IFERROR(X372*I372/H372,"0")</f>
        <v>0</v>
      </c>
      <c r="BN372" s="65">
        <f t="shared" ref="BN372:BN384" si="47">IFERROR(Y372*I372/H372,"0")</f>
        <v>0</v>
      </c>
      <c r="BO372" s="65">
        <f t="shared" ref="BO372:BO384" si="48">IFERROR(1/J372*(X372/H372),"0")</f>
        <v>0</v>
      </c>
      <c r="BP372" s="65">
        <f t="shared" ref="BP372:BP384" si="49">IFERROR(1/J372*(Y372/H372),"0")</f>
        <v>0</v>
      </c>
    </row>
    <row r="373" spans="1:68" ht="16.5" customHeight="1" x14ac:dyDescent="0.25">
      <c r="A373" s="55" t="s">
        <v>586</v>
      </c>
      <c r="B373" s="55" t="s">
        <v>587</v>
      </c>
      <c r="C373" s="32">
        <v>4301011774</v>
      </c>
      <c r="D373" s="494">
        <v>4680115884502</v>
      </c>
      <c r="E373" s="495"/>
      <c r="F373" s="486">
        <v>0.88</v>
      </c>
      <c r="G373" s="33">
        <v>6</v>
      </c>
      <c r="H373" s="486">
        <v>5.28</v>
      </c>
      <c r="I373" s="486">
        <v>5.64</v>
      </c>
      <c r="J373" s="33">
        <v>104</v>
      </c>
      <c r="K373" s="33" t="s">
        <v>101</v>
      </c>
      <c r="L373" s="33"/>
      <c r="M373" s="34" t="s">
        <v>106</v>
      </c>
      <c r="N373" s="34"/>
      <c r="O373" s="33">
        <v>60</v>
      </c>
      <c r="P373" s="7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73" s="492"/>
      <c r="R373" s="492"/>
      <c r="S373" s="492"/>
      <c r="T373" s="493"/>
      <c r="U373" s="35"/>
      <c r="V373" s="35"/>
      <c r="W373" s="36" t="s">
        <v>71</v>
      </c>
      <c r="X373" s="487">
        <v>0</v>
      </c>
      <c r="Y373" s="488">
        <f t="shared" si="45"/>
        <v>0</v>
      </c>
      <c r="Z373" s="37" t="str">
        <f>IFERROR(IF(Y373=0,"",ROUNDUP(Y373/H373,0)*0.01196),"")</f>
        <v/>
      </c>
      <c r="AA373" s="57"/>
      <c r="AB373" s="58"/>
      <c r="AC373" s="412" t="s">
        <v>588</v>
      </c>
      <c r="AG373" s="65"/>
      <c r="AJ373" s="69"/>
      <c r="AK373" s="69">
        <v>0</v>
      </c>
      <c r="BB373" s="413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ht="27" customHeight="1" x14ac:dyDescent="0.25">
      <c r="A374" s="55" t="s">
        <v>589</v>
      </c>
      <c r="B374" s="55" t="s">
        <v>590</v>
      </c>
      <c r="C374" s="32">
        <v>4301011771</v>
      </c>
      <c r="D374" s="494">
        <v>4607091389104</v>
      </c>
      <c r="E374" s="495"/>
      <c r="F374" s="486">
        <v>0.88</v>
      </c>
      <c r="G374" s="33">
        <v>6</v>
      </c>
      <c r="H374" s="486">
        <v>5.28</v>
      </c>
      <c r="I374" s="486">
        <v>5.64</v>
      </c>
      <c r="J374" s="33">
        <v>104</v>
      </c>
      <c r="K374" s="33" t="s">
        <v>101</v>
      </c>
      <c r="L374" s="33"/>
      <c r="M374" s="34" t="s">
        <v>106</v>
      </c>
      <c r="N374" s="34"/>
      <c r="O374" s="33">
        <v>60</v>
      </c>
      <c r="P374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74" s="492"/>
      <c r="R374" s="492"/>
      <c r="S374" s="492"/>
      <c r="T374" s="493"/>
      <c r="U374" s="35"/>
      <c r="V374" s="35"/>
      <c r="W374" s="36" t="s">
        <v>71</v>
      </c>
      <c r="X374" s="487">
        <v>0</v>
      </c>
      <c r="Y374" s="488">
        <f t="shared" si="45"/>
        <v>0</v>
      </c>
      <c r="Z374" s="37" t="str">
        <f>IFERROR(IF(Y374=0,"",ROUNDUP(Y374/H374,0)*0.01196),"")</f>
        <v/>
      </c>
      <c r="AA374" s="57"/>
      <c r="AB374" s="58"/>
      <c r="AC374" s="414" t="s">
        <v>591</v>
      </c>
      <c r="AG374" s="65"/>
      <c r="AJ374" s="69"/>
      <c r="AK374" s="69">
        <v>0</v>
      </c>
      <c r="BB374" s="415" t="s">
        <v>1</v>
      </c>
      <c r="BM374" s="65">
        <f t="shared" si="46"/>
        <v>0</v>
      </c>
      <c r="BN374" s="65">
        <f t="shared" si="47"/>
        <v>0</v>
      </c>
      <c r="BO374" s="65">
        <f t="shared" si="48"/>
        <v>0</v>
      </c>
      <c r="BP374" s="65">
        <f t="shared" si="49"/>
        <v>0</v>
      </c>
    </row>
    <row r="375" spans="1:68" ht="16.5" customHeight="1" x14ac:dyDescent="0.25">
      <c r="A375" s="55" t="s">
        <v>592</v>
      </c>
      <c r="B375" s="55" t="s">
        <v>593</v>
      </c>
      <c r="C375" s="32">
        <v>4301011799</v>
      </c>
      <c r="D375" s="494">
        <v>4680115884519</v>
      </c>
      <c r="E375" s="495"/>
      <c r="F375" s="486">
        <v>0.88</v>
      </c>
      <c r="G375" s="33">
        <v>6</v>
      </c>
      <c r="H375" s="486">
        <v>5.28</v>
      </c>
      <c r="I375" s="486">
        <v>5.64</v>
      </c>
      <c r="J375" s="33">
        <v>104</v>
      </c>
      <c r="K375" s="33" t="s">
        <v>101</v>
      </c>
      <c r="L375" s="33"/>
      <c r="M375" s="34" t="s">
        <v>102</v>
      </c>
      <c r="N375" s="34"/>
      <c r="O375" s="33">
        <v>60</v>
      </c>
      <c r="P375" s="6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75" s="492"/>
      <c r="R375" s="492"/>
      <c r="S375" s="492"/>
      <c r="T375" s="493"/>
      <c r="U375" s="35"/>
      <c r="V375" s="35"/>
      <c r="W375" s="36" t="s">
        <v>71</v>
      </c>
      <c r="X375" s="487">
        <v>0</v>
      </c>
      <c r="Y375" s="488">
        <f t="shared" si="45"/>
        <v>0</v>
      </c>
      <c r="Z375" s="37" t="str">
        <f>IFERROR(IF(Y375=0,"",ROUNDUP(Y375/H375,0)*0.01196),"")</f>
        <v/>
      </c>
      <c r="AA375" s="57"/>
      <c r="AB375" s="58"/>
      <c r="AC375" s="416" t="s">
        <v>594</v>
      </c>
      <c r="AG375" s="65"/>
      <c r="AJ375" s="69"/>
      <c r="AK375" s="69">
        <v>0</v>
      </c>
      <c r="BB375" s="417" t="s">
        <v>1</v>
      </c>
      <c r="BM375" s="65">
        <f t="shared" si="46"/>
        <v>0</v>
      </c>
      <c r="BN375" s="65">
        <f t="shared" si="47"/>
        <v>0</v>
      </c>
      <c r="BO375" s="65">
        <f t="shared" si="48"/>
        <v>0</v>
      </c>
      <c r="BP375" s="65">
        <f t="shared" si="49"/>
        <v>0</v>
      </c>
    </row>
    <row r="376" spans="1:68" ht="27" customHeight="1" x14ac:dyDescent="0.25">
      <c r="A376" s="55" t="s">
        <v>595</v>
      </c>
      <c r="B376" s="55" t="s">
        <v>596</v>
      </c>
      <c r="C376" s="32">
        <v>4301011376</v>
      </c>
      <c r="D376" s="494">
        <v>4680115885226</v>
      </c>
      <c r="E376" s="495"/>
      <c r="F376" s="486">
        <v>0.88</v>
      </c>
      <c r="G376" s="33">
        <v>6</v>
      </c>
      <c r="H376" s="486">
        <v>5.28</v>
      </c>
      <c r="I376" s="486">
        <v>5.64</v>
      </c>
      <c r="J376" s="33">
        <v>104</v>
      </c>
      <c r="K376" s="33" t="s">
        <v>101</v>
      </c>
      <c r="L376" s="33"/>
      <c r="M376" s="34" t="s">
        <v>102</v>
      </c>
      <c r="N376" s="34"/>
      <c r="O376" s="33">
        <v>60</v>
      </c>
      <c r="P376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76" s="492"/>
      <c r="R376" s="492"/>
      <c r="S376" s="492"/>
      <c r="T376" s="493"/>
      <c r="U376" s="35"/>
      <c r="V376" s="35"/>
      <c r="W376" s="36" t="s">
        <v>71</v>
      </c>
      <c r="X376" s="487">
        <v>300</v>
      </c>
      <c r="Y376" s="488">
        <f t="shared" si="45"/>
        <v>300.96000000000004</v>
      </c>
      <c r="Z376" s="37">
        <f>IFERROR(IF(Y376=0,"",ROUNDUP(Y376/H376,0)*0.01196),"")</f>
        <v>0.68171999999999999</v>
      </c>
      <c r="AA376" s="57"/>
      <c r="AB376" s="58"/>
      <c r="AC376" s="418" t="s">
        <v>597</v>
      </c>
      <c r="AG376" s="65"/>
      <c r="AJ376" s="69"/>
      <c r="AK376" s="69">
        <v>0</v>
      </c>
      <c r="BB376" s="419" t="s">
        <v>1</v>
      </c>
      <c r="BM376" s="65">
        <f t="shared" si="46"/>
        <v>320.45454545454544</v>
      </c>
      <c r="BN376" s="65">
        <f t="shared" si="47"/>
        <v>321.48</v>
      </c>
      <c r="BO376" s="65">
        <f t="shared" si="48"/>
        <v>0.54632867132867136</v>
      </c>
      <c r="BP376" s="65">
        <f t="shared" si="49"/>
        <v>0.54807692307692313</v>
      </c>
    </row>
    <row r="377" spans="1:68" ht="27" customHeight="1" x14ac:dyDescent="0.25">
      <c r="A377" s="55" t="s">
        <v>598</v>
      </c>
      <c r="B377" s="55" t="s">
        <v>599</v>
      </c>
      <c r="C377" s="32">
        <v>4301011778</v>
      </c>
      <c r="D377" s="494">
        <v>4680115880603</v>
      </c>
      <c r="E377" s="495"/>
      <c r="F377" s="486">
        <v>0.6</v>
      </c>
      <c r="G377" s="33">
        <v>6</v>
      </c>
      <c r="H377" s="486">
        <v>3.6</v>
      </c>
      <c r="I377" s="486">
        <v>3.81</v>
      </c>
      <c r="J377" s="33">
        <v>132</v>
      </c>
      <c r="K377" s="33" t="s">
        <v>110</v>
      </c>
      <c r="L377" s="33"/>
      <c r="M377" s="34" t="s">
        <v>106</v>
      </c>
      <c r="N377" s="34"/>
      <c r="O377" s="33">
        <v>60</v>
      </c>
      <c r="P377" s="6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77" s="492"/>
      <c r="R377" s="492"/>
      <c r="S377" s="492"/>
      <c r="T377" s="493"/>
      <c r="U377" s="35"/>
      <c r="V377" s="35"/>
      <c r="W377" s="36" t="s">
        <v>71</v>
      </c>
      <c r="X377" s="487">
        <v>0</v>
      </c>
      <c r="Y377" s="488">
        <f t="shared" si="45"/>
        <v>0</v>
      </c>
      <c r="Z377" s="37" t="str">
        <f>IFERROR(IF(Y377=0,"",ROUNDUP(Y377/H377,0)*0.00902),"")</f>
        <v/>
      </c>
      <c r="AA377" s="57"/>
      <c r="AB377" s="58"/>
      <c r="AC377" s="420" t="s">
        <v>103</v>
      </c>
      <c r="AG377" s="65"/>
      <c r="AJ377" s="69"/>
      <c r="AK377" s="69">
        <v>0</v>
      </c>
      <c r="BB377" s="421" t="s">
        <v>1</v>
      </c>
      <c r="BM377" s="65">
        <f t="shared" si="46"/>
        <v>0</v>
      </c>
      <c r="BN377" s="65">
        <f t="shared" si="47"/>
        <v>0</v>
      </c>
      <c r="BO377" s="65">
        <f t="shared" si="48"/>
        <v>0</v>
      </c>
      <c r="BP377" s="65">
        <f t="shared" si="49"/>
        <v>0</v>
      </c>
    </row>
    <row r="378" spans="1:68" ht="27" customHeight="1" x14ac:dyDescent="0.25">
      <c r="A378" s="55" t="s">
        <v>598</v>
      </c>
      <c r="B378" s="55" t="s">
        <v>600</v>
      </c>
      <c r="C378" s="32">
        <v>4301012035</v>
      </c>
      <c r="D378" s="494">
        <v>4680115880603</v>
      </c>
      <c r="E378" s="495"/>
      <c r="F378" s="486">
        <v>0.6</v>
      </c>
      <c r="G378" s="33">
        <v>8</v>
      </c>
      <c r="H378" s="486">
        <v>4.8</v>
      </c>
      <c r="I378" s="486">
        <v>6.96</v>
      </c>
      <c r="J378" s="33">
        <v>120</v>
      </c>
      <c r="K378" s="33" t="s">
        <v>110</v>
      </c>
      <c r="L378" s="33"/>
      <c r="M378" s="34" t="s">
        <v>106</v>
      </c>
      <c r="N378" s="34"/>
      <c r="O378" s="33">
        <v>60</v>
      </c>
      <c r="P378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78" s="492"/>
      <c r="R378" s="492"/>
      <c r="S378" s="492"/>
      <c r="T378" s="493"/>
      <c r="U378" s="35"/>
      <c r="V378" s="35"/>
      <c r="W378" s="36" t="s">
        <v>71</v>
      </c>
      <c r="X378" s="487">
        <v>0</v>
      </c>
      <c r="Y378" s="488">
        <f t="shared" si="45"/>
        <v>0</v>
      </c>
      <c r="Z378" s="37" t="str">
        <f>IFERROR(IF(Y378=0,"",ROUNDUP(Y378/H378,0)*0.00937),"")</f>
        <v/>
      </c>
      <c r="AA378" s="57"/>
      <c r="AB378" s="58"/>
      <c r="AC378" s="422" t="s">
        <v>103</v>
      </c>
      <c r="AG378" s="65"/>
      <c r="AJ378" s="69"/>
      <c r="AK378" s="69">
        <v>0</v>
      </c>
      <c r="BB378" s="423" t="s">
        <v>1</v>
      </c>
      <c r="BM378" s="65">
        <f t="shared" si="46"/>
        <v>0</v>
      </c>
      <c r="BN378" s="65">
        <f t="shared" si="47"/>
        <v>0</v>
      </c>
      <c r="BO378" s="65">
        <f t="shared" si="48"/>
        <v>0</v>
      </c>
      <c r="BP378" s="65">
        <f t="shared" si="49"/>
        <v>0</v>
      </c>
    </row>
    <row r="379" spans="1:68" ht="27" customHeight="1" x14ac:dyDescent="0.25">
      <c r="A379" s="55" t="s">
        <v>601</v>
      </c>
      <c r="B379" s="55" t="s">
        <v>602</v>
      </c>
      <c r="C379" s="32">
        <v>4301012036</v>
      </c>
      <c r="D379" s="494">
        <v>4680115882782</v>
      </c>
      <c r="E379" s="495"/>
      <c r="F379" s="486">
        <v>0.6</v>
      </c>
      <c r="G379" s="33">
        <v>8</v>
      </c>
      <c r="H379" s="486">
        <v>4.8</v>
      </c>
      <c r="I379" s="486">
        <v>6.96</v>
      </c>
      <c r="J379" s="33">
        <v>120</v>
      </c>
      <c r="K379" s="33" t="s">
        <v>110</v>
      </c>
      <c r="L379" s="33"/>
      <c r="M379" s="34" t="s">
        <v>106</v>
      </c>
      <c r="N379" s="34"/>
      <c r="O379" s="33">
        <v>60</v>
      </c>
      <c r="P379" s="5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79" s="492"/>
      <c r="R379" s="492"/>
      <c r="S379" s="492"/>
      <c r="T379" s="493"/>
      <c r="U379" s="35"/>
      <c r="V379" s="35"/>
      <c r="W379" s="36" t="s">
        <v>71</v>
      </c>
      <c r="X379" s="487">
        <v>0</v>
      </c>
      <c r="Y379" s="488">
        <f t="shared" si="45"/>
        <v>0</v>
      </c>
      <c r="Z379" s="37" t="str">
        <f>IFERROR(IF(Y379=0,"",ROUNDUP(Y379/H379,0)*0.00937),"")</f>
        <v/>
      </c>
      <c r="AA379" s="57"/>
      <c r="AB379" s="58"/>
      <c r="AC379" s="424" t="s">
        <v>603</v>
      </c>
      <c r="AG379" s="65"/>
      <c r="AJ379" s="69"/>
      <c r="AK379" s="69">
        <v>0</v>
      </c>
      <c r="BB379" s="425" t="s">
        <v>1</v>
      </c>
      <c r="BM379" s="65">
        <f t="shared" si="46"/>
        <v>0</v>
      </c>
      <c r="BN379" s="65">
        <f t="shared" si="47"/>
        <v>0</v>
      </c>
      <c r="BO379" s="65">
        <f t="shared" si="48"/>
        <v>0</v>
      </c>
      <c r="BP379" s="65">
        <f t="shared" si="49"/>
        <v>0</v>
      </c>
    </row>
    <row r="380" spans="1:68" ht="27" customHeight="1" x14ac:dyDescent="0.25">
      <c r="A380" s="55" t="s">
        <v>604</v>
      </c>
      <c r="B380" s="55" t="s">
        <v>605</v>
      </c>
      <c r="C380" s="32">
        <v>4301011784</v>
      </c>
      <c r="D380" s="494">
        <v>4607091389982</v>
      </c>
      <c r="E380" s="495"/>
      <c r="F380" s="486">
        <v>0.6</v>
      </c>
      <c r="G380" s="33">
        <v>6</v>
      </c>
      <c r="H380" s="486">
        <v>3.6</v>
      </c>
      <c r="I380" s="486">
        <v>3.81</v>
      </c>
      <c r="J380" s="33">
        <v>132</v>
      </c>
      <c r="K380" s="33" t="s">
        <v>110</v>
      </c>
      <c r="L380" s="33"/>
      <c r="M380" s="34" t="s">
        <v>106</v>
      </c>
      <c r="N380" s="34"/>
      <c r="O380" s="33">
        <v>60</v>
      </c>
      <c r="P380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0" s="492"/>
      <c r="R380" s="492"/>
      <c r="S380" s="492"/>
      <c r="T380" s="493"/>
      <c r="U380" s="35"/>
      <c r="V380" s="35"/>
      <c r="W380" s="36" t="s">
        <v>71</v>
      </c>
      <c r="X380" s="487">
        <v>0</v>
      </c>
      <c r="Y380" s="488">
        <f t="shared" si="45"/>
        <v>0</v>
      </c>
      <c r="Z380" s="37" t="str">
        <f>IFERROR(IF(Y380=0,"",ROUNDUP(Y380/H380,0)*0.00902),"")</f>
        <v/>
      </c>
      <c r="AA380" s="57"/>
      <c r="AB380" s="58"/>
      <c r="AC380" s="426" t="s">
        <v>591</v>
      </c>
      <c r="AG380" s="65"/>
      <c r="AJ380" s="69"/>
      <c r="AK380" s="69">
        <v>0</v>
      </c>
      <c r="BB380" s="427" t="s">
        <v>1</v>
      </c>
      <c r="BM380" s="65">
        <f t="shared" si="46"/>
        <v>0</v>
      </c>
      <c r="BN380" s="65">
        <f t="shared" si="47"/>
        <v>0</v>
      </c>
      <c r="BO380" s="65">
        <f t="shared" si="48"/>
        <v>0</v>
      </c>
      <c r="BP380" s="65">
        <f t="shared" si="49"/>
        <v>0</v>
      </c>
    </row>
    <row r="381" spans="1:68" ht="27" customHeight="1" x14ac:dyDescent="0.25">
      <c r="A381" s="55" t="s">
        <v>604</v>
      </c>
      <c r="B381" s="55" t="s">
        <v>606</v>
      </c>
      <c r="C381" s="32">
        <v>4301012034</v>
      </c>
      <c r="D381" s="494">
        <v>4607091389982</v>
      </c>
      <c r="E381" s="495"/>
      <c r="F381" s="486">
        <v>0.6</v>
      </c>
      <c r="G381" s="33">
        <v>8</v>
      </c>
      <c r="H381" s="486">
        <v>4.8</v>
      </c>
      <c r="I381" s="486">
        <v>6.96</v>
      </c>
      <c r="J381" s="33">
        <v>120</v>
      </c>
      <c r="K381" s="33" t="s">
        <v>110</v>
      </c>
      <c r="L381" s="33"/>
      <c r="M381" s="34" t="s">
        <v>106</v>
      </c>
      <c r="N381" s="34"/>
      <c r="O381" s="33">
        <v>60</v>
      </c>
      <c r="P381" s="5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1" s="492"/>
      <c r="R381" s="492"/>
      <c r="S381" s="492"/>
      <c r="T381" s="493"/>
      <c r="U381" s="35"/>
      <c r="V381" s="35"/>
      <c r="W381" s="36" t="s">
        <v>71</v>
      </c>
      <c r="X381" s="487">
        <v>0</v>
      </c>
      <c r="Y381" s="488">
        <f t="shared" si="45"/>
        <v>0</v>
      </c>
      <c r="Z381" s="37" t="str">
        <f>IFERROR(IF(Y381=0,"",ROUNDUP(Y381/H381,0)*0.00937),"")</f>
        <v/>
      </c>
      <c r="AA381" s="57"/>
      <c r="AB381" s="58"/>
      <c r="AC381" s="428" t="s">
        <v>591</v>
      </c>
      <c r="AG381" s="65"/>
      <c r="AJ381" s="69"/>
      <c r="AK381" s="69">
        <v>0</v>
      </c>
      <c r="BB381" s="429" t="s">
        <v>1</v>
      </c>
      <c r="BM381" s="65">
        <f t="shared" si="46"/>
        <v>0</v>
      </c>
      <c r="BN381" s="65">
        <f t="shared" si="47"/>
        <v>0</v>
      </c>
      <c r="BO381" s="65">
        <f t="shared" si="48"/>
        <v>0</v>
      </c>
      <c r="BP381" s="65">
        <f t="shared" si="49"/>
        <v>0</v>
      </c>
    </row>
    <row r="382" spans="1:68" ht="27" customHeight="1" x14ac:dyDescent="0.25">
      <c r="A382" s="55" t="s">
        <v>607</v>
      </c>
      <c r="B382" s="55" t="s">
        <v>608</v>
      </c>
      <c r="C382" s="32">
        <v>4301012057</v>
      </c>
      <c r="D382" s="494">
        <v>4680115886483</v>
      </c>
      <c r="E382" s="495"/>
      <c r="F382" s="486">
        <v>0.55000000000000004</v>
      </c>
      <c r="G382" s="33">
        <v>8</v>
      </c>
      <c r="H382" s="486">
        <v>4.4000000000000004</v>
      </c>
      <c r="I382" s="486">
        <v>4.6100000000000003</v>
      </c>
      <c r="J382" s="33">
        <v>132</v>
      </c>
      <c r="K382" s="33" t="s">
        <v>110</v>
      </c>
      <c r="L382" s="33"/>
      <c r="M382" s="34" t="s">
        <v>106</v>
      </c>
      <c r="N382" s="34"/>
      <c r="O382" s="33">
        <v>60</v>
      </c>
      <c r="P382" s="558" t="s">
        <v>609</v>
      </c>
      <c r="Q382" s="492"/>
      <c r="R382" s="492"/>
      <c r="S382" s="492"/>
      <c r="T382" s="493"/>
      <c r="U382" s="35"/>
      <c r="V382" s="35"/>
      <c r="W382" s="36" t="s">
        <v>71</v>
      </c>
      <c r="X382" s="487">
        <v>0</v>
      </c>
      <c r="Y382" s="488">
        <f t="shared" si="45"/>
        <v>0</v>
      </c>
      <c r="Z382" s="37" t="str">
        <f>IFERROR(IF(Y382=0,"",ROUNDUP(Y382/H382,0)*0.00902),"")</f>
        <v/>
      </c>
      <c r="AA382" s="57"/>
      <c r="AB382" s="58"/>
      <c r="AC382" s="430" t="s">
        <v>588</v>
      </c>
      <c r="AG382" s="65"/>
      <c r="AJ382" s="69"/>
      <c r="AK382" s="69">
        <v>0</v>
      </c>
      <c r="BB382" s="431" t="s">
        <v>1</v>
      </c>
      <c r="BM382" s="65">
        <f t="shared" si="46"/>
        <v>0</v>
      </c>
      <c r="BN382" s="65">
        <f t="shared" si="47"/>
        <v>0</v>
      </c>
      <c r="BO382" s="65">
        <f t="shared" si="48"/>
        <v>0</v>
      </c>
      <c r="BP382" s="65">
        <f t="shared" si="49"/>
        <v>0</v>
      </c>
    </row>
    <row r="383" spans="1:68" ht="27" customHeight="1" x14ac:dyDescent="0.25">
      <c r="A383" s="55" t="s">
        <v>610</v>
      </c>
      <c r="B383" s="55" t="s">
        <v>611</v>
      </c>
      <c r="C383" s="32">
        <v>4301012058</v>
      </c>
      <c r="D383" s="494">
        <v>4680115886490</v>
      </c>
      <c r="E383" s="495"/>
      <c r="F383" s="486">
        <v>0.55000000000000004</v>
      </c>
      <c r="G383" s="33">
        <v>8</v>
      </c>
      <c r="H383" s="486">
        <v>4.4000000000000004</v>
      </c>
      <c r="I383" s="486">
        <v>4.6100000000000003</v>
      </c>
      <c r="J383" s="33">
        <v>132</v>
      </c>
      <c r="K383" s="33" t="s">
        <v>110</v>
      </c>
      <c r="L383" s="33"/>
      <c r="M383" s="34" t="s">
        <v>106</v>
      </c>
      <c r="N383" s="34"/>
      <c r="O383" s="33">
        <v>60</v>
      </c>
      <c r="P383" s="777" t="s">
        <v>612</v>
      </c>
      <c r="Q383" s="492"/>
      <c r="R383" s="492"/>
      <c r="S383" s="492"/>
      <c r="T383" s="493"/>
      <c r="U383" s="35"/>
      <c r="V383" s="35"/>
      <c r="W383" s="36" t="s">
        <v>71</v>
      </c>
      <c r="X383" s="487">
        <v>0</v>
      </c>
      <c r="Y383" s="488">
        <f t="shared" si="45"/>
        <v>0</v>
      </c>
      <c r="Z383" s="37" t="str">
        <f>IFERROR(IF(Y383=0,"",ROUNDUP(Y383/H383,0)*0.00902),"")</f>
        <v/>
      </c>
      <c r="AA383" s="57"/>
      <c r="AB383" s="58"/>
      <c r="AC383" s="432" t="s">
        <v>594</v>
      </c>
      <c r="AG383" s="65"/>
      <c r="AJ383" s="69"/>
      <c r="AK383" s="69">
        <v>0</v>
      </c>
      <c r="BB383" s="433" t="s">
        <v>1</v>
      </c>
      <c r="BM383" s="65">
        <f t="shared" si="46"/>
        <v>0</v>
      </c>
      <c r="BN383" s="65">
        <f t="shared" si="47"/>
        <v>0</v>
      </c>
      <c r="BO383" s="65">
        <f t="shared" si="48"/>
        <v>0</v>
      </c>
      <c r="BP383" s="65">
        <f t="shared" si="49"/>
        <v>0</v>
      </c>
    </row>
    <row r="384" spans="1:68" ht="27" customHeight="1" x14ac:dyDescent="0.25">
      <c r="A384" s="55" t="s">
        <v>613</v>
      </c>
      <c r="B384" s="55" t="s">
        <v>614</v>
      </c>
      <c r="C384" s="32">
        <v>4301012055</v>
      </c>
      <c r="D384" s="494">
        <v>4680115886469</v>
      </c>
      <c r="E384" s="495"/>
      <c r="F384" s="486">
        <v>0.55000000000000004</v>
      </c>
      <c r="G384" s="33">
        <v>8</v>
      </c>
      <c r="H384" s="486">
        <v>4.4000000000000004</v>
      </c>
      <c r="I384" s="486">
        <v>4.6100000000000003</v>
      </c>
      <c r="J384" s="33">
        <v>132</v>
      </c>
      <c r="K384" s="33" t="s">
        <v>110</v>
      </c>
      <c r="L384" s="33"/>
      <c r="M384" s="34" t="s">
        <v>106</v>
      </c>
      <c r="N384" s="34"/>
      <c r="O384" s="33">
        <v>60</v>
      </c>
      <c r="P384" s="510" t="s">
        <v>615</v>
      </c>
      <c r="Q384" s="492"/>
      <c r="R384" s="492"/>
      <c r="S384" s="492"/>
      <c r="T384" s="493"/>
      <c r="U384" s="35"/>
      <c r="V384" s="35"/>
      <c r="W384" s="36" t="s">
        <v>71</v>
      </c>
      <c r="X384" s="487">
        <v>0</v>
      </c>
      <c r="Y384" s="488">
        <f t="shared" si="45"/>
        <v>0</v>
      </c>
      <c r="Z384" s="37" t="str">
        <f>IFERROR(IF(Y384=0,"",ROUNDUP(Y384/H384,0)*0.00902),"")</f>
        <v/>
      </c>
      <c r="AA384" s="57"/>
      <c r="AB384" s="58"/>
      <c r="AC384" s="434" t="s">
        <v>597</v>
      </c>
      <c r="AG384" s="65"/>
      <c r="AJ384" s="69"/>
      <c r="AK384" s="69">
        <v>0</v>
      </c>
      <c r="BB384" s="435" t="s">
        <v>1</v>
      </c>
      <c r="BM384" s="65">
        <f t="shared" si="46"/>
        <v>0</v>
      </c>
      <c r="BN384" s="65">
        <f t="shared" si="47"/>
        <v>0</v>
      </c>
      <c r="BO384" s="65">
        <f t="shared" si="48"/>
        <v>0</v>
      </c>
      <c r="BP384" s="65">
        <f t="shared" si="49"/>
        <v>0</v>
      </c>
    </row>
    <row r="385" spans="1:68" x14ac:dyDescent="0.2">
      <c r="A385" s="505"/>
      <c r="B385" s="501"/>
      <c r="C385" s="501"/>
      <c r="D385" s="501"/>
      <c r="E385" s="501"/>
      <c r="F385" s="501"/>
      <c r="G385" s="501"/>
      <c r="H385" s="501"/>
      <c r="I385" s="501"/>
      <c r="J385" s="501"/>
      <c r="K385" s="501"/>
      <c r="L385" s="501"/>
      <c r="M385" s="501"/>
      <c r="N385" s="501"/>
      <c r="O385" s="506"/>
      <c r="P385" s="497" t="s">
        <v>88</v>
      </c>
      <c r="Q385" s="498"/>
      <c r="R385" s="498"/>
      <c r="S385" s="498"/>
      <c r="T385" s="498"/>
      <c r="U385" s="498"/>
      <c r="V385" s="499"/>
      <c r="W385" s="38" t="s">
        <v>89</v>
      </c>
      <c r="X385" s="489">
        <f>IFERROR(X372/H372,"0")+IFERROR(X373/H373,"0")+IFERROR(X374/H374,"0")+IFERROR(X375/H375,"0")+IFERROR(X376/H376,"0")+IFERROR(X377/H377,"0")+IFERROR(X378/H378,"0")+IFERROR(X379/H379,"0")+IFERROR(X380/H380,"0")+IFERROR(X381/H381,"0")+IFERROR(X382/H382,"0")+IFERROR(X383/H383,"0")+IFERROR(X384/H384,"0")</f>
        <v>56.818181818181813</v>
      </c>
      <c r="Y385" s="489">
        <f>IFERROR(Y372/H372,"0")+IFERROR(Y373/H373,"0")+IFERROR(Y374/H374,"0")+IFERROR(Y375/H375,"0")+IFERROR(Y376/H376,"0")+IFERROR(Y377/H377,"0")+IFERROR(Y378/H378,"0")+IFERROR(Y379/H379,"0")+IFERROR(Y380/H380,"0")+IFERROR(Y381/H381,"0")+IFERROR(Y382/H382,"0")+IFERROR(Y383/H383,"0")+IFERROR(Y384/H384,"0")</f>
        <v>57.000000000000007</v>
      </c>
      <c r="Z385" s="489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0.68171999999999999</v>
      </c>
      <c r="AA385" s="490"/>
      <c r="AB385" s="490"/>
      <c r="AC385" s="490"/>
    </row>
    <row r="386" spans="1:68" x14ac:dyDescent="0.2">
      <c r="A386" s="501"/>
      <c r="B386" s="501"/>
      <c r="C386" s="501"/>
      <c r="D386" s="501"/>
      <c r="E386" s="501"/>
      <c r="F386" s="501"/>
      <c r="G386" s="501"/>
      <c r="H386" s="501"/>
      <c r="I386" s="501"/>
      <c r="J386" s="501"/>
      <c r="K386" s="501"/>
      <c r="L386" s="501"/>
      <c r="M386" s="501"/>
      <c r="N386" s="501"/>
      <c r="O386" s="506"/>
      <c r="P386" s="497" t="s">
        <v>88</v>
      </c>
      <c r="Q386" s="498"/>
      <c r="R386" s="498"/>
      <c r="S386" s="498"/>
      <c r="T386" s="498"/>
      <c r="U386" s="498"/>
      <c r="V386" s="499"/>
      <c r="W386" s="38" t="s">
        <v>71</v>
      </c>
      <c r="X386" s="489">
        <f>IFERROR(SUM(X372:X384),"0")</f>
        <v>300</v>
      </c>
      <c r="Y386" s="489">
        <f>IFERROR(SUM(Y372:Y384),"0")</f>
        <v>300.96000000000004</v>
      </c>
      <c r="Z386" s="38"/>
      <c r="AA386" s="490"/>
      <c r="AB386" s="490"/>
      <c r="AC386" s="490"/>
    </row>
    <row r="387" spans="1:68" ht="14.25" customHeight="1" x14ac:dyDescent="0.25">
      <c r="A387" s="512" t="s">
        <v>137</v>
      </c>
      <c r="B387" s="501"/>
      <c r="C387" s="501"/>
      <c r="D387" s="501"/>
      <c r="E387" s="501"/>
      <c r="F387" s="501"/>
      <c r="G387" s="501"/>
      <c r="H387" s="501"/>
      <c r="I387" s="501"/>
      <c r="J387" s="501"/>
      <c r="K387" s="501"/>
      <c r="L387" s="501"/>
      <c r="M387" s="501"/>
      <c r="N387" s="501"/>
      <c r="O387" s="501"/>
      <c r="P387" s="501"/>
      <c r="Q387" s="501"/>
      <c r="R387" s="501"/>
      <c r="S387" s="501"/>
      <c r="T387" s="501"/>
      <c r="U387" s="501"/>
      <c r="V387" s="501"/>
      <c r="W387" s="501"/>
      <c r="X387" s="501"/>
      <c r="Y387" s="501"/>
      <c r="Z387" s="501"/>
      <c r="AA387" s="483"/>
      <c r="AB387" s="483"/>
      <c r="AC387" s="483"/>
    </row>
    <row r="388" spans="1:68" ht="16.5" customHeight="1" x14ac:dyDescent="0.25">
      <c r="A388" s="55" t="s">
        <v>616</v>
      </c>
      <c r="B388" s="55" t="s">
        <v>617</v>
      </c>
      <c r="C388" s="32">
        <v>4301020222</v>
      </c>
      <c r="D388" s="494">
        <v>4607091388930</v>
      </c>
      <c r="E388" s="495"/>
      <c r="F388" s="486">
        <v>0.88</v>
      </c>
      <c r="G388" s="33">
        <v>6</v>
      </c>
      <c r="H388" s="486">
        <v>5.28</v>
      </c>
      <c r="I388" s="486">
        <v>5.64</v>
      </c>
      <c r="J388" s="33">
        <v>104</v>
      </c>
      <c r="K388" s="33" t="s">
        <v>101</v>
      </c>
      <c r="L388" s="33"/>
      <c r="M388" s="34" t="s">
        <v>106</v>
      </c>
      <c r="N388" s="34"/>
      <c r="O388" s="33">
        <v>55</v>
      </c>
      <c r="P388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88" s="492"/>
      <c r="R388" s="492"/>
      <c r="S388" s="492"/>
      <c r="T388" s="493"/>
      <c r="U388" s="35"/>
      <c r="V388" s="35"/>
      <c r="W388" s="36" t="s">
        <v>71</v>
      </c>
      <c r="X388" s="487">
        <v>0</v>
      </c>
      <c r="Y388" s="488">
        <f>IFERROR(IF(X388="",0,CEILING((X388/$H388),1)*$H388),"")</f>
        <v>0</v>
      </c>
      <c r="Z388" s="37" t="str">
        <f>IFERROR(IF(Y388=0,"",ROUNDUP(Y388/H388,0)*0.01196),"")</f>
        <v/>
      </c>
      <c r="AA388" s="57"/>
      <c r="AB388" s="58"/>
      <c r="AC388" s="436" t="s">
        <v>618</v>
      </c>
      <c r="AG388" s="65"/>
      <c r="AJ388" s="69"/>
      <c r="AK388" s="69">
        <v>0</v>
      </c>
      <c r="BB388" s="437" t="s">
        <v>1</v>
      </c>
      <c r="BM388" s="65">
        <f>IFERROR(X388*I388/H388,"0")</f>
        <v>0</v>
      </c>
      <c r="BN388" s="65">
        <f>IFERROR(Y388*I388/H388,"0")</f>
        <v>0</v>
      </c>
      <c r="BO388" s="65">
        <f>IFERROR(1/J388*(X388/H388),"0")</f>
        <v>0</v>
      </c>
      <c r="BP388" s="65">
        <f>IFERROR(1/J388*(Y388/H388),"0")</f>
        <v>0</v>
      </c>
    </row>
    <row r="389" spans="1:68" ht="16.5" customHeight="1" x14ac:dyDescent="0.25">
      <c r="A389" s="55" t="s">
        <v>616</v>
      </c>
      <c r="B389" s="55" t="s">
        <v>619</v>
      </c>
      <c r="C389" s="32">
        <v>4301020334</v>
      </c>
      <c r="D389" s="494">
        <v>4607091388930</v>
      </c>
      <c r="E389" s="495"/>
      <c r="F389" s="486">
        <v>0.88</v>
      </c>
      <c r="G389" s="33">
        <v>6</v>
      </c>
      <c r="H389" s="486">
        <v>5.28</v>
      </c>
      <c r="I389" s="486">
        <v>5.64</v>
      </c>
      <c r="J389" s="33">
        <v>104</v>
      </c>
      <c r="K389" s="33" t="s">
        <v>101</v>
      </c>
      <c r="L389" s="33"/>
      <c r="M389" s="34" t="s">
        <v>102</v>
      </c>
      <c r="N389" s="34"/>
      <c r="O389" s="33">
        <v>70</v>
      </c>
      <c r="P389" s="504" t="s">
        <v>620</v>
      </c>
      <c r="Q389" s="492"/>
      <c r="R389" s="492"/>
      <c r="S389" s="492"/>
      <c r="T389" s="493"/>
      <c r="U389" s="35"/>
      <c r="V389" s="35"/>
      <c r="W389" s="36" t="s">
        <v>71</v>
      </c>
      <c r="X389" s="487">
        <v>250</v>
      </c>
      <c r="Y389" s="488">
        <f>IFERROR(IF(X389="",0,CEILING((X389/$H389),1)*$H389),"")</f>
        <v>253.44</v>
      </c>
      <c r="Z389" s="37">
        <f>IFERROR(IF(Y389=0,"",ROUNDUP(Y389/H389,0)*0.01196),"")</f>
        <v>0.57408000000000003</v>
      </c>
      <c r="AA389" s="57"/>
      <c r="AB389" s="58"/>
      <c r="AC389" s="438" t="s">
        <v>621</v>
      </c>
      <c r="AG389" s="65"/>
      <c r="AJ389" s="69"/>
      <c r="AK389" s="69">
        <v>0</v>
      </c>
      <c r="BB389" s="439" t="s">
        <v>1</v>
      </c>
      <c r="BM389" s="65">
        <f>IFERROR(X389*I389/H389,"0")</f>
        <v>267.04545454545456</v>
      </c>
      <c r="BN389" s="65">
        <f>IFERROR(Y389*I389/H389,"0")</f>
        <v>270.71999999999997</v>
      </c>
      <c r="BO389" s="65">
        <f>IFERROR(1/J389*(X389/H389),"0")</f>
        <v>0.45527389277389274</v>
      </c>
      <c r="BP389" s="65">
        <f>IFERROR(1/J389*(Y389/H389),"0")</f>
        <v>0.46153846153846156</v>
      </c>
    </row>
    <row r="390" spans="1:68" ht="16.5" customHeight="1" x14ac:dyDescent="0.25">
      <c r="A390" s="55" t="s">
        <v>622</v>
      </c>
      <c r="B390" s="55" t="s">
        <v>623</v>
      </c>
      <c r="C390" s="32">
        <v>4301020385</v>
      </c>
      <c r="D390" s="494">
        <v>4680115880054</v>
      </c>
      <c r="E390" s="495"/>
      <c r="F390" s="486">
        <v>0.6</v>
      </c>
      <c r="G390" s="33">
        <v>8</v>
      </c>
      <c r="H390" s="486">
        <v>4.8</v>
      </c>
      <c r="I390" s="486">
        <v>6.93</v>
      </c>
      <c r="J390" s="33">
        <v>132</v>
      </c>
      <c r="K390" s="33" t="s">
        <v>110</v>
      </c>
      <c r="L390" s="33"/>
      <c r="M390" s="34" t="s">
        <v>106</v>
      </c>
      <c r="N390" s="34"/>
      <c r="O390" s="33">
        <v>70</v>
      </c>
      <c r="P390" s="678" t="s">
        <v>624</v>
      </c>
      <c r="Q390" s="492"/>
      <c r="R390" s="492"/>
      <c r="S390" s="492"/>
      <c r="T390" s="493"/>
      <c r="U390" s="35"/>
      <c r="V390" s="35"/>
      <c r="W390" s="36" t="s">
        <v>71</v>
      </c>
      <c r="X390" s="487">
        <v>0</v>
      </c>
      <c r="Y390" s="488">
        <f>IFERROR(IF(X390="",0,CEILING((X390/$H390),1)*$H390),"")</f>
        <v>0</v>
      </c>
      <c r="Z390" s="37" t="str">
        <f>IFERROR(IF(Y390=0,"",ROUNDUP(Y390/H390,0)*0.00902),"")</f>
        <v/>
      </c>
      <c r="AA390" s="57"/>
      <c r="AB390" s="58"/>
      <c r="AC390" s="440" t="s">
        <v>621</v>
      </c>
      <c r="AG390" s="65"/>
      <c r="AJ390" s="69"/>
      <c r="AK390" s="69">
        <v>0</v>
      </c>
      <c r="BB390" s="441" t="s">
        <v>1</v>
      </c>
      <c r="BM390" s="65">
        <f>IFERROR(X390*I390/H390,"0")</f>
        <v>0</v>
      </c>
      <c r="BN390" s="65">
        <f>IFERROR(Y390*I390/H390,"0")</f>
        <v>0</v>
      </c>
      <c r="BO390" s="65">
        <f>IFERROR(1/J390*(X390/H390),"0")</f>
        <v>0</v>
      </c>
      <c r="BP390" s="65">
        <f>IFERROR(1/J390*(Y390/H390),"0")</f>
        <v>0</v>
      </c>
    </row>
    <row r="391" spans="1:68" x14ac:dyDescent="0.2">
      <c r="A391" s="505"/>
      <c r="B391" s="501"/>
      <c r="C391" s="501"/>
      <c r="D391" s="501"/>
      <c r="E391" s="501"/>
      <c r="F391" s="501"/>
      <c r="G391" s="501"/>
      <c r="H391" s="501"/>
      <c r="I391" s="501"/>
      <c r="J391" s="501"/>
      <c r="K391" s="501"/>
      <c r="L391" s="501"/>
      <c r="M391" s="501"/>
      <c r="N391" s="501"/>
      <c r="O391" s="506"/>
      <c r="P391" s="497" t="s">
        <v>88</v>
      </c>
      <c r="Q391" s="498"/>
      <c r="R391" s="498"/>
      <c r="S391" s="498"/>
      <c r="T391" s="498"/>
      <c r="U391" s="498"/>
      <c r="V391" s="499"/>
      <c r="W391" s="38" t="s">
        <v>89</v>
      </c>
      <c r="X391" s="489">
        <f>IFERROR(X388/H388,"0")+IFERROR(X389/H389,"0")+IFERROR(X390/H390,"0")</f>
        <v>47.348484848484844</v>
      </c>
      <c r="Y391" s="489">
        <f>IFERROR(Y388/H388,"0")+IFERROR(Y389/H389,"0")+IFERROR(Y390/H390,"0")</f>
        <v>48</v>
      </c>
      <c r="Z391" s="489">
        <f>IFERROR(IF(Z388="",0,Z388),"0")+IFERROR(IF(Z389="",0,Z389),"0")+IFERROR(IF(Z390="",0,Z390),"0")</f>
        <v>0.57408000000000003</v>
      </c>
      <c r="AA391" s="490"/>
      <c r="AB391" s="490"/>
      <c r="AC391" s="490"/>
    </row>
    <row r="392" spans="1:68" x14ac:dyDescent="0.2">
      <c r="A392" s="501"/>
      <c r="B392" s="501"/>
      <c r="C392" s="501"/>
      <c r="D392" s="501"/>
      <c r="E392" s="501"/>
      <c r="F392" s="501"/>
      <c r="G392" s="501"/>
      <c r="H392" s="501"/>
      <c r="I392" s="501"/>
      <c r="J392" s="501"/>
      <c r="K392" s="501"/>
      <c r="L392" s="501"/>
      <c r="M392" s="501"/>
      <c r="N392" s="501"/>
      <c r="O392" s="506"/>
      <c r="P392" s="497" t="s">
        <v>88</v>
      </c>
      <c r="Q392" s="498"/>
      <c r="R392" s="498"/>
      <c r="S392" s="498"/>
      <c r="T392" s="498"/>
      <c r="U392" s="498"/>
      <c r="V392" s="499"/>
      <c r="W392" s="38" t="s">
        <v>71</v>
      </c>
      <c r="X392" s="489">
        <f>IFERROR(SUM(X388:X390),"0")</f>
        <v>250</v>
      </c>
      <c r="Y392" s="489">
        <f>IFERROR(SUM(Y388:Y390),"0")</f>
        <v>253.44</v>
      </c>
      <c r="Z392" s="38"/>
      <c r="AA392" s="490"/>
      <c r="AB392" s="490"/>
      <c r="AC392" s="490"/>
    </row>
    <row r="393" spans="1:68" ht="14.25" customHeight="1" x14ac:dyDescent="0.25">
      <c r="A393" s="512" t="s">
        <v>213</v>
      </c>
      <c r="B393" s="501"/>
      <c r="C393" s="501"/>
      <c r="D393" s="501"/>
      <c r="E393" s="501"/>
      <c r="F393" s="501"/>
      <c r="G393" s="501"/>
      <c r="H393" s="501"/>
      <c r="I393" s="501"/>
      <c r="J393" s="501"/>
      <c r="K393" s="501"/>
      <c r="L393" s="501"/>
      <c r="M393" s="501"/>
      <c r="N393" s="501"/>
      <c r="O393" s="501"/>
      <c r="P393" s="501"/>
      <c r="Q393" s="501"/>
      <c r="R393" s="501"/>
      <c r="S393" s="501"/>
      <c r="T393" s="501"/>
      <c r="U393" s="501"/>
      <c r="V393" s="501"/>
      <c r="W393" s="501"/>
      <c r="X393" s="501"/>
      <c r="Y393" s="501"/>
      <c r="Z393" s="501"/>
      <c r="AA393" s="483"/>
      <c r="AB393" s="483"/>
      <c r="AC393" s="483"/>
    </row>
    <row r="394" spans="1:68" ht="27" customHeight="1" x14ac:dyDescent="0.25">
      <c r="A394" s="55" t="s">
        <v>625</v>
      </c>
      <c r="B394" s="55" t="s">
        <v>626</v>
      </c>
      <c r="C394" s="32">
        <v>4301031349</v>
      </c>
      <c r="D394" s="494">
        <v>4680115883116</v>
      </c>
      <c r="E394" s="495"/>
      <c r="F394" s="486">
        <v>0.88</v>
      </c>
      <c r="G394" s="33">
        <v>6</v>
      </c>
      <c r="H394" s="486">
        <v>5.28</v>
      </c>
      <c r="I394" s="486">
        <v>5.64</v>
      </c>
      <c r="J394" s="33">
        <v>104</v>
      </c>
      <c r="K394" s="33" t="s">
        <v>101</v>
      </c>
      <c r="L394" s="33"/>
      <c r="M394" s="34" t="s">
        <v>106</v>
      </c>
      <c r="N394" s="34"/>
      <c r="O394" s="33">
        <v>70</v>
      </c>
      <c r="P394" s="537" t="s">
        <v>627</v>
      </c>
      <c r="Q394" s="492"/>
      <c r="R394" s="492"/>
      <c r="S394" s="492"/>
      <c r="T394" s="493"/>
      <c r="U394" s="35"/>
      <c r="V394" s="35"/>
      <c r="W394" s="36" t="s">
        <v>71</v>
      </c>
      <c r="X394" s="487"/>
      <c r="Y394" s="488">
        <f t="shared" ref="Y394:Y407" si="50">IFERROR(IF(X394="",0,CEILING((X394/$H394),1)*$H394),"")</f>
        <v>0</v>
      </c>
      <c r="Z394" s="37" t="str">
        <f>IFERROR(IF(Y394=0,"",ROUNDUP(Y394/H394,0)*0.01196),"")</f>
        <v/>
      </c>
      <c r="AA394" s="57"/>
      <c r="AB394" s="58"/>
      <c r="AC394" s="442" t="s">
        <v>628</v>
      </c>
      <c r="AG394" s="65"/>
      <c r="AJ394" s="69"/>
      <c r="AK394" s="69">
        <v>0</v>
      </c>
      <c r="BB394" s="443" t="s">
        <v>1</v>
      </c>
      <c r="BM394" s="65">
        <f t="shared" ref="BM394:BM407" si="51">IFERROR(X394*I394/H394,"0")</f>
        <v>0</v>
      </c>
      <c r="BN394" s="65">
        <f t="shared" ref="BN394:BN407" si="52">IFERROR(Y394*I394/H394,"0")</f>
        <v>0</v>
      </c>
      <c r="BO394" s="65">
        <f t="shared" ref="BO394:BO407" si="53">IFERROR(1/J394*(X394/H394),"0")</f>
        <v>0</v>
      </c>
      <c r="BP394" s="65">
        <f t="shared" ref="BP394:BP407" si="54">IFERROR(1/J394*(Y394/H394),"0")</f>
        <v>0</v>
      </c>
    </row>
    <row r="395" spans="1:68" ht="27" customHeight="1" x14ac:dyDescent="0.25">
      <c r="A395" s="55" t="s">
        <v>629</v>
      </c>
      <c r="B395" s="55" t="s">
        <v>630</v>
      </c>
      <c r="C395" s="32">
        <v>4301031248</v>
      </c>
      <c r="D395" s="494">
        <v>4680115883093</v>
      </c>
      <c r="E395" s="495"/>
      <c r="F395" s="486">
        <v>0.88</v>
      </c>
      <c r="G395" s="33">
        <v>6</v>
      </c>
      <c r="H395" s="486">
        <v>5.28</v>
      </c>
      <c r="I395" s="486">
        <v>5.64</v>
      </c>
      <c r="J395" s="33">
        <v>104</v>
      </c>
      <c r="K395" s="33" t="s">
        <v>101</v>
      </c>
      <c r="L395" s="33"/>
      <c r="M395" s="34" t="s">
        <v>70</v>
      </c>
      <c r="N395" s="34"/>
      <c r="O395" s="33">
        <v>60</v>
      </c>
      <c r="P395" s="6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395" s="492"/>
      <c r="R395" s="492"/>
      <c r="S395" s="492"/>
      <c r="T395" s="493"/>
      <c r="U395" s="35"/>
      <c r="V395" s="35"/>
      <c r="W395" s="36" t="s">
        <v>71</v>
      </c>
      <c r="X395" s="487">
        <v>0</v>
      </c>
      <c r="Y395" s="488">
        <f t="shared" si="50"/>
        <v>0</v>
      </c>
      <c r="Z395" s="37" t="str">
        <f>IFERROR(IF(Y395=0,"",ROUNDUP(Y395/H395,0)*0.01196),"")</f>
        <v/>
      </c>
      <c r="AA395" s="57"/>
      <c r="AB395" s="58"/>
      <c r="AC395" s="444" t="s">
        <v>631</v>
      </c>
      <c r="AG395" s="65"/>
      <c r="AJ395" s="69"/>
      <c r="AK395" s="69">
        <v>0</v>
      </c>
      <c r="BB395" s="445" t="s">
        <v>1</v>
      </c>
      <c r="BM395" s="65">
        <f t="shared" si="51"/>
        <v>0</v>
      </c>
      <c r="BN395" s="65">
        <f t="shared" si="52"/>
        <v>0</v>
      </c>
      <c r="BO395" s="65">
        <f t="shared" si="53"/>
        <v>0</v>
      </c>
      <c r="BP395" s="65">
        <f t="shared" si="54"/>
        <v>0</v>
      </c>
    </row>
    <row r="396" spans="1:68" ht="27" customHeight="1" x14ac:dyDescent="0.25">
      <c r="A396" s="55" t="s">
        <v>629</v>
      </c>
      <c r="B396" s="55" t="s">
        <v>632</v>
      </c>
      <c r="C396" s="32">
        <v>4301031350</v>
      </c>
      <c r="D396" s="494">
        <v>4680115883093</v>
      </c>
      <c r="E396" s="495"/>
      <c r="F396" s="486">
        <v>0.88</v>
      </c>
      <c r="G396" s="33">
        <v>6</v>
      </c>
      <c r="H396" s="486">
        <v>5.28</v>
      </c>
      <c r="I396" s="486">
        <v>5.64</v>
      </c>
      <c r="J396" s="33">
        <v>104</v>
      </c>
      <c r="K396" s="33" t="s">
        <v>101</v>
      </c>
      <c r="L396" s="33"/>
      <c r="M396" s="34" t="s">
        <v>70</v>
      </c>
      <c r="N396" s="34"/>
      <c r="O396" s="33">
        <v>70</v>
      </c>
      <c r="P396" s="705" t="s">
        <v>633</v>
      </c>
      <c r="Q396" s="492"/>
      <c r="R396" s="492"/>
      <c r="S396" s="492"/>
      <c r="T396" s="493"/>
      <c r="U396" s="35"/>
      <c r="V396" s="35"/>
      <c r="W396" s="36" t="s">
        <v>71</v>
      </c>
      <c r="X396" s="487">
        <v>200</v>
      </c>
      <c r="Y396" s="488">
        <f t="shared" si="50"/>
        <v>200.64000000000001</v>
      </c>
      <c r="Z396" s="37">
        <f>IFERROR(IF(Y396=0,"",ROUNDUP(Y396/H396,0)*0.01196),"")</f>
        <v>0.45448</v>
      </c>
      <c r="AA396" s="57"/>
      <c r="AB396" s="58"/>
      <c r="AC396" s="446" t="s">
        <v>634</v>
      </c>
      <c r="AG396" s="65"/>
      <c r="AJ396" s="69"/>
      <c r="AK396" s="69">
        <v>0</v>
      </c>
      <c r="BB396" s="447" t="s">
        <v>1</v>
      </c>
      <c r="BM396" s="65">
        <f t="shared" si="51"/>
        <v>213.63636363636363</v>
      </c>
      <c r="BN396" s="65">
        <f t="shared" si="52"/>
        <v>214.32</v>
      </c>
      <c r="BO396" s="65">
        <f t="shared" si="53"/>
        <v>0.36421911421911418</v>
      </c>
      <c r="BP396" s="65">
        <f t="shared" si="54"/>
        <v>0.36538461538461542</v>
      </c>
    </row>
    <row r="397" spans="1:68" ht="27" customHeight="1" x14ac:dyDescent="0.25">
      <c r="A397" s="55" t="s">
        <v>635</v>
      </c>
      <c r="B397" s="55" t="s">
        <v>636</v>
      </c>
      <c r="C397" s="32">
        <v>4301031250</v>
      </c>
      <c r="D397" s="494">
        <v>4680115883109</v>
      </c>
      <c r="E397" s="495"/>
      <c r="F397" s="486">
        <v>0.88</v>
      </c>
      <c r="G397" s="33">
        <v>6</v>
      </c>
      <c r="H397" s="486">
        <v>5.28</v>
      </c>
      <c r="I397" s="486">
        <v>5.64</v>
      </c>
      <c r="J397" s="33">
        <v>104</v>
      </c>
      <c r="K397" s="33" t="s">
        <v>101</v>
      </c>
      <c r="L397" s="33"/>
      <c r="M397" s="34" t="s">
        <v>70</v>
      </c>
      <c r="N397" s="34"/>
      <c r="O397" s="33">
        <v>60</v>
      </c>
      <c r="P397" s="6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97" s="492"/>
      <c r="R397" s="492"/>
      <c r="S397" s="492"/>
      <c r="T397" s="493"/>
      <c r="U397" s="35"/>
      <c r="V397" s="35"/>
      <c r="W397" s="36" t="s">
        <v>71</v>
      </c>
      <c r="X397" s="487">
        <v>0</v>
      </c>
      <c r="Y397" s="488">
        <f t="shared" si="50"/>
        <v>0</v>
      </c>
      <c r="Z397" s="37" t="str">
        <f>IFERROR(IF(Y397=0,"",ROUNDUP(Y397/H397,0)*0.01196),"")</f>
        <v/>
      </c>
      <c r="AA397" s="57"/>
      <c r="AB397" s="58"/>
      <c r="AC397" s="448" t="s">
        <v>637</v>
      </c>
      <c r="AG397" s="65"/>
      <c r="AJ397" s="69"/>
      <c r="AK397" s="69">
        <v>0</v>
      </c>
      <c r="BB397" s="449" t="s">
        <v>1</v>
      </c>
      <c r="BM397" s="65">
        <f t="shared" si="51"/>
        <v>0</v>
      </c>
      <c r="BN397" s="65">
        <f t="shared" si="52"/>
        <v>0</v>
      </c>
      <c r="BO397" s="65">
        <f t="shared" si="53"/>
        <v>0</v>
      </c>
      <c r="BP397" s="65">
        <f t="shared" si="54"/>
        <v>0</v>
      </c>
    </row>
    <row r="398" spans="1:68" ht="27" customHeight="1" x14ac:dyDescent="0.25">
      <c r="A398" s="55" t="s">
        <v>635</v>
      </c>
      <c r="B398" s="55" t="s">
        <v>638</v>
      </c>
      <c r="C398" s="32">
        <v>4301031353</v>
      </c>
      <c r="D398" s="494">
        <v>4680115883109</v>
      </c>
      <c r="E398" s="495"/>
      <c r="F398" s="486">
        <v>0.88</v>
      </c>
      <c r="G398" s="33">
        <v>6</v>
      </c>
      <c r="H398" s="486">
        <v>5.28</v>
      </c>
      <c r="I398" s="486">
        <v>5.64</v>
      </c>
      <c r="J398" s="33">
        <v>104</v>
      </c>
      <c r="K398" s="33" t="s">
        <v>101</v>
      </c>
      <c r="L398" s="33"/>
      <c r="M398" s="34" t="s">
        <v>70</v>
      </c>
      <c r="N398" s="34"/>
      <c r="O398" s="33">
        <v>70</v>
      </c>
      <c r="P398" s="709" t="s">
        <v>639</v>
      </c>
      <c r="Q398" s="492"/>
      <c r="R398" s="492"/>
      <c r="S398" s="492"/>
      <c r="T398" s="493"/>
      <c r="U398" s="35"/>
      <c r="V398" s="35"/>
      <c r="W398" s="36" t="s">
        <v>71</v>
      </c>
      <c r="X398" s="487">
        <v>250</v>
      </c>
      <c r="Y398" s="488">
        <f t="shared" si="50"/>
        <v>253.44</v>
      </c>
      <c r="Z398" s="37">
        <f>IFERROR(IF(Y398=0,"",ROUNDUP(Y398/H398,0)*0.01196),"")</f>
        <v>0.57408000000000003</v>
      </c>
      <c r="AA398" s="57"/>
      <c r="AB398" s="58"/>
      <c r="AC398" s="450" t="s">
        <v>640</v>
      </c>
      <c r="AG398" s="65"/>
      <c r="AJ398" s="69"/>
      <c r="AK398" s="69">
        <v>0</v>
      </c>
      <c r="BB398" s="451" t="s">
        <v>1</v>
      </c>
      <c r="BM398" s="65">
        <f t="shared" si="51"/>
        <v>267.04545454545456</v>
      </c>
      <c r="BN398" s="65">
        <f t="shared" si="52"/>
        <v>270.71999999999997</v>
      </c>
      <c r="BO398" s="65">
        <f t="shared" si="53"/>
        <v>0.45527389277389274</v>
      </c>
      <c r="BP398" s="65">
        <f t="shared" si="54"/>
        <v>0.46153846153846156</v>
      </c>
    </row>
    <row r="399" spans="1:68" ht="27" customHeight="1" x14ac:dyDescent="0.25">
      <c r="A399" s="55" t="s">
        <v>641</v>
      </c>
      <c r="B399" s="55" t="s">
        <v>642</v>
      </c>
      <c r="C399" s="32">
        <v>4301031419</v>
      </c>
      <c r="D399" s="494">
        <v>4680115882072</v>
      </c>
      <c r="E399" s="495"/>
      <c r="F399" s="486">
        <v>0.6</v>
      </c>
      <c r="G399" s="33">
        <v>8</v>
      </c>
      <c r="H399" s="486">
        <v>4.8</v>
      </c>
      <c r="I399" s="486">
        <v>6.93</v>
      </c>
      <c r="J399" s="33">
        <v>132</v>
      </c>
      <c r="K399" s="33" t="s">
        <v>110</v>
      </c>
      <c r="L399" s="33"/>
      <c r="M399" s="34" t="s">
        <v>106</v>
      </c>
      <c r="N399" s="34"/>
      <c r="O399" s="33">
        <v>70</v>
      </c>
      <c r="P399" s="715" t="s">
        <v>643</v>
      </c>
      <c r="Q399" s="492"/>
      <c r="R399" s="492"/>
      <c r="S399" s="492"/>
      <c r="T399" s="493"/>
      <c r="U399" s="35"/>
      <c r="V399" s="35"/>
      <c r="W399" s="36" t="s">
        <v>71</v>
      </c>
      <c r="X399" s="487">
        <v>0</v>
      </c>
      <c r="Y399" s="488">
        <f t="shared" si="50"/>
        <v>0</v>
      </c>
      <c r="Z399" s="37" t="str">
        <f>IFERROR(IF(Y399=0,"",ROUNDUP(Y399/H399,0)*0.00902),"")</f>
        <v/>
      </c>
      <c r="AA399" s="57"/>
      <c r="AB399" s="58"/>
      <c r="AC399" s="452" t="s">
        <v>628</v>
      </c>
      <c r="AG399" s="65"/>
      <c r="AJ399" s="69"/>
      <c r="AK399" s="69">
        <v>0</v>
      </c>
      <c r="BB399" s="453" t="s">
        <v>1</v>
      </c>
      <c r="BM399" s="65">
        <f t="shared" si="51"/>
        <v>0</v>
      </c>
      <c r="BN399" s="65">
        <f t="shared" si="52"/>
        <v>0</v>
      </c>
      <c r="BO399" s="65">
        <f t="shared" si="53"/>
        <v>0</v>
      </c>
      <c r="BP399" s="65">
        <f t="shared" si="54"/>
        <v>0</v>
      </c>
    </row>
    <row r="400" spans="1:68" ht="27" customHeight="1" x14ac:dyDescent="0.25">
      <c r="A400" s="55" t="s">
        <v>641</v>
      </c>
      <c r="B400" s="55" t="s">
        <v>644</v>
      </c>
      <c r="C400" s="32">
        <v>4301031351</v>
      </c>
      <c r="D400" s="494">
        <v>4680115882072</v>
      </c>
      <c r="E400" s="495"/>
      <c r="F400" s="486">
        <v>0.6</v>
      </c>
      <c r="G400" s="33">
        <v>6</v>
      </c>
      <c r="H400" s="486">
        <v>3.6</v>
      </c>
      <c r="I400" s="486">
        <v>3.81</v>
      </c>
      <c r="J400" s="33">
        <v>132</v>
      </c>
      <c r="K400" s="33" t="s">
        <v>110</v>
      </c>
      <c r="L400" s="33"/>
      <c r="M400" s="34" t="s">
        <v>106</v>
      </c>
      <c r="N400" s="34"/>
      <c r="O400" s="33">
        <v>70</v>
      </c>
      <c r="P400" s="561" t="s">
        <v>645</v>
      </c>
      <c r="Q400" s="492"/>
      <c r="R400" s="492"/>
      <c r="S400" s="492"/>
      <c r="T400" s="493"/>
      <c r="U400" s="35"/>
      <c r="V400" s="35"/>
      <c r="W400" s="36" t="s">
        <v>71</v>
      </c>
      <c r="X400" s="487">
        <v>0</v>
      </c>
      <c r="Y400" s="488">
        <f t="shared" si="50"/>
        <v>0</v>
      </c>
      <c r="Z400" s="37" t="str">
        <f>IFERROR(IF(Y400=0,"",ROUNDUP(Y400/H400,0)*0.00902),"")</f>
        <v/>
      </c>
      <c r="AA400" s="57"/>
      <c r="AB400" s="58"/>
      <c r="AC400" s="454" t="s">
        <v>628</v>
      </c>
      <c r="AG400" s="65"/>
      <c r="AJ400" s="69"/>
      <c r="AK400" s="69">
        <v>0</v>
      </c>
      <c r="BB400" s="455" t="s">
        <v>1</v>
      </c>
      <c r="BM400" s="65">
        <f t="shared" si="51"/>
        <v>0</v>
      </c>
      <c r="BN400" s="65">
        <f t="shared" si="52"/>
        <v>0</v>
      </c>
      <c r="BO400" s="65">
        <f t="shared" si="53"/>
        <v>0</v>
      </c>
      <c r="BP400" s="65">
        <f t="shared" si="54"/>
        <v>0</v>
      </c>
    </row>
    <row r="401" spans="1:68" ht="27" customHeight="1" x14ac:dyDescent="0.25">
      <c r="A401" s="55" t="s">
        <v>641</v>
      </c>
      <c r="B401" s="55" t="s">
        <v>646</v>
      </c>
      <c r="C401" s="32">
        <v>4301031383</v>
      </c>
      <c r="D401" s="494">
        <v>4680115882072</v>
      </c>
      <c r="E401" s="495"/>
      <c r="F401" s="486">
        <v>0.6</v>
      </c>
      <c r="G401" s="33">
        <v>8</v>
      </c>
      <c r="H401" s="486">
        <v>4.8</v>
      </c>
      <c r="I401" s="486">
        <v>6.96</v>
      </c>
      <c r="J401" s="33">
        <v>120</v>
      </c>
      <c r="K401" s="33" t="s">
        <v>110</v>
      </c>
      <c r="L401" s="33"/>
      <c r="M401" s="34" t="s">
        <v>106</v>
      </c>
      <c r="N401" s="34"/>
      <c r="O401" s="33">
        <v>60</v>
      </c>
      <c r="P401" s="5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01" s="492"/>
      <c r="R401" s="492"/>
      <c r="S401" s="492"/>
      <c r="T401" s="493"/>
      <c r="U401" s="35"/>
      <c r="V401" s="35"/>
      <c r="W401" s="36" t="s">
        <v>71</v>
      </c>
      <c r="X401" s="487">
        <v>0</v>
      </c>
      <c r="Y401" s="488">
        <f t="shared" si="50"/>
        <v>0</v>
      </c>
      <c r="Z401" s="37" t="str">
        <f>IFERROR(IF(Y401=0,"",ROUNDUP(Y401/H401,0)*0.00937),"")</f>
        <v/>
      </c>
      <c r="AA401" s="57"/>
      <c r="AB401" s="58"/>
      <c r="AC401" s="456" t="s">
        <v>647</v>
      </c>
      <c r="AG401" s="65"/>
      <c r="AJ401" s="69"/>
      <c r="AK401" s="69">
        <v>0</v>
      </c>
      <c r="BB401" s="457" t="s">
        <v>1</v>
      </c>
      <c r="BM401" s="65">
        <f t="shared" si="51"/>
        <v>0</v>
      </c>
      <c r="BN401" s="65">
        <f t="shared" si="52"/>
        <v>0</v>
      </c>
      <c r="BO401" s="65">
        <f t="shared" si="53"/>
        <v>0</v>
      </c>
      <c r="BP401" s="65">
        <f t="shared" si="54"/>
        <v>0</v>
      </c>
    </row>
    <row r="402" spans="1:68" ht="27" customHeight="1" x14ac:dyDescent="0.25">
      <c r="A402" s="55" t="s">
        <v>648</v>
      </c>
      <c r="B402" s="55" t="s">
        <v>649</v>
      </c>
      <c r="C402" s="32">
        <v>4301031251</v>
      </c>
      <c r="D402" s="494">
        <v>4680115882102</v>
      </c>
      <c r="E402" s="495"/>
      <c r="F402" s="486">
        <v>0.6</v>
      </c>
      <c r="G402" s="33">
        <v>6</v>
      </c>
      <c r="H402" s="486">
        <v>3.6</v>
      </c>
      <c r="I402" s="486">
        <v>3.81</v>
      </c>
      <c r="J402" s="33">
        <v>132</v>
      </c>
      <c r="K402" s="33" t="s">
        <v>110</v>
      </c>
      <c r="L402" s="33"/>
      <c r="M402" s="34" t="s">
        <v>70</v>
      </c>
      <c r="N402" s="34"/>
      <c r="O402" s="33">
        <v>60</v>
      </c>
      <c r="P402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02" s="492"/>
      <c r="R402" s="492"/>
      <c r="S402" s="492"/>
      <c r="T402" s="493"/>
      <c r="U402" s="35"/>
      <c r="V402" s="35"/>
      <c r="W402" s="36" t="s">
        <v>71</v>
      </c>
      <c r="X402" s="487">
        <v>0</v>
      </c>
      <c r="Y402" s="488">
        <f t="shared" si="50"/>
        <v>0</v>
      </c>
      <c r="Z402" s="37" t="str">
        <f>IFERROR(IF(Y402=0,"",ROUNDUP(Y402/H402,0)*0.00902),"")</f>
        <v/>
      </c>
      <c r="AA402" s="57"/>
      <c r="AB402" s="58"/>
      <c r="AC402" s="458" t="s">
        <v>631</v>
      </c>
      <c r="AG402" s="65"/>
      <c r="AJ402" s="69"/>
      <c r="AK402" s="69">
        <v>0</v>
      </c>
      <c r="BB402" s="459" t="s">
        <v>1</v>
      </c>
      <c r="BM402" s="65">
        <f t="shared" si="51"/>
        <v>0</v>
      </c>
      <c r="BN402" s="65">
        <f t="shared" si="52"/>
        <v>0</v>
      </c>
      <c r="BO402" s="65">
        <f t="shared" si="53"/>
        <v>0</v>
      </c>
      <c r="BP402" s="65">
        <f t="shared" si="54"/>
        <v>0</v>
      </c>
    </row>
    <row r="403" spans="1:68" ht="27" customHeight="1" x14ac:dyDescent="0.25">
      <c r="A403" s="55" t="s">
        <v>648</v>
      </c>
      <c r="B403" s="55" t="s">
        <v>650</v>
      </c>
      <c r="C403" s="32">
        <v>4301031418</v>
      </c>
      <c r="D403" s="494">
        <v>4680115882102</v>
      </c>
      <c r="E403" s="495"/>
      <c r="F403" s="486">
        <v>0.6</v>
      </c>
      <c r="G403" s="33">
        <v>8</v>
      </c>
      <c r="H403" s="486">
        <v>4.8</v>
      </c>
      <c r="I403" s="486">
        <v>6.69</v>
      </c>
      <c r="J403" s="33">
        <v>132</v>
      </c>
      <c r="K403" s="33" t="s">
        <v>110</v>
      </c>
      <c r="L403" s="33"/>
      <c r="M403" s="34" t="s">
        <v>70</v>
      </c>
      <c r="N403" s="34"/>
      <c r="O403" s="33">
        <v>70</v>
      </c>
      <c r="P403" s="598" t="s">
        <v>651</v>
      </c>
      <c r="Q403" s="492"/>
      <c r="R403" s="492"/>
      <c r="S403" s="492"/>
      <c r="T403" s="493"/>
      <c r="U403" s="35"/>
      <c r="V403" s="35"/>
      <c r="W403" s="36" t="s">
        <v>71</v>
      </c>
      <c r="X403" s="487">
        <v>0</v>
      </c>
      <c r="Y403" s="488">
        <f t="shared" si="50"/>
        <v>0</v>
      </c>
      <c r="Z403" s="37" t="str">
        <f>IFERROR(IF(Y403=0,"",ROUNDUP(Y403/H403,0)*0.00902),"")</f>
        <v/>
      </c>
      <c r="AA403" s="57"/>
      <c r="AB403" s="58"/>
      <c r="AC403" s="460" t="s">
        <v>634</v>
      </c>
      <c r="AG403" s="65"/>
      <c r="AJ403" s="69"/>
      <c r="AK403" s="69">
        <v>0</v>
      </c>
      <c r="BB403" s="461" t="s">
        <v>1</v>
      </c>
      <c r="BM403" s="65">
        <f t="shared" si="51"/>
        <v>0</v>
      </c>
      <c r="BN403" s="65">
        <f t="shared" si="52"/>
        <v>0</v>
      </c>
      <c r="BO403" s="65">
        <f t="shared" si="53"/>
        <v>0</v>
      </c>
      <c r="BP403" s="65">
        <f t="shared" si="54"/>
        <v>0</v>
      </c>
    </row>
    <row r="404" spans="1:68" ht="27" customHeight="1" x14ac:dyDescent="0.25">
      <c r="A404" s="55" t="s">
        <v>648</v>
      </c>
      <c r="B404" s="55" t="s">
        <v>652</v>
      </c>
      <c r="C404" s="32">
        <v>4301031385</v>
      </c>
      <c r="D404" s="494">
        <v>4680115882102</v>
      </c>
      <c r="E404" s="495"/>
      <c r="F404" s="486">
        <v>0.6</v>
      </c>
      <c r="G404" s="33">
        <v>8</v>
      </c>
      <c r="H404" s="486">
        <v>4.8</v>
      </c>
      <c r="I404" s="486">
        <v>6.69</v>
      </c>
      <c r="J404" s="33">
        <v>120</v>
      </c>
      <c r="K404" s="33" t="s">
        <v>110</v>
      </c>
      <c r="L404" s="33"/>
      <c r="M404" s="34" t="s">
        <v>70</v>
      </c>
      <c r="N404" s="34"/>
      <c r="O404" s="33">
        <v>60</v>
      </c>
      <c r="P404" s="5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04" s="492"/>
      <c r="R404" s="492"/>
      <c r="S404" s="492"/>
      <c r="T404" s="493"/>
      <c r="U404" s="35"/>
      <c r="V404" s="35"/>
      <c r="W404" s="36" t="s">
        <v>71</v>
      </c>
      <c r="X404" s="487">
        <v>0</v>
      </c>
      <c r="Y404" s="488">
        <f t="shared" si="50"/>
        <v>0</v>
      </c>
      <c r="Z404" s="37" t="str">
        <f>IFERROR(IF(Y404=0,"",ROUNDUP(Y404/H404,0)*0.00937),"")</f>
        <v/>
      </c>
      <c r="AA404" s="57"/>
      <c r="AB404" s="58"/>
      <c r="AC404" s="462" t="s">
        <v>634</v>
      </c>
      <c r="AG404" s="65"/>
      <c r="AJ404" s="69"/>
      <c r="AK404" s="69">
        <v>0</v>
      </c>
      <c r="BB404" s="463" t="s">
        <v>1</v>
      </c>
      <c r="BM404" s="65">
        <f t="shared" si="51"/>
        <v>0</v>
      </c>
      <c r="BN404" s="65">
        <f t="shared" si="52"/>
        <v>0</v>
      </c>
      <c r="BO404" s="65">
        <f t="shared" si="53"/>
        <v>0</v>
      </c>
      <c r="BP404" s="65">
        <f t="shared" si="54"/>
        <v>0</v>
      </c>
    </row>
    <row r="405" spans="1:68" ht="27" customHeight="1" x14ac:dyDescent="0.25">
      <c r="A405" s="55" t="s">
        <v>653</v>
      </c>
      <c r="B405" s="55" t="s">
        <v>654</v>
      </c>
      <c r="C405" s="32">
        <v>4301031253</v>
      </c>
      <c r="D405" s="494">
        <v>4680115882096</v>
      </c>
      <c r="E405" s="495"/>
      <c r="F405" s="486">
        <v>0.6</v>
      </c>
      <c r="G405" s="33">
        <v>6</v>
      </c>
      <c r="H405" s="486">
        <v>3.6</v>
      </c>
      <c r="I405" s="486">
        <v>3.81</v>
      </c>
      <c r="J405" s="33">
        <v>132</v>
      </c>
      <c r="K405" s="33" t="s">
        <v>110</v>
      </c>
      <c r="L405" s="33"/>
      <c r="M405" s="34" t="s">
        <v>70</v>
      </c>
      <c r="N405" s="34"/>
      <c r="O405" s="33">
        <v>60</v>
      </c>
      <c r="P405" s="5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05" s="492"/>
      <c r="R405" s="492"/>
      <c r="S405" s="492"/>
      <c r="T405" s="493"/>
      <c r="U405" s="35"/>
      <c r="V405" s="35"/>
      <c r="W405" s="36" t="s">
        <v>71</v>
      </c>
      <c r="X405" s="487">
        <v>0</v>
      </c>
      <c r="Y405" s="488">
        <f t="shared" si="50"/>
        <v>0</v>
      </c>
      <c r="Z405" s="37" t="str">
        <f>IFERROR(IF(Y405=0,"",ROUNDUP(Y405/H405,0)*0.00902),"")</f>
        <v/>
      </c>
      <c r="AA405" s="57"/>
      <c r="AB405" s="58"/>
      <c r="AC405" s="464" t="s">
        <v>637</v>
      </c>
      <c r="AG405" s="65"/>
      <c r="AJ405" s="69"/>
      <c r="AK405" s="69">
        <v>0</v>
      </c>
      <c r="BB405" s="465" t="s">
        <v>1</v>
      </c>
      <c r="BM405" s="65">
        <f t="shared" si="51"/>
        <v>0</v>
      </c>
      <c r="BN405" s="65">
        <f t="shared" si="52"/>
        <v>0</v>
      </c>
      <c r="BO405" s="65">
        <f t="shared" si="53"/>
        <v>0</v>
      </c>
      <c r="BP405" s="65">
        <f t="shared" si="54"/>
        <v>0</v>
      </c>
    </row>
    <row r="406" spans="1:68" ht="27" customHeight="1" x14ac:dyDescent="0.25">
      <c r="A406" s="55" t="s">
        <v>653</v>
      </c>
      <c r="B406" s="55" t="s">
        <v>655</v>
      </c>
      <c r="C406" s="32">
        <v>4301031417</v>
      </c>
      <c r="D406" s="494">
        <v>4680115882096</v>
      </c>
      <c r="E406" s="495"/>
      <c r="F406" s="486">
        <v>0.6</v>
      </c>
      <c r="G406" s="33">
        <v>8</v>
      </c>
      <c r="H406" s="486">
        <v>4.8</v>
      </c>
      <c r="I406" s="486">
        <v>6.69</v>
      </c>
      <c r="J406" s="33">
        <v>132</v>
      </c>
      <c r="K406" s="33" t="s">
        <v>110</v>
      </c>
      <c r="L406" s="33"/>
      <c r="M406" s="34" t="s">
        <v>70</v>
      </c>
      <c r="N406" s="34"/>
      <c r="O406" s="33">
        <v>70</v>
      </c>
      <c r="P406" s="605" t="s">
        <v>656</v>
      </c>
      <c r="Q406" s="492"/>
      <c r="R406" s="492"/>
      <c r="S406" s="492"/>
      <c r="T406" s="493"/>
      <c r="U406" s="35"/>
      <c r="V406" s="35"/>
      <c r="W406" s="36" t="s">
        <v>71</v>
      </c>
      <c r="X406" s="487">
        <v>0</v>
      </c>
      <c r="Y406" s="488">
        <f t="shared" si="50"/>
        <v>0</v>
      </c>
      <c r="Z406" s="37" t="str">
        <f>IFERROR(IF(Y406=0,"",ROUNDUP(Y406/H406,0)*0.00902),"")</f>
        <v/>
      </c>
      <c r="AA406" s="57"/>
      <c r="AB406" s="58"/>
      <c r="AC406" s="466" t="s">
        <v>640</v>
      </c>
      <c r="AG406" s="65"/>
      <c r="AJ406" s="69"/>
      <c r="AK406" s="69">
        <v>0</v>
      </c>
      <c r="BB406" s="467" t="s">
        <v>1</v>
      </c>
      <c r="BM406" s="65">
        <f t="shared" si="51"/>
        <v>0</v>
      </c>
      <c r="BN406" s="65">
        <f t="shared" si="52"/>
        <v>0</v>
      </c>
      <c r="BO406" s="65">
        <f t="shared" si="53"/>
        <v>0</v>
      </c>
      <c r="BP406" s="65">
        <f t="shared" si="54"/>
        <v>0</v>
      </c>
    </row>
    <row r="407" spans="1:68" ht="27" customHeight="1" x14ac:dyDescent="0.25">
      <c r="A407" s="55" t="s">
        <v>653</v>
      </c>
      <c r="B407" s="55" t="s">
        <v>657</v>
      </c>
      <c r="C407" s="32">
        <v>4301031384</v>
      </c>
      <c r="D407" s="494">
        <v>4680115882096</v>
      </c>
      <c r="E407" s="495"/>
      <c r="F407" s="486">
        <v>0.6</v>
      </c>
      <c r="G407" s="33">
        <v>8</v>
      </c>
      <c r="H407" s="486">
        <v>4.8</v>
      </c>
      <c r="I407" s="486">
        <v>6.69</v>
      </c>
      <c r="J407" s="33">
        <v>120</v>
      </c>
      <c r="K407" s="33" t="s">
        <v>110</v>
      </c>
      <c r="L407" s="33"/>
      <c r="M407" s="34" t="s">
        <v>70</v>
      </c>
      <c r="N407" s="34"/>
      <c r="O407" s="33">
        <v>60</v>
      </c>
      <c r="P407" s="5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07" s="492"/>
      <c r="R407" s="492"/>
      <c r="S407" s="492"/>
      <c r="T407" s="493"/>
      <c r="U407" s="35"/>
      <c r="V407" s="35"/>
      <c r="W407" s="36" t="s">
        <v>71</v>
      </c>
      <c r="X407" s="487">
        <v>0</v>
      </c>
      <c r="Y407" s="488">
        <f t="shared" si="50"/>
        <v>0</v>
      </c>
      <c r="Z407" s="37" t="str">
        <f>IFERROR(IF(Y407=0,"",ROUNDUP(Y407/H407,0)*0.00937),"")</f>
        <v/>
      </c>
      <c r="AA407" s="57"/>
      <c r="AB407" s="58"/>
      <c r="AC407" s="468" t="s">
        <v>640</v>
      </c>
      <c r="AG407" s="65"/>
      <c r="AJ407" s="69"/>
      <c r="AK407" s="69">
        <v>0</v>
      </c>
      <c r="BB407" s="469" t="s">
        <v>1</v>
      </c>
      <c r="BM407" s="65">
        <f t="shared" si="51"/>
        <v>0</v>
      </c>
      <c r="BN407" s="65">
        <f t="shared" si="52"/>
        <v>0</v>
      </c>
      <c r="BO407" s="65">
        <f t="shared" si="53"/>
        <v>0</v>
      </c>
      <c r="BP407" s="65">
        <f t="shared" si="54"/>
        <v>0</v>
      </c>
    </row>
    <row r="408" spans="1:68" x14ac:dyDescent="0.2">
      <c r="A408" s="505"/>
      <c r="B408" s="501"/>
      <c r="C408" s="501"/>
      <c r="D408" s="501"/>
      <c r="E408" s="501"/>
      <c r="F408" s="501"/>
      <c r="G408" s="501"/>
      <c r="H408" s="501"/>
      <c r="I408" s="501"/>
      <c r="J408" s="501"/>
      <c r="K408" s="501"/>
      <c r="L408" s="501"/>
      <c r="M408" s="501"/>
      <c r="N408" s="501"/>
      <c r="O408" s="506"/>
      <c r="P408" s="497" t="s">
        <v>88</v>
      </c>
      <c r="Q408" s="498"/>
      <c r="R408" s="498"/>
      <c r="S408" s="498"/>
      <c r="T408" s="498"/>
      <c r="U408" s="498"/>
      <c r="V408" s="499"/>
      <c r="W408" s="38" t="s">
        <v>89</v>
      </c>
      <c r="X408" s="489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85.22727272727272</v>
      </c>
      <c r="Y408" s="489">
        <f>IFERROR(Y394/H394,"0")+IFERROR(Y395/H395,"0")+IFERROR(Y396/H396,"0")+IFERROR(Y397/H397,"0")+IFERROR(Y398/H398,"0")+IFERROR(Y399/H399,"0")+IFERROR(Y400/H400,"0")+IFERROR(Y401/H401,"0")+IFERROR(Y402/H402,"0")+IFERROR(Y403/H403,"0")+IFERROR(Y404/H404,"0")+IFERROR(Y405/H405,"0")+IFERROR(Y406/H406,"0")+IFERROR(Y407/H407,"0")</f>
        <v>86</v>
      </c>
      <c r="Z408" s="489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+IFERROR(IF(Z407="",0,Z407),"0")</f>
        <v>1.0285600000000001</v>
      </c>
      <c r="AA408" s="490"/>
      <c r="AB408" s="490"/>
      <c r="AC408" s="490"/>
    </row>
    <row r="409" spans="1:68" x14ac:dyDescent="0.2">
      <c r="A409" s="501"/>
      <c r="B409" s="501"/>
      <c r="C409" s="501"/>
      <c r="D409" s="501"/>
      <c r="E409" s="501"/>
      <c r="F409" s="501"/>
      <c r="G409" s="501"/>
      <c r="H409" s="501"/>
      <c r="I409" s="501"/>
      <c r="J409" s="501"/>
      <c r="K409" s="501"/>
      <c r="L409" s="501"/>
      <c r="M409" s="501"/>
      <c r="N409" s="501"/>
      <c r="O409" s="506"/>
      <c r="P409" s="497" t="s">
        <v>88</v>
      </c>
      <c r="Q409" s="498"/>
      <c r="R409" s="498"/>
      <c r="S409" s="498"/>
      <c r="T409" s="498"/>
      <c r="U409" s="498"/>
      <c r="V409" s="499"/>
      <c r="W409" s="38" t="s">
        <v>71</v>
      </c>
      <c r="X409" s="489">
        <f>IFERROR(SUM(X394:X407),"0")</f>
        <v>450</v>
      </c>
      <c r="Y409" s="489">
        <f>IFERROR(SUM(Y394:Y407),"0")</f>
        <v>454.08000000000004</v>
      </c>
      <c r="Z409" s="38"/>
      <c r="AA409" s="490"/>
      <c r="AB409" s="490"/>
      <c r="AC409" s="490"/>
    </row>
    <row r="410" spans="1:68" ht="14.25" customHeight="1" x14ac:dyDescent="0.25">
      <c r="A410" s="512" t="s">
        <v>66</v>
      </c>
      <c r="B410" s="501"/>
      <c r="C410" s="501"/>
      <c r="D410" s="501"/>
      <c r="E410" s="501"/>
      <c r="F410" s="501"/>
      <c r="G410" s="501"/>
      <c r="H410" s="501"/>
      <c r="I410" s="501"/>
      <c r="J410" s="501"/>
      <c r="K410" s="501"/>
      <c r="L410" s="501"/>
      <c r="M410" s="501"/>
      <c r="N410" s="501"/>
      <c r="O410" s="501"/>
      <c r="P410" s="501"/>
      <c r="Q410" s="501"/>
      <c r="R410" s="501"/>
      <c r="S410" s="501"/>
      <c r="T410" s="501"/>
      <c r="U410" s="501"/>
      <c r="V410" s="501"/>
      <c r="W410" s="501"/>
      <c r="X410" s="501"/>
      <c r="Y410" s="501"/>
      <c r="Z410" s="501"/>
      <c r="AA410" s="483"/>
      <c r="AB410" s="483"/>
      <c r="AC410" s="483"/>
    </row>
    <row r="411" spans="1:68" ht="27" customHeight="1" x14ac:dyDescent="0.25">
      <c r="A411" s="55" t="s">
        <v>658</v>
      </c>
      <c r="B411" s="55" t="s">
        <v>659</v>
      </c>
      <c r="C411" s="32">
        <v>4301051230</v>
      </c>
      <c r="D411" s="494">
        <v>4607091383409</v>
      </c>
      <c r="E411" s="495"/>
      <c r="F411" s="486">
        <v>1.3</v>
      </c>
      <c r="G411" s="33">
        <v>6</v>
      </c>
      <c r="H411" s="486">
        <v>7.8</v>
      </c>
      <c r="I411" s="486">
        <v>8.3010000000000002</v>
      </c>
      <c r="J411" s="33">
        <v>64</v>
      </c>
      <c r="K411" s="33" t="s">
        <v>101</v>
      </c>
      <c r="L411" s="33"/>
      <c r="M411" s="34" t="s">
        <v>70</v>
      </c>
      <c r="N411" s="34"/>
      <c r="O411" s="33">
        <v>45</v>
      </c>
      <c r="P411" s="6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11" s="492"/>
      <c r="R411" s="492"/>
      <c r="S411" s="492"/>
      <c r="T411" s="493"/>
      <c r="U411" s="35"/>
      <c r="V411" s="35"/>
      <c r="W411" s="36" t="s">
        <v>71</v>
      </c>
      <c r="X411" s="487">
        <v>0</v>
      </c>
      <c r="Y411" s="488">
        <f>IFERROR(IF(X411="",0,CEILING((X411/$H411),1)*$H411),"")</f>
        <v>0</v>
      </c>
      <c r="Z411" s="37" t="str">
        <f>IFERROR(IF(Y411=0,"",ROUNDUP(Y411/H411,0)*0.01898),"")</f>
        <v/>
      </c>
      <c r="AA411" s="57"/>
      <c r="AB411" s="58"/>
      <c r="AC411" s="470" t="s">
        <v>660</v>
      </c>
      <c r="AG411" s="65"/>
      <c r="AJ411" s="69"/>
      <c r="AK411" s="69">
        <v>0</v>
      </c>
      <c r="BB411" s="471" t="s">
        <v>1</v>
      </c>
      <c r="BM411" s="65">
        <f>IFERROR(X411*I411/H411,"0")</f>
        <v>0</v>
      </c>
      <c r="BN411" s="65">
        <f>IFERROR(Y411*I411/H411,"0")</f>
        <v>0</v>
      </c>
      <c r="BO411" s="65">
        <f>IFERROR(1/J411*(X411/H411),"0")</f>
        <v>0</v>
      </c>
      <c r="BP411" s="65">
        <f>IFERROR(1/J411*(Y411/H411),"0")</f>
        <v>0</v>
      </c>
    </row>
    <row r="412" spans="1:68" ht="27" customHeight="1" x14ac:dyDescent="0.25">
      <c r="A412" s="55" t="s">
        <v>661</v>
      </c>
      <c r="B412" s="55" t="s">
        <v>662</v>
      </c>
      <c r="C412" s="32">
        <v>4301051231</v>
      </c>
      <c r="D412" s="494">
        <v>4607091383416</v>
      </c>
      <c r="E412" s="495"/>
      <c r="F412" s="486">
        <v>1.3</v>
      </c>
      <c r="G412" s="33">
        <v>6</v>
      </c>
      <c r="H412" s="486">
        <v>7.8</v>
      </c>
      <c r="I412" s="486">
        <v>8.3010000000000002</v>
      </c>
      <c r="J412" s="33">
        <v>64</v>
      </c>
      <c r="K412" s="33" t="s">
        <v>101</v>
      </c>
      <c r="L412" s="33"/>
      <c r="M412" s="34" t="s">
        <v>70</v>
      </c>
      <c r="N412" s="34"/>
      <c r="O412" s="33">
        <v>45</v>
      </c>
      <c r="P412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12" s="492"/>
      <c r="R412" s="492"/>
      <c r="S412" s="492"/>
      <c r="T412" s="493"/>
      <c r="U412" s="35"/>
      <c r="V412" s="35"/>
      <c r="W412" s="36" t="s">
        <v>71</v>
      </c>
      <c r="X412" s="487">
        <v>200</v>
      </c>
      <c r="Y412" s="488">
        <f>IFERROR(IF(X412="",0,CEILING((X412/$H412),1)*$H412),"")</f>
        <v>202.79999999999998</v>
      </c>
      <c r="Z412" s="37">
        <f>IFERROR(IF(Y412=0,"",ROUNDUP(Y412/H412,0)*0.01898),"")</f>
        <v>0.49348000000000003</v>
      </c>
      <c r="AA412" s="57"/>
      <c r="AB412" s="58"/>
      <c r="AC412" s="472" t="s">
        <v>663</v>
      </c>
      <c r="AG412" s="65"/>
      <c r="AJ412" s="69"/>
      <c r="AK412" s="69">
        <v>0</v>
      </c>
      <c r="BB412" s="473" t="s">
        <v>1</v>
      </c>
      <c r="BM412" s="65">
        <f>IFERROR(X412*I412/H412,"0")</f>
        <v>212.84615384615387</v>
      </c>
      <c r="BN412" s="65">
        <f>IFERROR(Y412*I412/H412,"0")</f>
        <v>215.82599999999999</v>
      </c>
      <c r="BO412" s="65">
        <f>IFERROR(1/J412*(X412/H412),"0")</f>
        <v>0.40064102564102566</v>
      </c>
      <c r="BP412" s="65">
        <f>IFERROR(1/J412*(Y412/H412),"0")</f>
        <v>0.40625</v>
      </c>
    </row>
    <row r="413" spans="1:68" x14ac:dyDescent="0.2">
      <c r="A413" s="505"/>
      <c r="B413" s="501"/>
      <c r="C413" s="501"/>
      <c r="D413" s="501"/>
      <c r="E413" s="501"/>
      <c r="F413" s="501"/>
      <c r="G413" s="501"/>
      <c r="H413" s="501"/>
      <c r="I413" s="501"/>
      <c r="J413" s="501"/>
      <c r="K413" s="501"/>
      <c r="L413" s="501"/>
      <c r="M413" s="501"/>
      <c r="N413" s="501"/>
      <c r="O413" s="506"/>
      <c r="P413" s="497" t="s">
        <v>88</v>
      </c>
      <c r="Q413" s="498"/>
      <c r="R413" s="498"/>
      <c r="S413" s="498"/>
      <c r="T413" s="498"/>
      <c r="U413" s="498"/>
      <c r="V413" s="499"/>
      <c r="W413" s="38" t="s">
        <v>89</v>
      </c>
      <c r="X413" s="489">
        <f>IFERROR(X411/H411,"0")+IFERROR(X412/H412,"0")</f>
        <v>25.641025641025642</v>
      </c>
      <c r="Y413" s="489">
        <f>IFERROR(Y411/H411,"0")+IFERROR(Y412/H412,"0")</f>
        <v>26</v>
      </c>
      <c r="Z413" s="489">
        <f>IFERROR(IF(Z411="",0,Z411),"0")+IFERROR(IF(Z412="",0,Z412),"0")</f>
        <v>0.49348000000000003</v>
      </c>
      <c r="AA413" s="490"/>
      <c r="AB413" s="490"/>
      <c r="AC413" s="490"/>
    </row>
    <row r="414" spans="1:68" x14ac:dyDescent="0.2">
      <c r="A414" s="501"/>
      <c r="B414" s="501"/>
      <c r="C414" s="501"/>
      <c r="D414" s="501"/>
      <c r="E414" s="501"/>
      <c r="F414" s="501"/>
      <c r="G414" s="501"/>
      <c r="H414" s="501"/>
      <c r="I414" s="501"/>
      <c r="J414" s="501"/>
      <c r="K414" s="501"/>
      <c r="L414" s="501"/>
      <c r="M414" s="501"/>
      <c r="N414" s="501"/>
      <c r="O414" s="506"/>
      <c r="P414" s="497" t="s">
        <v>88</v>
      </c>
      <c r="Q414" s="498"/>
      <c r="R414" s="498"/>
      <c r="S414" s="498"/>
      <c r="T414" s="498"/>
      <c r="U414" s="498"/>
      <c r="V414" s="499"/>
      <c r="W414" s="38" t="s">
        <v>71</v>
      </c>
      <c r="X414" s="489">
        <f>IFERROR(SUM(X411:X412),"0")</f>
        <v>200</v>
      </c>
      <c r="Y414" s="489">
        <f>IFERROR(SUM(Y411:Y412),"0")</f>
        <v>202.79999999999998</v>
      </c>
      <c r="Z414" s="38"/>
      <c r="AA414" s="490"/>
      <c r="AB414" s="490"/>
      <c r="AC414" s="490"/>
    </row>
    <row r="415" spans="1:68" ht="27.75" customHeight="1" x14ac:dyDescent="0.2">
      <c r="A415" s="544" t="s">
        <v>664</v>
      </c>
      <c r="B415" s="545"/>
      <c r="C415" s="545"/>
      <c r="D415" s="545"/>
      <c r="E415" s="545"/>
      <c r="F415" s="545"/>
      <c r="G415" s="545"/>
      <c r="H415" s="545"/>
      <c r="I415" s="545"/>
      <c r="J415" s="545"/>
      <c r="K415" s="545"/>
      <c r="L415" s="545"/>
      <c r="M415" s="545"/>
      <c r="N415" s="545"/>
      <c r="O415" s="545"/>
      <c r="P415" s="545"/>
      <c r="Q415" s="545"/>
      <c r="R415" s="545"/>
      <c r="S415" s="545"/>
      <c r="T415" s="545"/>
      <c r="U415" s="545"/>
      <c r="V415" s="545"/>
      <c r="W415" s="545"/>
      <c r="X415" s="545"/>
      <c r="Y415" s="545"/>
      <c r="Z415" s="545"/>
      <c r="AA415" s="49"/>
      <c r="AB415" s="49"/>
      <c r="AC415" s="49"/>
    </row>
    <row r="416" spans="1:68" ht="16.5" customHeight="1" x14ac:dyDescent="0.25">
      <c r="A416" s="500" t="s">
        <v>664</v>
      </c>
      <c r="B416" s="501"/>
      <c r="C416" s="501"/>
      <c r="D416" s="501"/>
      <c r="E416" s="501"/>
      <c r="F416" s="501"/>
      <c r="G416" s="501"/>
      <c r="H416" s="501"/>
      <c r="I416" s="501"/>
      <c r="J416" s="501"/>
      <c r="K416" s="501"/>
      <c r="L416" s="501"/>
      <c r="M416" s="501"/>
      <c r="N416" s="501"/>
      <c r="O416" s="501"/>
      <c r="P416" s="501"/>
      <c r="Q416" s="501"/>
      <c r="R416" s="501"/>
      <c r="S416" s="501"/>
      <c r="T416" s="501"/>
      <c r="U416" s="501"/>
      <c r="V416" s="501"/>
      <c r="W416" s="501"/>
      <c r="X416" s="501"/>
      <c r="Y416" s="501"/>
      <c r="Z416" s="501"/>
      <c r="AA416" s="482"/>
      <c r="AB416" s="482"/>
      <c r="AC416" s="482"/>
    </row>
    <row r="417" spans="1:68" ht="14.25" customHeight="1" x14ac:dyDescent="0.25">
      <c r="A417" s="512" t="s">
        <v>98</v>
      </c>
      <c r="B417" s="501"/>
      <c r="C417" s="501"/>
      <c r="D417" s="501"/>
      <c r="E417" s="501"/>
      <c r="F417" s="501"/>
      <c r="G417" s="501"/>
      <c r="H417" s="501"/>
      <c r="I417" s="501"/>
      <c r="J417" s="501"/>
      <c r="K417" s="501"/>
      <c r="L417" s="501"/>
      <c r="M417" s="501"/>
      <c r="N417" s="501"/>
      <c r="O417" s="501"/>
      <c r="P417" s="501"/>
      <c r="Q417" s="501"/>
      <c r="R417" s="501"/>
      <c r="S417" s="501"/>
      <c r="T417" s="501"/>
      <c r="U417" s="501"/>
      <c r="V417" s="501"/>
      <c r="W417" s="501"/>
      <c r="X417" s="501"/>
      <c r="Y417" s="501"/>
      <c r="Z417" s="501"/>
      <c r="AA417" s="483"/>
      <c r="AB417" s="483"/>
      <c r="AC417" s="483"/>
    </row>
    <row r="418" spans="1:68" ht="27" customHeight="1" x14ac:dyDescent="0.25">
      <c r="A418" s="55" t="s">
        <v>665</v>
      </c>
      <c r="B418" s="55" t="s">
        <v>666</v>
      </c>
      <c r="C418" s="32">
        <v>4301011862</v>
      </c>
      <c r="D418" s="494">
        <v>4680115885523</v>
      </c>
      <c r="E418" s="495"/>
      <c r="F418" s="486">
        <v>1</v>
      </c>
      <c r="G418" s="33">
        <v>6</v>
      </c>
      <c r="H418" s="486">
        <v>6</v>
      </c>
      <c r="I418" s="486">
        <v>6.36</v>
      </c>
      <c r="J418" s="33">
        <v>104</v>
      </c>
      <c r="K418" s="33" t="s">
        <v>101</v>
      </c>
      <c r="L418" s="33"/>
      <c r="M418" s="34" t="s">
        <v>205</v>
      </c>
      <c r="N418" s="34"/>
      <c r="O418" s="33">
        <v>90</v>
      </c>
      <c r="P418" s="744" t="s">
        <v>667</v>
      </c>
      <c r="Q418" s="492"/>
      <c r="R418" s="492"/>
      <c r="S418" s="492"/>
      <c r="T418" s="493"/>
      <c r="U418" s="35"/>
      <c r="V418" s="35"/>
      <c r="W418" s="36" t="s">
        <v>71</v>
      </c>
      <c r="X418" s="487">
        <v>0</v>
      </c>
      <c r="Y418" s="488">
        <f>IFERROR(IF(X418="",0,CEILING((X418/$H418),1)*$H418),"")</f>
        <v>0</v>
      </c>
      <c r="Z418" s="37" t="str">
        <f>IFERROR(IF(Y418=0,"",ROUNDUP(Y418/H418,0)*0.01196),"")</f>
        <v/>
      </c>
      <c r="AA418" s="57"/>
      <c r="AB418" s="58"/>
      <c r="AC418" s="474" t="s">
        <v>206</v>
      </c>
      <c r="AG418" s="65"/>
      <c r="AJ418" s="69"/>
      <c r="AK418" s="69">
        <v>0</v>
      </c>
      <c r="BB418" s="475" t="s">
        <v>1</v>
      </c>
      <c r="BM418" s="65">
        <f>IFERROR(X418*I418/H418,"0")</f>
        <v>0</v>
      </c>
      <c r="BN418" s="65">
        <f>IFERROR(Y418*I418/H418,"0")</f>
        <v>0</v>
      </c>
      <c r="BO418" s="65">
        <f>IFERROR(1/J418*(X418/H418),"0")</f>
        <v>0</v>
      </c>
      <c r="BP418" s="65">
        <f>IFERROR(1/J418*(Y418/H418),"0")</f>
        <v>0</v>
      </c>
    </row>
    <row r="419" spans="1:68" x14ac:dyDescent="0.2">
      <c r="A419" s="505"/>
      <c r="B419" s="501"/>
      <c r="C419" s="501"/>
      <c r="D419" s="501"/>
      <c r="E419" s="501"/>
      <c r="F419" s="501"/>
      <c r="G419" s="501"/>
      <c r="H419" s="501"/>
      <c r="I419" s="501"/>
      <c r="J419" s="501"/>
      <c r="K419" s="501"/>
      <c r="L419" s="501"/>
      <c r="M419" s="501"/>
      <c r="N419" s="501"/>
      <c r="O419" s="506"/>
      <c r="P419" s="497" t="s">
        <v>88</v>
      </c>
      <c r="Q419" s="498"/>
      <c r="R419" s="498"/>
      <c r="S419" s="498"/>
      <c r="T419" s="498"/>
      <c r="U419" s="498"/>
      <c r="V419" s="499"/>
      <c r="W419" s="38" t="s">
        <v>89</v>
      </c>
      <c r="X419" s="489">
        <f>IFERROR(X418/H418,"0")</f>
        <v>0</v>
      </c>
      <c r="Y419" s="489">
        <f>IFERROR(Y418/H418,"0")</f>
        <v>0</v>
      </c>
      <c r="Z419" s="489">
        <f>IFERROR(IF(Z418="",0,Z418),"0")</f>
        <v>0</v>
      </c>
      <c r="AA419" s="490"/>
      <c r="AB419" s="490"/>
      <c r="AC419" s="490"/>
    </row>
    <row r="420" spans="1:68" x14ac:dyDescent="0.2">
      <c r="A420" s="501"/>
      <c r="B420" s="501"/>
      <c r="C420" s="501"/>
      <c r="D420" s="501"/>
      <c r="E420" s="501"/>
      <c r="F420" s="501"/>
      <c r="G420" s="501"/>
      <c r="H420" s="501"/>
      <c r="I420" s="501"/>
      <c r="J420" s="501"/>
      <c r="K420" s="501"/>
      <c r="L420" s="501"/>
      <c r="M420" s="501"/>
      <c r="N420" s="501"/>
      <c r="O420" s="506"/>
      <c r="P420" s="497" t="s">
        <v>88</v>
      </c>
      <c r="Q420" s="498"/>
      <c r="R420" s="498"/>
      <c r="S420" s="498"/>
      <c r="T420" s="498"/>
      <c r="U420" s="498"/>
      <c r="V420" s="499"/>
      <c r="W420" s="38" t="s">
        <v>71</v>
      </c>
      <c r="X420" s="489">
        <f>IFERROR(SUM(X418:X418),"0")</f>
        <v>0</v>
      </c>
      <c r="Y420" s="489">
        <f>IFERROR(SUM(Y418:Y418),"0")</f>
        <v>0</v>
      </c>
      <c r="Z420" s="38"/>
      <c r="AA420" s="490"/>
      <c r="AB420" s="490"/>
      <c r="AC420" s="490"/>
    </row>
    <row r="421" spans="1:68" ht="14.25" customHeight="1" x14ac:dyDescent="0.25">
      <c r="A421" s="512" t="s">
        <v>213</v>
      </c>
      <c r="B421" s="501"/>
      <c r="C421" s="501"/>
      <c r="D421" s="501"/>
      <c r="E421" s="501"/>
      <c r="F421" s="501"/>
      <c r="G421" s="501"/>
      <c r="H421" s="501"/>
      <c r="I421" s="501"/>
      <c r="J421" s="501"/>
      <c r="K421" s="501"/>
      <c r="L421" s="501"/>
      <c r="M421" s="501"/>
      <c r="N421" s="501"/>
      <c r="O421" s="501"/>
      <c r="P421" s="501"/>
      <c r="Q421" s="501"/>
      <c r="R421" s="501"/>
      <c r="S421" s="501"/>
      <c r="T421" s="501"/>
      <c r="U421" s="501"/>
      <c r="V421" s="501"/>
      <c r="W421" s="501"/>
      <c r="X421" s="501"/>
      <c r="Y421" s="501"/>
      <c r="Z421" s="501"/>
      <c r="AA421" s="483"/>
      <c r="AB421" s="483"/>
      <c r="AC421" s="483"/>
    </row>
    <row r="422" spans="1:68" ht="16.5" customHeight="1" x14ac:dyDescent="0.25">
      <c r="A422" s="55" t="s">
        <v>668</v>
      </c>
      <c r="B422" s="55" t="s">
        <v>669</v>
      </c>
      <c r="C422" s="32">
        <v>4301031309</v>
      </c>
      <c r="D422" s="494">
        <v>4680115885530</v>
      </c>
      <c r="E422" s="495"/>
      <c r="F422" s="486">
        <v>0.7</v>
      </c>
      <c r="G422" s="33">
        <v>6</v>
      </c>
      <c r="H422" s="486">
        <v>4.2</v>
      </c>
      <c r="I422" s="486">
        <v>4.41</v>
      </c>
      <c r="J422" s="33">
        <v>120</v>
      </c>
      <c r="K422" s="33" t="s">
        <v>110</v>
      </c>
      <c r="L422" s="33"/>
      <c r="M422" s="34" t="s">
        <v>205</v>
      </c>
      <c r="N422" s="34"/>
      <c r="O422" s="33">
        <v>90</v>
      </c>
      <c r="P422" s="61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422" s="492"/>
      <c r="R422" s="492"/>
      <c r="S422" s="492"/>
      <c r="T422" s="493"/>
      <c r="U422" s="35"/>
      <c r="V422" s="35"/>
      <c r="W422" s="36" t="s">
        <v>71</v>
      </c>
      <c r="X422" s="487">
        <v>0</v>
      </c>
      <c r="Y422" s="488">
        <f>IFERROR(IF(X422="",0,CEILING((X422/$H422),1)*$H422),"")</f>
        <v>0</v>
      </c>
      <c r="Z422" s="37" t="str">
        <f>IFERROR(IF(Y422=0,"",ROUNDUP(Y422/H422,0)*0.00937),"")</f>
        <v/>
      </c>
      <c r="AA422" s="57"/>
      <c r="AB422" s="58"/>
      <c r="AC422" s="476" t="s">
        <v>670</v>
      </c>
      <c r="AG422" s="65"/>
      <c r="AJ422" s="69"/>
      <c r="AK422" s="69">
        <v>0</v>
      </c>
      <c r="BB422" s="477" t="s">
        <v>1</v>
      </c>
      <c r="BM422" s="65">
        <f>IFERROR(X422*I422/H422,"0")</f>
        <v>0</v>
      </c>
      <c r="BN422" s="65">
        <f>IFERROR(Y422*I422/H422,"0")</f>
        <v>0</v>
      </c>
      <c r="BO422" s="65">
        <f>IFERROR(1/J422*(X422/H422),"0")</f>
        <v>0</v>
      </c>
      <c r="BP422" s="65">
        <f>IFERROR(1/J422*(Y422/H422),"0")</f>
        <v>0</v>
      </c>
    </row>
    <row r="423" spans="1:68" x14ac:dyDescent="0.2">
      <c r="A423" s="505"/>
      <c r="B423" s="501"/>
      <c r="C423" s="501"/>
      <c r="D423" s="501"/>
      <c r="E423" s="501"/>
      <c r="F423" s="501"/>
      <c r="G423" s="501"/>
      <c r="H423" s="501"/>
      <c r="I423" s="501"/>
      <c r="J423" s="501"/>
      <c r="K423" s="501"/>
      <c r="L423" s="501"/>
      <c r="M423" s="501"/>
      <c r="N423" s="501"/>
      <c r="O423" s="506"/>
      <c r="P423" s="497" t="s">
        <v>88</v>
      </c>
      <c r="Q423" s="498"/>
      <c r="R423" s="498"/>
      <c r="S423" s="498"/>
      <c r="T423" s="498"/>
      <c r="U423" s="498"/>
      <c r="V423" s="499"/>
      <c r="W423" s="38" t="s">
        <v>89</v>
      </c>
      <c r="X423" s="489">
        <f>IFERROR(X422/H422,"0")</f>
        <v>0</v>
      </c>
      <c r="Y423" s="489">
        <f>IFERROR(Y422/H422,"0")</f>
        <v>0</v>
      </c>
      <c r="Z423" s="489">
        <f>IFERROR(IF(Z422="",0,Z422),"0")</f>
        <v>0</v>
      </c>
      <c r="AA423" s="490"/>
      <c r="AB423" s="490"/>
      <c r="AC423" s="490"/>
    </row>
    <row r="424" spans="1:68" x14ac:dyDescent="0.2">
      <c r="A424" s="501"/>
      <c r="B424" s="501"/>
      <c r="C424" s="501"/>
      <c r="D424" s="501"/>
      <c r="E424" s="501"/>
      <c r="F424" s="501"/>
      <c r="G424" s="501"/>
      <c r="H424" s="501"/>
      <c r="I424" s="501"/>
      <c r="J424" s="501"/>
      <c r="K424" s="501"/>
      <c r="L424" s="501"/>
      <c r="M424" s="501"/>
      <c r="N424" s="501"/>
      <c r="O424" s="506"/>
      <c r="P424" s="497" t="s">
        <v>88</v>
      </c>
      <c r="Q424" s="498"/>
      <c r="R424" s="498"/>
      <c r="S424" s="498"/>
      <c r="T424" s="498"/>
      <c r="U424" s="498"/>
      <c r="V424" s="499"/>
      <c r="W424" s="38" t="s">
        <v>71</v>
      </c>
      <c r="X424" s="489">
        <f>IFERROR(SUM(X422:X422),"0")</f>
        <v>0</v>
      </c>
      <c r="Y424" s="489">
        <f>IFERROR(SUM(Y422:Y422),"0")</f>
        <v>0</v>
      </c>
      <c r="Z424" s="38"/>
      <c r="AA424" s="490"/>
      <c r="AB424" s="490"/>
      <c r="AC424" s="490"/>
    </row>
    <row r="425" spans="1:68" ht="27.75" customHeight="1" x14ac:dyDescent="0.2">
      <c r="A425" s="544" t="s">
        <v>671</v>
      </c>
      <c r="B425" s="545"/>
      <c r="C425" s="545"/>
      <c r="D425" s="545"/>
      <c r="E425" s="545"/>
      <c r="F425" s="545"/>
      <c r="G425" s="545"/>
      <c r="H425" s="545"/>
      <c r="I425" s="545"/>
      <c r="J425" s="545"/>
      <c r="K425" s="545"/>
      <c r="L425" s="545"/>
      <c r="M425" s="545"/>
      <c r="N425" s="545"/>
      <c r="O425" s="545"/>
      <c r="P425" s="545"/>
      <c r="Q425" s="545"/>
      <c r="R425" s="545"/>
      <c r="S425" s="545"/>
      <c r="T425" s="545"/>
      <c r="U425" s="545"/>
      <c r="V425" s="545"/>
      <c r="W425" s="545"/>
      <c r="X425" s="545"/>
      <c r="Y425" s="545"/>
      <c r="Z425" s="545"/>
      <c r="AA425" s="49"/>
      <c r="AB425" s="49"/>
      <c r="AC425" s="49"/>
    </row>
    <row r="426" spans="1:68" ht="16.5" customHeight="1" x14ac:dyDescent="0.25">
      <c r="A426" s="500" t="s">
        <v>671</v>
      </c>
      <c r="B426" s="501"/>
      <c r="C426" s="501"/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  <c r="P426" s="501"/>
      <c r="Q426" s="501"/>
      <c r="R426" s="501"/>
      <c r="S426" s="501"/>
      <c r="T426" s="501"/>
      <c r="U426" s="501"/>
      <c r="V426" s="501"/>
      <c r="W426" s="501"/>
      <c r="X426" s="501"/>
      <c r="Y426" s="501"/>
      <c r="Z426" s="501"/>
      <c r="AA426" s="482"/>
      <c r="AB426" s="482"/>
      <c r="AC426" s="482"/>
    </row>
    <row r="427" spans="1:68" ht="14.25" customHeight="1" x14ac:dyDescent="0.25">
      <c r="A427" s="512" t="s">
        <v>66</v>
      </c>
      <c r="B427" s="501"/>
      <c r="C427" s="501"/>
      <c r="D427" s="501"/>
      <c r="E427" s="501"/>
      <c r="F427" s="501"/>
      <c r="G427" s="501"/>
      <c r="H427" s="501"/>
      <c r="I427" s="501"/>
      <c r="J427" s="501"/>
      <c r="K427" s="501"/>
      <c r="L427" s="501"/>
      <c r="M427" s="501"/>
      <c r="N427" s="501"/>
      <c r="O427" s="501"/>
      <c r="P427" s="501"/>
      <c r="Q427" s="501"/>
      <c r="R427" s="501"/>
      <c r="S427" s="501"/>
      <c r="T427" s="501"/>
      <c r="U427" s="501"/>
      <c r="V427" s="501"/>
      <c r="W427" s="501"/>
      <c r="X427" s="501"/>
      <c r="Y427" s="501"/>
      <c r="Z427" s="501"/>
      <c r="AA427" s="483"/>
      <c r="AB427" s="483"/>
      <c r="AC427" s="483"/>
    </row>
    <row r="428" spans="1:68" ht="27" customHeight="1" x14ac:dyDescent="0.25">
      <c r="A428" s="55" t="s">
        <v>672</v>
      </c>
      <c r="B428" s="55" t="s">
        <v>673</v>
      </c>
      <c r="C428" s="32">
        <v>4301051933</v>
      </c>
      <c r="D428" s="494">
        <v>4640242180540</v>
      </c>
      <c r="E428" s="495"/>
      <c r="F428" s="486">
        <v>1.3</v>
      </c>
      <c r="G428" s="33">
        <v>6</v>
      </c>
      <c r="H428" s="486">
        <v>7.8</v>
      </c>
      <c r="I428" s="486">
        <v>8.3190000000000008</v>
      </c>
      <c r="J428" s="33">
        <v>64</v>
      </c>
      <c r="K428" s="33" t="s">
        <v>101</v>
      </c>
      <c r="L428" s="33"/>
      <c r="M428" s="34" t="s">
        <v>102</v>
      </c>
      <c r="N428" s="34"/>
      <c r="O428" s="33">
        <v>45</v>
      </c>
      <c r="P428" s="571" t="s">
        <v>674</v>
      </c>
      <c r="Q428" s="492"/>
      <c r="R428" s="492"/>
      <c r="S428" s="492"/>
      <c r="T428" s="493"/>
      <c r="U428" s="35"/>
      <c r="V428" s="35"/>
      <c r="W428" s="36" t="s">
        <v>71</v>
      </c>
      <c r="X428" s="487">
        <v>0</v>
      </c>
      <c r="Y428" s="488">
        <f>IFERROR(IF(X428="",0,CEILING((X428/$H428),1)*$H428),"")</f>
        <v>0</v>
      </c>
      <c r="Z428" s="37" t="str">
        <f>IFERROR(IF(Y428=0,"",ROUNDUP(Y428/H428,0)*0.01898),"")</f>
        <v/>
      </c>
      <c r="AA428" s="57"/>
      <c r="AB428" s="58"/>
      <c r="AC428" s="478" t="s">
        <v>675</v>
      </c>
      <c r="AG428" s="65"/>
      <c r="AJ428" s="69"/>
      <c r="AK428" s="69">
        <v>0</v>
      </c>
      <c r="BB428" s="479" t="s">
        <v>1</v>
      </c>
      <c r="BM428" s="65">
        <f>IFERROR(X428*I428/H428,"0")</f>
        <v>0</v>
      </c>
      <c r="BN428" s="65">
        <f>IFERROR(Y428*I428/H428,"0")</f>
        <v>0</v>
      </c>
      <c r="BO428" s="65">
        <f>IFERROR(1/J428*(X428/H428),"0")</f>
        <v>0</v>
      </c>
      <c r="BP428" s="65">
        <f>IFERROR(1/J428*(Y428/H428),"0")</f>
        <v>0</v>
      </c>
    </row>
    <row r="429" spans="1:68" x14ac:dyDescent="0.2">
      <c r="A429" s="505"/>
      <c r="B429" s="501"/>
      <c r="C429" s="501"/>
      <c r="D429" s="501"/>
      <c r="E429" s="501"/>
      <c r="F429" s="501"/>
      <c r="G429" s="501"/>
      <c r="H429" s="501"/>
      <c r="I429" s="501"/>
      <c r="J429" s="501"/>
      <c r="K429" s="501"/>
      <c r="L429" s="501"/>
      <c r="M429" s="501"/>
      <c r="N429" s="501"/>
      <c r="O429" s="506"/>
      <c r="P429" s="497" t="s">
        <v>88</v>
      </c>
      <c r="Q429" s="498"/>
      <c r="R429" s="498"/>
      <c r="S429" s="498"/>
      <c r="T429" s="498"/>
      <c r="U429" s="498"/>
      <c r="V429" s="499"/>
      <c r="W429" s="38" t="s">
        <v>89</v>
      </c>
      <c r="X429" s="489">
        <f>IFERROR(X428/H428,"0")</f>
        <v>0</v>
      </c>
      <c r="Y429" s="489">
        <f>IFERROR(Y428/H428,"0")</f>
        <v>0</v>
      </c>
      <c r="Z429" s="489">
        <f>IFERROR(IF(Z428="",0,Z428),"0")</f>
        <v>0</v>
      </c>
      <c r="AA429" s="490"/>
      <c r="AB429" s="490"/>
      <c r="AC429" s="490"/>
    </row>
    <row r="430" spans="1:68" x14ac:dyDescent="0.2">
      <c r="A430" s="501"/>
      <c r="B430" s="501"/>
      <c r="C430" s="501"/>
      <c r="D430" s="501"/>
      <c r="E430" s="501"/>
      <c r="F430" s="501"/>
      <c r="G430" s="501"/>
      <c r="H430" s="501"/>
      <c r="I430" s="501"/>
      <c r="J430" s="501"/>
      <c r="K430" s="501"/>
      <c r="L430" s="501"/>
      <c r="M430" s="501"/>
      <c r="N430" s="501"/>
      <c r="O430" s="506"/>
      <c r="P430" s="497" t="s">
        <v>88</v>
      </c>
      <c r="Q430" s="498"/>
      <c r="R430" s="498"/>
      <c r="S430" s="498"/>
      <c r="T430" s="498"/>
      <c r="U430" s="498"/>
      <c r="V430" s="499"/>
      <c r="W430" s="38" t="s">
        <v>71</v>
      </c>
      <c r="X430" s="489">
        <f>IFERROR(SUM(X428:X428),"0")</f>
        <v>0</v>
      </c>
      <c r="Y430" s="489">
        <f>IFERROR(SUM(Y428:Y428),"0")</f>
        <v>0</v>
      </c>
      <c r="Z430" s="38"/>
      <c r="AA430" s="490"/>
      <c r="AB430" s="490"/>
      <c r="AC430" s="490"/>
    </row>
    <row r="431" spans="1:68" ht="15" customHeight="1" x14ac:dyDescent="0.2">
      <c r="A431" s="625"/>
      <c r="B431" s="501"/>
      <c r="C431" s="501"/>
      <c r="D431" s="501"/>
      <c r="E431" s="501"/>
      <c r="F431" s="501"/>
      <c r="G431" s="501"/>
      <c r="H431" s="501"/>
      <c r="I431" s="501"/>
      <c r="J431" s="501"/>
      <c r="K431" s="501"/>
      <c r="L431" s="501"/>
      <c r="M431" s="501"/>
      <c r="N431" s="501"/>
      <c r="O431" s="626"/>
      <c r="P431" s="627" t="s">
        <v>676</v>
      </c>
      <c r="Q431" s="594"/>
      <c r="R431" s="594"/>
      <c r="S431" s="594"/>
      <c r="T431" s="594"/>
      <c r="U431" s="594"/>
      <c r="V431" s="595"/>
      <c r="W431" s="38" t="s">
        <v>71</v>
      </c>
      <c r="X431" s="489">
        <f>IFERROR(X28+X32+X42+X53+X60+X65+X71+X80+X87+X93+X100+X104+X109+X113+X118+X126+X131+X144+X150+X155+X162+X173+X180+X190+X201+X210+X215+X222+X228+X234+X244+X251+X260+X267+X274+X280+X285+X290+X301+X306+X311+X315+X324+X329+X336+X340+X346+X354+X359+X364+X368+X386+X392+X409+X414+X420+X424+X430,"0")</f>
        <v>8678</v>
      </c>
      <c r="Y431" s="489">
        <f>IFERROR(Y28+Y32+Y42+Y53+Y60+Y65+Y71+Y80+Y87+Y93+Y100+Y104+Y109+Y113+Y118+Y126+Y131+Y144+Y150+Y155+Y162+Y173+Y180+Y190+Y201+Y210+Y215+Y222+Y228+Y234+Y244+Y251+Y260+Y267+Y274+Y280+Y285+Y290+Y301+Y306+Y311+Y315+Y324+Y329+Y336+Y340+Y346+Y354+Y359+Y364+Y368+Y386+Y392+Y409+Y414+Y420+Y424+Y430,"0")</f>
        <v>8770.1799999999985</v>
      </c>
      <c r="Z431" s="38"/>
      <c r="AA431" s="490"/>
      <c r="AB431" s="490"/>
      <c r="AC431" s="490"/>
    </row>
    <row r="432" spans="1:68" x14ac:dyDescent="0.2">
      <c r="A432" s="501"/>
      <c r="B432" s="501"/>
      <c r="C432" s="501"/>
      <c r="D432" s="501"/>
      <c r="E432" s="501"/>
      <c r="F432" s="501"/>
      <c r="G432" s="501"/>
      <c r="H432" s="501"/>
      <c r="I432" s="501"/>
      <c r="J432" s="501"/>
      <c r="K432" s="501"/>
      <c r="L432" s="501"/>
      <c r="M432" s="501"/>
      <c r="N432" s="501"/>
      <c r="O432" s="626"/>
      <c r="P432" s="627" t="s">
        <v>677</v>
      </c>
      <c r="Q432" s="594"/>
      <c r="R432" s="594"/>
      <c r="S432" s="594"/>
      <c r="T432" s="594"/>
      <c r="U432" s="594"/>
      <c r="V432" s="595"/>
      <c r="W432" s="38" t="s">
        <v>71</v>
      </c>
      <c r="X432" s="489">
        <f>IFERROR(SUM(BM22:BM428),"0")</f>
        <v>9136.7677850183009</v>
      </c>
      <c r="Y432" s="489">
        <f>IFERROR(SUM(BN22:BN428),"0")</f>
        <v>9233.6419999999962</v>
      </c>
      <c r="Z432" s="38"/>
      <c r="AA432" s="490"/>
      <c r="AB432" s="490"/>
      <c r="AC432" s="490"/>
    </row>
    <row r="433" spans="1:32" x14ac:dyDescent="0.2">
      <c r="A433" s="501"/>
      <c r="B433" s="501"/>
      <c r="C433" s="501"/>
      <c r="D433" s="501"/>
      <c r="E433" s="501"/>
      <c r="F433" s="501"/>
      <c r="G433" s="501"/>
      <c r="H433" s="501"/>
      <c r="I433" s="501"/>
      <c r="J433" s="501"/>
      <c r="K433" s="501"/>
      <c r="L433" s="501"/>
      <c r="M433" s="501"/>
      <c r="N433" s="501"/>
      <c r="O433" s="626"/>
      <c r="P433" s="627" t="s">
        <v>678</v>
      </c>
      <c r="Q433" s="594"/>
      <c r="R433" s="594"/>
      <c r="S433" s="594"/>
      <c r="T433" s="594"/>
      <c r="U433" s="594"/>
      <c r="V433" s="595"/>
      <c r="W433" s="38" t="s">
        <v>679</v>
      </c>
      <c r="X433" s="39">
        <f>ROUNDUP(SUM(BO22:BO428),0)</f>
        <v>15</v>
      </c>
      <c r="Y433" s="39">
        <f>ROUNDUP(SUM(BP22:BP428),0)</f>
        <v>16</v>
      </c>
      <c r="Z433" s="38"/>
      <c r="AA433" s="490"/>
      <c r="AB433" s="490"/>
      <c r="AC433" s="490"/>
    </row>
    <row r="434" spans="1:32" x14ac:dyDescent="0.2">
      <c r="A434" s="501"/>
      <c r="B434" s="501"/>
      <c r="C434" s="501"/>
      <c r="D434" s="501"/>
      <c r="E434" s="501"/>
      <c r="F434" s="501"/>
      <c r="G434" s="501"/>
      <c r="H434" s="501"/>
      <c r="I434" s="501"/>
      <c r="J434" s="501"/>
      <c r="K434" s="501"/>
      <c r="L434" s="501"/>
      <c r="M434" s="501"/>
      <c r="N434" s="501"/>
      <c r="O434" s="626"/>
      <c r="P434" s="627" t="s">
        <v>680</v>
      </c>
      <c r="Q434" s="594"/>
      <c r="R434" s="594"/>
      <c r="S434" s="594"/>
      <c r="T434" s="594"/>
      <c r="U434" s="594"/>
      <c r="V434" s="595"/>
      <c r="W434" s="38" t="s">
        <v>71</v>
      </c>
      <c r="X434" s="489">
        <f>GrossWeightTotal+PalletQtyTotal*25</f>
        <v>9511.7677850183009</v>
      </c>
      <c r="Y434" s="489">
        <f>GrossWeightTotalR+PalletQtyTotalR*25</f>
        <v>9633.6419999999962</v>
      </c>
      <c r="Z434" s="38"/>
      <c r="AA434" s="490"/>
      <c r="AB434" s="490"/>
      <c r="AC434" s="490"/>
    </row>
    <row r="435" spans="1:32" x14ac:dyDescent="0.2">
      <c r="A435" s="501"/>
      <c r="B435" s="501"/>
      <c r="C435" s="501"/>
      <c r="D435" s="501"/>
      <c r="E435" s="501"/>
      <c r="F435" s="501"/>
      <c r="G435" s="501"/>
      <c r="H435" s="501"/>
      <c r="I435" s="501"/>
      <c r="J435" s="501"/>
      <c r="K435" s="501"/>
      <c r="L435" s="501"/>
      <c r="M435" s="501"/>
      <c r="N435" s="501"/>
      <c r="O435" s="626"/>
      <c r="P435" s="627" t="s">
        <v>681</v>
      </c>
      <c r="Q435" s="594"/>
      <c r="R435" s="594"/>
      <c r="S435" s="594"/>
      <c r="T435" s="594"/>
      <c r="U435" s="594"/>
      <c r="V435" s="595"/>
      <c r="W435" s="38" t="s">
        <v>679</v>
      </c>
      <c r="X435" s="489">
        <f>IFERROR(X27+X31+X41+X52+X59+X64+X70+X79+X86+X92+X99+X103+X108+X112+X117+X125+X130+X143+X149+X154+X161+X172+X179+X189+X200+X209+X214+X221+X227+X233+X243+X250+X259+X266+X273+X279+X284+X289+X300+X305+X310+X314+X323+X328+X335+X339+X345+X353+X358+X363+X367+X385+X391+X408+X413+X419+X423+X429,"0")</f>
        <v>1405.2983597926122</v>
      </c>
      <c r="Y435" s="489">
        <f>IFERROR(Y27+Y31+Y41+Y52+Y59+Y64+Y70+Y79+Y86+Y92+Y99+Y103+Y108+Y112+Y117+Y125+Y130+Y143+Y149+Y154+Y161+Y172+Y179+Y189+Y200+Y209+Y214+Y221+Y227+Y233+Y243+Y250+Y259+Y266+Y273+Y279+Y284+Y289+Y300+Y305+Y310+Y314+Y323+Y328+Y335+Y339+Y345+Y353+Y358+Y363+Y367+Y385+Y391+Y408+Y413+Y419+Y423+Y429,"0")</f>
        <v>1418</v>
      </c>
      <c r="Z435" s="38"/>
      <c r="AA435" s="490"/>
      <c r="AB435" s="490"/>
      <c r="AC435" s="490"/>
    </row>
    <row r="436" spans="1:32" ht="14.25" customHeight="1" x14ac:dyDescent="0.2">
      <c r="A436" s="501"/>
      <c r="B436" s="501"/>
      <c r="C436" s="501"/>
      <c r="D436" s="501"/>
      <c r="E436" s="501"/>
      <c r="F436" s="501"/>
      <c r="G436" s="501"/>
      <c r="H436" s="501"/>
      <c r="I436" s="501"/>
      <c r="J436" s="501"/>
      <c r="K436" s="501"/>
      <c r="L436" s="501"/>
      <c r="M436" s="501"/>
      <c r="N436" s="501"/>
      <c r="O436" s="626"/>
      <c r="P436" s="627" t="s">
        <v>682</v>
      </c>
      <c r="Q436" s="594"/>
      <c r="R436" s="594"/>
      <c r="S436" s="594"/>
      <c r="T436" s="594"/>
      <c r="U436" s="594"/>
      <c r="V436" s="595"/>
      <c r="W436" s="40" t="s">
        <v>683</v>
      </c>
      <c r="X436" s="38"/>
      <c r="Y436" s="38"/>
      <c r="Z436" s="38">
        <f>IFERROR(Z27+Z31+Z41+Z52+Z59+Z64+Z70+Z79+Z86+Z92+Z99+Z103+Z108+Z112+Z117+Z125+Z130+Z143+Z149+Z154+Z161+Z172+Z179+Z189+Z200+Z209+Z214+Z221+Z227+Z233+Z243+Z250+Z259+Z266+Z273+Z279+Z284+Z289+Z300+Z305+Z310+Z314+Z323+Z328+Z335+Z339+Z345+Z353+Z358+Z363+Z367+Z385+Z391+Z408+Z413+Z419+Z423+Z429,"0")</f>
        <v>17.484340000000003</v>
      </c>
      <c r="AA436" s="490"/>
      <c r="AB436" s="490"/>
      <c r="AC436" s="490"/>
    </row>
    <row r="437" spans="1:32" ht="13.5" customHeight="1" thickBot="1" x14ac:dyDescent="0.25"/>
    <row r="438" spans="1:32" ht="27" customHeight="1" thickTop="1" thickBot="1" x14ac:dyDescent="0.25">
      <c r="A438" s="41" t="s">
        <v>684</v>
      </c>
      <c r="B438" s="480" t="s">
        <v>65</v>
      </c>
      <c r="C438" s="516" t="s">
        <v>96</v>
      </c>
      <c r="D438" s="721"/>
      <c r="E438" s="721"/>
      <c r="F438" s="721"/>
      <c r="G438" s="721"/>
      <c r="H438" s="722"/>
      <c r="I438" s="516" t="s">
        <v>233</v>
      </c>
      <c r="J438" s="721"/>
      <c r="K438" s="721"/>
      <c r="L438" s="721"/>
      <c r="M438" s="721"/>
      <c r="N438" s="721"/>
      <c r="O438" s="721"/>
      <c r="P438" s="721"/>
      <c r="Q438" s="721"/>
      <c r="R438" s="721"/>
      <c r="S438" s="721"/>
      <c r="T438" s="722"/>
      <c r="U438" s="516" t="s">
        <v>478</v>
      </c>
      <c r="V438" s="722"/>
      <c r="W438" s="516" t="s">
        <v>549</v>
      </c>
      <c r="X438" s="722"/>
      <c r="Y438" s="480" t="s">
        <v>583</v>
      </c>
      <c r="Z438" s="480" t="s">
        <v>664</v>
      </c>
      <c r="AA438" s="480" t="s">
        <v>671</v>
      </c>
      <c r="AB438" s="53"/>
      <c r="AC438" s="53"/>
      <c r="AF438" s="481"/>
    </row>
    <row r="439" spans="1:32" ht="14.25" customHeight="1" thickTop="1" x14ac:dyDescent="0.2">
      <c r="A439" s="661" t="s">
        <v>685</v>
      </c>
      <c r="B439" s="516" t="s">
        <v>65</v>
      </c>
      <c r="C439" s="516" t="s">
        <v>97</v>
      </c>
      <c r="D439" s="516" t="s">
        <v>116</v>
      </c>
      <c r="E439" s="516" t="s">
        <v>155</v>
      </c>
      <c r="F439" s="516" t="s">
        <v>174</v>
      </c>
      <c r="G439" s="516" t="s">
        <v>202</v>
      </c>
      <c r="H439" s="516" t="s">
        <v>96</v>
      </c>
      <c r="I439" s="516" t="s">
        <v>234</v>
      </c>
      <c r="J439" s="516" t="s">
        <v>255</v>
      </c>
      <c r="K439" s="516" t="s">
        <v>312</v>
      </c>
      <c r="L439" s="516" t="s">
        <v>328</v>
      </c>
      <c r="M439" s="516" t="s">
        <v>347</v>
      </c>
      <c r="N439" s="481"/>
      <c r="O439" s="516" t="s">
        <v>363</v>
      </c>
      <c r="P439" s="516" t="s">
        <v>366</v>
      </c>
      <c r="Q439" s="516" t="s">
        <v>375</v>
      </c>
      <c r="R439" s="516" t="s">
        <v>382</v>
      </c>
      <c r="S439" s="516" t="s">
        <v>388</v>
      </c>
      <c r="T439" s="516" t="s">
        <v>468</v>
      </c>
      <c r="U439" s="516" t="s">
        <v>479</v>
      </c>
      <c r="V439" s="516" t="s">
        <v>513</v>
      </c>
      <c r="W439" s="516" t="s">
        <v>550</v>
      </c>
      <c r="X439" s="516" t="s">
        <v>575</v>
      </c>
      <c r="Y439" s="516" t="s">
        <v>583</v>
      </c>
      <c r="Z439" s="516" t="s">
        <v>664</v>
      </c>
      <c r="AA439" s="516" t="s">
        <v>671</v>
      </c>
      <c r="AB439" s="53"/>
      <c r="AC439" s="53"/>
      <c r="AF439" s="481"/>
    </row>
    <row r="440" spans="1:32" ht="13.5" customHeight="1" thickBot="1" x14ac:dyDescent="0.25">
      <c r="A440" s="662"/>
      <c r="B440" s="517"/>
      <c r="C440" s="517"/>
      <c r="D440" s="517"/>
      <c r="E440" s="517"/>
      <c r="F440" s="517"/>
      <c r="G440" s="517"/>
      <c r="H440" s="517"/>
      <c r="I440" s="517"/>
      <c r="J440" s="517"/>
      <c r="K440" s="517"/>
      <c r="L440" s="517"/>
      <c r="M440" s="517"/>
      <c r="N440" s="481"/>
      <c r="O440" s="517"/>
      <c r="P440" s="517"/>
      <c r="Q440" s="517"/>
      <c r="R440" s="517"/>
      <c r="S440" s="517"/>
      <c r="T440" s="517"/>
      <c r="U440" s="517"/>
      <c r="V440" s="517"/>
      <c r="W440" s="517"/>
      <c r="X440" s="517"/>
      <c r="Y440" s="517"/>
      <c r="Z440" s="517"/>
      <c r="AA440" s="517"/>
      <c r="AB440" s="53"/>
      <c r="AC440" s="53"/>
      <c r="AF440" s="481"/>
    </row>
    <row r="441" spans="1:32" ht="18" customHeight="1" thickTop="1" thickBot="1" x14ac:dyDescent="0.25">
      <c r="A441" s="41" t="s">
        <v>686</v>
      </c>
      <c r="B441" s="47">
        <f>IFERROR(Y22*1,"0")+IFERROR(Y23*1,"0")+IFERROR(Y24*1,"0")+IFERROR(Y25*1,"0")+IFERROR(Y26*1,"0")+IFERROR(Y30*1,"0")</f>
        <v>0</v>
      </c>
      <c r="C441" s="47">
        <f>IFERROR(Y36*1,"0")+IFERROR(Y37*1,"0")+IFERROR(Y38*1,"0")+IFERROR(Y39*1,"0")+IFERROR(Y40*1,"0")</f>
        <v>120</v>
      </c>
      <c r="D441" s="47">
        <f>IFERROR(Y45*1,"0")+IFERROR(Y46*1,"0")+IFERROR(Y47*1,"0")+IFERROR(Y48*1,"0")+IFERROR(Y49*1,"0")+IFERROR(Y50*1,"0")+IFERROR(Y51*1,"0")+IFERROR(Y55*1,"0")+IFERROR(Y56*1,"0")+IFERROR(Y57*1,"0")+IFERROR(Y58*1,"0")+IFERROR(Y62*1,"0")+IFERROR(Y63*1,"0")</f>
        <v>135</v>
      </c>
      <c r="E441" s="47">
        <f>IFERROR(Y68*1,"0")+IFERROR(Y69*1,"0")+IFERROR(Y73*1,"0")+IFERROR(Y74*1,"0")+IFERROR(Y75*1,"0")+IFERROR(Y76*1,"0")+IFERROR(Y77*1,"0")+IFERROR(Y78*1,"0")</f>
        <v>153.9</v>
      </c>
      <c r="F441" s="47">
        <f>IFERROR(Y83*1,"0")+IFERROR(Y84*1,"0")+IFERROR(Y85*1,"0")+IFERROR(Y89*1,"0")+IFERROR(Y90*1,"0")+IFERROR(Y91*1,"0")+IFERROR(Y95*1,"0")+IFERROR(Y96*1,"0")+IFERROR(Y97*1,"0")+IFERROR(Y98*1,"0")+IFERROR(Y102*1,"0")</f>
        <v>1061.1000000000001</v>
      </c>
      <c r="G441" s="47">
        <f>IFERROR(Y107*1,"0")+IFERROR(Y111*1,"0")</f>
        <v>0</v>
      </c>
      <c r="H441" s="47">
        <f>IFERROR(Y116*1,"0")+IFERROR(Y120*1,"0")+IFERROR(Y121*1,"0")+IFERROR(Y122*1,"0")+IFERROR(Y123*1,"0")+IFERROR(Y124*1,"0")+IFERROR(Y128*1,"0")+IFERROR(Y129*1,"0")</f>
        <v>0</v>
      </c>
      <c r="I441" s="47">
        <f>IFERROR(Y135*1,"0")+IFERROR(Y136*1,"0")+IFERROR(Y137*1,"0")+IFERROR(Y138*1,"0")+IFERROR(Y139*1,"0")+IFERROR(Y140*1,"0")+IFERROR(Y141*1,"0")+IFERROR(Y142*1,"0")</f>
        <v>562.80000000000007</v>
      </c>
      <c r="J441" s="47">
        <f>IFERROR(Y147*1,"0")+IFERROR(Y148*1,"0")+IFERROR(Y152*1,"0")+IFERROR(Y153*1,"0")+IFERROR(Y157*1,"0")+IFERROR(Y158*1,"0")+IFERROR(Y159*1,"0")+IFERROR(Y160*1,"0")+IFERROR(Y164*1,"0")+IFERROR(Y165*1,"0")+IFERROR(Y166*1,"0")+IFERROR(Y167*1,"0")+IFERROR(Y168*1,"0")+IFERROR(Y169*1,"0")+IFERROR(Y170*1,"0")+IFERROR(Y171*1,"0")+IFERROR(Y175*1,"0")+IFERROR(Y176*1,"0")+IFERROR(Y177*1,"0")+IFERROR(Y178*1,"0")</f>
        <v>1087.5</v>
      </c>
      <c r="K441" s="47">
        <f>IFERROR(Y183*1,"0")+IFERROR(Y184*1,"0")+IFERROR(Y185*1,"0")+IFERROR(Y186*1,"0")+IFERROR(Y187*1,"0")+IFERROR(Y188*1,"0")</f>
        <v>0</v>
      </c>
      <c r="L441" s="47">
        <f>IFERROR(Y193*1,"0")+IFERROR(Y194*1,"0")+IFERROR(Y195*1,"0")+IFERROR(Y196*1,"0")+IFERROR(Y197*1,"0")+IFERROR(Y198*1,"0")+IFERROR(Y199*1,"0")</f>
        <v>0</v>
      </c>
      <c r="M441" s="47">
        <f>IFERROR(Y204*1,"0")+IFERROR(Y205*1,"0")+IFERROR(Y206*1,"0")+IFERROR(Y207*1,"0")+IFERROR(Y208*1,"0")</f>
        <v>100</v>
      </c>
      <c r="N441" s="481"/>
      <c r="O441" s="47">
        <f>IFERROR(Y213*1,"0")</f>
        <v>0</v>
      </c>
      <c r="P441" s="47">
        <f>IFERROR(Y218*1,"0")+IFERROR(Y219*1,"0")+IFERROR(Y220*1,"0")</f>
        <v>0</v>
      </c>
      <c r="Q441" s="47">
        <f>IFERROR(Y225*1,"0")+IFERROR(Y226*1,"0")</f>
        <v>0</v>
      </c>
      <c r="R441" s="47">
        <f>IFERROR(Y231*1,"0")+IFERROR(Y232*1,"0")</f>
        <v>0</v>
      </c>
      <c r="S441" s="47">
        <f>IFERROR(Y237*1,"0")+IFERROR(Y238*1,"0")+IFERROR(Y239*1,"0")+IFERROR(Y240*1,"0")+IFERROR(Y241*1,"0")+IFERROR(Y242*1,"0")+IFERROR(Y246*1,"0")+IFERROR(Y247*1,"0")+IFERROR(Y248*1,"0")+IFERROR(Y249*1,"0")+IFERROR(Y253*1,"0")+IFERROR(Y254*1,"0")+IFERROR(Y255*1,"0")+IFERROR(Y256*1,"0")+IFERROR(Y257*1,"0")+IFERROR(Y258*1,"0")+IFERROR(Y262*1,"0")+IFERROR(Y263*1,"0")+IFERROR(Y264*1,"0")+IFERROR(Y265*1,"0")+IFERROR(Y269*1,"0")+IFERROR(Y270*1,"0")+IFERROR(Y271*1,"0")+IFERROR(Y272*1,"0")+IFERROR(Y276*1,"0")+IFERROR(Y277*1,"0")+IFERROR(Y278*1,"0")</f>
        <v>0</v>
      </c>
      <c r="T441" s="47">
        <f>IFERROR(Y283*1,"0")+IFERROR(Y287*1,"0")+IFERROR(Y288*1,"0")</f>
        <v>54.6</v>
      </c>
      <c r="U441" s="47">
        <f>IFERROR(Y294*1,"0")+IFERROR(Y295*1,"0")+IFERROR(Y296*1,"0")+IFERROR(Y297*1,"0")+IFERROR(Y298*1,"0")+IFERROR(Y299*1,"0")+IFERROR(Y303*1,"0")+IFERROR(Y304*1,"0")+IFERROR(Y308*1,"0")+IFERROR(Y309*1,"0")+IFERROR(Y313*1,"0")</f>
        <v>3073</v>
      </c>
      <c r="V441" s="47">
        <f>IFERROR(Y318*1,"0")+IFERROR(Y319*1,"0")+IFERROR(Y320*1,"0")+IFERROR(Y321*1,"0")+IFERROR(Y322*1,"0")+IFERROR(Y326*1,"0")+IFERROR(Y327*1,"0")+IFERROR(Y331*1,"0")+IFERROR(Y332*1,"0")+IFERROR(Y333*1,"0")+IFERROR(Y334*1,"0")+IFERROR(Y338*1,"0")</f>
        <v>1151</v>
      </c>
      <c r="W441" s="47">
        <f>IFERROR(Y344*1,"0")+IFERROR(Y348*1,"0")+IFERROR(Y349*1,"0")+IFERROR(Y350*1,"0")+IFERROR(Y351*1,"0")+IFERROR(Y352*1,"0")+IFERROR(Y356*1,"0")+IFERROR(Y357*1,"0")</f>
        <v>60</v>
      </c>
      <c r="X441" s="47">
        <f>IFERROR(Y362*1,"0")+IFERROR(Y366*1,"0")</f>
        <v>0</v>
      </c>
      <c r="Y441" s="47">
        <f>IFERROR(Y372*1,"0")+IFERROR(Y373*1,"0")+IFERROR(Y374*1,"0")+IFERROR(Y375*1,"0")+IFERROR(Y376*1,"0")+IFERROR(Y377*1,"0")+IFERROR(Y378*1,"0")+IFERROR(Y379*1,"0")+IFERROR(Y380*1,"0")+IFERROR(Y381*1,"0")+IFERROR(Y382*1,"0")+IFERROR(Y383*1,"0")+IFERROR(Y384*1,"0")+IFERROR(Y388*1,"0")+IFERROR(Y389*1,"0")+IFERROR(Y390*1,"0")+IFERROR(Y394*1,"0")+IFERROR(Y395*1,"0")+IFERROR(Y396*1,"0")+IFERROR(Y397*1,"0")+IFERROR(Y398*1,"0")+IFERROR(Y399*1,"0")+IFERROR(Y400*1,"0")+IFERROR(Y401*1,"0")+IFERROR(Y402*1,"0")+IFERROR(Y403*1,"0")+IFERROR(Y404*1,"0")+IFERROR(Y405*1,"0")+IFERROR(Y406*1,"0")+IFERROR(Y407*1,"0")+IFERROR(Y411*1,"0")+IFERROR(Y412*1,"0")</f>
        <v>1211.28</v>
      </c>
      <c r="Z441" s="47">
        <f>IFERROR(Y418*1,"0")+IFERROR(Y422*1,"0")</f>
        <v>0</v>
      </c>
      <c r="AA441" s="47">
        <f>IFERROR(Y428*1,"0")</f>
        <v>0</v>
      </c>
      <c r="AB441" s="53"/>
      <c r="AC441" s="53"/>
      <c r="AF441" s="481"/>
    </row>
  </sheetData>
  <sheetProtection algorithmName="SHA-512" hashValue="YkBBleFG+LZsmeOtvcNHotzHgF/i6HZq2HrYBUgQcwKX7xrRiCdcprNaGiXKsrhSkZwb5I/5m6h68mrTSdS2Dw==" saltValue="G+TcvhCiSNazLVQqns+KuQ==" spinCount="100000" sheet="1" objects="1" scenarios="1" sort="0" autoFilter="0" pivotTables="0"/>
  <autoFilter ref="A18:AF4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78">
    <mergeCell ref="M439:M440"/>
    <mergeCell ref="P311:V311"/>
    <mergeCell ref="A335:O336"/>
    <mergeCell ref="A21:Z21"/>
    <mergeCell ref="A192:Z192"/>
    <mergeCell ref="D184:E184"/>
    <mergeCell ref="A415:Z415"/>
    <mergeCell ref="D121:E121"/>
    <mergeCell ref="A99:O100"/>
    <mergeCell ref="A181:Z181"/>
    <mergeCell ref="P338:T338"/>
    <mergeCell ref="D344:E344"/>
    <mergeCell ref="P313:T313"/>
    <mergeCell ref="D123:E123"/>
    <mergeCell ref="P58:T58"/>
    <mergeCell ref="P373:T373"/>
    <mergeCell ref="D50:E50"/>
    <mergeCell ref="A8:C8"/>
    <mergeCell ref="P124:T124"/>
    <mergeCell ref="P310:V310"/>
    <mergeCell ref="D331:E331"/>
    <mergeCell ref="D97:E97"/>
    <mergeCell ref="D395:E395"/>
    <mergeCell ref="A426:Z426"/>
    <mergeCell ref="A10:C10"/>
    <mergeCell ref="A217:Z217"/>
    <mergeCell ref="P218:T218"/>
    <mergeCell ref="D17:E18"/>
    <mergeCell ref="X17:X18"/>
    <mergeCell ref="U438:V438"/>
    <mergeCell ref="W438:X438"/>
    <mergeCell ref="D239:E239"/>
    <mergeCell ref="D95:E95"/>
    <mergeCell ref="A279:O280"/>
    <mergeCell ref="U17:V17"/>
    <mergeCell ref="Y17:Y18"/>
    <mergeCell ref="A266:O267"/>
    <mergeCell ref="D57:E57"/>
    <mergeCell ref="R439:R440"/>
    <mergeCell ref="A149:O150"/>
    <mergeCell ref="D407:E407"/>
    <mergeCell ref="T439:T440"/>
    <mergeCell ref="Q6:R6"/>
    <mergeCell ref="A385:O386"/>
    <mergeCell ref="A425:Z425"/>
    <mergeCell ref="A189:O190"/>
    <mergeCell ref="D102:E102"/>
    <mergeCell ref="A33:Z33"/>
    <mergeCell ref="D25:E25"/>
    <mergeCell ref="D196:E196"/>
    <mergeCell ref="P294:T294"/>
    <mergeCell ref="P419:V419"/>
    <mergeCell ref="P210:V210"/>
    <mergeCell ref="A35:Z35"/>
    <mergeCell ref="P83:T83"/>
    <mergeCell ref="D271:E271"/>
    <mergeCell ref="V12:W12"/>
    <mergeCell ref="A200:O201"/>
    <mergeCell ref="P319:T319"/>
    <mergeCell ref="D262:E262"/>
    <mergeCell ref="A245:Z245"/>
    <mergeCell ref="D237:E237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D278:E278"/>
    <mergeCell ref="P288:T288"/>
    <mergeCell ref="P136:T136"/>
    <mergeCell ref="P263:T263"/>
    <mergeCell ref="D171:E171"/>
    <mergeCell ref="P285:V285"/>
    <mergeCell ref="P25:T25"/>
    <mergeCell ref="P85:T85"/>
    <mergeCell ref="P432:V432"/>
    <mergeCell ref="A191:Z191"/>
    <mergeCell ref="D249:E249"/>
    <mergeCell ref="P262:T262"/>
    <mergeCell ref="D276:E276"/>
    <mergeCell ref="P353:V353"/>
    <mergeCell ref="D170:E170"/>
    <mergeCell ref="A31:O32"/>
    <mergeCell ref="N17:N18"/>
    <mergeCell ref="D49:E49"/>
    <mergeCell ref="D405:E405"/>
    <mergeCell ref="A408:O409"/>
    <mergeCell ref="P305:V305"/>
    <mergeCell ref="A358:O359"/>
    <mergeCell ref="A429:O430"/>
    <mergeCell ref="A337:Z337"/>
    <mergeCell ref="P383:T383"/>
    <mergeCell ref="AD17:AF18"/>
    <mergeCell ref="A310:O311"/>
    <mergeCell ref="A132:Z132"/>
    <mergeCell ref="D76:E76"/>
    <mergeCell ref="F5:G5"/>
    <mergeCell ref="P117:V117"/>
    <mergeCell ref="P144:V144"/>
    <mergeCell ref="D175:E175"/>
    <mergeCell ref="P186:T186"/>
    <mergeCell ref="A236:Z236"/>
    <mergeCell ref="P253:T253"/>
    <mergeCell ref="A223:Z223"/>
    <mergeCell ref="V11:W11"/>
    <mergeCell ref="P57:T57"/>
    <mergeCell ref="D165:E165"/>
    <mergeCell ref="P75:T75"/>
    <mergeCell ref="D152:E152"/>
    <mergeCell ref="P121:T121"/>
    <mergeCell ref="D23:E23"/>
    <mergeCell ref="D265:E265"/>
    <mergeCell ref="A20:Z20"/>
    <mergeCell ref="P300:V300"/>
    <mergeCell ref="P123:T123"/>
    <mergeCell ref="D218:E218"/>
    <mergeCell ref="P2:W3"/>
    <mergeCell ref="P298:T298"/>
    <mergeCell ref="P198:T198"/>
    <mergeCell ref="A43:Z43"/>
    <mergeCell ref="D241:E241"/>
    <mergeCell ref="P418:T418"/>
    <mergeCell ref="D333:E333"/>
    <mergeCell ref="P412:T412"/>
    <mergeCell ref="D404:E404"/>
    <mergeCell ref="D10:E10"/>
    <mergeCell ref="F10:G10"/>
    <mergeCell ref="P135:T135"/>
    <mergeCell ref="P362:T362"/>
    <mergeCell ref="D270:E270"/>
    <mergeCell ref="P349:T349"/>
    <mergeCell ref="D397:E397"/>
    <mergeCell ref="P128:T128"/>
    <mergeCell ref="P363:V363"/>
    <mergeCell ref="A52:O53"/>
    <mergeCell ref="D394:E394"/>
    <mergeCell ref="P357:T357"/>
    <mergeCell ref="P344:T344"/>
    <mergeCell ref="P358:V358"/>
    <mergeCell ref="P53:V53"/>
    <mergeCell ref="P429:V429"/>
    <mergeCell ref="P423:V423"/>
    <mergeCell ref="P52:V52"/>
    <mergeCell ref="A235:Z235"/>
    <mergeCell ref="P102:T102"/>
    <mergeCell ref="P189:V189"/>
    <mergeCell ref="Y439:Y440"/>
    <mergeCell ref="P196:T196"/>
    <mergeCell ref="AA439:AA440"/>
    <mergeCell ref="D177:E177"/>
    <mergeCell ref="A312:Z312"/>
    <mergeCell ref="S439:S440"/>
    <mergeCell ref="P414:V414"/>
    <mergeCell ref="A106:Z106"/>
    <mergeCell ref="P183:T183"/>
    <mergeCell ref="D164:E164"/>
    <mergeCell ref="D226:E226"/>
    <mergeCell ref="P62:T62"/>
    <mergeCell ref="P431:V431"/>
    <mergeCell ref="A127:Z127"/>
    <mergeCell ref="D247:E247"/>
    <mergeCell ref="A347:Z347"/>
    <mergeCell ref="P289:V289"/>
    <mergeCell ref="A114:Z114"/>
    <mergeCell ref="P36:T36"/>
    <mergeCell ref="P107:T107"/>
    <mergeCell ref="P278:T278"/>
    <mergeCell ref="D321:E321"/>
    <mergeCell ref="P250:V250"/>
    <mergeCell ref="A317:Z317"/>
    <mergeCell ref="A103:O104"/>
    <mergeCell ref="M17:M18"/>
    <mergeCell ref="A339:O340"/>
    <mergeCell ref="O17:O18"/>
    <mergeCell ref="P131:V131"/>
    <mergeCell ref="A9:C9"/>
    <mergeCell ref="P321:T321"/>
    <mergeCell ref="C438:H438"/>
    <mergeCell ref="D373:E373"/>
    <mergeCell ref="D58:E58"/>
    <mergeCell ref="A413:O414"/>
    <mergeCell ref="A302:Z302"/>
    <mergeCell ref="I438:T438"/>
    <mergeCell ref="D294:E294"/>
    <mergeCell ref="P348:T348"/>
    <mergeCell ref="P273:V273"/>
    <mergeCell ref="D231:E231"/>
    <mergeCell ref="P70:V70"/>
    <mergeCell ref="A156:Z156"/>
    <mergeCell ref="P32:V32"/>
    <mergeCell ref="P103:V103"/>
    <mergeCell ref="Q13:R13"/>
    <mergeCell ref="A293:Z293"/>
    <mergeCell ref="D318:E318"/>
    <mergeCell ref="P339:V339"/>
    <mergeCell ref="D389:E389"/>
    <mergeCell ref="P139:T139"/>
    <mergeCell ref="A125:O126"/>
    <mergeCell ref="P176:T176"/>
    <mergeCell ref="Z439:Z440"/>
    <mergeCell ref="P413:V413"/>
    <mergeCell ref="D159:E159"/>
    <mergeCell ref="A289:O290"/>
    <mergeCell ref="P188:T188"/>
    <mergeCell ref="A182:Z182"/>
    <mergeCell ref="P42:V42"/>
    <mergeCell ref="I439:I440"/>
    <mergeCell ref="K439:K440"/>
    <mergeCell ref="D288:E288"/>
    <mergeCell ref="D136:E136"/>
    <mergeCell ref="P46:T46"/>
    <mergeCell ref="P111:T111"/>
    <mergeCell ref="D225:E225"/>
    <mergeCell ref="P48:T48"/>
    <mergeCell ref="A305:O306"/>
    <mergeCell ref="A243:O244"/>
    <mergeCell ref="H439:H440"/>
    <mergeCell ref="J439:J440"/>
    <mergeCell ref="P247:T247"/>
    <mergeCell ref="P241:T241"/>
    <mergeCell ref="D84:E84"/>
    <mergeCell ref="D320:E320"/>
    <mergeCell ref="P295:T295"/>
    <mergeCell ref="H5:M5"/>
    <mergeCell ref="P31:V31"/>
    <mergeCell ref="P329:V329"/>
    <mergeCell ref="P98:T98"/>
    <mergeCell ref="P225:T225"/>
    <mergeCell ref="P396:T396"/>
    <mergeCell ref="A341:Z341"/>
    <mergeCell ref="D6:M6"/>
    <mergeCell ref="D304:E304"/>
    <mergeCell ref="P175:T175"/>
    <mergeCell ref="P266:V266"/>
    <mergeCell ref="D83:E83"/>
    <mergeCell ref="A86:O87"/>
    <mergeCell ref="D319:E319"/>
    <mergeCell ref="P177:T177"/>
    <mergeCell ref="P226:T226"/>
    <mergeCell ref="D85:E85"/>
    <mergeCell ref="P164:T164"/>
    <mergeCell ref="D207:E207"/>
    <mergeCell ref="D256:E256"/>
    <mergeCell ref="P269:T269"/>
    <mergeCell ref="D383:E383"/>
    <mergeCell ref="D299:E299"/>
    <mergeCell ref="A230:Z230"/>
    <mergeCell ref="P430:V430"/>
    <mergeCell ref="P318:T318"/>
    <mergeCell ref="Q439:Q440"/>
    <mergeCell ref="V6:W9"/>
    <mergeCell ref="A112:O113"/>
    <mergeCell ref="D128:E128"/>
    <mergeCell ref="P38:T38"/>
    <mergeCell ref="D199:E199"/>
    <mergeCell ref="P234:V234"/>
    <mergeCell ref="P256:T256"/>
    <mergeCell ref="D186:E186"/>
    <mergeCell ref="P84:T84"/>
    <mergeCell ref="A391:O392"/>
    <mergeCell ref="P22:T22"/>
    <mergeCell ref="P193:T193"/>
    <mergeCell ref="P320:T320"/>
    <mergeCell ref="P40:T40"/>
    <mergeCell ref="D428:E428"/>
    <mergeCell ref="A61:Z61"/>
    <mergeCell ref="P92:V92"/>
    <mergeCell ref="A88:Z88"/>
    <mergeCell ref="P257:T257"/>
    <mergeCell ref="D194:E194"/>
    <mergeCell ref="Z17:Z18"/>
    <mergeCell ref="H10:M10"/>
    <mergeCell ref="AA17:AA18"/>
    <mergeCell ref="AC17:AC18"/>
    <mergeCell ref="D418:E418"/>
    <mergeCell ref="D89:E89"/>
    <mergeCell ref="A224:Z224"/>
    <mergeCell ref="P209:V209"/>
    <mergeCell ref="A72:Z72"/>
    <mergeCell ref="P254:T254"/>
    <mergeCell ref="P45:T45"/>
    <mergeCell ref="D153:E153"/>
    <mergeCell ref="P173:V173"/>
    <mergeCell ref="AB17:AB18"/>
    <mergeCell ref="A54:Z54"/>
    <mergeCell ref="P100:V100"/>
    <mergeCell ref="A172:O173"/>
    <mergeCell ref="A212:Z212"/>
    <mergeCell ref="P398:T398"/>
    <mergeCell ref="G17:G18"/>
    <mergeCell ref="P333:T333"/>
    <mergeCell ref="P399:T399"/>
    <mergeCell ref="A323:O324"/>
    <mergeCell ref="D22:E22"/>
    <mergeCell ref="P178:T178"/>
    <mergeCell ref="P395:T395"/>
    <mergeCell ref="P96:T96"/>
    <mergeCell ref="H17:H18"/>
    <mergeCell ref="P90:T90"/>
    <mergeCell ref="A146:Z146"/>
    <mergeCell ref="D204:E204"/>
    <mergeCell ref="P332:T332"/>
    <mergeCell ref="P388:T388"/>
    <mergeCell ref="D198:E198"/>
    <mergeCell ref="D269:E269"/>
    <mergeCell ref="D296:E296"/>
    <mergeCell ref="P104:V104"/>
    <mergeCell ref="A252:Z252"/>
    <mergeCell ref="A284:O285"/>
    <mergeCell ref="D75:E75"/>
    <mergeCell ref="D206:E206"/>
    <mergeCell ref="P390:T390"/>
    <mergeCell ref="P41:V41"/>
    <mergeCell ref="A66:Z66"/>
    <mergeCell ref="D298:E298"/>
    <mergeCell ref="A221:O222"/>
    <mergeCell ref="P91:T91"/>
    <mergeCell ref="P327:T327"/>
    <mergeCell ref="P99:V99"/>
    <mergeCell ref="P28:V28"/>
    <mergeCell ref="P150:V150"/>
    <mergeCell ref="P221:V221"/>
    <mergeCell ref="P392:V392"/>
    <mergeCell ref="D138:E138"/>
    <mergeCell ref="P215:V215"/>
    <mergeCell ref="A211:Z211"/>
    <mergeCell ref="P386:V386"/>
    <mergeCell ref="A67:Z67"/>
    <mergeCell ref="D374:E374"/>
    <mergeCell ref="P232:T232"/>
    <mergeCell ref="A82:Z82"/>
    <mergeCell ref="P159:T159"/>
    <mergeCell ref="D140:E140"/>
    <mergeCell ref="A275:Z275"/>
    <mergeCell ref="D39:E39"/>
    <mergeCell ref="P276:T276"/>
    <mergeCell ref="D257:E257"/>
    <mergeCell ref="P270:T270"/>
    <mergeCell ref="D213:E213"/>
    <mergeCell ref="A64:O65"/>
    <mergeCell ref="D384:E384"/>
    <mergeCell ref="P49:T49"/>
    <mergeCell ref="P284:V284"/>
    <mergeCell ref="J9:M9"/>
    <mergeCell ref="D283:E283"/>
    <mergeCell ref="C439:C440"/>
    <mergeCell ref="D348:E348"/>
    <mergeCell ref="D62:E62"/>
    <mergeCell ref="P141:T141"/>
    <mergeCell ref="D56:E56"/>
    <mergeCell ref="D193:E193"/>
    <mergeCell ref="P206:T206"/>
    <mergeCell ref="A363:O364"/>
    <mergeCell ref="P377:T377"/>
    <mergeCell ref="P37:T37"/>
    <mergeCell ref="D176:E176"/>
    <mergeCell ref="P304:T304"/>
    <mergeCell ref="P155:V155"/>
    <mergeCell ref="A154:O155"/>
    <mergeCell ref="D412:E412"/>
    <mergeCell ref="P391:V391"/>
    <mergeCell ref="A273:O274"/>
    <mergeCell ref="P248:T248"/>
    <mergeCell ref="D362:E362"/>
    <mergeCell ref="D51:E51"/>
    <mergeCell ref="P86:V86"/>
    <mergeCell ref="D349:E349"/>
    <mergeCell ref="P71:V71"/>
    <mergeCell ref="P380:T380"/>
    <mergeCell ref="A13:M13"/>
    <mergeCell ref="A325:Z325"/>
    <mergeCell ref="A59:O60"/>
    <mergeCell ref="A119:Z119"/>
    <mergeCell ref="A94:Z94"/>
    <mergeCell ref="A417:Z417"/>
    <mergeCell ref="P79:V79"/>
    <mergeCell ref="P244:V244"/>
    <mergeCell ref="P315:V315"/>
    <mergeCell ref="D254:E254"/>
    <mergeCell ref="A15:M15"/>
    <mergeCell ref="P238:T238"/>
    <mergeCell ref="D48:E48"/>
    <mergeCell ref="P77:T77"/>
    <mergeCell ref="A133:Z133"/>
    <mergeCell ref="P204:T204"/>
    <mergeCell ref="P375:T375"/>
    <mergeCell ref="A369:Z369"/>
    <mergeCell ref="P328:V328"/>
    <mergeCell ref="P207:T207"/>
    <mergeCell ref="P172:V172"/>
    <mergeCell ref="P299:T299"/>
    <mergeCell ref="T5:U5"/>
    <mergeCell ref="P76:T76"/>
    <mergeCell ref="V5:W5"/>
    <mergeCell ref="D246:E246"/>
    <mergeCell ref="D46:E46"/>
    <mergeCell ref="P374:T374"/>
    <mergeCell ref="D40:E40"/>
    <mergeCell ref="D111:E111"/>
    <mergeCell ref="D338:E338"/>
    <mergeCell ref="Q8:R8"/>
    <mergeCell ref="P69:T69"/>
    <mergeCell ref="P140:T140"/>
    <mergeCell ref="D183:E183"/>
    <mergeCell ref="D248:E248"/>
    <mergeCell ref="D219:E219"/>
    <mergeCell ref="T6:U9"/>
    <mergeCell ref="Q10:R10"/>
    <mergeCell ref="P368:V368"/>
    <mergeCell ref="D185:E185"/>
    <mergeCell ref="P296:T296"/>
    <mergeCell ref="D277:E277"/>
    <mergeCell ref="P356:T356"/>
    <mergeCell ref="P60:V60"/>
    <mergeCell ref="P149:V149"/>
    <mergeCell ref="A12:M12"/>
    <mergeCell ref="P397:T397"/>
    <mergeCell ref="A416:Z416"/>
    <mergeCell ref="P200:V200"/>
    <mergeCell ref="P74:T74"/>
    <mergeCell ref="P243:V243"/>
    <mergeCell ref="A19:Z19"/>
    <mergeCell ref="P372:T372"/>
    <mergeCell ref="P436:V436"/>
    <mergeCell ref="A14:M14"/>
    <mergeCell ref="P138:T138"/>
    <mergeCell ref="A145:Z145"/>
    <mergeCell ref="P314:V314"/>
    <mergeCell ref="D137:E137"/>
    <mergeCell ref="P385:V385"/>
    <mergeCell ref="D422:E422"/>
    <mergeCell ref="P80:V80"/>
    <mergeCell ref="D74:E74"/>
    <mergeCell ref="D68:E68"/>
    <mergeCell ref="A203:Z203"/>
    <mergeCell ref="D372:E372"/>
    <mergeCell ref="P126:V126"/>
    <mergeCell ref="D188:E188"/>
    <mergeCell ref="P24:T24"/>
    <mergeCell ref="P15:T16"/>
    <mergeCell ref="D396:E396"/>
    <mergeCell ref="D116:E116"/>
    <mergeCell ref="D352:E352"/>
    <mergeCell ref="D91:E91"/>
    <mergeCell ref="P23:T23"/>
    <mergeCell ref="P219:T219"/>
    <mergeCell ref="P272:T272"/>
    <mergeCell ref="D327:E327"/>
    <mergeCell ref="A367:O368"/>
    <mergeCell ref="P308:T308"/>
    <mergeCell ref="P185:T185"/>
    <mergeCell ref="A41:O42"/>
    <mergeCell ref="P283:T283"/>
    <mergeCell ref="D264:E264"/>
    <mergeCell ref="P277:T277"/>
    <mergeCell ref="D220:E220"/>
    <mergeCell ref="P122:T122"/>
    <mergeCell ref="P65:V65"/>
    <mergeCell ref="D157:E157"/>
    <mergeCell ref="P228:V228"/>
    <mergeCell ref="P322:T322"/>
    <mergeCell ref="P89:T89"/>
    <mergeCell ref="P309:T309"/>
    <mergeCell ref="A5:C5"/>
    <mergeCell ref="A110:Z110"/>
    <mergeCell ref="P64:V64"/>
    <mergeCell ref="P406:T406"/>
    <mergeCell ref="A174:Z174"/>
    <mergeCell ref="P420:V420"/>
    <mergeCell ref="D166:E166"/>
    <mergeCell ref="A410:Z410"/>
    <mergeCell ref="D402:E402"/>
    <mergeCell ref="A17:A18"/>
    <mergeCell ref="K17:K18"/>
    <mergeCell ref="P195:T195"/>
    <mergeCell ref="C17:C18"/>
    <mergeCell ref="P364:V364"/>
    <mergeCell ref="D37:E37"/>
    <mergeCell ref="D401:E401"/>
    <mergeCell ref="D168:E168"/>
    <mergeCell ref="D9:E9"/>
    <mergeCell ref="P137:T137"/>
    <mergeCell ref="P197:T197"/>
    <mergeCell ref="F9:G9"/>
    <mergeCell ref="D167:E167"/>
    <mergeCell ref="P351:T351"/>
    <mergeCell ref="A419:O420"/>
    <mergeCell ref="A6:C6"/>
    <mergeCell ref="D309:E309"/>
    <mergeCell ref="P167:T167"/>
    <mergeCell ref="P142:T142"/>
    <mergeCell ref="D26:E26"/>
    <mergeCell ref="D148:E148"/>
    <mergeCell ref="P336:V336"/>
    <mergeCell ref="P403:T403"/>
    <mergeCell ref="A259:O260"/>
    <mergeCell ref="P378:T378"/>
    <mergeCell ref="P55:T55"/>
    <mergeCell ref="Q12:R12"/>
    <mergeCell ref="D90:E90"/>
    <mergeCell ref="P169:T169"/>
    <mergeCell ref="A130:O131"/>
    <mergeCell ref="D388:E388"/>
    <mergeCell ref="P354:V354"/>
    <mergeCell ref="P246:T246"/>
    <mergeCell ref="A328:O329"/>
    <mergeCell ref="D390:E390"/>
    <mergeCell ref="D232:E232"/>
    <mergeCell ref="D403:E403"/>
    <mergeCell ref="P264:T264"/>
    <mergeCell ref="P68:T68"/>
    <mergeCell ref="Q9:R9"/>
    <mergeCell ref="P267:V267"/>
    <mergeCell ref="A393:Z393"/>
    <mergeCell ref="D255:E255"/>
    <mergeCell ref="D24:E24"/>
    <mergeCell ref="P78:T78"/>
    <mergeCell ref="Q11:R11"/>
    <mergeCell ref="P205:T205"/>
    <mergeCell ref="D322:E322"/>
    <mergeCell ref="P376:T376"/>
    <mergeCell ref="P239:T239"/>
    <mergeCell ref="D38:E38"/>
    <mergeCell ref="D169:E169"/>
    <mergeCell ref="A29:Z29"/>
    <mergeCell ref="A134:Z134"/>
    <mergeCell ref="P303:T303"/>
    <mergeCell ref="P367:V367"/>
    <mergeCell ref="A44:Z44"/>
    <mergeCell ref="A314:O315"/>
    <mergeCell ref="D63:E63"/>
    <mergeCell ref="D96:E96"/>
    <mergeCell ref="P306:V306"/>
    <mergeCell ref="D350:E350"/>
    <mergeCell ref="P208:T208"/>
    <mergeCell ref="I17:I18"/>
    <mergeCell ref="D141:E141"/>
    <mergeCell ref="D135:E135"/>
    <mergeCell ref="D377:E377"/>
    <mergeCell ref="P424:V424"/>
    <mergeCell ref="P287:T287"/>
    <mergeCell ref="P352:T352"/>
    <mergeCell ref="P301:V301"/>
    <mergeCell ref="P214:V214"/>
    <mergeCell ref="P411:T411"/>
    <mergeCell ref="P422:T422"/>
    <mergeCell ref="A421:Z421"/>
    <mergeCell ref="P408:V408"/>
    <mergeCell ref="D398:E398"/>
    <mergeCell ref="D399:E399"/>
    <mergeCell ref="D295:E295"/>
    <mergeCell ref="D178:E178"/>
    <mergeCell ref="P51:T51"/>
    <mergeCell ref="P26:T26"/>
    <mergeCell ref="P153:T153"/>
    <mergeCell ref="A143:O144"/>
    <mergeCell ref="A261:Z261"/>
    <mergeCell ref="P227:V227"/>
    <mergeCell ref="D36:E36"/>
    <mergeCell ref="D1:F1"/>
    <mergeCell ref="P168:T168"/>
    <mergeCell ref="P190:V190"/>
    <mergeCell ref="D382:E382"/>
    <mergeCell ref="P401:T401"/>
    <mergeCell ref="P47:T47"/>
    <mergeCell ref="A307:Z307"/>
    <mergeCell ref="P409:V409"/>
    <mergeCell ref="J17:J18"/>
    <mergeCell ref="L17:L18"/>
    <mergeCell ref="P359:V359"/>
    <mergeCell ref="D240:E240"/>
    <mergeCell ref="P255:T255"/>
    <mergeCell ref="P346:V346"/>
    <mergeCell ref="A342:Z342"/>
    <mergeCell ref="A371:Z371"/>
    <mergeCell ref="D334:E334"/>
    <mergeCell ref="P125:V125"/>
    <mergeCell ref="A115:Z115"/>
    <mergeCell ref="P112:V112"/>
    <mergeCell ref="P17:T18"/>
    <mergeCell ref="A229:Z229"/>
    <mergeCell ref="P129:T129"/>
    <mergeCell ref="P63:T63"/>
    <mergeCell ref="P116:T116"/>
    <mergeCell ref="A105:Z105"/>
    <mergeCell ref="D122:E122"/>
    <mergeCell ref="A423:O424"/>
    <mergeCell ref="A233:O234"/>
    <mergeCell ref="A227:O228"/>
    <mergeCell ref="A27:O28"/>
    <mergeCell ref="P59:V59"/>
    <mergeCell ref="P97:T97"/>
    <mergeCell ref="P130:V130"/>
    <mergeCell ref="P323:V323"/>
    <mergeCell ref="P194:T194"/>
    <mergeCell ref="P50:T50"/>
    <mergeCell ref="D158:E158"/>
    <mergeCell ref="D400:E400"/>
    <mergeCell ref="D77:E77"/>
    <mergeCell ref="A117:O118"/>
    <mergeCell ref="P187:T187"/>
    <mergeCell ref="P258:T258"/>
    <mergeCell ref="D375:E375"/>
    <mergeCell ref="A353:O354"/>
    <mergeCell ref="P350:T350"/>
    <mergeCell ref="D160:E160"/>
    <mergeCell ref="P201:V201"/>
    <mergeCell ref="D5:E5"/>
    <mergeCell ref="D303:E303"/>
    <mergeCell ref="P382:T382"/>
    <mergeCell ref="D69:E69"/>
    <mergeCell ref="P148:T148"/>
    <mergeCell ref="P240:T240"/>
    <mergeCell ref="E439:E440"/>
    <mergeCell ref="P162:V162"/>
    <mergeCell ref="P93:V93"/>
    <mergeCell ref="D356:E356"/>
    <mergeCell ref="P335:V335"/>
    <mergeCell ref="A216:Z216"/>
    <mergeCell ref="A387:Z387"/>
    <mergeCell ref="A343:Z343"/>
    <mergeCell ref="A281:Z281"/>
    <mergeCell ref="D272:E272"/>
    <mergeCell ref="P400:T400"/>
    <mergeCell ref="D381:E381"/>
    <mergeCell ref="A316:Z316"/>
    <mergeCell ref="A250:O251"/>
    <mergeCell ref="D308:E308"/>
    <mergeCell ref="P39:T39"/>
    <mergeCell ref="P166:T166"/>
    <mergeCell ref="D380:E380"/>
    <mergeCell ref="H1:Q1"/>
    <mergeCell ref="A330:Z330"/>
    <mergeCell ref="P109:V109"/>
    <mergeCell ref="A268:Z268"/>
    <mergeCell ref="P280:V280"/>
    <mergeCell ref="P274:V274"/>
    <mergeCell ref="P345:V345"/>
    <mergeCell ref="A292:Z292"/>
    <mergeCell ref="P222:V222"/>
    <mergeCell ref="A286:Z286"/>
    <mergeCell ref="P120:T120"/>
    <mergeCell ref="A163:Z163"/>
    <mergeCell ref="A101:Z101"/>
    <mergeCell ref="D326:E326"/>
    <mergeCell ref="D313:E313"/>
    <mergeCell ref="P184:T184"/>
    <mergeCell ref="A108:O109"/>
    <mergeCell ref="A179:O180"/>
    <mergeCell ref="P171:T171"/>
    <mergeCell ref="D55:E55"/>
    <mergeCell ref="D30:E30"/>
    <mergeCell ref="P242:T242"/>
    <mergeCell ref="P340:V340"/>
    <mergeCell ref="A214:O215"/>
    <mergeCell ref="W17:W18"/>
    <mergeCell ref="P161:V161"/>
    <mergeCell ref="A151:Z151"/>
    <mergeCell ref="P27:V27"/>
    <mergeCell ref="P154:V154"/>
    <mergeCell ref="D142:E142"/>
    <mergeCell ref="D378:E378"/>
    <mergeCell ref="D7:M7"/>
    <mergeCell ref="D129:E129"/>
    <mergeCell ref="A81:Z81"/>
    <mergeCell ref="P334:T334"/>
    <mergeCell ref="A209:O210"/>
    <mergeCell ref="P271:T271"/>
    <mergeCell ref="P265:T265"/>
    <mergeCell ref="D208:E208"/>
    <mergeCell ref="D8:M8"/>
    <mergeCell ref="D366:E366"/>
    <mergeCell ref="P108:V108"/>
    <mergeCell ref="P237:T237"/>
    <mergeCell ref="P279:V279"/>
    <mergeCell ref="A161:O162"/>
    <mergeCell ref="A291:Z291"/>
    <mergeCell ref="P158:T158"/>
    <mergeCell ref="D139:E139"/>
    <mergeCell ref="P113:V113"/>
    <mergeCell ref="D197:E197"/>
    <mergeCell ref="D253:E253"/>
    <mergeCell ref="P381:T381"/>
    <mergeCell ref="D47:E47"/>
    <mergeCell ref="D351:E351"/>
    <mergeCell ref="D411:E411"/>
    <mergeCell ref="P160:T160"/>
    <mergeCell ref="P147:T147"/>
    <mergeCell ref="P394:T394"/>
    <mergeCell ref="D379:E379"/>
    <mergeCell ref="P180:V180"/>
    <mergeCell ref="P118:V118"/>
    <mergeCell ref="P251:V251"/>
    <mergeCell ref="D406:E406"/>
    <mergeCell ref="P95:T95"/>
    <mergeCell ref="A355:Z355"/>
    <mergeCell ref="P331:T331"/>
    <mergeCell ref="P405:T405"/>
    <mergeCell ref="A361:Z361"/>
    <mergeCell ref="P407:T407"/>
    <mergeCell ref="D147:E147"/>
    <mergeCell ref="A282:Z282"/>
    <mergeCell ref="P402:T402"/>
    <mergeCell ref="D195:E195"/>
    <mergeCell ref="P379:T379"/>
    <mergeCell ref="D439:D440"/>
    <mergeCell ref="F439:F440"/>
    <mergeCell ref="D287:E287"/>
    <mergeCell ref="P170:T170"/>
    <mergeCell ref="A300:O301"/>
    <mergeCell ref="A360:Z360"/>
    <mergeCell ref="P366:T366"/>
    <mergeCell ref="L439:L440"/>
    <mergeCell ref="X439:X440"/>
    <mergeCell ref="P428:T428"/>
    <mergeCell ref="P439:P440"/>
    <mergeCell ref="O439:O440"/>
    <mergeCell ref="A431:O436"/>
    <mergeCell ref="P433:V433"/>
    <mergeCell ref="P435:V435"/>
    <mergeCell ref="P434:V434"/>
    <mergeCell ref="B439:B440"/>
    <mergeCell ref="U439:U440"/>
    <mergeCell ref="W439:W440"/>
    <mergeCell ref="A427:Z427"/>
    <mergeCell ref="A439:A440"/>
    <mergeCell ref="V439:V440"/>
    <mergeCell ref="P249:T249"/>
    <mergeCell ref="A365:Z365"/>
    <mergeCell ref="D357:E357"/>
    <mergeCell ref="R1:T1"/>
    <mergeCell ref="P326:T326"/>
    <mergeCell ref="D332:E332"/>
    <mergeCell ref="A345:O346"/>
    <mergeCell ref="G439:G440"/>
    <mergeCell ref="P165:T165"/>
    <mergeCell ref="D98:E98"/>
    <mergeCell ref="P30:T30"/>
    <mergeCell ref="D73:E73"/>
    <mergeCell ref="P152:T152"/>
    <mergeCell ref="P179:V179"/>
    <mergeCell ref="A202:Z202"/>
    <mergeCell ref="P233:V233"/>
    <mergeCell ref="B17:B18"/>
    <mergeCell ref="P143:V143"/>
    <mergeCell ref="D258:E258"/>
    <mergeCell ref="A92:O93"/>
    <mergeCell ref="P404:T404"/>
    <mergeCell ref="D124:E124"/>
    <mergeCell ref="P56:T56"/>
    <mergeCell ref="V10:W10"/>
    <mergeCell ref="P73:T73"/>
    <mergeCell ref="D187:E187"/>
    <mergeCell ref="P231:T231"/>
    <mergeCell ref="P87:V87"/>
    <mergeCell ref="A34:Z34"/>
    <mergeCell ref="D45:E45"/>
    <mergeCell ref="H9:I9"/>
    <mergeCell ref="P260:V260"/>
    <mergeCell ref="P389:T389"/>
    <mergeCell ref="D297:E297"/>
    <mergeCell ref="A370:Z370"/>
    <mergeCell ref="P259:V259"/>
    <mergeCell ref="P324:V324"/>
    <mergeCell ref="A79:O80"/>
    <mergeCell ref="P220:T220"/>
    <mergeCell ref="D263:E263"/>
    <mergeCell ref="A70:O71"/>
    <mergeCell ref="D238:E238"/>
    <mergeCell ref="D78:E78"/>
    <mergeCell ref="P157:T157"/>
    <mergeCell ref="P213:T213"/>
    <mergeCell ref="D205:E205"/>
    <mergeCell ref="D376:E376"/>
    <mergeCell ref="P384:T3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3"/>
    </row>
    <row r="3" spans="2:8" x14ac:dyDescent="0.2">
      <c r="B3" s="48" t="s">
        <v>688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689</v>
      </c>
      <c r="D6" s="48" t="s">
        <v>690</v>
      </c>
      <c r="E6" s="48"/>
    </row>
    <row r="8" spans="2:8" x14ac:dyDescent="0.2">
      <c r="B8" s="48" t="s">
        <v>19</v>
      </c>
      <c r="C8" s="48" t="s">
        <v>689</v>
      </c>
      <c r="D8" s="48"/>
      <c r="E8" s="48"/>
    </row>
    <row r="10" spans="2:8" x14ac:dyDescent="0.2">
      <c r="B10" s="48" t="s">
        <v>691</v>
      </c>
      <c r="C10" s="48"/>
      <c r="D10" s="48"/>
      <c r="E10" s="48"/>
    </row>
    <row r="11" spans="2:8" x14ac:dyDescent="0.2">
      <c r="B11" s="48" t="s">
        <v>692</v>
      </c>
      <c r="C11" s="48"/>
      <c r="D11" s="48"/>
      <c r="E11" s="48"/>
    </row>
    <row r="12" spans="2:8" x14ac:dyDescent="0.2">
      <c r="B12" s="48" t="s">
        <v>693</v>
      </c>
      <c r="C12" s="48"/>
      <c r="D12" s="48"/>
      <c r="E12" s="48"/>
    </row>
    <row r="13" spans="2:8" x14ac:dyDescent="0.2">
      <c r="B13" s="48" t="s">
        <v>694</v>
      </c>
      <c r="C13" s="48"/>
      <c r="D13" s="48"/>
      <c r="E13" s="48"/>
    </row>
    <row r="14" spans="2:8" x14ac:dyDescent="0.2">
      <c r="B14" s="48" t="s">
        <v>695</v>
      </c>
      <c r="C14" s="48"/>
      <c r="D14" s="48"/>
      <c r="E14" s="48"/>
    </row>
    <row r="15" spans="2:8" x14ac:dyDescent="0.2">
      <c r="B15" s="48" t="s">
        <v>696</v>
      </c>
      <c r="C15" s="48"/>
      <c r="D15" s="48"/>
      <c r="E15" s="48"/>
    </row>
    <row r="16" spans="2:8" x14ac:dyDescent="0.2">
      <c r="B16" s="48" t="s">
        <v>697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698</v>
      </c>
      <c r="C18" s="48"/>
      <c r="D18" s="48"/>
      <c r="E18" s="48"/>
    </row>
    <row r="19" spans="2:5" x14ac:dyDescent="0.2">
      <c r="B19" s="48" t="s">
        <v>699</v>
      </c>
      <c r="C19" s="48"/>
      <c r="D19" s="48"/>
      <c r="E19" s="48"/>
    </row>
    <row r="20" spans="2:5" x14ac:dyDescent="0.2">
      <c r="B20" s="48" t="s">
        <v>700</v>
      </c>
      <c r="C20" s="48"/>
      <c r="D20" s="48"/>
      <c r="E20" s="48"/>
    </row>
  </sheetData>
  <sheetProtection algorithmName="SHA-512" hashValue="vtnSFpYLzvhHQYpVzmX1UhQN+K575qd4sVU2RuuU48DaTxPXzATzICFW5+8FZedJ2HjBtIO3ZRl0UOoLMCUrpg==" saltValue="J/JxYMXRQF694zVM3dk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861</vt:i4>
      </vt:variant>
    </vt:vector>
  </HeadingPairs>
  <TitlesOfParts>
    <vt:vector size="8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