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ЭтаКнига" defaultThemeVersion="124226"/>
  <mc:AlternateContent xmlns:mc="http://schemas.openxmlformats.org/markup-compatibility/2006">
    <mc:Choice Requires="x15">
      <x15ac:absPath xmlns:x15ac="http://schemas.microsoft.com/office/spreadsheetml/2010/11/ac" url="C:\WORK\перенос данных\ПОКОМ ЗПФ\pokom_zpf\"/>
    </mc:Choice>
  </mc:AlternateContent>
  <xr:revisionPtr revIDLastSave="0" documentId="13_ncr:1_{2057EEC6-EF14-4CBA-91D2-BC6124707028}" xr6:coauthVersionLast="45" xr6:coauthVersionMax="45" xr10:uidLastSave="{00000000-0000-0000-0000-000000000000}"/>
  <bookViews>
    <workbookView xWindow="-120" yWindow="-120" windowWidth="29040" windowHeight="15840" tabRatio="420" xr2:uid="{00000000-000D-0000-FFFF-FFFF00000000}"/>
  </bookViews>
  <sheets>
    <sheet name="Бланк заказа" sheetId="1" r:id="rId1"/>
    <sheet name="Setting" sheetId="2" state="hidden" r:id="rId2"/>
  </sheets>
  <definedNames>
    <definedName name="_xlnm._FilterDatabase" localSheetId="0" hidden="1">'Бланк заказа'!$A$18:$AF$299</definedName>
    <definedName name="CodeProxySet">Setting!$E$9:$E$10</definedName>
    <definedName name="Comment">'Бланк заказа'!$H$5</definedName>
    <definedName name="ContactInformation">'Бланк заказа'!$A$12</definedName>
    <definedName name="CustAccount">'Бланк заказа'!$V$10</definedName>
    <definedName name="CustName">'Бланк заказа'!$V$6</definedName>
    <definedName name="DateFrom">'Бланк заказа'!$R$1</definedName>
    <definedName name="DeliveryAddress">'Бланк заказа'!$D$6</definedName>
    <definedName name="DeliveryAdressList">Setting!$B$6:$B$6</definedName>
    <definedName name="DeliveryCodeAdressList">Setting!$C$6:$C$6</definedName>
    <definedName name="DeliveryConditions">'Бланк заказа'!$V$12</definedName>
    <definedName name="DeliveryConditionsList">Setting!$B$10:$B$20</definedName>
    <definedName name="DeliveryDate">'Бланк заказа'!$Q$9</definedName>
    <definedName name="DeliveryMethodList">Setting!$B$3:$B$4</definedName>
    <definedName name="DeliveryNumAdressList">Setting!$D$6:$D$6</definedName>
    <definedName name="DeliveryTime">'Бланк заказа'!$Q$10</definedName>
    <definedName name="DeliveryTime2">'Бланк заказа'!$Q$11</definedName>
    <definedName name="DeliveryTime3">'Бланк заказа'!$Q$12</definedName>
    <definedName name="DeliveryTime4">'Бланк заказа'!$Q$13</definedName>
    <definedName name="DlvMode">'Бланк заказа'!$V$5</definedName>
    <definedName name="FileCodeCheck">Setting!$G$1</definedName>
    <definedName name="FIOProxy">'Бланк заказа'!$H$9:$I$9</definedName>
    <definedName name="FIOProxySet">Setting!$C$9:$C$10</definedName>
    <definedName name="GrossWeightTotal">'Бланк заказа'!$X$295:$X$295</definedName>
    <definedName name="GrossWeightTotalR">'Бланк заказа'!$Y$295:$Y$295</definedName>
    <definedName name="LoadDate">'Бланк заказа'!$Q$5</definedName>
    <definedName name="LoadTime">'Бланк заказа'!$Q$8</definedName>
    <definedName name="NumProxy">'Бланк заказа'!$D$10</definedName>
    <definedName name="NumProxySet">Setting!$B$9:$B$10</definedName>
    <definedName name="PalletQtyTotal">'Бланк заказа'!$X$296:$X$296</definedName>
    <definedName name="PalletQtyTotalR">'Бланк заказа'!$Y$296:$Y$296</definedName>
    <definedName name="PassportProxy">'Бланк заказа'!$J$9:$M$9</definedName>
    <definedName name="PassportProxySet">Setting!$D$9:$D$10</definedName>
    <definedName name="ProductId1">'Бланк заказа'!$B$22:$B$22</definedName>
    <definedName name="ProductId10">'Бланк заказа'!$B$48:$B$48</definedName>
    <definedName name="ProductId100">'Бланк заказа'!$B$268:$B$268</definedName>
    <definedName name="ProductId101">'Бланк заказа'!$B$272:$B$272</definedName>
    <definedName name="ProductId102">'Бланк заказа'!$B$273:$B$273</definedName>
    <definedName name="ProductId103">'Бланк заказа'!$B$274:$B$274</definedName>
    <definedName name="ProductId104">'Бланк заказа'!$B$275:$B$275</definedName>
    <definedName name="ProductId105">'Бланк заказа'!$B$276:$B$276</definedName>
    <definedName name="ProductId106">'Бланк заказа'!$B$277:$B$277</definedName>
    <definedName name="ProductId107">'Бланк заказа'!$B$278:$B$278</definedName>
    <definedName name="ProductId108">'Бланк заказа'!$B$279:$B$279</definedName>
    <definedName name="ProductId109">'Бланк заказа'!$B$280:$B$280</definedName>
    <definedName name="ProductId11">'Бланк заказа'!$B$49:$B$49</definedName>
    <definedName name="ProductId110">'Бланк заказа'!$B$281:$B$281</definedName>
    <definedName name="ProductId111">'Бланк заказа'!$B$282:$B$282</definedName>
    <definedName name="ProductId112">'Бланк заказа'!$B$283:$B$283</definedName>
    <definedName name="ProductId113">'Бланк заказа'!$B$284:$B$284</definedName>
    <definedName name="ProductId114">'Бланк заказа'!$B$285:$B$285</definedName>
    <definedName name="ProductId115">'Бланк заказа'!$B$286:$B$286</definedName>
    <definedName name="ProductId116">'Бланк заказа'!$B$287:$B$287</definedName>
    <definedName name="ProductId117">'Бланк заказа'!$B$288:$B$288</definedName>
    <definedName name="ProductId118">'Бланк заказа'!$B$289:$B$289</definedName>
    <definedName name="ProductId119">'Бланк заказа'!$B$290:$B$290</definedName>
    <definedName name="ProductId12">'Бланк заказа'!$B$50:$B$50</definedName>
    <definedName name="ProductId120">'Бланк заказа'!$B$291:$B$291</definedName>
    <definedName name="ProductId13">'Бланк заказа'!$B$51:$B$51</definedName>
    <definedName name="ProductId14">'Бланк заказа'!$B$52:$B$52</definedName>
    <definedName name="ProductId15">'Бланк заказа'!$B$53:$B$53</definedName>
    <definedName name="ProductId16">'Бланк заказа'!$B$54:$B$54</definedName>
    <definedName name="ProductId17">'Бланк заказа'!$B$55:$B$55</definedName>
    <definedName name="ProductId18">'Бланк заказа'!$B$56:$B$56</definedName>
    <definedName name="ProductId19">'Бланк заказа'!$B$57:$B$57</definedName>
    <definedName name="ProductId2">'Бланк заказа'!$B$28:$B$28</definedName>
    <definedName name="ProductId20">'Бланк заказа'!$B$58:$B$58</definedName>
    <definedName name="ProductId21">'Бланк заказа'!$B$63:$B$63</definedName>
    <definedName name="ProductId22">'Бланк заказа'!$B$64:$B$64</definedName>
    <definedName name="ProductId23">'Бланк заказа'!$B$69:$B$69</definedName>
    <definedName name="ProductId24">'Бланк заказа'!$B$74:$B$74</definedName>
    <definedName name="ProductId25">'Бланк заказа'!$B$75:$B$75</definedName>
    <definedName name="ProductId26">'Бланк заказа'!$B$80:$B$80</definedName>
    <definedName name="ProductId27">'Бланк заказа'!$B$81:$B$81</definedName>
    <definedName name="ProductId28">'Бланк заказа'!$B$82:$B$82</definedName>
    <definedName name="ProductId29">'Бланк заказа'!$B$83:$B$83</definedName>
    <definedName name="ProductId3">'Бланк заказа'!$B$29:$B$29</definedName>
    <definedName name="ProductId30">'Бланк заказа'!$B$84:$B$84</definedName>
    <definedName name="ProductId31">'Бланк заказа'!$B$85:$B$85</definedName>
    <definedName name="ProductId32">'Бланк заказа'!$B$90:$B$90</definedName>
    <definedName name="ProductId33">'Бланк заказа'!$B$91:$B$91</definedName>
    <definedName name="ProductId34">'Бланк заказа'!$B$92:$B$92</definedName>
    <definedName name="ProductId35">'Бланк заказа'!$B$97:$B$97</definedName>
    <definedName name="ProductId36">'Бланк заказа'!$B$98:$B$98</definedName>
    <definedName name="ProductId37">'Бланк заказа'!$B$99:$B$99</definedName>
    <definedName name="ProductId38">'Бланк заказа'!$B$100:$B$100</definedName>
    <definedName name="ProductId39">'Бланк заказа'!$B$101:$B$101</definedName>
    <definedName name="ProductId4">'Бланк заказа'!$B$30:$B$30</definedName>
    <definedName name="ProductId40">'Бланк заказа'!$B$102:$B$102</definedName>
    <definedName name="ProductId41">'Бланк заказа'!$B$103:$B$103</definedName>
    <definedName name="ProductId42">'Бланк заказа'!$B$104:$B$104</definedName>
    <definedName name="ProductId43">'Бланк заказа'!$B$109:$B$109</definedName>
    <definedName name="ProductId44">'Бланк заказа'!$B$110:$B$110</definedName>
    <definedName name="ProductId45">'Бланк заказа'!$B$115:$B$115</definedName>
    <definedName name="ProductId46">'Бланк заказа'!$B$116:$B$116</definedName>
    <definedName name="ProductId47">'Бланк заказа'!$B$117:$B$117</definedName>
    <definedName name="ProductId48">'Бланк заказа'!$B$122:$B$122</definedName>
    <definedName name="ProductId49">'Бланк заказа'!$B$123:$B$123</definedName>
    <definedName name="ProductId5">'Бланк заказа'!$B$31:$B$31</definedName>
    <definedName name="ProductId50">'Бланк заказа'!$B$124:$B$124</definedName>
    <definedName name="ProductId51">'Бланк заказа'!$B$129:$B$129</definedName>
    <definedName name="ProductId52">'Бланк заказа'!$B$134:$B$134</definedName>
    <definedName name="ProductId53">'Бланк заказа'!$B$135:$B$135</definedName>
    <definedName name="ProductId54">'Бланк заказа'!$B$140:$B$140</definedName>
    <definedName name="ProductId55">'Бланк заказа'!$B$146:$B$146</definedName>
    <definedName name="ProductId56">'Бланк заказа'!$B$151:$B$151</definedName>
    <definedName name="ProductId57">'Бланк заказа'!$B$152:$B$152</definedName>
    <definedName name="ProductId58">'Бланк заказа'!$B$153:$B$153</definedName>
    <definedName name="ProductId59">'Бланк заказа'!$B$154:$B$154</definedName>
    <definedName name="ProductId6">'Бланк заказа'!$B$36:$B$36</definedName>
    <definedName name="ProductId60">'Бланк заказа'!$B$158:$B$158</definedName>
    <definedName name="ProductId61">'Бланк заказа'!$B$159:$B$159</definedName>
    <definedName name="ProductId62">'Бланк заказа'!$B$165:$B$165</definedName>
    <definedName name="ProductId63">'Бланк заказа'!$B$166:$B$166</definedName>
    <definedName name="ProductId64">'Бланк заказа'!$B$167:$B$167</definedName>
    <definedName name="ProductId65">'Бланк заказа'!$B$171:$B$171</definedName>
    <definedName name="ProductId66">'Бланк заказа'!$B$172:$B$172</definedName>
    <definedName name="ProductId67">'Бланк заказа'!$B$178:$B$178</definedName>
    <definedName name="ProductId68">'Бланк заказа'!$B$179:$B$179</definedName>
    <definedName name="ProductId69">'Бланк заказа'!$B$180:$B$180</definedName>
    <definedName name="ProductId7">'Бланк заказа'!$B$37:$B$37</definedName>
    <definedName name="ProductId70">'Бланк заказа'!$B$185:$B$185</definedName>
    <definedName name="ProductId71">'Бланк заказа'!$B$186:$B$186</definedName>
    <definedName name="ProductId72">'Бланк заказа'!$B$187:$B$187</definedName>
    <definedName name="ProductId73">'Бланк заказа'!$B$192:$B$192</definedName>
    <definedName name="ProductId74">'Бланк заказа'!$B$193:$B$193</definedName>
    <definedName name="ProductId75">'Бланк заказа'!$B$194:$B$194</definedName>
    <definedName name="ProductId76">'Бланк заказа'!$B$195:$B$195</definedName>
    <definedName name="ProductId77">'Бланк заказа'!$B$196:$B$196</definedName>
    <definedName name="ProductId78">'Бланк заказа'!$B$197:$B$197</definedName>
    <definedName name="ProductId79">'Бланк заказа'!$B$202:$B$202</definedName>
    <definedName name="ProductId8">'Бланк заказа'!$B$42:$B$42</definedName>
    <definedName name="ProductId80">'Бланк заказа'!$B$203:$B$203</definedName>
    <definedName name="ProductId81">'Бланк заказа'!$B$204:$B$204</definedName>
    <definedName name="ProductId82">'Бланк заказа'!$B$205:$B$205</definedName>
    <definedName name="ProductId83">'Бланк заказа'!$B$210:$B$210</definedName>
    <definedName name="ProductId84">'Бланк заказа'!$B$215:$B$215</definedName>
    <definedName name="ProductId85">'Бланк заказа'!$B$220:$B$220</definedName>
    <definedName name="ProductId86">'Бланк заказа'!$B$221:$B$221</definedName>
    <definedName name="ProductId87">'Бланк заказа'!$B$227:$B$227</definedName>
    <definedName name="ProductId88">'Бланк заказа'!$B$233:$B$233</definedName>
    <definedName name="ProductId89">'Бланк заказа'!$B$234:$B$234</definedName>
    <definedName name="ProductId9">'Бланк заказа'!$B$47:$B$47</definedName>
    <definedName name="ProductId90">'Бланк заказа'!$B$239:$B$239</definedName>
    <definedName name="ProductId91">'Бланк заказа'!$B$245:$B$245</definedName>
    <definedName name="ProductId92">'Бланк заказа'!$B$251:$B$251</definedName>
    <definedName name="ProductId93">'Бланк заказа'!$B$252:$B$252</definedName>
    <definedName name="ProductId94">'Бланк заказа'!$B$253:$B$253</definedName>
    <definedName name="ProductId95">'Бланк заказа'!$B$257:$B$257</definedName>
    <definedName name="ProductId96">'Бланк заказа'!$B$261:$B$261</definedName>
    <definedName name="ProductId97">'Бланк заказа'!$B$262:$B$262</definedName>
    <definedName name="ProductId98">'Бланк заказа'!$B$266:$B$266</definedName>
    <definedName name="ProductId99">'Бланк заказа'!$B$267:$B$267</definedName>
    <definedName name="Proxy">Setting!$B$9:$E$10</definedName>
    <definedName name="Ref_UnloadCodeAdressList0001">Setting!$C$8:$C$8</definedName>
    <definedName name="RequestReceiptTime">'Бланк заказа'!$A$13</definedName>
    <definedName name="SalesQty1">'Бланк заказа'!$X$22:$X$22</definedName>
    <definedName name="SalesQty10">'Бланк заказа'!$X$48:$X$48</definedName>
    <definedName name="SalesQty100">'Бланк заказа'!$X$268:$X$268</definedName>
    <definedName name="SalesQty101">'Бланк заказа'!$X$272:$X$272</definedName>
    <definedName name="SalesQty102">'Бланк заказа'!$X$273:$X$273</definedName>
    <definedName name="SalesQty103">'Бланк заказа'!$X$274:$X$274</definedName>
    <definedName name="SalesQty104">'Бланк заказа'!$X$275:$X$275</definedName>
    <definedName name="SalesQty105">'Бланк заказа'!$X$276:$X$276</definedName>
    <definedName name="SalesQty106">'Бланк заказа'!$X$277:$X$277</definedName>
    <definedName name="SalesQty107">'Бланк заказа'!$X$278:$X$278</definedName>
    <definedName name="SalesQty108">'Бланк заказа'!$X$279:$X$279</definedName>
    <definedName name="SalesQty109">'Бланк заказа'!$X$280:$X$280</definedName>
    <definedName name="SalesQty11">'Бланк заказа'!$X$49:$X$49</definedName>
    <definedName name="SalesQty110">'Бланк заказа'!$X$281:$X$281</definedName>
    <definedName name="SalesQty111">'Бланк заказа'!$X$282:$X$282</definedName>
    <definedName name="SalesQty112">'Бланк заказа'!$X$283:$X$283</definedName>
    <definedName name="SalesQty113">'Бланк заказа'!$X$284:$X$284</definedName>
    <definedName name="SalesQty114">'Бланк заказа'!$X$285:$X$285</definedName>
    <definedName name="SalesQty115">'Бланк заказа'!$X$286:$X$286</definedName>
    <definedName name="SalesQty116">'Бланк заказа'!$X$287:$X$287</definedName>
    <definedName name="SalesQty117">'Бланк заказа'!$X$288:$X$288</definedName>
    <definedName name="SalesQty118">'Бланк заказа'!$X$289:$X$289</definedName>
    <definedName name="SalesQty119">'Бланк заказа'!$X$290:$X$290</definedName>
    <definedName name="SalesQty12">'Бланк заказа'!$X$50:$X$50</definedName>
    <definedName name="SalesQty120">'Бланк заказа'!$X$291:$X$291</definedName>
    <definedName name="SalesQty13">'Бланк заказа'!$X$51:$X$51</definedName>
    <definedName name="SalesQty14">'Бланк заказа'!$X$52:$X$52</definedName>
    <definedName name="SalesQty15">'Бланк заказа'!$X$53:$X$53</definedName>
    <definedName name="SalesQty16">'Бланк заказа'!$X$54:$X$54</definedName>
    <definedName name="SalesQty17">'Бланк заказа'!$X$55:$X$55</definedName>
    <definedName name="SalesQty18">'Бланк заказа'!$X$56:$X$56</definedName>
    <definedName name="SalesQty19">'Бланк заказа'!$X$57:$X$57</definedName>
    <definedName name="SalesQty2">'Бланк заказа'!$X$28:$X$28</definedName>
    <definedName name="SalesQty20">'Бланк заказа'!$X$58:$X$58</definedName>
    <definedName name="SalesQty21">'Бланк заказа'!$X$63:$X$63</definedName>
    <definedName name="SalesQty22">'Бланк заказа'!$X$64:$X$64</definedName>
    <definedName name="SalesQty23">'Бланк заказа'!$X$69:$X$69</definedName>
    <definedName name="SalesQty24">'Бланк заказа'!$X$74:$X$74</definedName>
    <definedName name="SalesQty25">'Бланк заказа'!$X$75:$X$75</definedName>
    <definedName name="SalesQty26">'Бланк заказа'!$X$80:$X$80</definedName>
    <definedName name="SalesQty27">'Бланк заказа'!$X$81:$X$81</definedName>
    <definedName name="SalesQty28">'Бланк заказа'!$X$82:$X$82</definedName>
    <definedName name="SalesQty29">'Бланк заказа'!$X$83:$X$83</definedName>
    <definedName name="SalesQty3">'Бланк заказа'!$X$29:$X$29</definedName>
    <definedName name="SalesQty30">'Бланк заказа'!$X$84:$X$84</definedName>
    <definedName name="SalesQty31">'Бланк заказа'!$X$85:$X$85</definedName>
    <definedName name="SalesQty32">'Бланк заказа'!$X$90:$X$90</definedName>
    <definedName name="SalesQty33">'Бланк заказа'!$X$91:$X$91</definedName>
    <definedName name="SalesQty34">'Бланк заказа'!$X$92:$X$92</definedName>
    <definedName name="SalesQty35">'Бланк заказа'!$X$97:$X$97</definedName>
    <definedName name="SalesQty36">'Бланк заказа'!$X$98:$X$98</definedName>
    <definedName name="SalesQty37">'Бланк заказа'!$X$99:$X$99</definedName>
    <definedName name="SalesQty38">'Бланк заказа'!$X$100:$X$100</definedName>
    <definedName name="SalesQty39">'Бланк заказа'!$X$101:$X$101</definedName>
    <definedName name="SalesQty4">'Бланк заказа'!$X$30:$X$30</definedName>
    <definedName name="SalesQty40">'Бланк заказа'!$X$102:$X$102</definedName>
    <definedName name="SalesQty41">'Бланк заказа'!$X$103:$X$103</definedName>
    <definedName name="SalesQty42">'Бланк заказа'!$X$104:$X$104</definedName>
    <definedName name="SalesQty43">'Бланк заказа'!$X$109:$X$109</definedName>
    <definedName name="SalesQty44">'Бланк заказа'!$X$110:$X$110</definedName>
    <definedName name="SalesQty45">'Бланк заказа'!$X$115:$X$115</definedName>
    <definedName name="SalesQty46">'Бланк заказа'!$X$116:$X$116</definedName>
    <definedName name="SalesQty47">'Бланк заказа'!$X$117:$X$117</definedName>
    <definedName name="SalesQty48">'Бланк заказа'!$X$122:$X$122</definedName>
    <definedName name="SalesQty49">'Бланк заказа'!$X$123:$X$123</definedName>
    <definedName name="SalesQty5">'Бланк заказа'!$X$31:$X$31</definedName>
    <definedName name="SalesQty50">'Бланк заказа'!$X$124:$X$124</definedName>
    <definedName name="SalesQty51">'Бланк заказа'!$X$129:$X$129</definedName>
    <definedName name="SalesQty52">'Бланк заказа'!$X$134:$X$134</definedName>
    <definedName name="SalesQty53">'Бланк заказа'!$X$135:$X$135</definedName>
    <definedName name="SalesQty54">'Бланк заказа'!$X$140:$X$140</definedName>
    <definedName name="SalesQty55">'Бланк заказа'!$X$146:$X$146</definedName>
    <definedName name="SalesQty56">'Бланк заказа'!$X$151:$X$151</definedName>
    <definedName name="SalesQty57">'Бланк заказа'!$X$152:$X$152</definedName>
    <definedName name="SalesQty58">'Бланк заказа'!$X$153:$X$153</definedName>
    <definedName name="SalesQty59">'Бланк заказа'!$X$154:$X$154</definedName>
    <definedName name="SalesQty6">'Бланк заказа'!$X$36:$X$36</definedName>
    <definedName name="SalesQty60">'Бланк заказа'!$X$158:$X$158</definedName>
    <definedName name="SalesQty61">'Бланк заказа'!$X$159:$X$159</definedName>
    <definedName name="SalesQty62">'Бланк заказа'!$X$165:$X$165</definedName>
    <definedName name="SalesQty63">'Бланк заказа'!$X$166:$X$166</definedName>
    <definedName name="SalesQty64">'Бланк заказа'!$X$167:$X$167</definedName>
    <definedName name="SalesQty65">'Бланк заказа'!$X$171:$X$171</definedName>
    <definedName name="SalesQty66">'Бланк заказа'!$X$172:$X$172</definedName>
    <definedName name="SalesQty67">'Бланк заказа'!$X$178:$X$178</definedName>
    <definedName name="SalesQty68">'Бланк заказа'!$X$179:$X$179</definedName>
    <definedName name="SalesQty69">'Бланк заказа'!$X$180:$X$180</definedName>
    <definedName name="SalesQty7">'Бланк заказа'!$X$37:$X$37</definedName>
    <definedName name="SalesQty70">'Бланк заказа'!$X$185:$X$185</definedName>
    <definedName name="SalesQty71">'Бланк заказа'!$X$186:$X$186</definedName>
    <definedName name="SalesQty72">'Бланк заказа'!$X$187:$X$187</definedName>
    <definedName name="SalesQty73">'Бланк заказа'!$X$192:$X$192</definedName>
    <definedName name="SalesQty74">'Бланк заказа'!$X$193:$X$193</definedName>
    <definedName name="SalesQty75">'Бланк заказа'!$X$194:$X$194</definedName>
    <definedName name="SalesQty76">'Бланк заказа'!$X$195:$X$195</definedName>
    <definedName name="SalesQty77">'Бланк заказа'!$X$196:$X$196</definedName>
    <definedName name="SalesQty78">'Бланк заказа'!$X$197:$X$197</definedName>
    <definedName name="SalesQty79">'Бланк заказа'!$X$202:$X$202</definedName>
    <definedName name="SalesQty8">'Бланк заказа'!$X$42:$X$42</definedName>
    <definedName name="SalesQty80">'Бланк заказа'!$X$203:$X$203</definedName>
    <definedName name="SalesQty81">'Бланк заказа'!$X$204:$X$204</definedName>
    <definedName name="SalesQty82">'Бланк заказа'!$X$205:$X$205</definedName>
    <definedName name="SalesQty83">'Бланк заказа'!$X$210:$X$210</definedName>
    <definedName name="SalesQty84">'Бланк заказа'!$X$215:$X$215</definedName>
    <definedName name="SalesQty85">'Бланк заказа'!$X$220:$X$220</definedName>
    <definedName name="SalesQty86">'Бланк заказа'!$X$221:$X$221</definedName>
    <definedName name="SalesQty87">'Бланк заказа'!$X$227:$X$227</definedName>
    <definedName name="SalesQty88">'Бланк заказа'!$X$233:$X$233</definedName>
    <definedName name="SalesQty89">'Бланк заказа'!$X$234:$X$234</definedName>
    <definedName name="SalesQty9">'Бланк заказа'!$X$47:$X$47</definedName>
    <definedName name="SalesQty90">'Бланк заказа'!$X$239:$X$239</definedName>
    <definedName name="SalesQty91">'Бланк заказа'!$X$245:$X$245</definedName>
    <definedName name="SalesQty92">'Бланк заказа'!$X$251:$X$251</definedName>
    <definedName name="SalesQty93">'Бланк заказа'!$X$252:$X$252</definedName>
    <definedName name="SalesQty94">'Бланк заказа'!$X$253:$X$253</definedName>
    <definedName name="SalesQty95">'Бланк заказа'!$X$257:$X$257</definedName>
    <definedName name="SalesQty96">'Бланк заказа'!$X$261:$X$261</definedName>
    <definedName name="SalesQty97">'Бланк заказа'!$X$262:$X$262</definedName>
    <definedName name="SalesQty98">'Бланк заказа'!$X$266:$X$266</definedName>
    <definedName name="SalesQty99">'Бланк заказа'!$X$267:$X$267</definedName>
    <definedName name="SalesRequestType">'Бланк заказа'!$V$11</definedName>
    <definedName name="SalesRoundBox1">'Бланк заказа'!$Y$22:$Y$22</definedName>
    <definedName name="SalesRoundBox10">'Бланк заказа'!$Y$48:$Y$48</definedName>
    <definedName name="SalesRoundBox100">'Бланк заказа'!$Y$268:$Y$268</definedName>
    <definedName name="SalesRoundBox101">'Бланк заказа'!$Y$272:$Y$272</definedName>
    <definedName name="SalesRoundBox102">'Бланк заказа'!$Y$273:$Y$273</definedName>
    <definedName name="SalesRoundBox103">'Бланк заказа'!$Y$274:$Y$274</definedName>
    <definedName name="SalesRoundBox104">'Бланк заказа'!$Y$275:$Y$275</definedName>
    <definedName name="SalesRoundBox105">'Бланк заказа'!$Y$276:$Y$276</definedName>
    <definedName name="SalesRoundBox106">'Бланк заказа'!$Y$277:$Y$277</definedName>
    <definedName name="SalesRoundBox107">'Бланк заказа'!$Y$278:$Y$278</definedName>
    <definedName name="SalesRoundBox108">'Бланк заказа'!$Y$279:$Y$279</definedName>
    <definedName name="SalesRoundBox109">'Бланк заказа'!$Y$280:$Y$280</definedName>
    <definedName name="SalesRoundBox11">'Бланк заказа'!$Y$49:$Y$49</definedName>
    <definedName name="SalesRoundBox110">'Бланк заказа'!$Y$281:$Y$281</definedName>
    <definedName name="SalesRoundBox111">'Бланк заказа'!$Y$282:$Y$282</definedName>
    <definedName name="SalesRoundBox112">'Бланк заказа'!$Y$283:$Y$283</definedName>
    <definedName name="SalesRoundBox113">'Бланк заказа'!$Y$284:$Y$284</definedName>
    <definedName name="SalesRoundBox114">'Бланк заказа'!$Y$285:$Y$285</definedName>
    <definedName name="SalesRoundBox115">'Бланк заказа'!$Y$286:$Y$286</definedName>
    <definedName name="SalesRoundBox116">'Бланк заказа'!$Y$287:$Y$287</definedName>
    <definedName name="SalesRoundBox117">'Бланк заказа'!$Y$288:$Y$288</definedName>
    <definedName name="SalesRoundBox118">'Бланк заказа'!$Y$289:$Y$289</definedName>
    <definedName name="SalesRoundBox119">'Бланк заказа'!$Y$290:$Y$290</definedName>
    <definedName name="SalesRoundBox12">'Бланк заказа'!$Y$50:$Y$50</definedName>
    <definedName name="SalesRoundBox120">'Бланк заказа'!$Y$291:$Y$291</definedName>
    <definedName name="SalesRoundBox13">'Бланк заказа'!$Y$51:$Y$51</definedName>
    <definedName name="SalesRoundBox14">'Бланк заказа'!$Y$52:$Y$52</definedName>
    <definedName name="SalesRoundBox15">'Бланк заказа'!$Y$53:$Y$53</definedName>
    <definedName name="SalesRoundBox16">'Бланк заказа'!$Y$54:$Y$54</definedName>
    <definedName name="SalesRoundBox17">'Бланк заказа'!$Y$55:$Y$55</definedName>
    <definedName name="SalesRoundBox18">'Бланк заказа'!$Y$56:$Y$56</definedName>
    <definedName name="SalesRoundBox19">'Бланк заказа'!$Y$57:$Y$57</definedName>
    <definedName name="SalesRoundBox2">'Бланк заказа'!$Y$28:$Y$28</definedName>
    <definedName name="SalesRoundBox20">'Бланк заказа'!$Y$58:$Y$58</definedName>
    <definedName name="SalesRoundBox21">'Бланк заказа'!$Y$63:$Y$63</definedName>
    <definedName name="SalesRoundBox22">'Бланк заказа'!$Y$64:$Y$64</definedName>
    <definedName name="SalesRoundBox23">'Бланк заказа'!$Y$69:$Y$69</definedName>
    <definedName name="SalesRoundBox24">'Бланк заказа'!$Y$74:$Y$74</definedName>
    <definedName name="SalesRoundBox25">'Бланк заказа'!$Y$75:$Y$75</definedName>
    <definedName name="SalesRoundBox26">'Бланк заказа'!$Y$80:$Y$80</definedName>
    <definedName name="SalesRoundBox27">'Бланк заказа'!$Y$81:$Y$81</definedName>
    <definedName name="SalesRoundBox28">'Бланк заказа'!$Y$82:$Y$82</definedName>
    <definedName name="SalesRoundBox29">'Бланк заказа'!$Y$83:$Y$83</definedName>
    <definedName name="SalesRoundBox3">'Бланк заказа'!$Y$29:$Y$29</definedName>
    <definedName name="SalesRoundBox30">'Бланк заказа'!$Y$84:$Y$84</definedName>
    <definedName name="SalesRoundBox31">'Бланк заказа'!$Y$85:$Y$85</definedName>
    <definedName name="SalesRoundBox32">'Бланк заказа'!$Y$90:$Y$90</definedName>
    <definedName name="SalesRoundBox33">'Бланк заказа'!$Y$91:$Y$91</definedName>
    <definedName name="SalesRoundBox34">'Бланк заказа'!$Y$92:$Y$92</definedName>
    <definedName name="SalesRoundBox35">'Бланк заказа'!$Y$97:$Y$97</definedName>
    <definedName name="SalesRoundBox36">'Бланк заказа'!$Y$98:$Y$98</definedName>
    <definedName name="SalesRoundBox37">'Бланк заказа'!$Y$99:$Y$99</definedName>
    <definedName name="SalesRoundBox38">'Бланк заказа'!$Y$100:$Y$100</definedName>
    <definedName name="SalesRoundBox39">'Бланк заказа'!$Y$101:$Y$101</definedName>
    <definedName name="SalesRoundBox4">'Бланк заказа'!$Y$30:$Y$30</definedName>
    <definedName name="SalesRoundBox40">'Бланк заказа'!$Y$102:$Y$102</definedName>
    <definedName name="SalesRoundBox41">'Бланк заказа'!$Y$103:$Y$103</definedName>
    <definedName name="SalesRoundBox42">'Бланк заказа'!$Y$104:$Y$104</definedName>
    <definedName name="SalesRoundBox43">'Бланк заказа'!$Y$109:$Y$109</definedName>
    <definedName name="SalesRoundBox44">'Бланк заказа'!$Y$110:$Y$110</definedName>
    <definedName name="SalesRoundBox45">'Бланк заказа'!$Y$115:$Y$115</definedName>
    <definedName name="SalesRoundBox46">'Бланк заказа'!$Y$116:$Y$116</definedName>
    <definedName name="SalesRoundBox47">'Бланк заказа'!$Y$117:$Y$117</definedName>
    <definedName name="SalesRoundBox48">'Бланк заказа'!$Y$122:$Y$122</definedName>
    <definedName name="SalesRoundBox49">'Бланк заказа'!$Y$123:$Y$123</definedName>
    <definedName name="SalesRoundBox5">'Бланк заказа'!$Y$31:$Y$31</definedName>
    <definedName name="SalesRoundBox50">'Бланк заказа'!$Y$124:$Y$124</definedName>
    <definedName name="SalesRoundBox51">'Бланк заказа'!$Y$129:$Y$129</definedName>
    <definedName name="SalesRoundBox52">'Бланк заказа'!$Y$134:$Y$134</definedName>
    <definedName name="SalesRoundBox53">'Бланк заказа'!$Y$135:$Y$135</definedName>
    <definedName name="SalesRoundBox54">'Бланк заказа'!$Y$140:$Y$140</definedName>
    <definedName name="SalesRoundBox55">'Бланк заказа'!$Y$146:$Y$146</definedName>
    <definedName name="SalesRoundBox56">'Бланк заказа'!$Y$151:$Y$151</definedName>
    <definedName name="SalesRoundBox57">'Бланк заказа'!$Y$152:$Y$152</definedName>
    <definedName name="SalesRoundBox58">'Бланк заказа'!$Y$153:$Y$153</definedName>
    <definedName name="SalesRoundBox59">'Бланк заказа'!$Y$154:$Y$154</definedName>
    <definedName name="SalesRoundBox6">'Бланк заказа'!$Y$36:$Y$36</definedName>
    <definedName name="SalesRoundBox60">'Бланк заказа'!$Y$158:$Y$158</definedName>
    <definedName name="SalesRoundBox61">'Бланк заказа'!$Y$159:$Y$159</definedName>
    <definedName name="SalesRoundBox62">'Бланк заказа'!$Y$165:$Y$165</definedName>
    <definedName name="SalesRoundBox63">'Бланк заказа'!$Y$166:$Y$166</definedName>
    <definedName name="SalesRoundBox64">'Бланк заказа'!$Y$167:$Y$167</definedName>
    <definedName name="SalesRoundBox65">'Бланк заказа'!$Y$171:$Y$171</definedName>
    <definedName name="SalesRoundBox66">'Бланк заказа'!$Y$172:$Y$172</definedName>
    <definedName name="SalesRoundBox67">'Бланк заказа'!$Y$178:$Y$178</definedName>
    <definedName name="SalesRoundBox68">'Бланк заказа'!$Y$179:$Y$179</definedName>
    <definedName name="SalesRoundBox69">'Бланк заказа'!$Y$180:$Y$180</definedName>
    <definedName name="SalesRoundBox7">'Бланк заказа'!$Y$37:$Y$37</definedName>
    <definedName name="SalesRoundBox70">'Бланк заказа'!$Y$185:$Y$185</definedName>
    <definedName name="SalesRoundBox71">'Бланк заказа'!$Y$186:$Y$186</definedName>
    <definedName name="SalesRoundBox72">'Бланк заказа'!$Y$187:$Y$187</definedName>
    <definedName name="SalesRoundBox73">'Бланк заказа'!$Y$192:$Y$192</definedName>
    <definedName name="SalesRoundBox74">'Бланк заказа'!$Y$193:$Y$193</definedName>
    <definedName name="SalesRoundBox75">'Бланк заказа'!$Y$194:$Y$194</definedName>
    <definedName name="SalesRoundBox76">'Бланк заказа'!$Y$195:$Y$195</definedName>
    <definedName name="SalesRoundBox77">'Бланк заказа'!$Y$196:$Y$196</definedName>
    <definedName name="SalesRoundBox78">'Бланк заказа'!$Y$197:$Y$197</definedName>
    <definedName name="SalesRoundBox79">'Бланк заказа'!$Y$202:$Y$202</definedName>
    <definedName name="SalesRoundBox8">'Бланк заказа'!$Y$42:$Y$42</definedName>
    <definedName name="SalesRoundBox80">'Бланк заказа'!$Y$203:$Y$203</definedName>
    <definedName name="SalesRoundBox81">'Бланк заказа'!$Y$204:$Y$204</definedName>
    <definedName name="SalesRoundBox82">'Бланк заказа'!$Y$205:$Y$205</definedName>
    <definedName name="SalesRoundBox83">'Бланк заказа'!$Y$210:$Y$210</definedName>
    <definedName name="SalesRoundBox84">'Бланк заказа'!$Y$215:$Y$215</definedName>
    <definedName name="SalesRoundBox85">'Бланк заказа'!$Y$220:$Y$220</definedName>
    <definedName name="SalesRoundBox86">'Бланк заказа'!$Y$221:$Y$221</definedName>
    <definedName name="SalesRoundBox87">'Бланк заказа'!$Y$227:$Y$227</definedName>
    <definedName name="SalesRoundBox88">'Бланк заказа'!$Y$233:$Y$233</definedName>
    <definedName name="SalesRoundBox89">'Бланк заказа'!$Y$234:$Y$234</definedName>
    <definedName name="SalesRoundBox9">'Бланк заказа'!$Y$47:$Y$47</definedName>
    <definedName name="SalesRoundBox90">'Бланк заказа'!$Y$239:$Y$239</definedName>
    <definedName name="SalesRoundBox91">'Бланк заказа'!$Y$245:$Y$245</definedName>
    <definedName name="SalesRoundBox92">'Бланк заказа'!$Y$251:$Y$251</definedName>
    <definedName name="SalesRoundBox93">'Бланк заказа'!$Y$252:$Y$252</definedName>
    <definedName name="SalesRoundBox94">'Бланк заказа'!$Y$253:$Y$253</definedName>
    <definedName name="SalesRoundBox95">'Бланк заказа'!$Y$257:$Y$257</definedName>
    <definedName name="SalesRoundBox96">'Бланк заказа'!$Y$261:$Y$261</definedName>
    <definedName name="SalesRoundBox97">'Бланк заказа'!$Y$262:$Y$262</definedName>
    <definedName name="SalesRoundBox98">'Бланк заказа'!$Y$266:$Y$266</definedName>
    <definedName name="SalesRoundBox99">'Бланк заказа'!$Y$267:$Y$267</definedName>
    <definedName name="Table">Setting!$B$6:$D$6</definedName>
    <definedName name="TemplateProductType">'Бланк заказа'!$G$1</definedName>
    <definedName name="TypeProxy">'Бланк заказа'!$D$9</definedName>
    <definedName name="UnitOfMeasure1">'Бланк заказа'!$W$22:$W$22</definedName>
    <definedName name="UnitOfMeasure10">'Бланк заказа'!$W$48:$W$48</definedName>
    <definedName name="UnitOfMeasure100">'Бланк заказа'!$W$268:$W$268</definedName>
    <definedName name="UnitOfMeasure101">'Бланк заказа'!$W$272:$W$272</definedName>
    <definedName name="UnitOfMeasure102">'Бланк заказа'!$W$273:$W$273</definedName>
    <definedName name="UnitOfMeasure103">'Бланк заказа'!$W$274:$W$274</definedName>
    <definedName name="UnitOfMeasure104">'Бланк заказа'!$W$275:$W$275</definedName>
    <definedName name="UnitOfMeasure105">'Бланк заказа'!$W$276:$W$276</definedName>
    <definedName name="UnitOfMeasure106">'Бланк заказа'!$W$277:$W$277</definedName>
    <definedName name="UnitOfMeasure107">'Бланк заказа'!$W$278:$W$278</definedName>
    <definedName name="UnitOfMeasure108">'Бланк заказа'!$W$279:$W$279</definedName>
    <definedName name="UnitOfMeasure109">'Бланк заказа'!$W$280:$W$280</definedName>
    <definedName name="UnitOfMeasure11">'Бланк заказа'!$W$49:$W$49</definedName>
    <definedName name="UnitOfMeasure110">'Бланк заказа'!$W$281:$W$281</definedName>
    <definedName name="UnitOfMeasure111">'Бланк заказа'!$W$282:$W$282</definedName>
    <definedName name="UnitOfMeasure112">'Бланк заказа'!$W$283:$W$283</definedName>
    <definedName name="UnitOfMeasure113">'Бланк заказа'!$W$284:$W$284</definedName>
    <definedName name="UnitOfMeasure114">'Бланк заказа'!$W$285:$W$285</definedName>
    <definedName name="UnitOfMeasure115">'Бланк заказа'!$W$286:$W$286</definedName>
    <definedName name="UnitOfMeasure116">'Бланк заказа'!$W$287:$W$287</definedName>
    <definedName name="UnitOfMeasure117">'Бланк заказа'!$W$288:$W$288</definedName>
    <definedName name="UnitOfMeasure118">'Бланк заказа'!$W$289:$W$289</definedName>
    <definedName name="UnitOfMeasure119">'Бланк заказа'!$W$290:$W$290</definedName>
    <definedName name="UnitOfMeasure12">'Бланк заказа'!$W$50:$W$50</definedName>
    <definedName name="UnitOfMeasure120">'Бланк заказа'!$W$291:$W$291</definedName>
    <definedName name="UnitOfMeasure13">'Бланк заказа'!$W$51:$W$51</definedName>
    <definedName name="UnitOfMeasure14">'Бланк заказа'!$W$52:$W$52</definedName>
    <definedName name="UnitOfMeasure15">'Бланк заказа'!$W$53:$W$53</definedName>
    <definedName name="UnitOfMeasure16">'Бланк заказа'!$W$54:$W$54</definedName>
    <definedName name="UnitOfMeasure17">'Бланк заказа'!$W$55:$W$55</definedName>
    <definedName name="UnitOfMeasure18">'Бланк заказа'!$W$56:$W$56</definedName>
    <definedName name="UnitOfMeasure19">'Бланк заказа'!$W$57:$W$57</definedName>
    <definedName name="UnitOfMeasure2">'Бланк заказа'!$W$28:$W$28</definedName>
    <definedName name="UnitOfMeasure20">'Бланк заказа'!$W$58:$W$58</definedName>
    <definedName name="UnitOfMeasure21">'Бланк заказа'!$W$63:$W$63</definedName>
    <definedName name="UnitOfMeasure22">'Бланк заказа'!$W$64:$W$64</definedName>
    <definedName name="UnitOfMeasure23">'Бланк заказа'!$W$69:$W$69</definedName>
    <definedName name="UnitOfMeasure24">'Бланк заказа'!$W$74:$W$74</definedName>
    <definedName name="UnitOfMeasure25">'Бланк заказа'!$W$75:$W$75</definedName>
    <definedName name="UnitOfMeasure26">'Бланк заказа'!$W$80:$W$80</definedName>
    <definedName name="UnitOfMeasure27">'Бланк заказа'!$W$81:$W$81</definedName>
    <definedName name="UnitOfMeasure28">'Бланк заказа'!$W$82:$W$82</definedName>
    <definedName name="UnitOfMeasure29">'Бланк заказа'!$W$83:$W$83</definedName>
    <definedName name="UnitOfMeasure3">'Бланк заказа'!$W$29:$W$29</definedName>
    <definedName name="UnitOfMeasure30">'Бланк заказа'!$W$84:$W$84</definedName>
    <definedName name="UnitOfMeasure31">'Бланк заказа'!$W$85:$W$85</definedName>
    <definedName name="UnitOfMeasure32">'Бланк заказа'!$W$90:$W$90</definedName>
    <definedName name="UnitOfMeasure33">'Бланк заказа'!$W$91:$W$91</definedName>
    <definedName name="UnitOfMeasure34">'Бланк заказа'!$W$92:$W$92</definedName>
    <definedName name="UnitOfMeasure35">'Бланк заказа'!$W$97:$W$97</definedName>
    <definedName name="UnitOfMeasure36">'Бланк заказа'!$W$98:$W$98</definedName>
    <definedName name="UnitOfMeasure37">'Бланк заказа'!$W$99:$W$99</definedName>
    <definedName name="UnitOfMeasure38">'Бланк заказа'!$W$100:$W$100</definedName>
    <definedName name="UnitOfMeasure39">'Бланк заказа'!$W$101:$W$101</definedName>
    <definedName name="UnitOfMeasure4">'Бланк заказа'!$W$30:$W$30</definedName>
    <definedName name="UnitOfMeasure40">'Бланк заказа'!$W$102:$W$102</definedName>
    <definedName name="UnitOfMeasure41">'Бланк заказа'!$W$103:$W$103</definedName>
    <definedName name="UnitOfMeasure42">'Бланк заказа'!$W$104:$W$104</definedName>
    <definedName name="UnitOfMeasure43">'Бланк заказа'!$W$109:$W$109</definedName>
    <definedName name="UnitOfMeasure44">'Бланк заказа'!$W$110:$W$110</definedName>
    <definedName name="UnitOfMeasure45">'Бланк заказа'!$W$115:$W$115</definedName>
    <definedName name="UnitOfMeasure46">'Бланк заказа'!$W$116:$W$116</definedName>
    <definedName name="UnitOfMeasure47">'Бланк заказа'!$W$117:$W$117</definedName>
    <definedName name="UnitOfMeasure48">'Бланк заказа'!$W$122:$W$122</definedName>
    <definedName name="UnitOfMeasure49">'Бланк заказа'!$W$123:$W$123</definedName>
    <definedName name="UnitOfMeasure5">'Бланк заказа'!$W$31:$W$31</definedName>
    <definedName name="UnitOfMeasure50">'Бланк заказа'!$W$124:$W$124</definedName>
    <definedName name="UnitOfMeasure51">'Бланк заказа'!$W$129:$W$129</definedName>
    <definedName name="UnitOfMeasure52">'Бланк заказа'!$W$134:$W$134</definedName>
    <definedName name="UnitOfMeasure53">'Бланк заказа'!$W$135:$W$135</definedName>
    <definedName name="UnitOfMeasure54">'Бланк заказа'!$W$140:$W$140</definedName>
    <definedName name="UnitOfMeasure55">'Бланк заказа'!$W$146:$W$146</definedName>
    <definedName name="UnitOfMeasure56">'Бланк заказа'!$W$151:$W$151</definedName>
    <definedName name="UnitOfMeasure57">'Бланк заказа'!$W$152:$W$152</definedName>
    <definedName name="UnitOfMeasure58">'Бланк заказа'!$W$153:$W$153</definedName>
    <definedName name="UnitOfMeasure59">'Бланк заказа'!$W$154:$W$154</definedName>
    <definedName name="UnitOfMeasure6">'Бланк заказа'!$W$36:$W$36</definedName>
    <definedName name="UnitOfMeasure60">'Бланк заказа'!$W$158:$W$158</definedName>
    <definedName name="UnitOfMeasure61">'Бланк заказа'!$W$159:$W$159</definedName>
    <definedName name="UnitOfMeasure62">'Бланк заказа'!$W$165:$W$165</definedName>
    <definedName name="UnitOfMeasure63">'Бланк заказа'!$W$166:$W$166</definedName>
    <definedName name="UnitOfMeasure64">'Бланк заказа'!$W$167:$W$167</definedName>
    <definedName name="UnitOfMeasure65">'Бланк заказа'!$W$171:$W$171</definedName>
    <definedName name="UnitOfMeasure66">'Бланк заказа'!$W$172:$W$172</definedName>
    <definedName name="UnitOfMeasure67">'Бланк заказа'!$W$178:$W$178</definedName>
    <definedName name="UnitOfMeasure68">'Бланк заказа'!$W$179:$W$179</definedName>
    <definedName name="UnitOfMeasure69">'Бланк заказа'!$W$180:$W$180</definedName>
    <definedName name="UnitOfMeasure7">'Бланк заказа'!$W$37:$W$37</definedName>
    <definedName name="UnitOfMeasure70">'Бланк заказа'!$W$185:$W$185</definedName>
    <definedName name="UnitOfMeasure71">'Бланк заказа'!$W$186:$W$186</definedName>
    <definedName name="UnitOfMeasure72">'Бланк заказа'!$W$187:$W$187</definedName>
    <definedName name="UnitOfMeasure73">'Бланк заказа'!$W$192:$W$192</definedName>
    <definedName name="UnitOfMeasure74">'Бланк заказа'!$W$193:$W$193</definedName>
    <definedName name="UnitOfMeasure75">'Бланк заказа'!$W$194:$W$194</definedName>
    <definedName name="UnitOfMeasure76">'Бланк заказа'!$W$195:$W$195</definedName>
    <definedName name="UnitOfMeasure77">'Бланк заказа'!$W$196:$W$196</definedName>
    <definedName name="UnitOfMeasure78">'Бланк заказа'!$W$197:$W$197</definedName>
    <definedName name="UnitOfMeasure79">'Бланк заказа'!$W$202:$W$202</definedName>
    <definedName name="UnitOfMeasure8">'Бланк заказа'!$W$42:$W$42</definedName>
    <definedName name="UnitOfMeasure80">'Бланк заказа'!$W$203:$W$203</definedName>
    <definedName name="UnitOfMeasure81">'Бланк заказа'!$W$204:$W$204</definedName>
    <definedName name="UnitOfMeasure82">'Бланк заказа'!$W$205:$W$205</definedName>
    <definedName name="UnitOfMeasure83">'Бланк заказа'!$W$210:$W$210</definedName>
    <definedName name="UnitOfMeasure84">'Бланк заказа'!$W$215:$W$215</definedName>
    <definedName name="UnitOfMeasure85">'Бланк заказа'!$W$220:$W$220</definedName>
    <definedName name="UnitOfMeasure86">'Бланк заказа'!$W$221:$W$221</definedName>
    <definedName name="UnitOfMeasure87">'Бланк заказа'!$W$227:$W$227</definedName>
    <definedName name="UnitOfMeasure88">'Бланк заказа'!$W$233:$W$233</definedName>
    <definedName name="UnitOfMeasure89">'Бланк заказа'!$W$234:$W$234</definedName>
    <definedName name="UnitOfMeasure9">'Бланк заказа'!$W$47:$W$47</definedName>
    <definedName name="UnitOfMeasure90">'Бланк заказа'!$W$239:$W$239</definedName>
    <definedName name="UnitOfMeasure91">'Бланк заказа'!$W$245:$W$245</definedName>
    <definedName name="UnitOfMeasure92">'Бланк заказа'!$W$251:$W$251</definedName>
    <definedName name="UnitOfMeasure93">'Бланк заказа'!$W$252:$W$252</definedName>
    <definedName name="UnitOfMeasure94">'Бланк заказа'!$W$253:$W$253</definedName>
    <definedName name="UnitOfMeasure95">'Бланк заказа'!$W$257:$W$257</definedName>
    <definedName name="UnitOfMeasure96">'Бланк заказа'!$W$261:$W$261</definedName>
    <definedName name="UnitOfMeasure97">'Бланк заказа'!$W$262:$W$262</definedName>
    <definedName name="UnitOfMeasure98">'Бланк заказа'!$W$266:$W$266</definedName>
    <definedName name="UnitOfMeasure99">'Бланк заказа'!$W$267:$W$267</definedName>
    <definedName name="UnloadAddress">'Бланк заказа'!$D$8</definedName>
    <definedName name="UnloadAdressList0001">Setting!$B$8:$B$8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H304" i="1" l="1"/>
  <c r="AG304" i="1"/>
  <c r="AF304" i="1"/>
  <c r="AE304" i="1"/>
  <c r="AD304" i="1"/>
  <c r="AC304" i="1"/>
  <c r="AB304" i="1"/>
  <c r="AA304" i="1"/>
  <c r="Z304" i="1"/>
  <c r="Y304" i="1"/>
  <c r="X304" i="1"/>
  <c r="W304" i="1"/>
  <c r="V304" i="1"/>
  <c r="U304" i="1"/>
  <c r="T304" i="1"/>
  <c r="S304" i="1"/>
  <c r="R304" i="1"/>
  <c r="Q304" i="1"/>
  <c r="P304" i="1"/>
  <c r="O304" i="1"/>
  <c r="M304" i="1"/>
  <c r="L304" i="1"/>
  <c r="K304" i="1"/>
  <c r="J304" i="1"/>
  <c r="I304" i="1"/>
  <c r="H304" i="1"/>
  <c r="G304" i="1"/>
  <c r="F304" i="1"/>
  <c r="E304" i="1"/>
  <c r="D304" i="1"/>
  <c r="C304" i="1"/>
  <c r="B304" i="1"/>
  <c r="Y293" i="1"/>
  <c r="X293" i="1"/>
  <c r="Z292" i="1"/>
  <c r="X292" i="1"/>
  <c r="BO291" i="1"/>
  <c r="BM291" i="1"/>
  <c r="Z291" i="1"/>
  <c r="Y291" i="1"/>
  <c r="BO290" i="1"/>
  <c r="BM290" i="1"/>
  <c r="Z290" i="1"/>
  <c r="Y290" i="1"/>
  <c r="BO289" i="1"/>
  <c r="BM289" i="1"/>
  <c r="Z289" i="1"/>
  <c r="Y289" i="1"/>
  <c r="BO288" i="1"/>
  <c r="BM288" i="1"/>
  <c r="Z288" i="1"/>
  <c r="Y288" i="1"/>
  <c r="BO287" i="1"/>
  <c r="BM287" i="1"/>
  <c r="Z287" i="1"/>
  <c r="Y287" i="1"/>
  <c r="BO286" i="1"/>
  <c r="BM286" i="1"/>
  <c r="Z286" i="1"/>
  <c r="Y286" i="1"/>
  <c r="BO285" i="1"/>
  <c r="BM285" i="1"/>
  <c r="Z285" i="1"/>
  <c r="Y285" i="1"/>
  <c r="BO284" i="1"/>
  <c r="BM284" i="1"/>
  <c r="Z284" i="1"/>
  <c r="Y284" i="1"/>
  <c r="BO283" i="1"/>
  <c r="BM283" i="1"/>
  <c r="Z283" i="1"/>
  <c r="Y283" i="1"/>
  <c r="BO282" i="1"/>
  <c r="BM282" i="1"/>
  <c r="Z282" i="1"/>
  <c r="Y282" i="1"/>
  <c r="BO281" i="1"/>
  <c r="BM281" i="1"/>
  <c r="Z281" i="1"/>
  <c r="Y281" i="1"/>
  <c r="BO280" i="1"/>
  <c r="BM280" i="1"/>
  <c r="Z280" i="1"/>
  <c r="Y280" i="1"/>
  <c r="BO279" i="1"/>
  <c r="BM279" i="1"/>
  <c r="Z279" i="1"/>
  <c r="Y279" i="1"/>
  <c r="BO278" i="1"/>
  <c r="BM278" i="1"/>
  <c r="Z278" i="1"/>
  <c r="Y278" i="1"/>
  <c r="BO277" i="1"/>
  <c r="BM277" i="1"/>
  <c r="Z277" i="1"/>
  <c r="Y277" i="1"/>
  <c r="BO276" i="1"/>
  <c r="BM276" i="1"/>
  <c r="Z276" i="1"/>
  <c r="Y276" i="1"/>
  <c r="BO275" i="1"/>
  <c r="BM275" i="1"/>
  <c r="Z275" i="1"/>
  <c r="Y275" i="1"/>
  <c r="BO274" i="1"/>
  <c r="BM274" i="1"/>
  <c r="Z274" i="1"/>
  <c r="Y274" i="1"/>
  <c r="BO273" i="1"/>
  <c r="BM273" i="1"/>
  <c r="Z273" i="1"/>
  <c r="Y273" i="1"/>
  <c r="BO272" i="1"/>
  <c r="BM272" i="1"/>
  <c r="Z272" i="1"/>
  <c r="Y272" i="1"/>
  <c r="X270" i="1"/>
  <c r="X269" i="1"/>
  <c r="BP268" i="1"/>
  <c r="BO268" i="1"/>
  <c r="BN268" i="1"/>
  <c r="BM268" i="1"/>
  <c r="Z268" i="1"/>
  <c r="Y268" i="1"/>
  <c r="P268" i="1"/>
  <c r="BO267" i="1"/>
  <c r="BM267" i="1"/>
  <c r="Z267" i="1"/>
  <c r="Y267" i="1"/>
  <c r="BO266" i="1"/>
  <c r="BM266" i="1"/>
  <c r="Z266" i="1"/>
  <c r="Z269" i="1" s="1"/>
  <c r="Y266" i="1"/>
  <c r="X264" i="1"/>
  <c r="Y263" i="1"/>
  <c r="X263" i="1"/>
  <c r="BP262" i="1"/>
  <c r="BO262" i="1"/>
  <c r="BN262" i="1"/>
  <c r="BM262" i="1"/>
  <c r="Z262" i="1"/>
  <c r="Y262" i="1"/>
  <c r="BP261" i="1"/>
  <c r="BO261" i="1"/>
  <c r="BN261" i="1"/>
  <c r="BM261" i="1"/>
  <c r="Z261" i="1"/>
  <c r="Z263" i="1" s="1"/>
  <c r="Y261" i="1"/>
  <c r="Y264" i="1" s="1"/>
  <c r="X259" i="1"/>
  <c r="Z258" i="1"/>
  <c r="X258" i="1"/>
  <c r="BO257" i="1"/>
  <c r="BM257" i="1"/>
  <c r="Z257" i="1"/>
  <c r="Y257" i="1"/>
  <c r="X255" i="1"/>
  <c r="Y254" i="1"/>
  <c r="X254" i="1"/>
  <c r="BP253" i="1"/>
  <c r="BO253" i="1"/>
  <c r="BN253" i="1"/>
  <c r="BM253" i="1"/>
  <c r="Z253" i="1"/>
  <c r="Y253" i="1"/>
  <c r="BP252" i="1"/>
  <c r="BO252" i="1"/>
  <c r="BN252" i="1"/>
  <c r="BM252" i="1"/>
  <c r="Z252" i="1"/>
  <c r="Y252" i="1"/>
  <c r="BP251" i="1"/>
  <c r="BO251" i="1"/>
  <c r="BN251" i="1"/>
  <c r="BM251" i="1"/>
  <c r="Z251" i="1"/>
  <c r="Z254" i="1" s="1"/>
  <c r="Y251" i="1"/>
  <c r="Y255" i="1" s="1"/>
  <c r="Y247" i="1"/>
  <c r="X247" i="1"/>
  <c r="Z246" i="1"/>
  <c r="X246" i="1"/>
  <c r="BO245" i="1"/>
  <c r="BM245" i="1"/>
  <c r="Z245" i="1"/>
  <c r="Y245" i="1"/>
  <c r="X241" i="1"/>
  <c r="Y240" i="1"/>
  <c r="X240" i="1"/>
  <c r="BP239" i="1"/>
  <c r="BO239" i="1"/>
  <c r="BN239" i="1"/>
  <c r="BM239" i="1"/>
  <c r="Z239" i="1"/>
  <c r="Z240" i="1" s="1"/>
  <c r="Y239" i="1"/>
  <c r="Y241" i="1" s="1"/>
  <c r="P239" i="1"/>
  <c r="X236" i="1"/>
  <c r="X235" i="1"/>
  <c r="BP234" i="1"/>
  <c r="BO234" i="1"/>
  <c r="BN234" i="1"/>
  <c r="BM234" i="1"/>
  <c r="Z234" i="1"/>
  <c r="Y234" i="1"/>
  <c r="P234" i="1"/>
  <c r="BO233" i="1"/>
  <c r="BM233" i="1"/>
  <c r="Z233" i="1"/>
  <c r="Z235" i="1" s="1"/>
  <c r="Y233" i="1"/>
  <c r="P233" i="1"/>
  <c r="X229" i="1"/>
  <c r="Z228" i="1"/>
  <c r="X228" i="1"/>
  <c r="BO227" i="1"/>
  <c r="BM227" i="1"/>
  <c r="Z227" i="1"/>
  <c r="Y227" i="1"/>
  <c r="X223" i="1"/>
  <c r="X222" i="1"/>
  <c r="BP221" i="1"/>
  <c r="BO221" i="1"/>
  <c r="BN221" i="1"/>
  <c r="BM221" i="1"/>
  <c r="Z221" i="1"/>
  <c r="Y221" i="1"/>
  <c r="P221" i="1"/>
  <c r="BO220" i="1"/>
  <c r="BM220" i="1"/>
  <c r="Z220" i="1"/>
  <c r="Y220" i="1"/>
  <c r="X217" i="1"/>
  <c r="Y216" i="1"/>
  <c r="X216" i="1"/>
  <c r="BP215" i="1"/>
  <c r="BO215" i="1"/>
  <c r="BN215" i="1"/>
  <c r="BM215" i="1"/>
  <c r="Z215" i="1"/>
  <c r="Z216" i="1" s="1"/>
  <c r="Y215" i="1"/>
  <c r="Y217" i="1" s="1"/>
  <c r="P215" i="1"/>
  <c r="X212" i="1"/>
  <c r="Y211" i="1"/>
  <c r="X211" i="1"/>
  <c r="BP210" i="1"/>
  <c r="BO210" i="1"/>
  <c r="BN210" i="1"/>
  <c r="BM210" i="1"/>
  <c r="Z210" i="1"/>
  <c r="Z211" i="1" s="1"/>
  <c r="Y210" i="1"/>
  <c r="Y212" i="1" s="1"/>
  <c r="P210" i="1"/>
  <c r="X207" i="1"/>
  <c r="X206" i="1"/>
  <c r="BP205" i="1"/>
  <c r="BO205" i="1"/>
  <c r="BN205" i="1"/>
  <c r="BM205" i="1"/>
  <c r="Z205" i="1"/>
  <c r="Y205" i="1"/>
  <c r="P205" i="1"/>
  <c r="BO204" i="1"/>
  <c r="BM204" i="1"/>
  <c r="Z204" i="1"/>
  <c r="Y204" i="1"/>
  <c r="P204" i="1"/>
  <c r="BP203" i="1"/>
  <c r="BO203" i="1"/>
  <c r="BN203" i="1"/>
  <c r="BM203" i="1"/>
  <c r="Z203" i="1"/>
  <c r="Y203" i="1"/>
  <c r="P203" i="1"/>
  <c r="BO202" i="1"/>
  <c r="BM202" i="1"/>
  <c r="Z202" i="1"/>
  <c r="Y202" i="1"/>
  <c r="Y207" i="1" s="1"/>
  <c r="P202" i="1"/>
  <c r="X199" i="1"/>
  <c r="X198" i="1"/>
  <c r="BO197" i="1"/>
  <c r="BM197" i="1"/>
  <c r="Z197" i="1"/>
  <c r="Y197" i="1"/>
  <c r="BP197" i="1" s="1"/>
  <c r="P197" i="1"/>
  <c r="BP196" i="1"/>
  <c r="BO196" i="1"/>
  <c r="BN196" i="1"/>
  <c r="BM196" i="1"/>
  <c r="Z196" i="1"/>
  <c r="Y196" i="1"/>
  <c r="P196" i="1"/>
  <c r="BO195" i="1"/>
  <c r="BM195" i="1"/>
  <c r="Z195" i="1"/>
  <c r="Y195" i="1"/>
  <c r="BP195" i="1" s="1"/>
  <c r="P195" i="1"/>
  <c r="BP194" i="1"/>
  <c r="BO194" i="1"/>
  <c r="BN194" i="1"/>
  <c r="BM194" i="1"/>
  <c r="Z194" i="1"/>
  <c r="Y194" i="1"/>
  <c r="P194" i="1"/>
  <c r="BO193" i="1"/>
  <c r="BM193" i="1"/>
  <c r="Z193" i="1"/>
  <c r="Y193" i="1"/>
  <c r="BP193" i="1" s="1"/>
  <c r="P193" i="1"/>
  <c r="BP192" i="1"/>
  <c r="BO192" i="1"/>
  <c r="BN192" i="1"/>
  <c r="BM192" i="1"/>
  <c r="Z192" i="1"/>
  <c r="Z198" i="1" s="1"/>
  <c r="Y192" i="1"/>
  <c r="Y198" i="1" s="1"/>
  <c r="P192" i="1"/>
  <c r="X189" i="1"/>
  <c r="X188" i="1"/>
  <c r="BP187" i="1"/>
  <c r="BO187" i="1"/>
  <c r="BN187" i="1"/>
  <c r="BM187" i="1"/>
  <c r="Z187" i="1"/>
  <c r="Y187" i="1"/>
  <c r="P187" i="1"/>
  <c r="BO186" i="1"/>
  <c r="BM186" i="1"/>
  <c r="Z186" i="1"/>
  <c r="Y186" i="1"/>
  <c r="BP186" i="1" s="1"/>
  <c r="P186" i="1"/>
  <c r="BP185" i="1"/>
  <c r="BO185" i="1"/>
  <c r="BN185" i="1"/>
  <c r="BM185" i="1"/>
  <c r="Z185" i="1"/>
  <c r="Z188" i="1" s="1"/>
  <c r="Y185" i="1"/>
  <c r="Y189" i="1" s="1"/>
  <c r="P185" i="1"/>
  <c r="X182" i="1"/>
  <c r="Y181" i="1"/>
  <c r="X181" i="1"/>
  <c r="BP180" i="1"/>
  <c r="BO180" i="1"/>
  <c r="BN180" i="1"/>
  <c r="BM180" i="1"/>
  <c r="Z180" i="1"/>
  <c r="Y180" i="1"/>
  <c r="BP179" i="1"/>
  <c r="BO179" i="1"/>
  <c r="BN179" i="1"/>
  <c r="BM179" i="1"/>
  <c r="Z179" i="1"/>
  <c r="Y179" i="1"/>
  <c r="BP178" i="1"/>
  <c r="BO178" i="1"/>
  <c r="BN178" i="1"/>
  <c r="BM178" i="1"/>
  <c r="Z178" i="1"/>
  <c r="Z181" i="1" s="1"/>
  <c r="Y178" i="1"/>
  <c r="Y182" i="1" s="1"/>
  <c r="X174" i="1"/>
  <c r="X173" i="1"/>
  <c r="BO172" i="1"/>
  <c r="BM172" i="1"/>
  <c r="Z172" i="1"/>
  <c r="Y172" i="1"/>
  <c r="BP172" i="1" s="1"/>
  <c r="P172" i="1"/>
  <c r="BP171" i="1"/>
  <c r="BO171" i="1"/>
  <c r="BN171" i="1"/>
  <c r="BM171" i="1"/>
  <c r="Z171" i="1"/>
  <c r="Z173" i="1" s="1"/>
  <c r="Y171" i="1"/>
  <c r="Y173" i="1" s="1"/>
  <c r="X169" i="1"/>
  <c r="X168" i="1"/>
  <c r="BO167" i="1"/>
  <c r="BM167" i="1"/>
  <c r="Z167" i="1"/>
  <c r="Y167" i="1"/>
  <c r="BP167" i="1" s="1"/>
  <c r="P167" i="1"/>
  <c r="BP166" i="1"/>
  <c r="BO166" i="1"/>
  <c r="BN166" i="1"/>
  <c r="BM166" i="1"/>
  <c r="Z166" i="1"/>
  <c r="Z168" i="1" s="1"/>
  <c r="Y166" i="1"/>
  <c r="P166" i="1"/>
  <c r="BO165" i="1"/>
  <c r="BM165" i="1"/>
  <c r="Z165" i="1"/>
  <c r="Y165" i="1"/>
  <c r="Y168" i="1" s="1"/>
  <c r="P165" i="1"/>
  <c r="X161" i="1"/>
  <c r="X160" i="1"/>
  <c r="BO159" i="1"/>
  <c r="BM159" i="1"/>
  <c r="Z159" i="1"/>
  <c r="Y159" i="1"/>
  <c r="BP159" i="1" s="1"/>
  <c r="P159" i="1"/>
  <c r="BP158" i="1"/>
  <c r="BO158" i="1"/>
  <c r="BN158" i="1"/>
  <c r="BM158" i="1"/>
  <c r="Z158" i="1"/>
  <c r="Z160" i="1" s="1"/>
  <c r="Y158" i="1"/>
  <c r="Y160" i="1" s="1"/>
  <c r="P158" i="1"/>
  <c r="X156" i="1"/>
  <c r="Y155" i="1"/>
  <c r="X155" i="1"/>
  <c r="BP154" i="1"/>
  <c r="BO154" i="1"/>
  <c r="BN154" i="1"/>
  <c r="BM154" i="1"/>
  <c r="Z154" i="1"/>
  <c r="Y154" i="1"/>
  <c r="BP153" i="1"/>
  <c r="BO153" i="1"/>
  <c r="BN153" i="1"/>
  <c r="BM153" i="1"/>
  <c r="Z153" i="1"/>
  <c r="Y153" i="1"/>
  <c r="BP152" i="1"/>
  <c r="BO152" i="1"/>
  <c r="BN152" i="1"/>
  <c r="BM152" i="1"/>
  <c r="Z152" i="1"/>
  <c r="Y152" i="1"/>
  <c r="BP151" i="1"/>
  <c r="BO151" i="1"/>
  <c r="BN151" i="1"/>
  <c r="BM151" i="1"/>
  <c r="Z151" i="1"/>
  <c r="Z155" i="1" s="1"/>
  <c r="Y151" i="1"/>
  <c r="Y156" i="1" s="1"/>
  <c r="X148" i="1"/>
  <c r="Z147" i="1"/>
  <c r="X147" i="1"/>
  <c r="BO146" i="1"/>
  <c r="BM146" i="1"/>
  <c r="Z146" i="1"/>
  <c r="Y146" i="1"/>
  <c r="Y147" i="1" s="1"/>
  <c r="X142" i="1"/>
  <c r="Y141" i="1"/>
  <c r="X141" i="1"/>
  <c r="BP140" i="1"/>
  <c r="BO140" i="1"/>
  <c r="BN140" i="1"/>
  <c r="BM140" i="1"/>
  <c r="Z140" i="1"/>
  <c r="Z141" i="1" s="1"/>
  <c r="Y140" i="1"/>
  <c r="Y142" i="1" s="1"/>
  <c r="P140" i="1"/>
  <c r="X137" i="1"/>
  <c r="X136" i="1"/>
  <c r="BP135" i="1"/>
  <c r="BO135" i="1"/>
  <c r="BN135" i="1"/>
  <c r="BM135" i="1"/>
  <c r="Z135" i="1"/>
  <c r="Y135" i="1"/>
  <c r="P135" i="1"/>
  <c r="BO134" i="1"/>
  <c r="BM134" i="1"/>
  <c r="Z134" i="1"/>
  <c r="Z136" i="1" s="1"/>
  <c r="Y134" i="1"/>
  <c r="Y137" i="1" s="1"/>
  <c r="X131" i="1"/>
  <c r="Y130" i="1"/>
  <c r="X130" i="1"/>
  <c r="BP129" i="1"/>
  <c r="BO129" i="1"/>
  <c r="BN129" i="1"/>
  <c r="BM129" i="1"/>
  <c r="Z129" i="1"/>
  <c r="Z130" i="1" s="1"/>
  <c r="Y129" i="1"/>
  <c r="Y131" i="1" s="1"/>
  <c r="P129" i="1"/>
  <c r="X126" i="1"/>
  <c r="X125" i="1"/>
  <c r="BP124" i="1"/>
  <c r="BO124" i="1"/>
  <c r="BN124" i="1"/>
  <c r="BM124" i="1"/>
  <c r="Z124" i="1"/>
  <c r="Y124" i="1"/>
  <c r="P124" i="1"/>
  <c r="BO123" i="1"/>
  <c r="BM123" i="1"/>
  <c r="Z123" i="1"/>
  <c r="Y123" i="1"/>
  <c r="BP123" i="1" s="1"/>
  <c r="P123" i="1"/>
  <c r="BP122" i="1"/>
  <c r="BO122" i="1"/>
  <c r="BN122" i="1"/>
  <c r="BM122" i="1"/>
  <c r="Z122" i="1"/>
  <c r="Z125" i="1" s="1"/>
  <c r="Y122" i="1"/>
  <c r="Y126" i="1" s="1"/>
  <c r="P122" i="1"/>
  <c r="X119" i="1"/>
  <c r="X118" i="1"/>
  <c r="BP117" i="1"/>
  <c r="BO117" i="1"/>
  <c r="BN117" i="1"/>
  <c r="BM117" i="1"/>
  <c r="Z117" i="1"/>
  <c r="Y117" i="1"/>
  <c r="P117" i="1"/>
  <c r="BO116" i="1"/>
  <c r="BM116" i="1"/>
  <c r="Z116" i="1"/>
  <c r="Y116" i="1"/>
  <c r="BP116" i="1" s="1"/>
  <c r="BO115" i="1"/>
  <c r="BM115" i="1"/>
  <c r="Z115" i="1"/>
  <c r="Z118" i="1" s="1"/>
  <c r="Y115" i="1"/>
  <c r="Y119" i="1" s="1"/>
  <c r="P115" i="1"/>
  <c r="X112" i="1"/>
  <c r="Z111" i="1"/>
  <c r="X111" i="1"/>
  <c r="BO110" i="1"/>
  <c r="BM110" i="1"/>
  <c r="Z110" i="1"/>
  <c r="Y110" i="1"/>
  <c r="BP110" i="1" s="1"/>
  <c r="BO109" i="1"/>
  <c r="BM109" i="1"/>
  <c r="Z109" i="1"/>
  <c r="Y109" i="1"/>
  <c r="Y111" i="1" s="1"/>
  <c r="X106" i="1"/>
  <c r="X105" i="1"/>
  <c r="BP104" i="1"/>
  <c r="BO104" i="1"/>
  <c r="BN104" i="1"/>
  <c r="BM104" i="1"/>
  <c r="Z104" i="1"/>
  <c r="Y104" i="1"/>
  <c r="P104" i="1"/>
  <c r="BO103" i="1"/>
  <c r="BM103" i="1"/>
  <c r="Z103" i="1"/>
  <c r="Y103" i="1"/>
  <c r="P103" i="1"/>
  <c r="BP102" i="1"/>
  <c r="BO102" i="1"/>
  <c r="BN102" i="1"/>
  <c r="BM102" i="1"/>
  <c r="Z102" i="1"/>
  <c r="Y102" i="1"/>
  <c r="P102" i="1"/>
  <c r="BO101" i="1"/>
  <c r="BM101" i="1"/>
  <c r="Z101" i="1"/>
  <c r="Y101" i="1"/>
  <c r="P101" i="1"/>
  <c r="BP100" i="1"/>
  <c r="BO100" i="1"/>
  <c r="BN100" i="1"/>
  <c r="BM100" i="1"/>
  <c r="Z100" i="1"/>
  <c r="Y100" i="1"/>
  <c r="P100" i="1"/>
  <c r="BO99" i="1"/>
  <c r="BM99" i="1"/>
  <c r="Z99" i="1"/>
  <c r="Y99" i="1"/>
  <c r="P99" i="1"/>
  <c r="BP98" i="1"/>
  <c r="BO98" i="1"/>
  <c r="BN98" i="1"/>
  <c r="BM98" i="1"/>
  <c r="Z98" i="1"/>
  <c r="Y98" i="1"/>
  <c r="P98" i="1"/>
  <c r="BO97" i="1"/>
  <c r="BM97" i="1"/>
  <c r="Z97" i="1"/>
  <c r="Y97" i="1"/>
  <c r="P97" i="1"/>
  <c r="X94" i="1"/>
  <c r="Z93" i="1"/>
  <c r="X93" i="1"/>
  <c r="BO92" i="1"/>
  <c r="BM92" i="1"/>
  <c r="Z92" i="1"/>
  <c r="Y92" i="1"/>
  <c r="P92" i="1"/>
  <c r="BP91" i="1"/>
  <c r="BO91" i="1"/>
  <c r="BN91" i="1"/>
  <c r="BM91" i="1"/>
  <c r="Z91" i="1"/>
  <c r="Y91" i="1"/>
  <c r="P91" i="1"/>
  <c r="BO90" i="1"/>
  <c r="BM90" i="1"/>
  <c r="Z90" i="1"/>
  <c r="Y90" i="1"/>
  <c r="P90" i="1"/>
  <c r="X87" i="1"/>
  <c r="X86" i="1"/>
  <c r="BO85" i="1"/>
  <c r="BM85" i="1"/>
  <c r="Z85" i="1"/>
  <c r="Y85" i="1"/>
  <c r="BP85" i="1" s="1"/>
  <c r="P85" i="1"/>
  <c r="BP84" i="1"/>
  <c r="BO84" i="1"/>
  <c r="BN84" i="1"/>
  <c r="BM84" i="1"/>
  <c r="Z84" i="1"/>
  <c r="Y84" i="1"/>
  <c r="BP83" i="1"/>
  <c r="BO83" i="1"/>
  <c r="BN83" i="1"/>
  <c r="BM83" i="1"/>
  <c r="Z83" i="1"/>
  <c r="Y83" i="1"/>
  <c r="P83" i="1"/>
  <c r="BO82" i="1"/>
  <c r="BM82" i="1"/>
  <c r="Z82" i="1"/>
  <c r="Y82" i="1"/>
  <c r="BP82" i="1" s="1"/>
  <c r="BO81" i="1"/>
  <c r="BM81" i="1"/>
  <c r="Z81" i="1"/>
  <c r="Y81" i="1"/>
  <c r="BP81" i="1" s="1"/>
  <c r="P81" i="1"/>
  <c r="BP80" i="1"/>
  <c r="BO80" i="1"/>
  <c r="BN80" i="1"/>
  <c r="BM80" i="1"/>
  <c r="Z80" i="1"/>
  <c r="Z86" i="1" s="1"/>
  <c r="Y80" i="1"/>
  <c r="Y86" i="1" s="1"/>
  <c r="P80" i="1"/>
  <c r="X77" i="1"/>
  <c r="X76" i="1"/>
  <c r="BP75" i="1"/>
  <c r="BO75" i="1"/>
  <c r="BN75" i="1"/>
  <c r="BM75" i="1"/>
  <c r="Z75" i="1"/>
  <c r="Y75" i="1"/>
  <c r="P75" i="1"/>
  <c r="BO74" i="1"/>
  <c r="BM74" i="1"/>
  <c r="Z74" i="1"/>
  <c r="Z76" i="1" s="1"/>
  <c r="Y74" i="1"/>
  <c r="Y77" i="1" s="1"/>
  <c r="P74" i="1"/>
  <c r="X71" i="1"/>
  <c r="Z70" i="1"/>
  <c r="X70" i="1"/>
  <c r="BO69" i="1"/>
  <c r="BM69" i="1"/>
  <c r="Z69" i="1"/>
  <c r="Y69" i="1"/>
  <c r="Y70" i="1" s="1"/>
  <c r="P69" i="1"/>
  <c r="X66" i="1"/>
  <c r="X65" i="1"/>
  <c r="BO64" i="1"/>
  <c r="BM64" i="1"/>
  <c r="Z64" i="1"/>
  <c r="Y64" i="1"/>
  <c r="BP64" i="1" s="1"/>
  <c r="P64" i="1"/>
  <c r="BP63" i="1"/>
  <c r="BO63" i="1"/>
  <c r="BN63" i="1"/>
  <c r="BM63" i="1"/>
  <c r="Z63" i="1"/>
  <c r="Z65" i="1" s="1"/>
  <c r="Y63" i="1"/>
  <c r="Y65" i="1" s="1"/>
  <c r="P63" i="1"/>
  <c r="X60" i="1"/>
  <c r="X59" i="1"/>
  <c r="BP58" i="1"/>
  <c r="BO58" i="1"/>
  <c r="BN58" i="1"/>
  <c r="BM58" i="1"/>
  <c r="Z58" i="1"/>
  <c r="Y58" i="1"/>
  <c r="P58" i="1"/>
  <c r="BO57" i="1"/>
  <c r="BM57" i="1"/>
  <c r="Z57" i="1"/>
  <c r="Y57" i="1"/>
  <c r="BP57" i="1" s="1"/>
  <c r="P57" i="1"/>
  <c r="BP56" i="1"/>
  <c r="BO56" i="1"/>
  <c r="BN56" i="1"/>
  <c r="BM56" i="1"/>
  <c r="Z56" i="1"/>
  <c r="Y56" i="1"/>
  <c r="P56" i="1"/>
  <c r="BO55" i="1"/>
  <c r="BM55" i="1"/>
  <c r="Z55" i="1"/>
  <c r="Y55" i="1"/>
  <c r="BP55" i="1" s="1"/>
  <c r="P55" i="1"/>
  <c r="BP54" i="1"/>
  <c r="BO54" i="1"/>
  <c r="BN54" i="1"/>
  <c r="BM54" i="1"/>
  <c r="Z54" i="1"/>
  <c r="Y54" i="1"/>
  <c r="P54" i="1"/>
  <c r="BO53" i="1"/>
  <c r="BM53" i="1"/>
  <c r="Z53" i="1"/>
  <c r="Y53" i="1"/>
  <c r="BP53" i="1" s="1"/>
  <c r="P53" i="1"/>
  <c r="BP52" i="1"/>
  <c r="BO52" i="1"/>
  <c r="BN52" i="1"/>
  <c r="BM52" i="1"/>
  <c r="Z52" i="1"/>
  <c r="Y52" i="1"/>
  <c r="BP51" i="1"/>
  <c r="BO51" i="1"/>
  <c r="BN51" i="1"/>
  <c r="BM51" i="1"/>
  <c r="Z51" i="1"/>
  <c r="Y51" i="1"/>
  <c r="P51" i="1"/>
  <c r="BO50" i="1"/>
  <c r="BM50" i="1"/>
  <c r="Z50" i="1"/>
  <c r="Y50" i="1"/>
  <c r="BP50" i="1" s="1"/>
  <c r="P50" i="1"/>
  <c r="BP49" i="1"/>
  <c r="BO49" i="1"/>
  <c r="BN49" i="1"/>
  <c r="BM49" i="1"/>
  <c r="Z49" i="1"/>
  <c r="Y49" i="1"/>
  <c r="P49" i="1"/>
  <c r="BO48" i="1"/>
  <c r="BM48" i="1"/>
  <c r="Z48" i="1"/>
  <c r="Y48" i="1"/>
  <c r="BP48" i="1" s="1"/>
  <c r="P48" i="1"/>
  <c r="BP47" i="1"/>
  <c r="BO47" i="1"/>
  <c r="BN47" i="1"/>
  <c r="BM47" i="1"/>
  <c r="Z47" i="1"/>
  <c r="Z59" i="1" s="1"/>
  <c r="Y47" i="1"/>
  <c r="Y60" i="1" s="1"/>
  <c r="P47" i="1"/>
  <c r="X44" i="1"/>
  <c r="Y43" i="1"/>
  <c r="X43" i="1"/>
  <c r="BP42" i="1"/>
  <c r="BO42" i="1"/>
  <c r="BN42" i="1"/>
  <c r="BM42" i="1"/>
  <c r="Z42" i="1"/>
  <c r="Z43" i="1" s="1"/>
  <c r="Y42" i="1"/>
  <c r="Y44" i="1" s="1"/>
  <c r="P42" i="1"/>
  <c r="X39" i="1"/>
  <c r="X38" i="1"/>
  <c r="BP37" i="1"/>
  <c r="BO37" i="1"/>
  <c r="BN37" i="1"/>
  <c r="BM37" i="1"/>
  <c r="Z37" i="1"/>
  <c r="Y37" i="1"/>
  <c r="P37" i="1"/>
  <c r="BO36" i="1"/>
  <c r="BM36" i="1"/>
  <c r="Z36" i="1"/>
  <c r="Z38" i="1" s="1"/>
  <c r="Y36" i="1"/>
  <c r="Y39" i="1" s="1"/>
  <c r="P36" i="1"/>
  <c r="X33" i="1"/>
  <c r="X32" i="1"/>
  <c r="BO31" i="1"/>
  <c r="BM31" i="1"/>
  <c r="Z31" i="1"/>
  <c r="Y31" i="1"/>
  <c r="BP31" i="1" s="1"/>
  <c r="P31" i="1"/>
  <c r="BP30" i="1"/>
  <c r="BO30" i="1"/>
  <c r="BN30" i="1"/>
  <c r="BM30" i="1"/>
  <c r="Z30" i="1"/>
  <c r="Y30" i="1"/>
  <c r="P30" i="1"/>
  <c r="BO29" i="1"/>
  <c r="BM29" i="1"/>
  <c r="Z29" i="1"/>
  <c r="Y29" i="1"/>
  <c r="BP29" i="1" s="1"/>
  <c r="P29" i="1"/>
  <c r="BP28" i="1"/>
  <c r="BO28" i="1"/>
  <c r="BN28" i="1"/>
  <c r="BM28" i="1"/>
  <c r="Z28" i="1"/>
  <c r="Z32" i="1" s="1"/>
  <c r="Y28" i="1"/>
  <c r="Y32" i="1" s="1"/>
  <c r="P28" i="1"/>
  <c r="X24" i="1"/>
  <c r="X294" i="1" s="1"/>
  <c r="Y23" i="1"/>
  <c r="X23" i="1"/>
  <c r="BP22" i="1"/>
  <c r="BO22" i="1"/>
  <c r="BN22" i="1"/>
  <c r="BM22" i="1"/>
  <c r="Z22" i="1"/>
  <c r="Z23" i="1" s="1"/>
  <c r="Y22" i="1"/>
  <c r="Y24" i="1" s="1"/>
  <c r="P22" i="1"/>
  <c r="H10" i="1"/>
  <c r="A9" i="1"/>
  <c r="A10" i="1" s="1"/>
  <c r="D7" i="1"/>
  <c r="Q6" i="1"/>
  <c r="P2" i="1"/>
  <c r="F9" i="1" l="1"/>
  <c r="J9" i="1"/>
  <c r="F10" i="1"/>
  <c r="Y33" i="1"/>
  <c r="Y294" i="1" s="1"/>
  <c r="B307" i="1" s="1"/>
  <c r="Y38" i="1"/>
  <c r="Y298" i="1" s="1"/>
  <c r="Y59" i="1"/>
  <c r="Y66" i="1"/>
  <c r="Y71" i="1"/>
  <c r="Y76" i="1"/>
  <c r="Y87" i="1"/>
  <c r="Y93" i="1"/>
  <c r="BP90" i="1"/>
  <c r="Y94" i="1"/>
  <c r="Y106" i="1"/>
  <c r="BP97" i="1"/>
  <c r="BN97" i="1"/>
  <c r="Y105" i="1"/>
  <c r="BP99" i="1"/>
  <c r="BN99" i="1"/>
  <c r="BP101" i="1"/>
  <c r="BN101" i="1"/>
  <c r="BP103" i="1"/>
  <c r="BN103" i="1"/>
  <c r="H9" i="1"/>
  <c r="X295" i="1"/>
  <c r="X296" i="1"/>
  <c r="X298" i="1"/>
  <c r="BN29" i="1"/>
  <c r="Y295" i="1" s="1"/>
  <c r="Y297" i="1" s="1"/>
  <c r="BN31" i="1"/>
  <c r="BN36" i="1"/>
  <c r="BP36" i="1"/>
  <c r="Y296" i="1" s="1"/>
  <c r="BN48" i="1"/>
  <c r="BN50" i="1"/>
  <c r="BN53" i="1"/>
  <c r="BN55" i="1"/>
  <c r="BN57" i="1"/>
  <c r="BN64" i="1"/>
  <c r="BN69" i="1"/>
  <c r="BP69" i="1"/>
  <c r="BN74" i="1"/>
  <c r="BP74" i="1"/>
  <c r="BN81" i="1"/>
  <c r="BN82" i="1"/>
  <c r="BN85" i="1"/>
  <c r="BN90" i="1"/>
  <c r="BP92" i="1"/>
  <c r="BN92" i="1"/>
  <c r="Z105" i="1"/>
  <c r="Z299" i="1" s="1"/>
  <c r="Y112" i="1"/>
  <c r="Y118" i="1"/>
  <c r="Y125" i="1"/>
  <c r="Y136" i="1"/>
  <c r="Y148" i="1"/>
  <c r="Y161" i="1"/>
  <c r="Y169" i="1"/>
  <c r="Y174" i="1"/>
  <c r="Y188" i="1"/>
  <c r="Y199" i="1"/>
  <c r="BP204" i="1"/>
  <c r="BN204" i="1"/>
  <c r="Y206" i="1"/>
  <c r="Y223" i="1"/>
  <c r="BP220" i="1"/>
  <c r="BN220" i="1"/>
  <c r="Y222" i="1"/>
  <c r="Y228" i="1"/>
  <c r="BP227" i="1"/>
  <c r="BN227" i="1"/>
  <c r="Y258" i="1"/>
  <c r="BP257" i="1"/>
  <c r="BN257" i="1"/>
  <c r="BN109" i="1"/>
  <c r="BP109" i="1"/>
  <c r="BN110" i="1"/>
  <c r="BN115" i="1"/>
  <c r="BP115" i="1"/>
  <c r="BN116" i="1"/>
  <c r="BN123" i="1"/>
  <c r="BN134" i="1"/>
  <c r="BP134" i="1"/>
  <c r="BN146" i="1"/>
  <c r="BP146" i="1"/>
  <c r="BN159" i="1"/>
  <c r="BN165" i="1"/>
  <c r="BP165" i="1"/>
  <c r="BN167" i="1"/>
  <c r="BN172" i="1"/>
  <c r="BN186" i="1"/>
  <c r="BN193" i="1"/>
  <c r="BN195" i="1"/>
  <c r="BN197" i="1"/>
  <c r="Z206" i="1"/>
  <c r="BN202" i="1"/>
  <c r="BP202" i="1"/>
  <c r="Z222" i="1"/>
  <c r="Y229" i="1"/>
  <c r="C307" i="1" s="1"/>
  <c r="Y236" i="1"/>
  <c r="BP233" i="1"/>
  <c r="BN233" i="1"/>
  <c r="Y235" i="1"/>
  <c r="Y246" i="1"/>
  <c r="BP245" i="1"/>
  <c r="BN245" i="1"/>
  <c r="Y259" i="1"/>
  <c r="Y270" i="1"/>
  <c r="BP266" i="1"/>
  <c r="BN266" i="1"/>
  <c r="BP267" i="1"/>
  <c r="BN267" i="1"/>
  <c r="Y269" i="1"/>
  <c r="Y292" i="1"/>
  <c r="BP272" i="1"/>
  <c r="BN272" i="1"/>
  <c r="BP273" i="1"/>
  <c r="BN273" i="1"/>
  <c r="BP274" i="1"/>
  <c r="BN274" i="1"/>
  <c r="BP275" i="1"/>
  <c r="BN275" i="1"/>
  <c r="BP276" i="1"/>
  <c r="BN276" i="1"/>
  <c r="BP277" i="1"/>
  <c r="BN277" i="1"/>
  <c r="BP278" i="1"/>
  <c r="BN278" i="1"/>
  <c r="BP279" i="1"/>
  <c r="BN279" i="1"/>
  <c r="BP280" i="1"/>
  <c r="BN280" i="1"/>
  <c r="BP281" i="1"/>
  <c r="BN281" i="1"/>
  <c r="BP282" i="1"/>
  <c r="BN282" i="1"/>
  <c r="BP283" i="1"/>
  <c r="BN283" i="1"/>
  <c r="BP284" i="1"/>
  <c r="BN284" i="1"/>
  <c r="BP285" i="1"/>
  <c r="BN285" i="1"/>
  <c r="BP286" i="1"/>
  <c r="BN286" i="1"/>
  <c r="BP287" i="1"/>
  <c r="BN287" i="1"/>
  <c r="BP288" i="1"/>
  <c r="BN288" i="1"/>
  <c r="BP289" i="1"/>
  <c r="BN289" i="1"/>
  <c r="BP290" i="1"/>
  <c r="BN290" i="1"/>
  <c r="BP291" i="1"/>
  <c r="BN291" i="1"/>
  <c r="A307" i="1" l="1"/>
  <c r="X297" i="1"/>
</calcChain>
</file>

<file path=xl/sharedStrings.xml><?xml version="1.0" encoding="utf-8"?>
<sst xmlns="http://schemas.openxmlformats.org/spreadsheetml/2006/main" count="1501" uniqueCount="509">
  <si>
    <t xml:space="preserve">  БЛАНК ЗАКАЗА </t>
  </si>
  <si>
    <t>ЗПФ</t>
  </si>
  <si>
    <t>на отгрузку продукции с ООО Трейд-Сервис с</t>
  </si>
  <si>
    <t>12.11.2024</t>
  </si>
  <si>
    <t>бланк создан</t>
  </si>
  <si>
    <t>-поле, обязательное к заполнению</t>
  </si>
  <si>
    <t>-поля, не обязательные к заполнению</t>
  </si>
  <si>
    <t xml:space="preserve">Ваш контактный телефон и имя: </t>
  </si>
  <si>
    <t>Комментарий к заказу:</t>
  </si>
  <si>
    <t>Дата загрузки</t>
  </si>
  <si>
    <t>Способ доставки (доставка/самовывоз)</t>
  </si>
  <si>
    <t>Самовывоз</t>
  </si>
  <si>
    <t>Адрес доставки:</t>
  </si>
  <si>
    <t>НВ, ООО 9001015535, Запорожская обл, Мелитополь г, 8 Марта ул, д. 43/1,</t>
  </si>
  <si>
    <t>День недели</t>
  </si>
  <si>
    <t>Наименование клиента</t>
  </si>
  <si>
    <t>ОБЩЕСТВО С ОГРАНИЧЕННОЙ ОТВЕТСТВЕННОСТЬЮ "НОВОЕ ВРЕМЯ"</t>
  </si>
  <si>
    <t>Адрес сдачи груза:</t>
  </si>
  <si>
    <t>272319Российская Федерация, Запорожская обл, Мелитопольский р-н, Мелитополь г, 8 Марта ул, д. 43/1,</t>
  </si>
  <si>
    <t>Время загрузки</t>
  </si>
  <si>
    <t>Дата доставки</t>
  </si>
  <si>
    <t>Время доставки</t>
  </si>
  <si>
    <t>КОД Аксапты Клиента</t>
  </si>
  <si>
    <t>596383</t>
  </si>
  <si>
    <t>Справочная информация:</t>
  </si>
  <si>
    <t>Время доставки 2 машины</t>
  </si>
  <si>
    <t>Тип заказа</t>
  </si>
  <si>
    <t>Основной заказ</t>
  </si>
  <si>
    <t>Телефоны для заказов:8(919)022-63-02 E-mail: Zamorozka@abiproduct.ru, Телефон сотрудников склада: 8-980-75-76-203</t>
  </si>
  <si>
    <t>Время доставки 3 машины</t>
  </si>
  <si>
    <t>График приема заказов: Заказы принимаются за ДВА дня до отгрузки Пн-Пт: с 9:00 до 14:00, Суб: с 9:00 до 12:00. Вс. выходной</t>
  </si>
  <si>
    <t>Время доставки 4 машины</t>
  </si>
  <si>
    <t>Телефон менеджера по логистике: 8 (919) 012-30-55 - по вопросам доставки продукции</t>
  </si>
  <si>
    <t>Телефон по работе с претензиями/жалобами (WhatSapp): 8 (980) 757-69-93       E-mail: Claims@abiproduct.ru</t>
  </si>
  <si>
    <t>Кликните на продукт, чтобы просмотреть изображение</t>
  </si>
  <si>
    <t>Код единицы продаж</t>
  </si>
  <si>
    <t>Код продукта</t>
  </si>
  <si>
    <t>Номер варианта</t>
  </si>
  <si>
    <t xml:space="preserve">Штрих-код </t>
  </si>
  <si>
    <t>Вес нетто штуки, кг</t>
  </si>
  <si>
    <t>Кол-во штук в коробе, шт</t>
  </si>
  <si>
    <t>Вес нетто короба, кг</t>
  </si>
  <si>
    <t>Вес брутто короба, кг</t>
  </si>
  <si>
    <t>Кол-во кор. на паллте, шт</t>
  </si>
  <si>
    <t>Коробок в слое</t>
  </si>
  <si>
    <t>Квант заказа</t>
  </si>
  <si>
    <t>Завод</t>
  </si>
  <si>
    <t>Внешний код номенклатуры</t>
  </si>
  <si>
    <t>Срок годности, сут.</t>
  </si>
  <si>
    <t>Наименование</t>
  </si>
  <si>
    <t>Доступно к отгрузке</t>
  </si>
  <si>
    <t>Ед. изм.</t>
  </si>
  <si>
    <t>Заказ</t>
  </si>
  <si>
    <t>Заказ с округлением до короба</t>
  </si>
  <si>
    <t>Объём заказа, м3</t>
  </si>
  <si>
    <t>Примечание по продуктку</t>
  </si>
  <si>
    <t>Признак "НОВИНКА"</t>
  </si>
  <si>
    <t>Декларация/Сертификат</t>
  </si>
  <si>
    <t>Для формул</t>
  </si>
  <si>
    <t>Вид продукции</t>
  </si>
  <si>
    <t>начиная с</t>
  </si>
  <si>
    <t>до</t>
  </si>
  <si>
    <t>Ядрена копоть</t>
  </si>
  <si>
    <t>Пельмени</t>
  </si>
  <si>
    <t>SU002224</t>
  </si>
  <si>
    <t>P002928</t>
  </si>
  <si>
    <t>12</t>
  </si>
  <si>
    <t>Короб, мин. 1</t>
  </si>
  <si>
    <t>МГ</t>
  </si>
  <si>
    <t>кор</t>
  </si>
  <si>
    <t>ЕАЭС N RU Д-RU.РА01.В.80841/20</t>
  </si>
  <si>
    <t>Короб</t>
  </si>
  <si>
    <t>Итого</t>
  </si>
  <si>
    <t>кг</t>
  </si>
  <si>
    <t>Горячая штучка</t>
  </si>
  <si>
    <t>Наггетсы ГШ</t>
  </si>
  <si>
    <t>Наггетсы</t>
  </si>
  <si>
    <t>SU002762</t>
  </si>
  <si>
    <t>P004106</t>
  </si>
  <si>
    <t>14</t>
  </si>
  <si>
    <t>Слой, мин. 1</t>
  </si>
  <si>
    <t>ЕАЭС N RU Д-RU.РА10.В.22386/23</t>
  </si>
  <si>
    <t>Слой</t>
  </si>
  <si>
    <t>ПГП</t>
  </si>
  <si>
    <t>SU002761</t>
  </si>
  <si>
    <t>P004104</t>
  </si>
  <si>
    <t>SU002763</t>
  </si>
  <si>
    <t>P004103</t>
  </si>
  <si>
    <t>Палетта, мин. 1</t>
  </si>
  <si>
    <t>Палетта</t>
  </si>
  <si>
    <t>SU002760</t>
  </si>
  <si>
    <t>P004105</t>
  </si>
  <si>
    <t>Grandmeni</t>
  </si>
  <si>
    <t>SU002320</t>
  </si>
  <si>
    <t>P002782</t>
  </si>
  <si>
    <t>ЕАЭС N RU Д-RU.PA01.B.76382/21</t>
  </si>
  <si>
    <t>SU002345</t>
  </si>
  <si>
    <t>P002645</t>
  </si>
  <si>
    <t>ЕАЭС N RU Д-RU.PA01.B.76348/21</t>
  </si>
  <si>
    <t>Чебупай</t>
  </si>
  <si>
    <t>Изделия хлебобулочные</t>
  </si>
  <si>
    <t>SU002914</t>
  </si>
  <si>
    <t>P003337</t>
  </si>
  <si>
    <t>10</t>
  </si>
  <si>
    <t>ЕАЭС N RU Д-RU.РА08.В.21084/22</t>
  </si>
  <si>
    <t>Бигбули ГШ</t>
  </si>
  <si>
    <t>SU002771</t>
  </si>
  <si>
    <t>P003728</t>
  </si>
  <si>
    <t>ЕАЭС N RU Д-RU.РА06.В.58287/22</t>
  </si>
  <si>
    <t>SU003386</t>
  </si>
  <si>
    <t>P004202</t>
  </si>
  <si>
    <t>SU002708</t>
  </si>
  <si>
    <t>P003682</t>
  </si>
  <si>
    <t>SU003532</t>
  </si>
  <si>
    <t>P004440</t>
  </si>
  <si>
    <t>SU002707</t>
  </si>
  <si>
    <t>P003680</t>
  </si>
  <si>
    <t>ЕАЭС N RU Д-RU.РА04.В.26948/22</t>
  </si>
  <si>
    <t>SU003531</t>
  </si>
  <si>
    <t>P004441</t>
  </si>
  <si>
    <t>Пельмени «Бигбули #МЕГАМАСЛИЩЕ со сливочным маслом» 0,4 сфера ТМ «Горячая штучка»</t>
  </si>
  <si>
    <t>SU002838</t>
  </si>
  <si>
    <t>P003681</t>
  </si>
  <si>
    <t>SU003385</t>
  </si>
  <si>
    <t>P004203</t>
  </si>
  <si>
    <t>SU002625</t>
  </si>
  <si>
    <t>P003679</t>
  </si>
  <si>
    <t>SU003530</t>
  </si>
  <si>
    <t>P004443</t>
  </si>
  <si>
    <t>SU002624</t>
  </si>
  <si>
    <t>P003678</t>
  </si>
  <si>
    <t>SU003529</t>
  </si>
  <si>
    <t>P004442</t>
  </si>
  <si>
    <t>Бульмени вес ГШ</t>
  </si>
  <si>
    <t>SU002798</t>
  </si>
  <si>
    <t>P003687</t>
  </si>
  <si>
    <t>18</t>
  </si>
  <si>
    <t>ЕАЭС N RU Д-RU.РА02.В.13673/23</t>
  </si>
  <si>
    <t>SU002595</t>
  </si>
  <si>
    <t>P003697</t>
  </si>
  <si>
    <t>Бельмеши</t>
  </si>
  <si>
    <t>Снеки</t>
  </si>
  <si>
    <t>SU002560</t>
  </si>
  <si>
    <t>P004088</t>
  </si>
  <si>
    <t>ЕАЭС N RU Д-RU.РА02.В.49579/23, ЕАЭС N RU Д-RU.РА10.В.40004/23</t>
  </si>
  <si>
    <t>Крылышки ГШ</t>
  </si>
  <si>
    <t>Крылья</t>
  </si>
  <si>
    <t>SU002564</t>
  </si>
  <si>
    <t>P004099</t>
  </si>
  <si>
    <t>ЕАЭС N RU Д-RU.РА01.В.97554/24, ЕАЭС N RU Д-RU.РА10.В.35725/23</t>
  </si>
  <si>
    <t>SU002563</t>
  </si>
  <si>
    <t>P004101</t>
  </si>
  <si>
    <t>ЕАЭС N RU Д-RU.РА09.В.51317/22, ЕАЭС N RU Д-RU.РА10.В.35725/23</t>
  </si>
  <si>
    <t>Чебупели</t>
  </si>
  <si>
    <t>SU002293</t>
  </si>
  <si>
    <t>P004113</t>
  </si>
  <si>
    <t>ЕАЭС N RU Д-RU.РА01.В.78287/24, ЕАЭС N RU Д-RU.РА01.В.92613/21</t>
  </si>
  <si>
    <t>SU002568</t>
  </si>
  <si>
    <t>P004114</t>
  </si>
  <si>
    <t>ЕАЭС N RU Д-RU.РА02.В.49579/23, ЕАЭС N RU Д-RU.РА05.В.15673/23</t>
  </si>
  <si>
    <t>SU003609</t>
  </si>
  <si>
    <t>P004584</t>
  </si>
  <si>
    <t>Снеки «Чебупели с ветчиной и сыром» Фикс.вес 0,3 Пакет ТМ «Горячая штучка»</t>
  </si>
  <si>
    <t>ЕАЭС N RU Д-RU.РА02.В.49579/23</t>
  </si>
  <si>
    <t>SU002572</t>
  </si>
  <si>
    <t>P004130</t>
  </si>
  <si>
    <t>ЕАЭС N RU Д-RU.РА01.В.13713/23</t>
  </si>
  <si>
    <t>SU003604</t>
  </si>
  <si>
    <t>P004605</t>
  </si>
  <si>
    <t>Снеки «Чебупели сочные с мясом» Фикс.вес 0,3 Пакет ТМ «Горячая штучка»</t>
  </si>
  <si>
    <t>SU002571</t>
  </si>
  <si>
    <t>P004125</t>
  </si>
  <si>
    <t>Чебуреки ГШ</t>
  </si>
  <si>
    <t>Чебуреки</t>
  </si>
  <si>
    <t>SU002573</t>
  </si>
  <si>
    <t>P004138</t>
  </si>
  <si>
    <t>ЕАЭС N RU Д-RU.РА01.В.13713/23, ЕАЭС N RU Д-RU.РА05.В.14262/23</t>
  </si>
  <si>
    <t>SU002558</t>
  </si>
  <si>
    <t>P004127</t>
  </si>
  <si>
    <t>SU002570</t>
  </si>
  <si>
    <t>P004122</t>
  </si>
  <si>
    <t>ЕАЭС N RU Д-RU.РА02.В.33144/23</t>
  </si>
  <si>
    <t>Бульмени ГШ</t>
  </si>
  <si>
    <t>SU002626</t>
  </si>
  <si>
    <t>P003685</t>
  </si>
  <si>
    <t>SU003527</t>
  </si>
  <si>
    <t>P004474</t>
  </si>
  <si>
    <t>SU002627</t>
  </si>
  <si>
    <t>P003686</t>
  </si>
  <si>
    <t>SU003460</t>
  </si>
  <si>
    <t>P004345</t>
  </si>
  <si>
    <t>SU002622</t>
  </si>
  <si>
    <t>P003683</t>
  </si>
  <si>
    <t>ЕАЭС № RU Д- RU.АБ75.В.00925/19</t>
  </si>
  <si>
    <t>SU003528</t>
  </si>
  <si>
    <t>P004444</t>
  </si>
  <si>
    <t>ЕАЭС N RU Д-RU.РА08.В.95149/22</t>
  </si>
  <si>
    <t>SU002623</t>
  </si>
  <si>
    <t>P003684</t>
  </si>
  <si>
    <t>SU003459</t>
  </si>
  <si>
    <t>P004346</t>
  </si>
  <si>
    <t>Чебупицца</t>
  </si>
  <si>
    <t>SU003578</t>
  </si>
  <si>
    <t>P004484</t>
  </si>
  <si>
    <t>Снеки «Чебупицца курочка По-итальянски» Фикс.вес 0,25 Пакет ТМ «Горячая штучка»</t>
  </si>
  <si>
    <t>ЕАЭС N RU Д-RU.РА10.В.33475/23</t>
  </si>
  <si>
    <t>SU003580</t>
  </si>
  <si>
    <t>P004486</t>
  </si>
  <si>
    <t>Снеки «Чебупицца Пепперони» Фикс.вес 0,25 Пакет ТМ «Горячая штучка»</t>
  </si>
  <si>
    <t>Хотстеры</t>
  </si>
  <si>
    <t>SU003384</t>
  </si>
  <si>
    <t>P004205</t>
  </si>
  <si>
    <t>ЕАЭС N RU Д-RU.РА02.В.13267/24</t>
  </si>
  <si>
    <t>SU003347</t>
  </si>
  <si>
    <t>P004144</t>
  </si>
  <si>
    <t>Снеки «Хотстеры с сыром» ф/в 0,45 лоток ТМ «Горячая штучка»</t>
  </si>
  <si>
    <t>SU002565</t>
  </si>
  <si>
    <t>P004110</t>
  </si>
  <si>
    <t>ЕАЭС N RU Д-RU.РА05.В.14086/23</t>
  </si>
  <si>
    <t>Круггетсы</t>
  </si>
  <si>
    <t>SU002890</t>
  </si>
  <si>
    <t>P003311</t>
  </si>
  <si>
    <t>SU000194</t>
  </si>
  <si>
    <t>P004095</t>
  </si>
  <si>
    <t>ЕАЭС N RU Д-RU.РА09.В.48842/23, ЕАЭС N RU Д-RU.РА10.В.33475/23</t>
  </si>
  <si>
    <t>SU000195</t>
  </si>
  <si>
    <t>P004097</t>
  </si>
  <si>
    <t>Пекерсы</t>
  </si>
  <si>
    <t>SU002669</t>
  </si>
  <si>
    <t>P004107</t>
  </si>
  <si>
    <t>ЕАЭС N RU Д-RU.РА09.В.53487/22</t>
  </si>
  <si>
    <t>Супермени</t>
  </si>
  <si>
    <t>Пельмени ПГП</t>
  </si>
  <si>
    <t>SU002176</t>
  </si>
  <si>
    <t>P004522</t>
  </si>
  <si>
    <t>6</t>
  </si>
  <si>
    <t>Пельмени ПГП «Супермени с мясом» 0,2 Сфера ТМ «Горячая штучка»</t>
  </si>
  <si>
    <t>ЕАЭС N RU Д-RU.РА02.В.69059/24</t>
  </si>
  <si>
    <t>SU002177</t>
  </si>
  <si>
    <t>P004523</t>
  </si>
  <si>
    <t>Чебуманы</t>
  </si>
  <si>
    <t>SU002668</t>
  </si>
  <si>
    <t>P004109</t>
  </si>
  <si>
    <t>ЕАЭС N RU Д-RU.РА10.В.56532/23</t>
  </si>
  <si>
    <t>No Name</t>
  </si>
  <si>
    <t>Зареченские продукты</t>
  </si>
  <si>
    <t>SU003415</t>
  </si>
  <si>
    <t>P004235</t>
  </si>
  <si>
    <t>Снеки «Сосисоны в темпуре» Весовой ТМ «No Name» 1,8</t>
  </si>
  <si>
    <t>No Name ЗПФ</t>
  </si>
  <si>
    <t>SU002396</t>
  </si>
  <si>
    <t>P004620</t>
  </si>
  <si>
    <t>Пельмени «Зареченские» Весовые Сфера ТМ «No name» 5 кг</t>
  </si>
  <si>
    <t>ЕАЭС N RU Д-RU.РА05.В.15328/24</t>
  </si>
  <si>
    <t>SU002314</t>
  </si>
  <si>
    <t>P004568</t>
  </si>
  <si>
    <t>Пельмени «Хинкали Классические» Весовые ТМ «Зареченские» 5 кг</t>
  </si>
  <si>
    <t>ЕАЭС N RU Д-RU.РА08.80803/23</t>
  </si>
  <si>
    <t>SU000197</t>
  </si>
  <si>
    <t>P004472</t>
  </si>
  <si>
    <t>Пельмени «Пуговки с говядиной и свининой» Весовые Сфера ТМ «No Name» 5 кг</t>
  </si>
  <si>
    <t>ЕАЭС N RU Д-RU.РА08.В.65691/23</t>
  </si>
  <si>
    <t>SU002335</t>
  </si>
  <si>
    <t>P004619</t>
  </si>
  <si>
    <t>Пельмени «Умелый повар» Весовые Равиоли ТМ «No name» 5 кг</t>
  </si>
  <si>
    <t>ЕАЭС N RU Д-RU.РА05.В.15378/24</t>
  </si>
  <si>
    <t>Вареники</t>
  </si>
  <si>
    <t>SU002532</t>
  </si>
  <si>
    <t>P002958</t>
  </si>
  <si>
    <t>ЕАЭС N RU Д-RU.РА01.В.17205/22</t>
  </si>
  <si>
    <t>SU002483</t>
  </si>
  <si>
    <t>P002961</t>
  </si>
  <si>
    <t>Вязанка</t>
  </si>
  <si>
    <t>Сливушка</t>
  </si>
  <si>
    <t>SU002516</t>
  </si>
  <si>
    <t>P004152</t>
  </si>
  <si>
    <t>ЕАЭС N RU Д-RU.РА05.В.03756/23</t>
  </si>
  <si>
    <t>SU002514</t>
  </si>
  <si>
    <t>P004155</t>
  </si>
  <si>
    <t>ЕАЭС N RU Д-RU.РА05.В.03742/23</t>
  </si>
  <si>
    <t>SU003001</t>
  </si>
  <si>
    <t>P003470</t>
  </si>
  <si>
    <t>ЕАЭС N RU Д-RU.РА08.В.07474/23</t>
  </si>
  <si>
    <t>Сосиски замороженные</t>
  </si>
  <si>
    <t>SU003643</t>
  </si>
  <si>
    <t>P004612</t>
  </si>
  <si>
    <t>8</t>
  </si>
  <si>
    <t>СК2</t>
  </si>
  <si>
    <t>Сосиски замороженные «Сосиски с сыром» Весовой ТМ «Вязанка» для корн-догов</t>
  </si>
  <si>
    <t>ЕАЭС N RU Д-RU.РА05.В.23448/24</t>
  </si>
  <si>
    <t>КИЗ</t>
  </si>
  <si>
    <t>SU002677</t>
  </si>
  <si>
    <t>P003053</t>
  </si>
  <si>
    <t>ЕАЭС N RU Д-RU.РА02.В.06757/23</t>
  </si>
  <si>
    <t>Стародворье</t>
  </si>
  <si>
    <t>Стародворье ПГП</t>
  </si>
  <si>
    <t>SU003777</t>
  </si>
  <si>
    <t>P004822</t>
  </si>
  <si>
    <t>Снеки «ЖАР-ладушки с клубникой и вишней» Фикс.вес 0,2 ТМ «Стародворье»</t>
  </si>
  <si>
    <t>Новинка</t>
  </si>
  <si>
    <t>ЕАЭС N RU Д-RU.РА08.В.93674/24</t>
  </si>
  <si>
    <t>SU003722</t>
  </si>
  <si>
    <t>P004812</t>
  </si>
  <si>
    <t>Снеки «ЖАР-ладушки с яблоком и грушей» Фикс.вес 0,2 ТМ «Стародворье»</t>
  </si>
  <si>
    <t>SU003721</t>
  </si>
  <si>
    <t>P004811</t>
  </si>
  <si>
    <t>Снеки «ЖАР-ладушки с мясом» Фикс.вес 0,2 ТМ «Стародворье»</t>
  </si>
  <si>
    <t>ЕАЭС N RU Д-RU.РА09.В.00509/24</t>
  </si>
  <si>
    <t>Мясорубская</t>
  </si>
  <si>
    <t>SU002920</t>
  </si>
  <si>
    <t>P003355</t>
  </si>
  <si>
    <t>ЕАЭС N RU Д-RU.РА01.В.79461/23</t>
  </si>
  <si>
    <t>SU003145</t>
  </si>
  <si>
    <t>P003731</t>
  </si>
  <si>
    <t>ЕАЭС N RU Д-RU.РА07.В.92933/23</t>
  </si>
  <si>
    <t>SU003077</t>
  </si>
  <si>
    <t>P003648</t>
  </si>
  <si>
    <t>ЕАЭС N RU Д-RU. РА06.В.00394/23</t>
  </si>
  <si>
    <t>Медвежьи ушки</t>
  </si>
  <si>
    <t>SU003260</t>
  </si>
  <si>
    <t>P003918</t>
  </si>
  <si>
    <t>ЕАЭС N RU Д-RU.РА10.В.37060/23</t>
  </si>
  <si>
    <t>SU003259</t>
  </si>
  <si>
    <t>P003920</t>
  </si>
  <si>
    <t>SU003064</t>
  </si>
  <si>
    <t>P003639</t>
  </si>
  <si>
    <t>ЕАЭС N RU Д-RU.РА02.В.30885/24</t>
  </si>
  <si>
    <t>SU003065</t>
  </si>
  <si>
    <t>P003641</t>
  </si>
  <si>
    <t>SU003066</t>
  </si>
  <si>
    <t>P003630</t>
  </si>
  <si>
    <t>SU003067</t>
  </si>
  <si>
    <t>P003631</t>
  </si>
  <si>
    <t>Медвежье ушко</t>
  </si>
  <si>
    <t>SU002067</t>
  </si>
  <si>
    <t>P002999</t>
  </si>
  <si>
    <t>ЕАЭС N RU Д-RU.PA01.B.05295/21</t>
  </si>
  <si>
    <t>SU002068</t>
  </si>
  <si>
    <t>P003005</t>
  </si>
  <si>
    <t>SU002069</t>
  </si>
  <si>
    <t>P003001</t>
  </si>
  <si>
    <t>ЕАЭС N RU Д-RU.PA01.B.06796/21</t>
  </si>
  <si>
    <t>SU002066</t>
  </si>
  <si>
    <t>P003004</t>
  </si>
  <si>
    <t>Царедворская EDLP/EDPP</t>
  </si>
  <si>
    <t>SU002638</t>
  </si>
  <si>
    <t>P002986</t>
  </si>
  <si>
    <t>ЕАЭС N RU Д-RU.РА03.В.46289/22</t>
  </si>
  <si>
    <t>Бордо</t>
  </si>
  <si>
    <t>SU002678</t>
  </si>
  <si>
    <t>P003054</t>
  </si>
  <si>
    <t>ЕАЭС N RU Д-RU.РА03.В.16517/23</t>
  </si>
  <si>
    <t>Сочные</t>
  </si>
  <si>
    <t>SU001859</t>
  </si>
  <si>
    <t>P004634</t>
  </si>
  <si>
    <t>Пельмени «Сочные» 0,43 ТМ «Стародворье»</t>
  </si>
  <si>
    <t>ЕАЭС N RU Д-RU.РА01.В.86265/24</t>
  </si>
  <si>
    <t>SU003291</t>
  </si>
  <si>
    <t>P004009</t>
  </si>
  <si>
    <t>Колбасный стандарт</t>
  </si>
  <si>
    <t>Владимирский Стандарт ЗПФ</t>
  </si>
  <si>
    <t>SU002267</t>
  </si>
  <si>
    <t>P004241</t>
  </si>
  <si>
    <t>Пельмени «Владимирский стандарт с говядиной и свининой» флоу-пак 0,8 Сфера ТМ «Владимирский стандарт»</t>
  </si>
  <si>
    <t>ЕАЭС N RU Д-RU.РА01.В.86313/24</t>
  </si>
  <si>
    <t>Особый рецепт</t>
  </si>
  <si>
    <t>Любимая ложка</t>
  </si>
  <si>
    <t>SU002268</t>
  </si>
  <si>
    <t>P004081</t>
  </si>
  <si>
    <t>SU003146</t>
  </si>
  <si>
    <t>P003732</t>
  </si>
  <si>
    <t>ЕАЭС N RU Д-RU.РА10.В.21233/23</t>
  </si>
  <si>
    <t>Особая Без свинины</t>
  </si>
  <si>
    <t>SU002408</t>
  </si>
  <si>
    <t>P002686</t>
  </si>
  <si>
    <t>Владимирский стандарт</t>
  </si>
  <si>
    <t>Владимирский Стандарт ПГП</t>
  </si>
  <si>
    <t>SU003458</t>
  </si>
  <si>
    <t>P004385</t>
  </si>
  <si>
    <t>Снеки «Мини-пицца Владимирский стандарт с ветчиной и грибами» ф/в 0,25 ТМ «Владимирский стандарт»</t>
  </si>
  <si>
    <t>ЕАЭС N RU Д-RU.РА04.В.81528/24</t>
  </si>
  <si>
    <t>SU003319</t>
  </si>
  <si>
    <t>P004053</t>
  </si>
  <si>
    <t>Пельмени «Домашние» 0,7 сфера ТМ «Зареченские»</t>
  </si>
  <si>
    <t>ЕАЭС N RU Д-RU.РА01.В.15225/24</t>
  </si>
  <si>
    <t>SU003320</t>
  </si>
  <si>
    <t>P004060</t>
  </si>
  <si>
    <t>Пельмени «Домашние со сливочным маслом» 0,7 сфера ТМ «Зареченские»</t>
  </si>
  <si>
    <t>SU003086</t>
  </si>
  <si>
    <t>P003803</t>
  </si>
  <si>
    <t>Пельмени «Жемчужные» 1,0 сфера ТМ «Зареченские»</t>
  </si>
  <si>
    <t>ЕАЭС N RU Д-RU.РА05.В.31150/22</t>
  </si>
  <si>
    <t>SU003024</t>
  </si>
  <si>
    <t>P003488</t>
  </si>
  <si>
    <t>Крылья «Хрустящие крылышки» Весовой ТМ «Зареченские» 1,8 кг</t>
  </si>
  <si>
    <t>ЕАЭС N RU Д-RU. РА04.В.81210/23</t>
  </si>
  <si>
    <t>SU003020</t>
  </si>
  <si>
    <t>P003486</t>
  </si>
  <si>
    <t>Наггетсы «Хрустящие» Весовые ТМ «Зареченские» 6 кг</t>
  </si>
  <si>
    <t>ЕАЭС N RU Д-RU. РА04.В.81113/23</t>
  </si>
  <si>
    <t>SU003381</t>
  </si>
  <si>
    <t>P004190</t>
  </si>
  <si>
    <t>Наггетсы «Хрустящие» Фикс.вес 0,3 ф/п ТМ «Зареченские»</t>
  </si>
  <si>
    <t>SU003012</t>
  </si>
  <si>
    <t>P003478</t>
  </si>
  <si>
    <t>Чебуреки «Мясные» Весовые ТМ «Зареченские» 2,7 кг</t>
  </si>
  <si>
    <t>ЕАЭС N RU Д-RU. РА04.В.83320/23</t>
  </si>
  <si>
    <t>SU003010</t>
  </si>
  <si>
    <t>P003476</t>
  </si>
  <si>
    <t>Чебуреки «Сочные» Весовые ТМ «Зареченские» 5 кг</t>
  </si>
  <si>
    <t>SU003025</t>
  </si>
  <si>
    <t>P003495</t>
  </si>
  <si>
    <t>SU003510</t>
  </si>
  <si>
    <t>P004457</t>
  </si>
  <si>
    <t>Снеки «Мини-пицца с ветчиной и сыром» Весовые ТМ «Зареченские продукты» 3 кг</t>
  </si>
  <si>
    <t>ЕАЭС N RU Д-RU.РА02.В.25079/24</t>
  </si>
  <si>
    <t>SU003454</t>
  </si>
  <si>
    <t>P004364</t>
  </si>
  <si>
    <t>Снеки «Мини-сосиски в тесте» Весовые ТМ «Зареченские» 3,7 кг</t>
  </si>
  <si>
    <t>ЕАЭС N RU Д-RU.РА02.В.58883/24</t>
  </si>
  <si>
    <t>SU003436</t>
  </si>
  <si>
    <t>P004439</t>
  </si>
  <si>
    <t>Снеки «Мини-чебуречки с картофелем и сочной грудинкой» Весовой ТМ «Зареченские продукты» 3,5 кг</t>
  </si>
  <si>
    <t>ЕАЭС N RU Д-RU.РА03.В.46679/24</t>
  </si>
  <si>
    <t>SU003434</t>
  </si>
  <si>
    <t>P004358</t>
  </si>
  <si>
    <t>Снеки «Мини-чебуречки с мясом» Весовой ТМ «Зареченские» 5,5 кг</t>
  </si>
  <si>
    <t>SU003431</t>
  </si>
  <si>
    <t>P004279</t>
  </si>
  <si>
    <t>Снеки «Мини-чебуречки с сыром и ветчиной» Весовые ТМ «Зареченские» 3,5 кг</t>
  </si>
  <si>
    <t>ЕАЭС N RU Д-RU.РА02.В.25079/24, ЕАЭС N RU Д-RU.РА03.В.88195/24</t>
  </si>
  <si>
    <t>SU003448</t>
  </si>
  <si>
    <t>P004394</t>
  </si>
  <si>
    <t>Снеки «Мини-шарики с курочкой и сыром» Весовой ТМ «Зареченские» 3 кг</t>
  </si>
  <si>
    <t>SU003446</t>
  </si>
  <si>
    <t>P004393</t>
  </si>
  <si>
    <t>Снеки «Пирожки с клубникой и вишней» Весовые ТМ «Зареченские» 3,7 кг</t>
  </si>
  <si>
    <t>SU003442</t>
  </si>
  <si>
    <t>P004391</t>
  </si>
  <si>
    <t>Снеки «Пирожки с мясом, картофелем и грибами» Весовые ТМ «Зареченские» 3,7 кг</t>
  </si>
  <si>
    <t>SU003439</t>
  </si>
  <si>
    <t>P004359</t>
  </si>
  <si>
    <t>«Пирожки с мясом» Весовые ТМ «Зареченские» 3,7 кг</t>
  </si>
  <si>
    <t>SU003444</t>
  </si>
  <si>
    <t>P004392</t>
  </si>
  <si>
    <t>Снеки «Пирожки с яблоком и грушей» Весовой ТМ «Зареченские» 3,7 кг</t>
  </si>
  <si>
    <t>SU003383</t>
  </si>
  <si>
    <t>P004191</t>
  </si>
  <si>
    <t>Снеки «Мини-пицца с ветчиной и сыром» Фикс.вес 0,3 ф/п ТМ «Зареченские»</t>
  </si>
  <si>
    <t>SU003382</t>
  </si>
  <si>
    <t>P004195</t>
  </si>
  <si>
    <t>Снеки «Мини-сосиски в тесте» Фикс.вес 0,3 ф/п ТМ «Зареченские»</t>
  </si>
  <si>
    <t>SU003377</t>
  </si>
  <si>
    <t>P004193</t>
  </si>
  <si>
    <t>Снеки «Мини-чебуречки с мясом» Фикс.вес 0,3 ф/п ТМ «Зареченские»</t>
  </si>
  <si>
    <t>SU003376</t>
  </si>
  <si>
    <t>P004194</t>
  </si>
  <si>
    <t>Снеки «Мини-чебуречки с сыром и ветчиной» Фикс.вес 0,3 ф/п ТМ «Зареченские»</t>
  </si>
  <si>
    <t>SU003378</t>
  </si>
  <si>
    <t>P004196</t>
  </si>
  <si>
    <t>Снеки «Пирожки с мясом» Фикс.вес 0,3 ф/п ТМ «Зареченские»</t>
  </si>
  <si>
    <t>SU003379</t>
  </si>
  <si>
    <t>P004197</t>
  </si>
  <si>
    <t>Снеки «Пирожки с мясом, картофелем и грибами» Фикс.вес 0,3 ф/п ТМ «Зареченские»</t>
  </si>
  <si>
    <t>SU003380</t>
  </si>
  <si>
    <t>P004192</t>
  </si>
  <si>
    <t>Снеки «Пирожки с яблоком и грушей» Фикс.вес 0,3 ф/п ТМ «Зареченские»</t>
  </si>
  <si>
    <t>ЕАЭС N RU Д-RU. РА04. В.83232/23, ЕАЭС N RU Д-RU.РА02.В.25079/24</t>
  </si>
  <si>
    <t>SU002766</t>
  </si>
  <si>
    <t>P004236</t>
  </si>
  <si>
    <t>Снеки «Смак-мени с картофелем и сочной грудинкой» Фикс.вес 1 ТМ «Зареченские»</t>
  </si>
  <si>
    <t>ЕАЭС N RU Д-RU.РА08.В.72250/22, ЕАЭС N RU Д-RU.РА11.В.12797/23</t>
  </si>
  <si>
    <t>SU002767</t>
  </si>
  <si>
    <t>P004238</t>
  </si>
  <si>
    <t>Снеки Смак-мени с мясом ТМ Зареченские ТС Зареченские продукты ф/п ф/в 1,0</t>
  </si>
  <si>
    <t>ЕАЭС N RU Д-RU.РА08.В.71672/22</t>
  </si>
  <si>
    <t>SU003085</t>
  </si>
  <si>
    <t>P003651</t>
  </si>
  <si>
    <t>Снеки «Смаколадьи с яблоком и грушей» ф/в 0,9 ТМ «Зареченские»</t>
  </si>
  <si>
    <t>ЕАЭС N RU Д-RU.РА05.В.59099/23</t>
  </si>
  <si>
    <t>ИТОГО НЕТТО</t>
  </si>
  <si>
    <t>ИТОГО БРУТТО</t>
  </si>
  <si>
    <t>Кол-во паллет</t>
  </si>
  <si>
    <t>шт</t>
  </si>
  <si>
    <t>Вес брутто  с паллетами</t>
  </si>
  <si>
    <t>Кол-во коробок</t>
  </si>
  <si>
    <t>Объем заказа</t>
  </si>
  <si>
    <t>м3</t>
  </si>
  <si>
    <t>ТОРГОВАЯ МАРКА</t>
  </si>
  <si>
    <t>СЕРИЯ</t>
  </si>
  <si>
    <t>ИТОГО, кг</t>
  </si>
  <si>
    <t>ЗПФ, кг</t>
  </si>
  <si>
    <t xml:space="preserve">ПГП, кг </t>
  </si>
  <si>
    <t>КИЗ, кг</t>
  </si>
  <si>
    <t>MSDAX_ЗПФ</t>
  </si>
  <si>
    <t>Доставка</t>
  </si>
  <si>
    <t>596383_1</t>
  </si>
  <si>
    <t>1</t>
  </si>
  <si>
    <t>CFR</t>
  </si>
  <si>
    <t>CIF</t>
  </si>
  <si>
    <t>CIP</t>
  </si>
  <si>
    <t>CPT</t>
  </si>
  <si>
    <t>DAP</t>
  </si>
  <si>
    <t>DAT</t>
  </si>
  <si>
    <t>DDP</t>
  </si>
  <si>
    <t>EXW</t>
  </si>
  <si>
    <t>FAS</t>
  </si>
  <si>
    <t>FCA</t>
  </si>
  <si>
    <t>FOB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</si>
</sst>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#,##0_ ;[Red]\-#,##0\ "/>
    <numFmt numFmtId="165" formatCode="h:mm;@"/>
    <numFmt numFmtId="166" formatCode="#,##0.00_ ;[Red]\-#,##0.00\ "/>
    <numFmt numFmtId="167" formatCode="0.000"/>
    <numFmt numFmtId="168" formatCode="dd/mm/yy;@"/>
  </numFmts>
  <fonts count="421" x14ac:knownFonts="1">
    <font>
      <sz val="10"/>
      <name val="Arial Cyr"/>
      <charset val="204"/>
    </font>
    <font>
      <sz val="10"/>
      <name val="Arial Cyr"/>
      <charset val="204"/>
    </font>
    <font>
      <sz val="8"/>
      <name val="Arial Cyr"/>
      <charset val="204"/>
    </font>
    <font>
      <b/>
      <sz val="8"/>
      <name val="Arial Cyr"/>
      <charset val="204"/>
    </font>
    <font>
      <b/>
      <sz val="10"/>
      <color indexed="8"/>
      <name val="Arial Cyr"/>
      <charset val="204"/>
    </font>
    <font>
      <b/>
      <sz val="8"/>
      <color indexed="8"/>
      <name val="Arial Cyr"/>
      <charset val="204"/>
    </font>
    <font>
      <sz val="10"/>
      <name val="Arial Cyr"/>
      <charset val="204"/>
    </font>
    <font>
      <sz val="11"/>
      <color indexed="8"/>
      <name val="Calibri"/>
      <family val="2"/>
      <charset val="204"/>
    </font>
    <font>
      <sz val="11"/>
      <color indexed="9"/>
      <name val="Calibri"/>
      <family val="2"/>
      <charset val="204"/>
    </font>
    <font>
      <sz val="11"/>
      <color indexed="62"/>
      <name val="Calibri"/>
      <family val="2"/>
      <charset val="204"/>
    </font>
    <font>
      <b/>
      <sz val="11"/>
      <color indexed="63"/>
      <name val="Calibri"/>
      <family val="2"/>
      <charset val="204"/>
    </font>
    <font>
      <b/>
      <sz val="11"/>
      <color indexed="52"/>
      <name val="Calibri"/>
      <family val="2"/>
      <charset val="204"/>
    </font>
    <font>
      <b/>
      <sz val="15"/>
      <color indexed="56"/>
      <name val="Calibri"/>
      <family val="2"/>
      <charset val="204"/>
    </font>
    <font>
      <b/>
      <sz val="13"/>
      <color indexed="56"/>
      <name val="Calibri"/>
      <family val="2"/>
      <charset val="204"/>
    </font>
    <font>
      <b/>
      <sz val="11"/>
      <color indexed="56"/>
      <name val="Calibri"/>
      <family val="2"/>
      <charset val="204"/>
    </font>
    <font>
      <b/>
      <sz val="11"/>
      <color indexed="8"/>
      <name val="Calibri"/>
      <family val="2"/>
      <charset val="204"/>
    </font>
    <font>
      <b/>
      <sz val="11"/>
      <color indexed="9"/>
      <name val="Calibri"/>
      <family val="2"/>
      <charset val="204"/>
    </font>
    <font>
      <b/>
      <sz val="18"/>
      <color indexed="56"/>
      <name val="Cambria"/>
      <family val="2"/>
      <charset val="204"/>
    </font>
    <font>
      <sz val="11"/>
      <color indexed="60"/>
      <name val="Calibri"/>
      <family val="2"/>
      <charset val="204"/>
    </font>
    <font>
      <sz val="11"/>
      <color indexed="20"/>
      <name val="Calibri"/>
      <family val="2"/>
      <charset val="204"/>
    </font>
    <font>
      <i/>
      <sz val="11"/>
      <color indexed="23"/>
      <name val="Calibri"/>
      <family val="2"/>
      <charset val="204"/>
    </font>
    <font>
      <sz val="11"/>
      <color indexed="52"/>
      <name val="Calibri"/>
      <family val="2"/>
      <charset val="204"/>
    </font>
    <font>
      <sz val="11"/>
      <color indexed="10"/>
      <name val="Calibri"/>
      <family val="2"/>
      <charset val="204"/>
    </font>
    <font>
      <sz val="11"/>
      <color indexed="17"/>
      <name val="Calibri"/>
      <family val="2"/>
      <charset val="204"/>
    </font>
    <font>
      <b/>
      <sz val="10"/>
      <name val="Arial Cyr"/>
      <family val="2"/>
      <charset val="204"/>
    </font>
    <font>
      <sz val="10"/>
      <name val="Arial Cyr"/>
      <family val="2"/>
      <charset val="204"/>
    </font>
    <font>
      <b/>
      <sz val="11"/>
      <name val="Arial Cyr"/>
      <family val="2"/>
      <charset val="204"/>
    </font>
    <font>
      <sz val="8"/>
      <name val="Arial Narrow"/>
      <family val="2"/>
      <charset val="204"/>
    </font>
    <font>
      <b/>
      <sz val="11"/>
      <name val="Arial Narrow"/>
      <family val="2"/>
      <charset val="204"/>
    </font>
    <font>
      <sz val="11"/>
      <color theme="1"/>
      <name val="Calibri"/>
      <family val="2"/>
      <charset val="204"/>
      <scheme val="minor"/>
    </font>
    <font>
      <sz val="10"/>
      <color theme="1"/>
      <name val="Arial Cyr"/>
      <charset val="204"/>
    </font>
    <font>
      <sz val="11"/>
      <color rgb="FFC00000"/>
      <name val="Gadugi"/>
      <family val="2"/>
      <charset val="1"/>
    </font>
    <font>
      <b/>
      <sz val="8"/>
      <color rgb="FF651C32"/>
      <name val="Calibri"/>
      <family val="2"/>
      <charset val="204"/>
      <scheme val="minor"/>
    </font>
    <font>
      <b/>
      <sz val="11"/>
      <color rgb="FF651C32"/>
      <name val="Calibri"/>
      <family val="2"/>
      <charset val="204"/>
      <scheme val="minor"/>
    </font>
    <font>
      <b/>
      <sz val="16"/>
      <color rgb="FF651C32"/>
      <name val="Calibri"/>
      <family val="2"/>
      <charset val="204"/>
      <scheme val="minor"/>
    </font>
    <font>
      <sz val="10"/>
      <color rgb="FF651C32"/>
      <name val="Arial Cyr"/>
      <charset val="204"/>
    </font>
    <font>
      <sz val="11"/>
      <color rgb="FF651C32"/>
      <name val="Arial Narrow"/>
      <family val="2"/>
      <charset val="204"/>
    </font>
    <font>
      <sz val="8"/>
      <color rgb="FF651C32"/>
      <name val="Calibri"/>
      <family val="2"/>
      <charset val="204"/>
      <scheme val="minor"/>
    </font>
    <font>
      <b/>
      <sz val="14"/>
      <color rgb="FF651C32"/>
      <name val="Calibri"/>
      <family val="2"/>
      <charset val="204"/>
      <scheme val="minor"/>
    </font>
    <font>
      <b/>
      <sz val="10"/>
      <color rgb="FF651C32"/>
      <name val="Arial Cyr"/>
      <charset val="204"/>
    </font>
    <font>
      <b/>
      <sz val="10"/>
      <color rgb="FF651C32"/>
      <name val="Arial Cyr"/>
      <family val="2"/>
      <charset val="204"/>
    </font>
    <font>
      <b/>
      <sz val="8"/>
      <color rgb="FF651C32"/>
      <name val="Arial Cyr"/>
      <charset val="204"/>
    </font>
    <font>
      <b/>
      <sz val="9"/>
      <color rgb="FF651C32"/>
      <name val="Arial Narrow"/>
      <family val="2"/>
      <charset val="204"/>
    </font>
    <font>
      <b/>
      <sz val="9"/>
      <color rgb="FF651C32"/>
      <name val="Calibri"/>
      <family val="2"/>
      <charset val="204"/>
      <scheme val="minor"/>
    </font>
    <font>
      <b/>
      <sz val="10"/>
      <color rgb="FF651C32"/>
      <name val="Calibri"/>
      <family val="2"/>
      <charset val="204"/>
      <scheme val="minor"/>
    </font>
    <font>
      <b/>
      <sz val="7"/>
      <color rgb="FF651C32"/>
      <name val="Arial Cyr"/>
      <family val="2"/>
      <charset val="204"/>
    </font>
    <font>
      <sz val="8"/>
      <color theme="1"/>
      <name val="Calibri"/>
      <family val="2"/>
      <charset val="204"/>
      <scheme val="minor"/>
    </font>
    <font>
      <vertAlign val="superscript"/>
      <sz val="10"/>
      <color rgb="FF651C32"/>
      <name val="Arial Cyr"/>
      <charset val="204"/>
    </font>
    <font>
      <b/>
      <sz val="10"/>
      <color rgb="FF651C32"/>
      <name val="Arial Narrow"/>
      <family val="2"/>
      <charset val="204"/>
    </font>
    <font>
      <sz val="9"/>
      <color rgb="FF651C32"/>
      <name val="Arial Narrow"/>
      <family val="2"/>
      <charset val="204"/>
    </font>
    <font>
      <b/>
      <sz val="16"/>
      <color rgb="FF651C32"/>
      <name val="Arial Cyr"/>
      <charset val="204"/>
    </font>
    <font>
      <b/>
      <sz val="11"/>
      <color rgb="FF651C32"/>
      <name val="Arial Narrow"/>
      <family val="2"/>
      <charset val="204"/>
    </font>
    <font>
      <b/>
      <sz val="8"/>
      <color rgb="FF651C32"/>
      <name val="Arial Cyr"/>
      <family val="2"/>
      <charset val="204"/>
    </font>
    <font>
      <b/>
      <u/>
      <sz val="10"/>
      <color rgb="FF651C32"/>
      <name val="Arial Narrow"/>
      <family val="2"/>
      <charset val="204"/>
    </font>
    <font>
      <b/>
      <sz val="11"/>
      <color rgb="FF651C32"/>
      <name val="Arial Cyr"/>
      <family val="2"/>
      <charset val="204"/>
    </font>
    <font>
      <b/>
      <u/>
      <sz val="16"/>
      <color rgb="FFFF0000"/>
      <name val="Calibri"/>
      <family val="2"/>
      <charset val="204"/>
      <scheme val="minor"/>
    </font>
    <font>
      <b/>
      <sz val="9"/>
      <color rgb="FFFF0000"/>
      <name val="Arial Narrow"/>
      <family val="2"/>
      <charset val="204"/>
    </font>
    <font>
      <b/>
      <sz val="10"/>
      <name val="Arial Narrow"/>
      <family val="2"/>
      <charset val="204"/>
    </font>
    <font>
      <b/>
      <sz val="10"/>
      <name val="Arial Cyr"/>
      <charset val="204"/>
    </font>
    <font>
      <sz val="10"/>
      <color indexed="8"/>
      <name val="Arial Cyr"/>
      <charset val="204"/>
    </font>
    <font>
      <sz val="10"/>
      <color theme="0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FF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  <font>
      <sz val="8"/>
      <color rgb="FF000000"/>
      <name val="Arial Cyr"/>
      <charset val="204"/>
    </font>
    <font>
      <sz val="8"/>
      <color rgb="FF000000"/>
      <name val="Arial Cyr"/>
      <charset val="204"/>
    </font>
    <font>
      <sz val="10"/>
      <color rgb="FFFFFFFF"/>
      <name val="Arial Cyr"/>
      <charset val="204"/>
    </font>
  </fonts>
  <fills count="28">
    <fill>
      <patternFill patternType="none"/>
    </fill>
    <fill>
      <patternFill patternType="gray125"/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2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49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5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rgb="FFFFA100"/>
        <bgColor indexed="64"/>
      </patternFill>
    </fill>
    <fill>
      <patternFill patternType="solid">
        <fgColor rgb="FFF1ECD7"/>
        <bgColor indexed="64"/>
      </patternFill>
    </fill>
    <fill>
      <patternFill patternType="solid">
        <fgColor rgb="FFF2DEA6"/>
        <bgColor indexed="64"/>
      </patternFill>
    </fill>
    <fill>
      <patternFill patternType="solid">
        <fgColor theme="0"/>
        <bgColor indexed="64"/>
      </patternFill>
    </fill>
  </fills>
  <borders count="47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dashDot">
        <color indexed="64"/>
      </left>
      <right style="dashDot">
        <color indexed="64"/>
      </right>
      <top style="dashDot">
        <color indexed="64"/>
      </top>
      <bottom style="dashDot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651C32"/>
      </left>
      <right/>
      <top/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 style="thick">
        <color rgb="FF651C32"/>
      </bottom>
      <diagonal/>
    </border>
    <border>
      <left style="thick">
        <color theme="0" tint="-0.499984740745262"/>
      </left>
      <right style="thick">
        <color theme="0" tint="-0.499984740745262"/>
      </right>
      <top style="thick">
        <color theme="0" tint="-0.499984740745262"/>
      </top>
      <bottom style="thick">
        <color theme="0" tint="-0.499984740745262"/>
      </bottom>
      <diagonal/>
    </border>
    <border>
      <left/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n">
        <color rgb="FF651C32"/>
      </top>
      <bottom style="thin">
        <color rgb="FF651C32"/>
      </bottom>
      <diagonal/>
    </border>
    <border>
      <left/>
      <right style="thin">
        <color rgb="FF651C32"/>
      </right>
      <top style="thin">
        <color rgb="FF651C32"/>
      </top>
      <bottom style="thin">
        <color rgb="FF651C32"/>
      </bottom>
      <diagonal/>
    </border>
    <border>
      <left style="thick">
        <color rgb="FF651C32"/>
      </left>
      <right style="thick">
        <color rgb="FF651C32"/>
      </right>
      <top style="thick">
        <color rgb="FF651C32"/>
      </top>
      <bottom/>
      <diagonal/>
    </border>
    <border>
      <left style="thick">
        <color rgb="FF651C32"/>
      </left>
      <right style="thick">
        <color rgb="FF651C32"/>
      </right>
      <top/>
      <bottom/>
      <diagonal/>
    </border>
    <border>
      <left style="thick">
        <color rgb="FF651C32"/>
      </left>
      <right style="thick">
        <color theme="0" tint="-0.499984740745262"/>
      </right>
      <top style="thick">
        <color theme="0" tint="-0.499984740745262"/>
      </top>
      <bottom/>
      <diagonal/>
    </border>
    <border>
      <left style="thin">
        <color rgb="FF651C32"/>
      </left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 style="thin">
        <color rgb="FF651C32"/>
      </right>
      <top/>
      <bottom style="thin">
        <color rgb="FF651C32"/>
      </bottom>
      <diagonal/>
    </border>
    <border>
      <left/>
      <right/>
      <top style="thin">
        <color rgb="FF651C32"/>
      </top>
      <bottom/>
      <diagonal/>
    </border>
    <border>
      <left/>
      <right style="thin">
        <color rgb="FF651C32"/>
      </right>
      <top/>
      <bottom/>
      <diagonal/>
    </border>
    <border>
      <left/>
      <right style="thin">
        <color rgb="FF651C32"/>
      </right>
      <top style="thin">
        <color rgb="FF651C32"/>
      </top>
      <bottom/>
      <diagonal/>
    </border>
    <border>
      <left style="thin">
        <color rgb="FF651C32"/>
      </left>
      <right/>
      <top/>
      <bottom style="thin">
        <color rgb="FF651C32"/>
      </bottom>
      <diagonal/>
    </border>
    <border>
      <left/>
      <right style="thin">
        <color rgb="FF651C32"/>
      </right>
      <top/>
      <bottom style="thin">
        <color rgb="FF651C32"/>
      </bottom>
      <diagonal/>
    </border>
    <border>
      <left/>
      <right style="thin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rgb="FF651C32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rgb="FF651C32"/>
      </top>
      <bottom style="thin">
        <color indexed="64"/>
      </bottom>
      <diagonal/>
    </border>
    <border>
      <left style="thin">
        <color rgb="FF651C32"/>
      </left>
      <right style="thin">
        <color indexed="64"/>
      </right>
      <top/>
      <bottom style="thin">
        <color rgb="FF651C32"/>
      </bottom>
      <diagonal/>
    </border>
    <border>
      <left style="thin">
        <color rgb="FF651C32"/>
      </left>
      <right style="thin">
        <color indexed="64"/>
      </right>
      <top style="thin">
        <color rgb="FF651C32"/>
      </top>
      <bottom style="thin">
        <color rgb="FF651C32"/>
      </bottom>
      <diagonal/>
    </border>
    <border>
      <left style="thin">
        <color rgb="FF651C32"/>
      </left>
      <right style="thin">
        <color rgb="FF651C32"/>
      </right>
      <top style="thin">
        <color rgb="FF651C32"/>
      </top>
      <bottom style="thin">
        <color indexed="64"/>
      </bottom>
      <diagonal/>
    </border>
    <border>
      <left/>
      <right/>
      <top style="thick">
        <color theme="0" tint="-0.499984740745262"/>
      </top>
      <bottom/>
      <diagonal/>
    </border>
    <border>
      <left/>
      <right style="thick">
        <color theme="0" tint="-0.499984740745262"/>
      </right>
      <top style="thick">
        <color theme="0" tint="-0.499984740745262"/>
      </top>
      <bottom/>
      <diagonal/>
    </border>
    <border>
      <left style="thick">
        <color rgb="FF651C32"/>
      </left>
      <right style="thick">
        <color theme="0" tint="-0.499984740745262"/>
      </right>
      <top/>
      <bottom/>
      <diagonal/>
    </border>
  </borders>
  <cellStyleXfs count="52">
    <xf numFmtId="0" fontId="0" fillId="0" borderId="0"/>
    <xf numFmtId="0" fontId="7" fillId="5" borderId="0"/>
    <xf numFmtId="0" fontId="7" fillId="6" borderId="0"/>
    <xf numFmtId="0" fontId="7" fillId="7" borderId="0"/>
    <xf numFmtId="0" fontId="7" fillId="8" borderId="0"/>
    <xf numFmtId="0" fontId="7" fillId="4" borderId="0"/>
    <xf numFmtId="0" fontId="7" fillId="2" borderId="0"/>
    <xf numFmtId="0" fontId="7" fillId="12" borderId="0"/>
    <xf numFmtId="0" fontId="7" fillId="10" borderId="0"/>
    <xf numFmtId="0" fontId="7" fillId="13" borderId="0"/>
    <xf numFmtId="0" fontId="7" fillId="8" borderId="0"/>
    <xf numFmtId="0" fontId="7" fillId="12" borderId="0"/>
    <xf numFmtId="0" fontId="7" fillId="14" borderId="0"/>
    <xf numFmtId="0" fontId="8" fillId="16" borderId="0"/>
    <xf numFmtId="0" fontId="8" fillId="10" borderId="0"/>
    <xf numFmtId="0" fontId="8" fillId="13" borderId="0"/>
    <xf numFmtId="0" fontId="8" fillId="17" borderId="0"/>
    <xf numFmtId="0" fontId="8" fillId="15" borderId="0"/>
    <xf numFmtId="0" fontId="8" fillId="18" borderId="0"/>
    <xf numFmtId="0" fontId="8" fillId="23" borderId="0"/>
    <xf numFmtId="0" fontId="8" fillId="19" borderId="0"/>
    <xf numFmtId="0" fontId="8" fillId="20" borderId="0"/>
    <xf numFmtId="0" fontId="8" fillId="17" borderId="0"/>
    <xf numFmtId="0" fontId="8" fillId="15" borderId="0"/>
    <xf numFmtId="0" fontId="8" fillId="21" borderId="0"/>
    <xf numFmtId="0" fontId="9" fillId="2" borderId="1"/>
    <xf numFmtId="0" fontId="10" fillId="9" borderId="6"/>
    <xf numFmtId="0" fontId="11" fillId="9" borderId="1"/>
    <xf numFmtId="0" fontId="12" fillId="0" borderId="7"/>
    <xf numFmtId="0" fontId="13" fillId="0" borderId="3"/>
    <xf numFmtId="0" fontId="14" fillId="0" borderId="8"/>
    <xf numFmtId="0" fontId="14" fillId="0" borderId="0"/>
    <xf numFmtId="0" fontId="15" fillId="0" borderId="9"/>
    <xf numFmtId="0" fontId="16" fillId="22" borderId="2"/>
    <xf numFmtId="0" fontId="17" fillId="0" borderId="0"/>
    <xf numFmtId="0" fontId="18" fillId="11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6" fillId="0" borderId="0"/>
    <xf numFmtId="0" fontId="29" fillId="0" borderId="0"/>
    <xf numFmtId="0" fontId="29" fillId="0" borderId="0"/>
    <xf numFmtId="0" fontId="29" fillId="0" borderId="0"/>
    <xf numFmtId="0" fontId="19" fillId="6" borderId="0"/>
    <xf numFmtId="0" fontId="20" fillId="0" borderId="0"/>
    <xf numFmtId="0" fontId="6" fillId="3" borderId="5"/>
    <xf numFmtId="0" fontId="6" fillId="3" borderId="5"/>
    <xf numFmtId="0" fontId="21" fillId="0" borderId="4"/>
    <xf numFmtId="0" fontId="22" fillId="0" borderId="0"/>
    <xf numFmtId="0" fontId="23" fillId="7" borderId="0"/>
  </cellStyleXfs>
  <cellXfs count="536">
    <xf numFmtId="0" fontId="0" fillId="0" borderId="0" xfId="0"/>
    <xf numFmtId="0" fontId="5" fillId="0" borderId="0" xfId="0" applyFont="1" applyAlignment="1" applyProtection="1">
      <alignment horizontal="center"/>
      <protection hidden="1"/>
    </xf>
    <xf numFmtId="0" fontId="0" fillId="0" borderId="0" xfId="0" applyProtection="1">
      <protection locked="0" hidden="1"/>
    </xf>
    <xf numFmtId="164" fontId="4" fillId="0" borderId="0" xfId="0" applyNumberFormat="1" applyFont="1" applyAlignment="1" applyProtection="1">
      <alignment horizontal="center"/>
      <protection hidden="1"/>
    </xf>
    <xf numFmtId="0" fontId="4" fillId="0" borderId="0" xfId="0" applyFont="1" applyAlignment="1" applyProtection="1">
      <alignment horizontal="center"/>
      <protection hidden="1"/>
    </xf>
    <xf numFmtId="0" fontId="1" fillId="0" borderId="0" xfId="0" applyFont="1" applyAlignment="1" applyProtection="1">
      <alignment horizontal="right"/>
      <protection hidden="1"/>
    </xf>
    <xf numFmtId="0" fontId="0" fillId="0" borderId="0" xfId="0" applyAlignment="1" applyProtection="1">
      <alignment horizontal="center"/>
      <protection hidden="1"/>
    </xf>
    <xf numFmtId="0" fontId="2" fillId="0" borderId="0" xfId="0" applyFont="1" applyAlignment="1" applyProtection="1">
      <alignment horizontal="center"/>
      <protection hidden="1"/>
    </xf>
    <xf numFmtId="0" fontId="24" fillId="0" borderId="0" xfId="0" applyFont="1" applyAlignment="1">
      <alignment horizontal="right"/>
    </xf>
    <xf numFmtId="165" fontId="0" fillId="0" borderId="0" xfId="0" applyNumberFormat="1" applyAlignment="1">
      <alignment horizontal="center"/>
    </xf>
    <xf numFmtId="49" fontId="32" fillId="0" borderId="14" xfId="39" applyNumberFormat="1" applyFont="1" applyBorder="1" applyAlignment="1">
      <alignment horizontal="left" vertical="center"/>
    </xf>
    <xf numFmtId="0" fontId="33" fillId="0" borderId="0" xfId="0" applyFont="1" applyAlignment="1">
      <alignment horizontal="left" vertical="top" wrapText="1"/>
    </xf>
    <xf numFmtId="0" fontId="34" fillId="24" borderId="0" xfId="39" applyFont="1" applyFill="1" applyAlignment="1">
      <alignment horizontal="center" vertical="center"/>
    </xf>
    <xf numFmtId="14" fontId="34" fillId="24" borderId="0" xfId="39" applyNumberFormat="1" applyFont="1" applyFill="1" applyAlignment="1">
      <alignment vertical="center" wrapText="1"/>
    </xf>
    <xf numFmtId="49" fontId="32" fillId="0" borderId="0" xfId="39" applyNumberFormat="1" applyFont="1" applyAlignment="1">
      <alignment horizontal="left" vertical="center"/>
    </xf>
    <xf numFmtId="0" fontId="34" fillId="0" borderId="0" xfId="0" applyFont="1" applyAlignment="1">
      <alignment horizontal="center" vertical="center" wrapText="1"/>
    </xf>
    <xf numFmtId="0" fontId="33" fillId="0" borderId="0" xfId="0" applyFont="1" applyAlignment="1">
      <alignment vertical="center" wrapText="1"/>
    </xf>
    <xf numFmtId="49" fontId="36" fillId="0" borderId="15" xfId="39" applyNumberFormat="1" applyFont="1" applyBorder="1" applyAlignment="1" applyProtection="1">
      <alignment horizontal="center" vertical="center"/>
      <protection locked="0"/>
    </xf>
    <xf numFmtId="49" fontId="37" fillId="0" borderId="0" xfId="0" applyNumberFormat="1" applyFont="1" applyAlignment="1">
      <alignment horizontal="left" vertical="center"/>
    </xf>
    <xf numFmtId="0" fontId="33" fillId="0" borderId="0" xfId="0" applyFont="1" applyAlignment="1">
      <alignment horizontal="center" vertical="center" wrapText="1"/>
    </xf>
    <xf numFmtId="0" fontId="38" fillId="0" borderId="0" xfId="0" applyFont="1" applyAlignment="1">
      <alignment vertical="center" wrapText="1"/>
    </xf>
    <xf numFmtId="0" fontId="39" fillId="0" borderId="0" xfId="0" applyFont="1" applyAlignment="1" applyProtection="1">
      <alignment horizontal="right"/>
      <protection hidden="1"/>
    </xf>
    <xf numFmtId="0" fontId="40" fillId="0" borderId="0" xfId="0" applyFont="1" applyAlignment="1">
      <alignment horizontal="right"/>
    </xf>
    <xf numFmtId="2" fontId="42" fillId="0" borderId="0" xfId="0" applyNumberFormat="1" applyFont="1" applyAlignment="1" applyProtection="1">
      <alignment horizontal="center" vertical="center" wrapText="1"/>
      <protection hidden="1"/>
    </xf>
    <xf numFmtId="0" fontId="41" fillId="0" borderId="0" xfId="0" applyFont="1" applyAlignment="1" applyProtection="1">
      <alignment horizontal="right" vertical="center"/>
      <protection hidden="1"/>
    </xf>
    <xf numFmtId="0" fontId="35" fillId="0" borderId="0" xfId="0" applyFont="1" applyAlignment="1" applyProtection="1">
      <alignment horizontal="center"/>
      <protection hidden="1"/>
    </xf>
    <xf numFmtId="0" fontId="41" fillId="0" borderId="0" xfId="0" applyFont="1" applyAlignment="1">
      <alignment horizontal="right" vertical="center"/>
    </xf>
    <xf numFmtId="49" fontId="36" fillId="25" borderId="15" xfId="39" applyNumberFormat="1" applyFont="1" applyFill="1" applyBorder="1" applyAlignment="1" applyProtection="1">
      <alignment horizontal="center" vertical="center"/>
      <protection locked="0"/>
    </xf>
    <xf numFmtId="0" fontId="39" fillId="0" borderId="0" xfId="0" applyFont="1" applyAlignment="1" applyProtection="1">
      <alignment horizontal="left"/>
      <protection hidden="1"/>
    </xf>
    <xf numFmtId="0" fontId="43" fillId="0" borderId="0" xfId="0" applyFont="1" applyAlignment="1">
      <alignment horizontal="left" vertical="top"/>
    </xf>
    <xf numFmtId="0" fontId="44" fillId="0" borderId="0" xfId="0" applyFont="1" applyAlignment="1">
      <alignment horizontal="left" vertical="top" wrapText="1"/>
    </xf>
    <xf numFmtId="1" fontId="46" fillId="0" borderId="15" xfId="39" applyNumberFormat="1" applyFont="1" applyBorder="1" applyAlignment="1">
      <alignment horizontal="center" vertical="center"/>
    </xf>
    <xf numFmtId="0" fontId="2" fillId="0" borderId="15" xfId="0" applyFont="1" applyBorder="1" applyAlignment="1" applyProtection="1">
      <alignment horizontal="center" vertical="center"/>
      <protection hidden="1"/>
    </xf>
    <xf numFmtId="1" fontId="2" fillId="0" borderId="15" xfId="0" applyNumberFormat="1" applyFont="1" applyBorder="1" applyAlignment="1">
      <alignment horizontal="center" vertical="center"/>
    </xf>
    <xf numFmtId="0" fontId="2" fillId="0" borderId="15" xfId="0" applyFont="1" applyBorder="1" applyAlignment="1">
      <alignment horizontal="left"/>
    </xf>
    <xf numFmtId="0" fontId="30" fillId="0" borderId="15" xfId="0" applyFont="1" applyBorder="1" applyAlignment="1" applyProtection="1">
      <alignment horizontal="center"/>
      <protection hidden="1"/>
    </xf>
    <xf numFmtId="2" fontId="3" fillId="0" borderId="15" xfId="0" applyNumberFormat="1" applyFont="1" applyBorder="1" applyAlignment="1">
      <alignment horizontal="center"/>
    </xf>
    <xf numFmtId="0" fontId="35" fillId="24" borderId="15" xfId="0" applyFont="1" applyFill="1" applyBorder="1" applyAlignment="1" applyProtection="1">
      <alignment horizontal="center"/>
      <protection hidden="1"/>
    </xf>
    <xf numFmtId="164" fontId="41" fillId="24" borderId="15" xfId="0" applyNumberFormat="1" applyFont="1" applyFill="1" applyBorder="1" applyAlignment="1">
      <alignment horizontal="right"/>
    </xf>
    <xf numFmtId="0" fontId="47" fillId="24" borderId="15" xfId="0" applyFont="1" applyFill="1" applyBorder="1" applyAlignment="1" applyProtection="1">
      <alignment horizontal="center"/>
      <protection hidden="1"/>
    </xf>
    <xf numFmtId="0" fontId="48" fillId="24" borderId="16" xfId="0" applyFont="1" applyFill="1" applyBorder="1" applyAlignment="1" applyProtection="1">
      <alignment horizontal="center" vertical="center" wrapText="1"/>
      <protection hidden="1"/>
    </xf>
    <xf numFmtId="0" fontId="34" fillId="24" borderId="0" xfId="39" applyFont="1" applyFill="1" applyAlignment="1">
      <alignment vertical="center" wrapText="1"/>
    </xf>
    <xf numFmtId="49" fontId="36" fillId="0" borderId="15" xfId="0" applyNumberFormat="1" applyFont="1" applyBorder="1" applyAlignment="1" applyProtection="1">
      <alignment horizontal="center" vertical="center"/>
      <protection locked="0"/>
    </xf>
    <xf numFmtId="49" fontId="49" fillId="0" borderId="0" xfId="0" applyNumberFormat="1" applyFont="1" applyAlignment="1">
      <alignment horizontal="center" vertical="center" wrapText="1"/>
    </xf>
    <xf numFmtId="49" fontId="36" fillId="0" borderId="0" xfId="0" applyNumberFormat="1" applyFont="1" applyAlignment="1">
      <alignment horizontal="center" vertical="center"/>
    </xf>
    <xf numFmtId="165" fontId="36" fillId="0" borderId="0" xfId="0" applyNumberFormat="1" applyFont="1" applyAlignment="1" applyProtection="1">
      <alignment horizontal="center" vertical="center"/>
      <protection locked="0"/>
    </xf>
    <xf numFmtId="4" fontId="28" fillId="0" borderId="17" xfId="39" applyNumberFormat="1" applyFont="1" applyBorder="1" applyAlignment="1" applyProtection="1">
      <alignment horizontal="center" vertical="center"/>
      <protection hidden="1"/>
    </xf>
    <xf numFmtId="0" fontId="0" fillId="0" borderId="10" xfId="0" applyBorder="1"/>
    <xf numFmtId="2" fontId="50" fillId="0" borderId="0" xfId="0" applyNumberFormat="1" applyFont="1" applyAlignment="1">
      <alignment horizontal="center" vertical="center"/>
    </xf>
    <xf numFmtId="0" fontId="48" fillId="0" borderId="0" xfId="0" applyFont="1" applyAlignment="1" applyProtection="1">
      <alignment horizontal="center" vertical="center" wrapText="1"/>
      <protection hidden="1"/>
    </xf>
    <xf numFmtId="4" fontId="51" fillId="0" borderId="0" xfId="39" applyNumberFormat="1" applyFont="1" applyAlignment="1" applyProtection="1">
      <alignment horizontal="center" vertical="center"/>
      <protection hidden="1"/>
    </xf>
    <xf numFmtId="0" fontId="35" fillId="0" borderId="0" xfId="0" applyFont="1" applyProtection="1">
      <protection locked="0"/>
    </xf>
    <xf numFmtId="0" fontId="0" fillId="0" borderId="0" xfId="0" applyProtection="1">
      <protection locked="0"/>
    </xf>
    <xf numFmtId="14" fontId="34" fillId="24" borderId="0" xfId="39" applyNumberFormat="1" applyFont="1" applyFill="1" applyAlignment="1">
      <alignment horizontal="center" vertical="center" wrapText="1"/>
    </xf>
    <xf numFmtId="1" fontId="46" fillId="0" borderId="20" xfId="0" applyNumberFormat="1" applyFont="1" applyBorder="1" applyAlignment="1">
      <alignment horizontal="center" vertical="center"/>
    </xf>
    <xf numFmtId="2" fontId="48" fillId="24" borderId="24" xfId="0" applyNumberFormat="1" applyFont="1" applyFill="1" applyBorder="1" applyAlignment="1" applyProtection="1">
      <alignment vertical="center" wrapText="1"/>
      <protection hidden="1"/>
    </xf>
    <xf numFmtId="2" fontId="3" fillId="0" borderId="11" xfId="0" applyNumberFormat="1" applyFont="1" applyBorder="1" applyAlignment="1">
      <alignment horizontal="center" wrapText="1"/>
    </xf>
    <xf numFmtId="0" fontId="31" fillId="0" borderId="11" xfId="0" applyFont="1" applyBorder="1" applyProtection="1">
      <protection hidden="1"/>
    </xf>
    <xf numFmtId="0" fontId="58" fillId="24" borderId="11" xfId="0" applyFont="1" applyFill="1" applyBorder="1" applyAlignment="1" applyProtection="1">
      <alignment horizontal="center" vertical="center"/>
      <protection hidden="1"/>
    </xf>
    <xf numFmtId="2" fontId="0" fillId="0" borderId="11" xfId="0" applyNumberFormat="1" applyBorder="1" applyProtection="1">
      <protection hidden="1"/>
    </xf>
    <xf numFmtId="2" fontId="59" fillId="0" borderId="11" xfId="0" applyNumberFormat="1" applyFont="1" applyBorder="1" applyAlignment="1" applyProtection="1">
      <alignment horizontal="center"/>
      <protection hidden="1"/>
    </xf>
    <xf numFmtId="2" fontId="48" fillId="0" borderId="0" xfId="0" applyNumberFormat="1" applyFont="1" applyAlignment="1" applyProtection="1">
      <alignment horizontal="left" vertical="center" wrapText="1"/>
      <protection locked="0" hidden="1"/>
    </xf>
    <xf numFmtId="0" fontId="42" fillId="0" borderId="0" xfId="0" applyFont="1" applyAlignment="1" applyProtection="1">
      <alignment horizontal="left" vertical="top" wrapText="1"/>
      <protection locked="0"/>
    </xf>
    <xf numFmtId="0" fontId="42" fillId="0" borderId="0" xfId="0" applyFont="1" applyAlignment="1" applyProtection="1">
      <alignment horizontal="center" vertical="top" wrapText="1"/>
      <protection locked="0"/>
    </xf>
    <xf numFmtId="2" fontId="42" fillId="0" borderId="0" xfId="0" applyNumberFormat="1" applyFont="1" applyAlignment="1" applyProtection="1">
      <alignment horizontal="left" vertical="center" wrapText="1"/>
      <protection locked="0" hidden="1"/>
    </xf>
    <xf numFmtId="2" fontId="48" fillId="0" borderId="0" xfId="0" applyNumberFormat="1" applyFont="1" applyAlignment="1" applyProtection="1">
      <alignment horizontal="left" vertical="center" wrapText="1"/>
      <protection hidden="1"/>
    </xf>
    <xf numFmtId="2" fontId="53" fillId="0" borderId="0" xfId="0" applyNumberFormat="1" applyFont="1" applyAlignment="1" applyProtection="1">
      <alignment horizontal="left" vertical="center" wrapText="1"/>
      <protection hidden="1"/>
    </xf>
    <xf numFmtId="4" fontId="60" fillId="0" borderId="0" xfId="0" applyNumberFormat="1" applyFont="1" applyProtection="1">
      <protection hidden="1"/>
    </xf>
    <xf numFmtId="0" fontId="60" fillId="0" borderId="0" xfId="0" applyFont="1" applyAlignment="1" applyProtection="1">
      <alignment horizontal="center" vertical="center"/>
      <protection hidden="1"/>
    </xf>
    <xf numFmtId="0" fontId="60" fillId="0" borderId="38" xfId="0" applyFont="1" applyBorder="1" applyAlignment="1" applyProtection="1">
      <alignment horizontal="center" vertical="center"/>
      <protection hidden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60" fillId="0" borderId="0" xfId="0" applyFont="1" applyProtection="1">
      <protection hidden="1"/>
    </xf>
    <xf numFmtId="0" fontId="62" fillId="0" borderId="11" xfId="0" applyFont="1" applyBorder="1" applyAlignment="1" applyProtection="1">
      <alignment wrapText="1"/>
      <protection hidden="1"/>
    </xf>
    <xf numFmtId="0" fontId="63" fillId="0" borderId="0" xfId="0" applyFont="1"/>
    <xf numFmtId="0" fontId="65" fillId="0" borderId="11" xfId="0" applyFont="1" applyBorder="1" applyAlignment="1" applyProtection="1">
      <alignment wrapText="1"/>
      <protection hidden="1"/>
    </xf>
    <xf numFmtId="0" fontId="66" fillId="0" borderId="0" xfId="0" applyFont="1"/>
    <xf numFmtId="0" fontId="68" fillId="0" borderId="11" xfId="0" applyFont="1" applyBorder="1" applyAlignment="1" applyProtection="1">
      <alignment wrapText="1"/>
      <protection hidden="1"/>
    </xf>
    <xf numFmtId="0" fontId="69" fillId="0" borderId="0" xfId="0" applyFont="1"/>
    <xf numFmtId="0" fontId="71" fillId="0" borderId="11" xfId="0" applyFont="1" applyBorder="1" applyAlignment="1" applyProtection="1">
      <alignment wrapText="1"/>
      <protection hidden="1"/>
    </xf>
    <xf numFmtId="0" fontId="72" fillId="0" borderId="0" xfId="0" applyFont="1"/>
    <xf numFmtId="0" fontId="74" fillId="0" borderId="11" xfId="0" applyFont="1" applyBorder="1" applyAlignment="1" applyProtection="1">
      <alignment wrapText="1"/>
      <protection hidden="1"/>
    </xf>
    <xf numFmtId="0" fontId="75" fillId="0" borderId="0" xfId="0" applyFont="1"/>
    <xf numFmtId="0" fontId="77" fillId="0" borderId="11" xfId="0" applyFont="1" applyBorder="1" applyAlignment="1" applyProtection="1">
      <alignment wrapText="1"/>
      <protection hidden="1"/>
    </xf>
    <xf numFmtId="0" fontId="78" fillId="0" borderId="0" xfId="0" applyFont="1"/>
    <xf numFmtId="0" fontId="80" fillId="0" borderId="11" xfId="0" applyFont="1" applyBorder="1" applyAlignment="1" applyProtection="1">
      <alignment wrapText="1"/>
      <protection hidden="1"/>
    </xf>
    <xf numFmtId="0" fontId="81" fillId="0" borderId="0" xfId="0" applyFont="1"/>
    <xf numFmtId="0" fontId="83" fillId="0" borderId="11" xfId="0" applyFont="1" applyBorder="1" applyAlignment="1" applyProtection="1">
      <alignment wrapText="1"/>
      <protection hidden="1"/>
    </xf>
    <xf numFmtId="0" fontId="84" fillId="0" borderId="0" xfId="0" applyFont="1"/>
    <xf numFmtId="0" fontId="86" fillId="0" borderId="11" xfId="0" applyFont="1" applyBorder="1" applyAlignment="1" applyProtection="1">
      <alignment wrapText="1"/>
      <protection hidden="1"/>
    </xf>
    <xf numFmtId="0" fontId="87" fillId="0" borderId="0" xfId="0" applyFont="1"/>
    <xf numFmtId="0" fontId="89" fillId="0" borderId="11" xfId="0" applyFont="1" applyBorder="1" applyAlignment="1" applyProtection="1">
      <alignment wrapText="1"/>
      <protection hidden="1"/>
    </xf>
    <xf numFmtId="0" fontId="90" fillId="0" borderId="0" xfId="0" applyFont="1"/>
    <xf numFmtId="0" fontId="92" fillId="0" borderId="11" xfId="0" applyFont="1" applyBorder="1" applyAlignment="1" applyProtection="1">
      <alignment wrapText="1"/>
      <protection hidden="1"/>
    </xf>
    <xf numFmtId="0" fontId="93" fillId="0" borderId="0" xfId="0" applyFont="1"/>
    <xf numFmtId="0" fontId="95" fillId="0" borderId="11" xfId="0" applyFont="1" applyBorder="1" applyAlignment="1" applyProtection="1">
      <alignment wrapText="1"/>
      <protection hidden="1"/>
    </xf>
    <xf numFmtId="0" fontId="96" fillId="0" borderId="0" xfId="0" applyFont="1"/>
    <xf numFmtId="0" fontId="98" fillId="0" borderId="11" xfId="0" applyFont="1" applyBorder="1" applyAlignment="1" applyProtection="1">
      <alignment wrapText="1"/>
      <protection hidden="1"/>
    </xf>
    <xf numFmtId="0" fontId="99" fillId="0" borderId="0" xfId="0" applyFont="1"/>
    <xf numFmtId="0" fontId="101" fillId="0" borderId="11" xfId="0" applyFont="1" applyBorder="1" applyAlignment="1" applyProtection="1">
      <alignment wrapText="1"/>
      <protection hidden="1"/>
    </xf>
    <xf numFmtId="0" fontId="102" fillId="0" borderId="0" xfId="0" applyFont="1"/>
    <xf numFmtId="0" fontId="104" fillId="0" borderId="11" xfId="0" applyFont="1" applyBorder="1" applyAlignment="1" applyProtection="1">
      <alignment wrapText="1"/>
      <protection hidden="1"/>
    </xf>
    <xf numFmtId="0" fontId="105" fillId="0" borderId="0" xfId="0" applyFont="1"/>
    <xf numFmtId="0" fontId="107" fillId="0" borderId="11" xfId="0" applyFont="1" applyBorder="1" applyAlignment="1" applyProtection="1">
      <alignment wrapText="1"/>
      <protection hidden="1"/>
    </xf>
    <xf numFmtId="0" fontId="108" fillId="0" borderId="0" xfId="0" applyFont="1"/>
    <xf numFmtId="0" fontId="110" fillId="0" borderId="11" xfId="0" applyFont="1" applyBorder="1" applyAlignment="1" applyProtection="1">
      <alignment wrapText="1"/>
      <protection hidden="1"/>
    </xf>
    <xf numFmtId="0" fontId="111" fillId="0" borderId="0" xfId="0" applyFont="1"/>
    <xf numFmtId="0" fontId="113" fillId="0" borderId="11" xfId="0" applyFont="1" applyBorder="1" applyAlignment="1" applyProtection="1">
      <alignment wrapText="1"/>
      <protection hidden="1"/>
    </xf>
    <xf numFmtId="0" fontId="114" fillId="0" borderId="0" xfId="0" applyFont="1"/>
    <xf numFmtId="0" fontId="116" fillId="0" borderId="11" xfId="0" applyFont="1" applyBorder="1" applyAlignment="1" applyProtection="1">
      <alignment wrapText="1"/>
      <protection hidden="1"/>
    </xf>
    <xf numFmtId="0" fontId="117" fillId="0" borderId="0" xfId="0" applyFont="1"/>
    <xf numFmtId="0" fontId="119" fillId="0" borderId="11" xfId="0" applyFont="1" applyBorder="1" applyAlignment="1" applyProtection="1">
      <alignment wrapText="1"/>
      <protection hidden="1"/>
    </xf>
    <xf numFmtId="0" fontId="120" fillId="0" borderId="0" xfId="0" applyFont="1"/>
    <xf numFmtId="0" fontId="122" fillId="0" borderId="11" xfId="0" applyFont="1" applyBorder="1" applyAlignment="1" applyProtection="1">
      <alignment wrapText="1"/>
      <protection hidden="1"/>
    </xf>
    <xf numFmtId="0" fontId="123" fillId="0" borderId="0" xfId="0" applyFont="1"/>
    <xf numFmtId="0" fontId="125" fillId="0" borderId="11" xfId="0" applyFont="1" applyBorder="1" applyAlignment="1" applyProtection="1">
      <alignment wrapText="1"/>
      <protection hidden="1"/>
    </xf>
    <xf numFmtId="0" fontId="126" fillId="0" borderId="0" xfId="0" applyFont="1"/>
    <xf numFmtId="0" fontId="128" fillId="0" borderId="11" xfId="0" applyFont="1" applyBorder="1" applyAlignment="1" applyProtection="1">
      <alignment wrapText="1"/>
      <protection hidden="1"/>
    </xf>
    <xf numFmtId="0" fontId="129" fillId="0" borderId="0" xfId="0" applyFont="1"/>
    <xf numFmtId="0" fontId="131" fillId="0" borderId="11" xfId="0" applyFont="1" applyBorder="1" applyAlignment="1" applyProtection="1">
      <alignment wrapText="1"/>
      <protection hidden="1"/>
    </xf>
    <xf numFmtId="0" fontId="132" fillId="0" borderId="0" xfId="0" applyFont="1"/>
    <xf numFmtId="0" fontId="134" fillId="0" borderId="11" xfId="0" applyFont="1" applyBorder="1" applyAlignment="1" applyProtection="1">
      <alignment wrapText="1"/>
      <protection hidden="1"/>
    </xf>
    <xf numFmtId="0" fontId="135" fillId="0" borderId="0" xfId="0" applyFont="1"/>
    <xf numFmtId="0" fontId="137" fillId="0" borderId="11" xfId="0" applyFont="1" applyBorder="1" applyAlignment="1" applyProtection="1">
      <alignment wrapText="1"/>
      <protection hidden="1"/>
    </xf>
    <xf numFmtId="0" fontId="138" fillId="0" borderId="0" xfId="0" applyFont="1"/>
    <xf numFmtId="0" fontId="140" fillId="0" borderId="11" xfId="0" applyFont="1" applyBorder="1" applyAlignment="1" applyProtection="1">
      <alignment wrapText="1"/>
      <protection hidden="1"/>
    </xf>
    <xf numFmtId="0" fontId="141" fillId="0" borderId="0" xfId="0" applyFont="1"/>
    <xf numFmtId="0" fontId="143" fillId="0" borderId="11" xfId="0" applyFont="1" applyBorder="1" applyAlignment="1" applyProtection="1">
      <alignment wrapText="1"/>
      <protection hidden="1"/>
    </xf>
    <xf numFmtId="0" fontId="144" fillId="0" borderId="0" xfId="0" applyFont="1"/>
    <xf numFmtId="0" fontId="146" fillId="0" borderId="11" xfId="0" applyFont="1" applyBorder="1" applyAlignment="1" applyProtection="1">
      <alignment wrapText="1"/>
      <protection hidden="1"/>
    </xf>
    <xf numFmtId="0" fontId="147" fillId="0" borderId="0" xfId="0" applyFont="1"/>
    <xf numFmtId="0" fontId="149" fillId="0" borderId="11" xfId="0" applyFont="1" applyBorder="1" applyAlignment="1" applyProtection="1">
      <alignment wrapText="1"/>
      <protection hidden="1"/>
    </xf>
    <xf numFmtId="0" fontId="150" fillId="0" borderId="0" xfId="0" applyFont="1"/>
    <xf numFmtId="0" fontId="152" fillId="0" borderId="11" xfId="0" applyFont="1" applyBorder="1" applyAlignment="1" applyProtection="1">
      <alignment wrapText="1"/>
      <protection hidden="1"/>
    </xf>
    <xf numFmtId="0" fontId="153" fillId="0" borderId="0" xfId="0" applyFont="1"/>
    <xf numFmtId="0" fontId="155" fillId="0" borderId="11" xfId="0" applyFont="1" applyBorder="1" applyAlignment="1" applyProtection="1">
      <alignment wrapText="1"/>
      <protection hidden="1"/>
    </xf>
    <xf numFmtId="0" fontId="156" fillId="0" borderId="0" xfId="0" applyFont="1"/>
    <xf numFmtId="0" fontId="158" fillId="0" borderId="11" xfId="0" applyFont="1" applyBorder="1" applyAlignment="1" applyProtection="1">
      <alignment wrapText="1"/>
      <protection hidden="1"/>
    </xf>
    <xf numFmtId="0" fontId="159" fillId="0" borderId="0" xfId="0" applyFont="1"/>
    <xf numFmtId="0" fontId="161" fillId="0" borderId="11" xfId="0" applyFont="1" applyBorder="1" applyAlignment="1" applyProtection="1">
      <alignment wrapText="1"/>
      <protection hidden="1"/>
    </xf>
    <xf numFmtId="0" fontId="162" fillId="0" borderId="0" xfId="0" applyFont="1"/>
    <xf numFmtId="0" fontId="164" fillId="0" borderId="11" xfId="0" applyFont="1" applyBorder="1" applyAlignment="1" applyProtection="1">
      <alignment wrapText="1"/>
      <protection hidden="1"/>
    </xf>
    <xf numFmtId="0" fontId="165" fillId="0" borderId="0" xfId="0" applyFont="1"/>
    <xf numFmtId="0" fontId="167" fillId="0" borderId="11" xfId="0" applyFont="1" applyBorder="1" applyAlignment="1" applyProtection="1">
      <alignment wrapText="1"/>
      <protection hidden="1"/>
    </xf>
    <xf numFmtId="0" fontId="168" fillId="0" borderId="0" xfId="0" applyFont="1"/>
    <xf numFmtId="0" fontId="170" fillId="0" borderId="11" xfId="0" applyFont="1" applyBorder="1" applyAlignment="1" applyProtection="1">
      <alignment wrapText="1"/>
      <protection hidden="1"/>
    </xf>
    <xf numFmtId="0" fontId="171" fillId="0" borderId="0" xfId="0" applyFont="1"/>
    <xf numFmtId="0" fontId="173" fillId="0" borderId="11" xfId="0" applyFont="1" applyBorder="1" applyAlignment="1" applyProtection="1">
      <alignment wrapText="1"/>
      <protection hidden="1"/>
    </xf>
    <xf numFmtId="0" fontId="174" fillId="0" borderId="0" xfId="0" applyFont="1"/>
    <xf numFmtId="0" fontId="176" fillId="0" borderId="11" xfId="0" applyFont="1" applyBorder="1" applyAlignment="1" applyProtection="1">
      <alignment wrapText="1"/>
      <protection hidden="1"/>
    </xf>
    <xf numFmtId="0" fontId="177" fillId="0" borderId="0" xfId="0" applyFont="1"/>
    <xf numFmtId="0" fontId="179" fillId="0" borderId="11" xfId="0" applyFont="1" applyBorder="1" applyAlignment="1" applyProtection="1">
      <alignment wrapText="1"/>
      <protection hidden="1"/>
    </xf>
    <xf numFmtId="0" fontId="180" fillId="0" borderId="0" xfId="0" applyFont="1"/>
    <xf numFmtId="0" fontId="182" fillId="0" borderId="11" xfId="0" applyFont="1" applyBorder="1" applyAlignment="1" applyProtection="1">
      <alignment wrapText="1"/>
      <protection hidden="1"/>
    </xf>
    <xf numFmtId="0" fontId="183" fillId="0" borderId="0" xfId="0" applyFont="1"/>
    <xf numFmtId="0" fontId="185" fillId="0" borderId="11" xfId="0" applyFont="1" applyBorder="1" applyAlignment="1" applyProtection="1">
      <alignment wrapText="1"/>
      <protection hidden="1"/>
    </xf>
    <xf numFmtId="0" fontId="186" fillId="0" borderId="0" xfId="0" applyFont="1"/>
    <xf numFmtId="0" fontId="188" fillId="0" borderId="11" xfId="0" applyFont="1" applyBorder="1" applyAlignment="1" applyProtection="1">
      <alignment wrapText="1"/>
      <protection hidden="1"/>
    </xf>
    <xf numFmtId="0" fontId="189" fillId="0" borderId="0" xfId="0" applyFont="1"/>
    <xf numFmtId="0" fontId="191" fillId="0" borderId="11" xfId="0" applyFont="1" applyBorder="1" applyAlignment="1" applyProtection="1">
      <alignment wrapText="1"/>
      <protection hidden="1"/>
    </xf>
    <xf numFmtId="0" fontId="192" fillId="0" borderId="0" xfId="0" applyFont="1"/>
    <xf numFmtId="0" fontId="194" fillId="0" borderId="11" xfId="0" applyFont="1" applyBorder="1" applyAlignment="1" applyProtection="1">
      <alignment wrapText="1"/>
      <protection hidden="1"/>
    </xf>
    <xf numFmtId="0" fontId="195" fillId="0" borderId="0" xfId="0" applyFont="1"/>
    <xf numFmtId="0" fontId="197" fillId="0" borderId="11" xfId="0" applyFont="1" applyBorder="1" applyAlignment="1" applyProtection="1">
      <alignment wrapText="1"/>
      <protection hidden="1"/>
    </xf>
    <xf numFmtId="0" fontId="198" fillId="0" borderId="0" xfId="0" applyFont="1"/>
    <xf numFmtId="0" fontId="200" fillId="0" borderId="11" xfId="0" applyFont="1" applyBorder="1" applyAlignment="1" applyProtection="1">
      <alignment wrapText="1"/>
      <protection hidden="1"/>
    </xf>
    <xf numFmtId="0" fontId="201" fillId="0" borderId="0" xfId="0" applyFont="1"/>
    <xf numFmtId="0" fontId="203" fillId="0" borderId="11" xfId="0" applyFont="1" applyBorder="1" applyAlignment="1" applyProtection="1">
      <alignment wrapText="1"/>
      <protection hidden="1"/>
    </xf>
    <xf numFmtId="0" fontId="204" fillId="0" borderId="0" xfId="0" applyFont="1"/>
    <xf numFmtId="0" fontId="206" fillId="0" borderId="11" xfId="0" applyFont="1" applyBorder="1" applyAlignment="1" applyProtection="1">
      <alignment wrapText="1"/>
      <protection hidden="1"/>
    </xf>
    <xf numFmtId="0" fontId="207" fillId="0" borderId="0" xfId="0" applyFont="1"/>
    <xf numFmtId="0" fontId="209" fillId="0" borderId="11" xfId="0" applyFont="1" applyBorder="1" applyAlignment="1" applyProtection="1">
      <alignment wrapText="1"/>
      <protection hidden="1"/>
    </xf>
    <xf numFmtId="0" fontId="210" fillId="0" borderId="0" xfId="0" applyFont="1"/>
    <xf numFmtId="0" fontId="212" fillId="0" borderId="11" xfId="0" applyFont="1" applyBorder="1" applyAlignment="1" applyProtection="1">
      <alignment wrapText="1"/>
      <protection hidden="1"/>
    </xf>
    <xf numFmtId="0" fontId="213" fillId="0" borderId="0" xfId="0" applyFont="1"/>
    <xf numFmtId="0" fontId="215" fillId="0" borderId="11" xfId="0" applyFont="1" applyBorder="1" applyAlignment="1" applyProtection="1">
      <alignment wrapText="1"/>
      <protection hidden="1"/>
    </xf>
    <xf numFmtId="0" fontId="216" fillId="0" borderId="0" xfId="0" applyFont="1"/>
    <xf numFmtId="0" fontId="218" fillId="0" borderId="11" xfId="0" applyFont="1" applyBorder="1" applyAlignment="1" applyProtection="1">
      <alignment wrapText="1"/>
      <protection hidden="1"/>
    </xf>
    <xf numFmtId="0" fontId="219" fillId="0" borderId="0" xfId="0" applyFont="1"/>
    <xf numFmtId="0" fontId="221" fillId="0" borderId="11" xfId="0" applyFont="1" applyBorder="1" applyAlignment="1" applyProtection="1">
      <alignment wrapText="1"/>
      <protection hidden="1"/>
    </xf>
    <xf numFmtId="0" fontId="222" fillId="0" borderId="0" xfId="0" applyFont="1"/>
    <xf numFmtId="0" fontId="224" fillId="0" borderId="11" xfId="0" applyFont="1" applyBorder="1" applyAlignment="1" applyProtection="1">
      <alignment wrapText="1"/>
      <protection hidden="1"/>
    </xf>
    <xf numFmtId="0" fontId="225" fillId="0" borderId="0" xfId="0" applyFont="1"/>
    <xf numFmtId="0" fontId="227" fillId="0" borderId="11" xfId="0" applyFont="1" applyBorder="1" applyAlignment="1" applyProtection="1">
      <alignment wrapText="1"/>
      <protection hidden="1"/>
    </xf>
    <xf numFmtId="0" fontId="228" fillId="0" borderId="0" xfId="0" applyFont="1"/>
    <xf numFmtId="0" fontId="230" fillId="0" borderId="11" xfId="0" applyFont="1" applyBorder="1" applyAlignment="1" applyProtection="1">
      <alignment wrapText="1"/>
      <protection hidden="1"/>
    </xf>
    <xf numFmtId="0" fontId="231" fillId="0" borderId="0" xfId="0" applyFont="1"/>
    <xf numFmtId="0" fontId="233" fillId="0" borderId="11" xfId="0" applyFont="1" applyBorder="1" applyAlignment="1" applyProtection="1">
      <alignment wrapText="1"/>
      <protection hidden="1"/>
    </xf>
    <xf numFmtId="0" fontId="234" fillId="0" borderId="0" xfId="0" applyFont="1"/>
    <xf numFmtId="0" fontId="236" fillId="0" borderId="11" xfId="0" applyFont="1" applyBorder="1" applyAlignment="1" applyProtection="1">
      <alignment wrapText="1"/>
      <protection hidden="1"/>
    </xf>
    <xf numFmtId="0" fontId="237" fillId="0" borderId="0" xfId="0" applyFont="1"/>
    <xf numFmtId="0" fontId="239" fillId="0" borderId="11" xfId="0" applyFont="1" applyBorder="1" applyAlignment="1" applyProtection="1">
      <alignment wrapText="1"/>
      <protection hidden="1"/>
    </xf>
    <xf numFmtId="0" fontId="240" fillId="0" borderId="0" xfId="0" applyFont="1"/>
    <xf numFmtId="0" fontId="242" fillId="0" borderId="11" xfId="0" applyFont="1" applyBorder="1" applyAlignment="1" applyProtection="1">
      <alignment wrapText="1"/>
      <protection hidden="1"/>
    </xf>
    <xf numFmtId="0" fontId="243" fillId="0" borderId="0" xfId="0" applyFont="1"/>
    <xf numFmtId="0" fontId="245" fillId="0" borderId="11" xfId="0" applyFont="1" applyBorder="1" applyAlignment="1" applyProtection="1">
      <alignment wrapText="1"/>
      <protection hidden="1"/>
    </xf>
    <xf numFmtId="0" fontId="246" fillId="0" borderId="0" xfId="0" applyFont="1"/>
    <xf numFmtId="0" fontId="248" fillId="0" borderId="11" xfId="0" applyFont="1" applyBorder="1" applyAlignment="1" applyProtection="1">
      <alignment wrapText="1"/>
      <protection hidden="1"/>
    </xf>
    <xf numFmtId="0" fontId="249" fillId="0" borderId="0" xfId="0" applyFont="1"/>
    <xf numFmtId="0" fontId="251" fillId="0" borderId="11" xfId="0" applyFont="1" applyBorder="1" applyAlignment="1" applyProtection="1">
      <alignment wrapText="1"/>
      <protection hidden="1"/>
    </xf>
    <xf numFmtId="0" fontId="252" fillId="0" borderId="0" xfId="0" applyFont="1"/>
    <xf numFmtId="0" fontId="254" fillId="0" borderId="11" xfId="0" applyFont="1" applyBorder="1" applyAlignment="1" applyProtection="1">
      <alignment wrapText="1"/>
      <protection hidden="1"/>
    </xf>
    <xf numFmtId="0" fontId="255" fillId="0" borderId="0" xfId="0" applyFont="1"/>
    <xf numFmtId="0" fontId="257" fillId="0" borderId="11" xfId="0" applyFont="1" applyBorder="1" applyAlignment="1" applyProtection="1">
      <alignment wrapText="1"/>
      <protection hidden="1"/>
    </xf>
    <xf numFmtId="0" fontId="258" fillId="0" borderId="0" xfId="0" applyFont="1"/>
    <xf numFmtId="0" fontId="260" fillId="0" borderId="11" xfId="0" applyFont="1" applyBorder="1" applyAlignment="1" applyProtection="1">
      <alignment wrapText="1"/>
      <protection hidden="1"/>
    </xf>
    <xf numFmtId="0" fontId="261" fillId="0" borderId="0" xfId="0" applyFont="1"/>
    <xf numFmtId="0" fontId="263" fillId="0" borderId="11" xfId="0" applyFont="1" applyBorder="1" applyAlignment="1" applyProtection="1">
      <alignment wrapText="1"/>
      <protection hidden="1"/>
    </xf>
    <xf numFmtId="0" fontId="264" fillId="0" borderId="0" xfId="0" applyFont="1"/>
    <xf numFmtId="0" fontId="266" fillId="0" borderId="11" xfId="0" applyFont="1" applyBorder="1" applyAlignment="1" applyProtection="1">
      <alignment wrapText="1"/>
      <protection hidden="1"/>
    </xf>
    <xf numFmtId="0" fontId="267" fillId="0" borderId="0" xfId="0" applyFont="1"/>
    <xf numFmtId="0" fontId="269" fillId="0" borderId="11" xfId="0" applyFont="1" applyBorder="1" applyAlignment="1" applyProtection="1">
      <alignment wrapText="1"/>
      <protection hidden="1"/>
    </xf>
    <xf numFmtId="0" fontId="270" fillId="0" borderId="0" xfId="0" applyFont="1"/>
    <xf numFmtId="0" fontId="272" fillId="0" borderId="11" xfId="0" applyFont="1" applyBorder="1" applyAlignment="1" applyProtection="1">
      <alignment wrapText="1"/>
      <protection hidden="1"/>
    </xf>
    <xf numFmtId="0" fontId="273" fillId="0" borderId="0" xfId="0" applyFont="1"/>
    <xf numFmtId="0" fontId="275" fillId="0" borderId="11" xfId="0" applyFont="1" applyBorder="1" applyAlignment="1" applyProtection="1">
      <alignment wrapText="1"/>
      <protection hidden="1"/>
    </xf>
    <xf numFmtId="0" fontId="276" fillId="0" borderId="0" xfId="0" applyFont="1"/>
    <xf numFmtId="0" fontId="278" fillId="0" borderId="11" xfId="0" applyFont="1" applyBorder="1" applyAlignment="1" applyProtection="1">
      <alignment wrapText="1"/>
      <protection hidden="1"/>
    </xf>
    <xf numFmtId="0" fontId="279" fillId="0" borderId="0" xfId="0" applyFont="1"/>
    <xf numFmtId="0" fontId="281" fillId="0" borderId="11" xfId="0" applyFont="1" applyBorder="1" applyAlignment="1" applyProtection="1">
      <alignment wrapText="1"/>
      <protection hidden="1"/>
    </xf>
    <xf numFmtId="0" fontId="282" fillId="0" borderId="0" xfId="0" applyFont="1"/>
    <xf numFmtId="0" fontId="284" fillId="0" borderId="11" xfId="0" applyFont="1" applyBorder="1" applyAlignment="1" applyProtection="1">
      <alignment wrapText="1"/>
      <protection hidden="1"/>
    </xf>
    <xf numFmtId="0" fontId="285" fillId="0" borderId="0" xfId="0" applyFont="1"/>
    <xf numFmtId="0" fontId="287" fillId="0" borderId="11" xfId="0" applyFont="1" applyBorder="1" applyAlignment="1" applyProtection="1">
      <alignment wrapText="1"/>
      <protection hidden="1"/>
    </xf>
    <xf numFmtId="0" fontId="288" fillId="0" borderId="0" xfId="0" applyFont="1"/>
    <xf numFmtId="0" fontId="290" fillId="0" borderId="11" xfId="0" applyFont="1" applyBorder="1" applyAlignment="1" applyProtection="1">
      <alignment wrapText="1"/>
      <protection hidden="1"/>
    </xf>
    <xf numFmtId="0" fontId="291" fillId="0" borderId="0" xfId="0" applyFont="1"/>
    <xf numFmtId="0" fontId="293" fillId="0" borderId="11" xfId="0" applyFont="1" applyBorder="1" applyAlignment="1" applyProtection="1">
      <alignment wrapText="1"/>
      <protection hidden="1"/>
    </xf>
    <xf numFmtId="0" fontId="294" fillId="0" borderId="0" xfId="0" applyFont="1"/>
    <xf numFmtId="0" fontId="296" fillId="0" borderId="11" xfId="0" applyFont="1" applyBorder="1" applyAlignment="1" applyProtection="1">
      <alignment wrapText="1"/>
      <protection hidden="1"/>
    </xf>
    <xf numFmtId="0" fontId="297" fillId="0" borderId="0" xfId="0" applyFont="1"/>
    <xf numFmtId="0" fontId="299" fillId="0" borderId="11" xfId="0" applyFont="1" applyBorder="1" applyAlignment="1" applyProtection="1">
      <alignment wrapText="1"/>
      <protection hidden="1"/>
    </xf>
    <xf numFmtId="0" fontId="300" fillId="0" borderId="0" xfId="0" applyFont="1"/>
    <xf numFmtId="0" fontId="302" fillId="0" borderId="11" xfId="0" applyFont="1" applyBorder="1" applyAlignment="1" applyProtection="1">
      <alignment wrapText="1"/>
      <protection hidden="1"/>
    </xf>
    <xf numFmtId="0" fontId="303" fillId="0" borderId="0" xfId="0" applyFont="1"/>
    <xf numFmtId="0" fontId="305" fillId="0" borderId="11" xfId="0" applyFont="1" applyBorder="1" applyAlignment="1" applyProtection="1">
      <alignment wrapText="1"/>
      <protection hidden="1"/>
    </xf>
    <xf numFmtId="0" fontId="306" fillId="0" borderId="0" xfId="0" applyFont="1"/>
    <xf numFmtId="0" fontId="308" fillId="0" borderId="11" xfId="0" applyFont="1" applyBorder="1" applyAlignment="1" applyProtection="1">
      <alignment wrapText="1"/>
      <protection hidden="1"/>
    </xf>
    <xf numFmtId="0" fontId="309" fillId="0" borderId="0" xfId="0" applyFont="1"/>
    <xf numFmtId="0" fontId="311" fillId="0" borderId="11" xfId="0" applyFont="1" applyBorder="1" applyAlignment="1" applyProtection="1">
      <alignment wrapText="1"/>
      <protection hidden="1"/>
    </xf>
    <xf numFmtId="0" fontId="312" fillId="0" borderId="0" xfId="0" applyFont="1"/>
    <xf numFmtId="0" fontId="314" fillId="0" borderId="11" xfId="0" applyFont="1" applyBorder="1" applyAlignment="1" applyProtection="1">
      <alignment wrapText="1"/>
      <protection hidden="1"/>
    </xf>
    <xf numFmtId="0" fontId="315" fillId="0" borderId="0" xfId="0" applyFont="1"/>
    <xf numFmtId="0" fontId="317" fillId="0" borderId="11" xfId="0" applyFont="1" applyBorder="1" applyAlignment="1" applyProtection="1">
      <alignment wrapText="1"/>
      <protection hidden="1"/>
    </xf>
    <xf numFmtId="0" fontId="318" fillId="0" borderId="0" xfId="0" applyFont="1"/>
    <xf numFmtId="0" fontId="320" fillId="0" borderId="11" xfId="0" applyFont="1" applyBorder="1" applyAlignment="1" applyProtection="1">
      <alignment wrapText="1"/>
      <protection hidden="1"/>
    </xf>
    <xf numFmtId="0" fontId="321" fillId="0" borderId="0" xfId="0" applyFont="1"/>
    <xf numFmtId="0" fontId="323" fillId="0" borderId="11" xfId="0" applyFont="1" applyBorder="1" applyAlignment="1" applyProtection="1">
      <alignment wrapText="1"/>
      <protection hidden="1"/>
    </xf>
    <xf numFmtId="0" fontId="324" fillId="0" borderId="0" xfId="0" applyFont="1"/>
    <xf numFmtId="0" fontId="326" fillId="0" borderId="11" xfId="0" applyFont="1" applyBorder="1" applyAlignment="1" applyProtection="1">
      <alignment wrapText="1"/>
      <protection hidden="1"/>
    </xf>
    <xf numFmtId="0" fontId="327" fillId="0" borderId="0" xfId="0" applyFont="1"/>
    <xf numFmtId="0" fontId="329" fillId="0" borderId="11" xfId="0" applyFont="1" applyBorder="1" applyAlignment="1" applyProtection="1">
      <alignment wrapText="1"/>
      <protection hidden="1"/>
    </xf>
    <xf numFmtId="0" fontId="330" fillId="0" borderId="0" xfId="0" applyFont="1"/>
    <xf numFmtId="0" fontId="332" fillId="0" borderId="11" xfId="0" applyFont="1" applyBorder="1" applyAlignment="1" applyProtection="1">
      <alignment wrapText="1"/>
      <protection hidden="1"/>
    </xf>
    <xf numFmtId="0" fontId="333" fillId="0" borderId="0" xfId="0" applyFont="1"/>
    <xf numFmtId="0" fontId="335" fillId="0" borderId="11" xfId="0" applyFont="1" applyBorder="1" applyAlignment="1" applyProtection="1">
      <alignment wrapText="1"/>
      <protection hidden="1"/>
    </xf>
    <xf numFmtId="0" fontId="336" fillId="0" borderId="0" xfId="0" applyFont="1"/>
    <xf numFmtId="0" fontId="338" fillId="0" borderId="11" xfId="0" applyFont="1" applyBorder="1" applyAlignment="1" applyProtection="1">
      <alignment wrapText="1"/>
      <protection hidden="1"/>
    </xf>
    <xf numFmtId="0" fontId="339" fillId="0" borderId="0" xfId="0" applyFont="1"/>
    <xf numFmtId="0" fontId="341" fillId="0" borderId="11" xfId="0" applyFont="1" applyBorder="1" applyAlignment="1" applyProtection="1">
      <alignment wrapText="1"/>
      <protection hidden="1"/>
    </xf>
    <xf numFmtId="0" fontId="342" fillId="0" borderId="0" xfId="0" applyFont="1"/>
    <xf numFmtId="0" fontId="344" fillId="0" borderId="11" xfId="0" applyFont="1" applyBorder="1" applyAlignment="1" applyProtection="1">
      <alignment wrapText="1"/>
      <protection hidden="1"/>
    </xf>
    <xf numFmtId="0" fontId="345" fillId="0" borderId="0" xfId="0" applyFont="1"/>
    <xf numFmtId="0" fontId="347" fillId="0" borderId="11" xfId="0" applyFont="1" applyBorder="1" applyAlignment="1" applyProtection="1">
      <alignment wrapText="1"/>
      <protection hidden="1"/>
    </xf>
    <xf numFmtId="0" fontId="348" fillId="0" borderId="0" xfId="0" applyFont="1"/>
    <xf numFmtId="0" fontId="350" fillId="0" borderId="11" xfId="0" applyFont="1" applyBorder="1" applyAlignment="1" applyProtection="1">
      <alignment wrapText="1"/>
      <protection hidden="1"/>
    </xf>
    <xf numFmtId="0" fontId="351" fillId="0" borderId="0" xfId="0" applyFont="1"/>
    <xf numFmtId="0" fontId="353" fillId="0" borderId="11" xfId="0" applyFont="1" applyBorder="1" applyAlignment="1" applyProtection="1">
      <alignment wrapText="1"/>
      <protection hidden="1"/>
    </xf>
    <xf numFmtId="0" fontId="354" fillId="0" borderId="0" xfId="0" applyFont="1"/>
    <xf numFmtId="0" fontId="356" fillId="0" borderId="11" xfId="0" applyFont="1" applyBorder="1" applyAlignment="1" applyProtection="1">
      <alignment wrapText="1"/>
      <protection hidden="1"/>
    </xf>
    <xf numFmtId="0" fontId="357" fillId="0" borderId="0" xfId="0" applyFont="1"/>
    <xf numFmtId="0" fontId="359" fillId="0" borderId="11" xfId="0" applyFont="1" applyBorder="1" applyAlignment="1" applyProtection="1">
      <alignment wrapText="1"/>
      <protection hidden="1"/>
    </xf>
    <xf numFmtId="0" fontId="360" fillId="0" borderId="0" xfId="0" applyFont="1"/>
    <xf numFmtId="0" fontId="362" fillId="0" borderId="11" xfId="0" applyFont="1" applyBorder="1" applyAlignment="1" applyProtection="1">
      <alignment wrapText="1"/>
      <protection hidden="1"/>
    </xf>
    <xf numFmtId="0" fontId="363" fillId="0" borderId="0" xfId="0" applyFont="1"/>
    <xf numFmtId="0" fontId="365" fillId="0" borderId="11" xfId="0" applyFont="1" applyBorder="1" applyAlignment="1" applyProtection="1">
      <alignment wrapText="1"/>
      <protection hidden="1"/>
    </xf>
    <xf numFmtId="0" fontId="366" fillId="0" borderId="0" xfId="0" applyFont="1"/>
    <xf numFmtId="0" fontId="368" fillId="0" borderId="11" xfId="0" applyFont="1" applyBorder="1" applyAlignment="1" applyProtection="1">
      <alignment wrapText="1"/>
      <protection hidden="1"/>
    </xf>
    <xf numFmtId="0" fontId="369" fillId="0" borderId="0" xfId="0" applyFont="1"/>
    <xf numFmtId="0" fontId="371" fillId="0" borderId="11" xfId="0" applyFont="1" applyBorder="1" applyAlignment="1" applyProtection="1">
      <alignment wrapText="1"/>
      <protection hidden="1"/>
    </xf>
    <xf numFmtId="0" fontId="372" fillId="0" borderId="0" xfId="0" applyFont="1"/>
    <xf numFmtId="0" fontId="374" fillId="0" borderId="11" xfId="0" applyFont="1" applyBorder="1" applyAlignment="1" applyProtection="1">
      <alignment wrapText="1"/>
      <protection hidden="1"/>
    </xf>
    <xf numFmtId="0" fontId="375" fillId="0" borderId="0" xfId="0" applyFont="1"/>
    <xf numFmtId="0" fontId="377" fillId="0" borderId="11" xfId="0" applyFont="1" applyBorder="1" applyAlignment="1" applyProtection="1">
      <alignment wrapText="1"/>
      <protection hidden="1"/>
    </xf>
    <xf numFmtId="0" fontId="378" fillId="0" borderId="0" xfId="0" applyFont="1"/>
    <xf numFmtId="0" fontId="380" fillId="0" borderId="11" xfId="0" applyFont="1" applyBorder="1" applyAlignment="1" applyProtection="1">
      <alignment wrapText="1"/>
      <protection hidden="1"/>
    </xf>
    <xf numFmtId="0" fontId="381" fillId="0" borderId="0" xfId="0" applyFont="1"/>
    <xf numFmtId="0" fontId="383" fillId="0" borderId="11" xfId="0" applyFont="1" applyBorder="1" applyAlignment="1" applyProtection="1">
      <alignment wrapText="1"/>
      <protection hidden="1"/>
    </xf>
    <xf numFmtId="0" fontId="384" fillId="0" borderId="0" xfId="0" applyFont="1"/>
    <xf numFmtId="0" fontId="386" fillId="0" borderId="11" xfId="0" applyFont="1" applyBorder="1" applyAlignment="1" applyProtection="1">
      <alignment wrapText="1"/>
      <protection hidden="1"/>
    </xf>
    <xf numFmtId="0" fontId="387" fillId="0" borderId="0" xfId="0" applyFont="1"/>
    <xf numFmtId="0" fontId="389" fillId="0" borderId="11" xfId="0" applyFont="1" applyBorder="1" applyAlignment="1" applyProtection="1">
      <alignment wrapText="1"/>
      <protection hidden="1"/>
    </xf>
    <xf numFmtId="0" fontId="390" fillId="0" borderId="0" xfId="0" applyFont="1"/>
    <xf numFmtId="0" fontId="392" fillId="0" borderId="11" xfId="0" applyFont="1" applyBorder="1" applyAlignment="1" applyProtection="1">
      <alignment wrapText="1"/>
      <protection hidden="1"/>
    </xf>
    <xf numFmtId="0" fontId="393" fillId="0" borderId="0" xfId="0" applyFont="1"/>
    <xf numFmtId="0" fontId="395" fillId="0" borderId="11" xfId="0" applyFont="1" applyBorder="1" applyAlignment="1" applyProtection="1">
      <alignment wrapText="1"/>
      <protection hidden="1"/>
    </xf>
    <xf numFmtId="0" fontId="396" fillId="0" borderId="0" xfId="0" applyFont="1"/>
    <xf numFmtId="0" fontId="398" fillId="0" borderId="11" xfId="0" applyFont="1" applyBorder="1" applyAlignment="1" applyProtection="1">
      <alignment wrapText="1"/>
      <protection hidden="1"/>
    </xf>
    <xf numFmtId="0" fontId="399" fillId="0" borderId="0" xfId="0" applyFont="1"/>
    <xf numFmtId="0" fontId="401" fillId="0" borderId="11" xfId="0" applyFont="1" applyBorder="1" applyAlignment="1" applyProtection="1">
      <alignment wrapText="1"/>
      <protection hidden="1"/>
    </xf>
    <xf numFmtId="0" fontId="402" fillId="0" borderId="0" xfId="0" applyFont="1"/>
    <xf numFmtId="0" fontId="404" fillId="0" borderId="11" xfId="0" applyFont="1" applyBorder="1" applyAlignment="1" applyProtection="1">
      <alignment wrapText="1"/>
      <protection hidden="1"/>
    </xf>
    <xf numFmtId="0" fontId="405" fillId="0" borderId="0" xfId="0" applyFont="1"/>
    <xf numFmtId="0" fontId="407" fillId="0" borderId="11" xfId="0" applyFont="1" applyBorder="1" applyAlignment="1" applyProtection="1">
      <alignment wrapText="1"/>
      <protection hidden="1"/>
    </xf>
    <xf numFmtId="0" fontId="408" fillId="0" borderId="0" xfId="0" applyFont="1"/>
    <xf numFmtId="0" fontId="410" fillId="0" borderId="11" xfId="0" applyFont="1" applyBorder="1" applyAlignment="1" applyProtection="1">
      <alignment wrapText="1"/>
      <protection hidden="1"/>
    </xf>
    <xf numFmtId="0" fontId="411" fillId="0" borderId="0" xfId="0" applyFont="1"/>
    <xf numFmtId="0" fontId="413" fillId="0" borderId="11" xfId="0" applyFont="1" applyBorder="1" applyAlignment="1" applyProtection="1">
      <alignment wrapText="1"/>
      <protection hidden="1"/>
    </xf>
    <xf numFmtId="0" fontId="414" fillId="0" borderId="0" xfId="0" applyFont="1"/>
    <xf numFmtId="0" fontId="416" fillId="0" borderId="11" xfId="0" applyFont="1" applyBorder="1" applyAlignment="1" applyProtection="1">
      <alignment wrapText="1"/>
      <protection hidden="1"/>
    </xf>
    <xf numFmtId="0" fontId="417" fillId="0" borderId="0" xfId="0" applyFont="1"/>
    <xf numFmtId="0" fontId="419" fillId="0" borderId="11" xfId="0" applyFont="1" applyBorder="1" applyAlignment="1" applyProtection="1">
      <alignment wrapText="1"/>
      <protection hidden="1"/>
    </xf>
    <xf numFmtId="0" fontId="420" fillId="0" borderId="0" xfId="0" applyFont="1"/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0" xfId="0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54" fillId="26" borderId="0" xfId="0" applyFont="1" applyFill="1" applyAlignment="1" applyProtection="1">
      <alignment horizontal="center"/>
      <protection hidden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35" fillId="0" borderId="0" xfId="0" applyFont="1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167" fontId="2" fillId="0" borderId="15" xfId="0" applyNumberFormat="1" applyFont="1" applyBorder="1" applyAlignment="1" applyProtection="1">
      <alignment horizontal="center" vertical="center"/>
      <protection hidden="1"/>
    </xf>
    <xf numFmtId="166" fontId="25" fillId="25" borderId="15" xfId="0" applyNumberFormat="1" applyFont="1" applyFill="1" applyBorder="1" applyAlignment="1" applyProtection="1">
      <alignment horizontal="right"/>
      <protection locked="0"/>
    </xf>
    <xf numFmtId="166" fontId="25" fillId="0" borderId="15" xfId="0" applyNumberFormat="1" applyFont="1" applyBorder="1" applyAlignment="1">
      <alignment horizontal="right"/>
    </xf>
    <xf numFmtId="166" fontId="41" fillId="24" borderId="15" xfId="0" applyNumberFormat="1" applyFont="1" applyFill="1" applyBorder="1" applyAlignment="1">
      <alignment horizontal="right"/>
    </xf>
    <xf numFmtId="166" fontId="41" fillId="24" borderId="0" xfId="0" applyNumberFormat="1" applyFont="1" applyFill="1" applyAlignment="1">
      <alignment horizontal="right"/>
    </xf>
    <xf numFmtId="1" fontId="46" fillId="0" borderId="15" xfId="0" applyNumberFormat="1" applyFont="1" applyBorder="1" applyAlignment="1">
      <alignment horizontal="center" vertical="center"/>
    </xf>
    <xf numFmtId="0" fontId="0" fillId="0" borderId="20" xfId="0" applyBorder="1"/>
    <xf numFmtId="0" fontId="41" fillId="24" borderId="11" xfId="0" applyFont="1" applyFill="1" applyBorder="1" applyAlignment="1" applyProtection="1">
      <alignment horizontal="right"/>
      <protection hidden="1"/>
    </xf>
    <xf numFmtId="0" fontId="0" fillId="0" borderId="12" xfId="0" applyBorder="1" applyProtection="1">
      <protection hidden="1"/>
    </xf>
    <xf numFmtId="0" fontId="0" fillId="0" borderId="13" xfId="0" applyBorder="1" applyProtection="1">
      <protection hidden="1"/>
    </xf>
    <xf numFmtId="0" fontId="54" fillId="26" borderId="0" xfId="0" applyFont="1" applyFill="1" applyAlignment="1" applyProtection="1">
      <alignment horizontal="center"/>
      <protection hidden="1"/>
    </xf>
    <xf numFmtId="0" fontId="0" fillId="0" borderId="0" xfId="0" applyProtection="1">
      <protection hidden="1"/>
    </xf>
    <xf numFmtId="0" fontId="56" fillId="27" borderId="0" xfId="0" applyFont="1" applyFill="1" applyAlignment="1" applyProtection="1">
      <alignment horizontal="left" vertical="center" wrapText="1"/>
      <protection locked="0" hidden="1"/>
    </xf>
    <xf numFmtId="0" fontId="0" fillId="0" borderId="0" xfId="0" applyProtection="1">
      <protection locked="0" hidden="1"/>
    </xf>
    <xf numFmtId="0" fontId="313" fillId="0" borderId="43" xfId="0" applyFont="1" applyBorder="1" applyAlignment="1">
      <alignment horizontal="left" vertical="center" wrapText="1"/>
    </xf>
    <xf numFmtId="0" fontId="0" fillId="0" borderId="40" xfId="0" applyBorder="1"/>
    <xf numFmtId="0" fontId="0" fillId="0" borderId="18" xfId="0" applyBorder="1"/>
    <xf numFmtId="0" fontId="0" fillId="24" borderId="31" xfId="0" applyFill="1" applyBorder="1" applyAlignment="1" applyProtection="1">
      <alignment horizontal="center"/>
      <protection hidden="1"/>
    </xf>
    <xf numFmtId="0" fontId="0" fillId="0" borderId="31" xfId="0" applyBorder="1" applyProtection="1">
      <protection hidden="1"/>
    </xf>
    <xf numFmtId="0" fontId="27" fillId="0" borderId="23" xfId="0" applyFont="1" applyBorder="1" applyAlignment="1" applyProtection="1">
      <alignment horizontal="center" vertical="center" wrapText="1"/>
      <protection hidden="1"/>
    </xf>
    <xf numFmtId="0" fontId="0" fillId="0" borderId="46" xfId="0" applyBorder="1" applyProtection="1">
      <protection hidden="1"/>
    </xf>
    <xf numFmtId="14" fontId="34" fillId="24" borderId="0" xfId="0" applyNumberFormat="1" applyFont="1" applyFill="1" applyAlignment="1">
      <alignment vertical="center" wrapText="1"/>
    </xf>
    <xf numFmtId="0" fontId="35" fillId="0" borderId="0" xfId="0" applyFont="1" applyProtection="1">
      <protection hidden="1"/>
    </xf>
    <xf numFmtId="0" fontId="256" fillId="0" borderId="43" xfId="0" applyFont="1" applyBorder="1" applyAlignment="1">
      <alignment horizontal="left" vertical="center" wrapText="1"/>
    </xf>
    <xf numFmtId="0" fontId="64" fillId="0" borderId="43" xfId="0" applyFont="1" applyBorder="1" applyAlignment="1">
      <alignment horizontal="left" vertical="center" wrapText="1"/>
    </xf>
    <xf numFmtId="0" fontId="316" fillId="0" borderId="43" xfId="0" applyFont="1" applyBorder="1" applyAlignment="1">
      <alignment horizontal="left" vertical="center" wrapText="1"/>
    </xf>
    <xf numFmtId="0" fontId="310" fillId="0" borderId="43" xfId="0" applyFont="1" applyBorder="1" applyAlignment="1">
      <alignment horizontal="left" vertical="center" wrapText="1"/>
    </xf>
    <xf numFmtId="0" fontId="244" fillId="0" borderId="43" xfId="0" applyFont="1" applyBorder="1" applyAlignment="1">
      <alignment horizontal="left" vertical="center" wrapText="1"/>
    </xf>
    <xf numFmtId="0" fontId="70" fillId="0" borderId="43" xfId="0" applyFont="1" applyBorder="1" applyAlignment="1">
      <alignment horizontal="left" vertical="center" wrapText="1"/>
    </xf>
    <xf numFmtId="0" fontId="229" fillId="0" borderId="43" xfId="0" applyFont="1" applyBorder="1" applyAlignment="1">
      <alignment horizontal="left" vertical="center" wrapText="1"/>
    </xf>
    <xf numFmtId="0" fontId="415" fillId="0" borderId="43" xfId="0" applyFont="1" applyBorder="1" applyAlignment="1">
      <alignment horizontal="left" vertical="center" wrapText="1"/>
    </xf>
    <xf numFmtId="0" fontId="184" fillId="0" borderId="43" xfId="0" applyFont="1" applyBorder="1" applyAlignment="1">
      <alignment horizontal="left" vertical="center" wrapText="1"/>
    </xf>
    <xf numFmtId="0" fontId="370" fillId="0" borderId="43" xfId="0" applyFont="1" applyBorder="1" applyAlignment="1">
      <alignment horizontal="left" vertical="center" wrapText="1"/>
    </xf>
    <xf numFmtId="0" fontId="52" fillId="24" borderId="15" xfId="0" applyFont="1" applyFill="1" applyBorder="1" applyAlignment="1" applyProtection="1">
      <alignment horizontal="center" vertical="center" wrapText="1"/>
      <protection hidden="1"/>
    </xf>
    <xf numFmtId="0" fontId="0" fillId="0" borderId="25" xfId="0" applyBorder="1" applyProtection="1">
      <protection hidden="1"/>
    </xf>
    <xf numFmtId="2" fontId="26" fillId="26" borderId="0" xfId="0" applyNumberFormat="1" applyFont="1" applyFill="1" applyAlignment="1" applyProtection="1">
      <alignment horizontal="center"/>
      <protection hidden="1"/>
    </xf>
    <xf numFmtId="0" fontId="139" fillId="0" borderId="43" xfId="0" applyFont="1" applyBorder="1" applyAlignment="1">
      <alignment horizontal="left" vertical="center" wrapText="1"/>
    </xf>
    <xf numFmtId="0" fontId="112" fillId="0" borderId="43" xfId="0" applyFont="1" applyBorder="1" applyAlignment="1">
      <alignment horizontal="left" vertical="center" wrapText="1"/>
    </xf>
    <xf numFmtId="49" fontId="36" fillId="0" borderId="24" xfId="0" applyNumberFormat="1" applyFont="1" applyBorder="1" applyAlignment="1">
      <alignment horizontal="center" vertical="center"/>
    </xf>
    <xf numFmtId="0" fontId="0" fillId="0" borderId="28" xfId="0" applyBorder="1"/>
    <xf numFmtId="0" fontId="337" fillId="0" borderId="43" xfId="0" applyFont="1" applyBorder="1" applyAlignment="1">
      <alignment horizontal="left" vertical="center" wrapText="1"/>
    </xf>
    <xf numFmtId="0" fontId="41" fillId="24" borderId="15" xfId="0" applyFont="1" applyFill="1" applyBorder="1" applyAlignment="1" applyProtection="1">
      <alignment horizontal="left"/>
      <protection hidden="1"/>
    </xf>
    <xf numFmtId="0" fontId="0" fillId="0" borderId="19" xfId="0" applyBorder="1" applyProtection="1">
      <protection hidden="1"/>
    </xf>
    <xf numFmtId="0" fontId="0" fillId="0" borderId="20" xfId="0" applyBorder="1" applyProtection="1">
      <protection hidden="1"/>
    </xf>
    <xf numFmtId="0" fontId="169" fillId="0" borderId="43" xfId="0" applyFont="1" applyBorder="1" applyAlignment="1">
      <alignment horizontal="left" vertical="center" wrapText="1"/>
    </xf>
    <xf numFmtId="0" fontId="325" fillId="0" borderId="43" xfId="0" applyFont="1" applyBorder="1" applyAlignment="1">
      <alignment horizontal="left" vertical="center" wrapText="1"/>
    </xf>
    <xf numFmtId="0" fontId="42" fillId="25" borderId="24" xfId="0" applyFont="1" applyFill="1" applyBorder="1" applyAlignment="1" applyProtection="1">
      <alignment horizontal="center" vertical="top" wrapText="1"/>
      <protection locked="0"/>
    </xf>
    <xf numFmtId="0" fontId="0" fillId="0" borderId="26" xfId="0" applyBorder="1" applyProtection="1">
      <protection locked="0"/>
    </xf>
    <xf numFmtId="0" fontId="0" fillId="0" borderId="28" xfId="0" applyBorder="1" applyProtection="1">
      <protection locked="0"/>
    </xf>
    <xf numFmtId="0" fontId="160" fillId="0" borderId="43" xfId="0" applyFont="1" applyBorder="1" applyAlignment="1">
      <alignment horizontal="left" vertical="center" wrapText="1"/>
    </xf>
    <xf numFmtId="0" fontId="67" fillId="0" borderId="43" xfId="0" applyFont="1" applyBorder="1" applyAlignment="1">
      <alignment horizontal="left" vertical="center" wrapText="1"/>
    </xf>
    <xf numFmtId="0" fontId="172" fillId="0" borderId="43" xfId="0" applyFont="1" applyBorder="1" applyAlignment="1">
      <alignment horizontal="left" vertical="center" wrapText="1"/>
    </xf>
    <xf numFmtId="0" fontId="0" fillId="24" borderId="27" xfId="0" applyFill="1" applyBorder="1" applyAlignment="1" applyProtection="1">
      <alignment horizontal="center"/>
      <protection hidden="1"/>
    </xf>
    <xf numFmtId="0" fontId="0" fillId="0" borderId="27" xfId="0" applyBorder="1" applyProtection="1">
      <protection hidden="1"/>
    </xf>
    <xf numFmtId="2" fontId="42" fillId="25" borderId="11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12" xfId="0" applyBorder="1" applyProtection="1">
      <protection locked="0" hidden="1"/>
    </xf>
    <xf numFmtId="0" fontId="0" fillId="0" borderId="13" xfId="0" applyBorder="1" applyProtection="1">
      <protection locked="0" hidden="1"/>
    </xf>
    <xf numFmtId="0" fontId="73" fillId="0" borderId="43" xfId="0" applyFont="1" applyBorder="1" applyAlignment="1">
      <alignment horizontal="left" vertical="center" wrapText="1"/>
    </xf>
    <xf numFmtId="0" fontId="238" fillId="0" borderId="43" xfId="0" applyFont="1" applyBorder="1" applyAlignment="1">
      <alignment horizontal="left" vertical="center" wrapText="1"/>
    </xf>
    <xf numFmtId="0" fontId="352" fillId="0" borderId="43" xfId="0" applyFont="1" applyBorder="1" applyAlignment="1">
      <alignment horizontal="left" vertical="center" wrapText="1"/>
    </xf>
    <xf numFmtId="0" fontId="34" fillId="24" borderId="0" xfId="39" applyFont="1" applyFill="1" applyAlignment="1">
      <alignment horizontal="center" vertical="center" wrapText="1"/>
    </xf>
    <xf numFmtId="0" fontId="253" fillId="0" borderId="43" xfId="0" applyFont="1" applyBorder="1" applyAlignment="1">
      <alignment horizontal="left" vertical="center" wrapText="1"/>
    </xf>
    <xf numFmtId="2" fontId="48" fillId="25" borderId="15" xfId="0" applyNumberFormat="1" applyFont="1" applyFill="1" applyBorder="1" applyAlignment="1" applyProtection="1">
      <alignment horizontal="left" vertical="center" wrapText="1"/>
      <protection locked="0" hidden="1"/>
    </xf>
    <xf numFmtId="0" fontId="0" fillId="0" borderId="20" xfId="0" applyBorder="1" applyProtection="1">
      <protection locked="0" hidden="1"/>
    </xf>
    <xf numFmtId="0" fontId="82" fillId="0" borderId="43" xfId="0" applyFont="1" applyBorder="1" applyAlignment="1">
      <alignment horizontal="left" vertical="center" wrapText="1"/>
    </xf>
    <xf numFmtId="0" fontId="364" fillId="0" borderId="43" xfId="0" applyFont="1" applyBorder="1" applyAlignment="1">
      <alignment horizontal="left" vertical="center" wrapText="1"/>
    </xf>
    <xf numFmtId="0" fontId="247" fillId="0" borderId="43" xfId="0" applyFont="1" applyBorder="1" applyAlignment="1">
      <alignment horizontal="left" vertical="center" wrapText="1"/>
    </xf>
    <xf numFmtId="0" fontId="196" fillId="0" borderId="43" xfId="0" applyFont="1" applyBorder="1" applyAlignment="1">
      <alignment horizontal="left" vertical="center" wrapText="1"/>
    </xf>
    <xf numFmtId="0" fontId="181" fillId="0" borderId="43" xfId="0" applyFont="1" applyBorder="1" applyAlignment="1">
      <alignment horizontal="left" vertical="center" wrapText="1"/>
    </xf>
    <xf numFmtId="0" fontId="163" fillId="0" borderId="43" xfId="0" applyFont="1" applyBorder="1" applyAlignment="1">
      <alignment horizontal="left" vertical="center" wrapText="1"/>
    </xf>
    <xf numFmtId="0" fontId="358" fillId="0" borderId="43" xfId="0" applyFont="1" applyBorder="1" applyAlignment="1">
      <alignment horizontal="left" vertical="center" wrapText="1"/>
    </xf>
    <xf numFmtId="2" fontId="50" fillId="0" borderId="26" xfId="0" applyNumberFormat="1" applyFont="1" applyBorder="1" applyAlignment="1">
      <alignment horizontal="center" vertical="center"/>
    </xf>
    <xf numFmtId="0" fontId="0" fillId="0" borderId="26" xfId="0" applyBorder="1"/>
    <xf numFmtId="0" fontId="85" fillId="0" borderId="43" xfId="0" applyFont="1" applyBorder="1" applyAlignment="1">
      <alignment horizontal="left" vertical="center" wrapText="1"/>
    </xf>
    <xf numFmtId="0" fontId="277" fillId="0" borderId="43" xfId="0" applyFont="1" applyBorder="1" applyAlignment="1">
      <alignment horizontal="left" vertical="center" wrapText="1"/>
    </xf>
    <xf numFmtId="0" fontId="397" fillId="0" borderId="43" xfId="0" applyFont="1" applyBorder="1" applyAlignment="1">
      <alignment horizontal="left" vertical="center" wrapText="1"/>
    </xf>
    <xf numFmtId="0" fontId="0" fillId="0" borderId="26" xfId="0" applyBorder="1" applyProtection="1">
      <protection hidden="1"/>
    </xf>
    <xf numFmtId="0" fontId="0" fillId="0" borderId="28" xfId="0" applyBorder="1" applyProtection="1">
      <protection hidden="1"/>
    </xf>
    <xf numFmtId="0" fontId="0" fillId="0" borderId="29" xfId="0" applyBorder="1" applyProtection="1">
      <protection hidden="1"/>
    </xf>
    <xf numFmtId="0" fontId="0" fillId="0" borderId="37" xfId="0" applyBorder="1" applyProtection="1">
      <protection hidden="1"/>
    </xf>
    <xf numFmtId="0" fontId="0" fillId="0" borderId="30" xfId="0" applyBorder="1" applyProtection="1">
      <protection hidden="1"/>
    </xf>
    <xf numFmtId="0" fontId="211" fillId="0" borderId="43" xfId="0" applyFont="1" applyBorder="1" applyAlignment="1">
      <alignment horizontal="left" vertical="center" wrapText="1"/>
    </xf>
    <xf numFmtId="0" fontId="121" fillId="0" borderId="43" xfId="0" applyFont="1" applyBorder="1" applyAlignment="1">
      <alignment horizontal="left" vertical="center" wrapText="1"/>
    </xf>
    <xf numFmtId="0" fontId="283" fillId="0" borderId="43" xfId="0" applyFont="1" applyBorder="1" applyAlignment="1">
      <alignment horizontal="left" vertical="center" wrapText="1"/>
    </xf>
    <xf numFmtId="0" fontId="94" fillId="0" borderId="43" xfId="0" applyFont="1" applyBorder="1" applyAlignment="1">
      <alignment horizontal="left" vertical="center" wrapText="1"/>
    </xf>
    <xf numFmtId="0" fontId="403" fillId="0" borderId="43" xfId="0" applyFont="1" applyBorder="1" applyAlignment="1">
      <alignment horizontal="left" vertical="center" wrapText="1"/>
    </xf>
    <xf numFmtId="0" fontId="274" fillId="0" borderId="43" xfId="0" applyFont="1" applyBorder="1" applyAlignment="1">
      <alignment horizontal="left" vertical="center" wrapText="1"/>
    </xf>
    <xf numFmtId="0" fontId="100" fillId="0" borderId="43" xfId="0" applyFont="1" applyBorder="1" applyAlignment="1">
      <alignment horizontal="left" vertical="center" wrapText="1"/>
    </xf>
    <xf numFmtId="0" fontId="406" fillId="0" borderId="43" xfId="0" applyFont="1" applyBorder="1" applyAlignment="1">
      <alignment horizontal="left" vertical="center" wrapText="1"/>
    </xf>
    <xf numFmtId="0" fontId="388" fillId="0" borderId="43" xfId="0" applyFont="1" applyBorder="1" applyAlignment="1">
      <alignment horizontal="left" vertical="center" wrapText="1"/>
    </xf>
    <xf numFmtId="168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0" fillId="0" borderId="13" xfId="0" applyBorder="1" applyProtection="1">
      <protection locked="0"/>
    </xf>
    <xf numFmtId="165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0" fillId="0" borderId="20" xfId="0" applyBorder="1" applyProtection="1">
      <protection locked="0"/>
    </xf>
    <xf numFmtId="0" fontId="304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vertical="center" wrapText="1"/>
      <protection hidden="1"/>
    </xf>
    <xf numFmtId="0" fontId="265" fillId="0" borderId="43" xfId="0" applyFont="1" applyBorder="1" applyAlignment="1">
      <alignment horizontal="left" vertical="center" wrapText="1"/>
    </xf>
    <xf numFmtId="0" fontId="250" fillId="0" borderId="43" xfId="0" applyFont="1" applyBorder="1" applyAlignment="1">
      <alignment horizontal="left" vertical="center" wrapText="1"/>
    </xf>
    <xf numFmtId="0" fontId="199" fillId="0" borderId="43" xfId="0" applyFont="1" applyBorder="1" applyAlignment="1">
      <alignment horizontal="left" vertical="center" wrapText="1"/>
    </xf>
    <xf numFmtId="0" fontId="109" fillId="0" borderId="43" xfId="0" applyFont="1" applyBorder="1" applyAlignment="1">
      <alignment horizontal="left" vertical="center" wrapText="1"/>
    </xf>
    <xf numFmtId="165" fontId="36" fillId="25" borderId="24" xfId="0" applyNumberFormat="1" applyFont="1" applyFill="1" applyBorder="1" applyAlignment="1" applyProtection="1">
      <alignment horizontal="center" vertical="center"/>
      <protection locked="0"/>
    </xf>
    <xf numFmtId="0" fontId="385" fillId="0" borderId="43" xfId="0" applyFont="1" applyBorder="1" applyAlignment="1">
      <alignment horizontal="left" vertical="center" wrapText="1"/>
    </xf>
    <xf numFmtId="0" fontId="0" fillId="0" borderId="44" xfId="0" applyBorder="1" applyProtection="1">
      <protection hidden="1"/>
    </xf>
    <xf numFmtId="0" fontId="0" fillId="0" borderId="45" xfId="0" applyBorder="1" applyProtection="1">
      <protection hidden="1"/>
    </xf>
    <xf numFmtId="0" fontId="286" fillId="0" borderId="43" xfId="0" applyFont="1" applyBorder="1" applyAlignment="1">
      <alignment horizontal="left" vertical="center" wrapText="1"/>
    </xf>
    <xf numFmtId="0" fontId="40" fillId="24" borderId="15" xfId="0" applyFont="1" applyFill="1" applyBorder="1" applyAlignment="1" applyProtection="1">
      <alignment horizontal="center" vertical="center" wrapText="1"/>
      <protection hidden="1"/>
    </xf>
    <xf numFmtId="0" fontId="48" fillId="27" borderId="0" xfId="0" quotePrefix="1" applyFont="1" applyFill="1" applyAlignment="1" applyProtection="1">
      <alignment horizontal="center" vertical="center" wrapText="1"/>
      <protection locked="0" hidden="1"/>
    </xf>
    <xf numFmtId="0" fontId="292" fillId="0" borderId="43" xfId="0" applyFont="1" applyBorder="1" applyAlignment="1">
      <alignment horizontal="left" vertical="center" wrapText="1"/>
    </xf>
    <xf numFmtId="0" fontId="48" fillId="27" borderId="0" xfId="0" applyFont="1" applyFill="1" applyAlignment="1" applyProtection="1">
      <alignment vertical="center" wrapText="1"/>
      <protection hidden="1"/>
    </xf>
    <xf numFmtId="0" fontId="103" fillId="0" borderId="43" xfId="0" applyFont="1" applyBorder="1" applyAlignment="1">
      <alignment horizontal="left" vertical="center" wrapText="1"/>
    </xf>
    <xf numFmtId="0" fontId="412" fillId="0" borderId="43" xfId="0" applyFont="1" applyBorder="1" applyAlignment="1">
      <alignment horizontal="left" vertical="center" wrapText="1"/>
    </xf>
    <xf numFmtId="0" fontId="328" fillId="0" borderId="43" xfId="0" applyFont="1" applyBorder="1" applyAlignment="1">
      <alignment horizontal="left" vertical="center" wrapText="1"/>
    </xf>
    <xf numFmtId="0" fontId="57" fillId="0" borderId="37" xfId="0" applyFont="1" applyBorder="1" applyAlignment="1">
      <alignment horizontal="center" wrapText="1"/>
    </xf>
    <xf numFmtId="0" fontId="0" fillId="0" borderId="37" xfId="0" applyBorder="1"/>
    <xf numFmtId="0" fontId="361" fillId="0" borderId="43" xfId="0" applyFont="1" applyBorder="1" applyAlignment="1">
      <alignment horizontal="left" vertical="center" wrapText="1"/>
    </xf>
    <xf numFmtId="0" fontId="307" fillId="0" borderId="43" xfId="0" applyFont="1" applyBorder="1" applyAlignment="1">
      <alignment horizontal="left" vertical="center" wrapText="1"/>
    </xf>
    <xf numFmtId="0" fontId="268" fillId="0" borderId="43" xfId="0" applyFont="1" applyBorder="1" applyAlignment="1">
      <alignment horizontal="left" vertical="center" wrapText="1"/>
    </xf>
    <xf numFmtId="0" fontId="394" fillId="0" borderId="43" xfId="0" applyFont="1" applyBorder="1" applyAlignment="1">
      <alignment horizontal="left" vertical="center" wrapText="1"/>
    </xf>
    <xf numFmtId="0" fontId="376" fillId="0" borderId="43" xfId="0" applyFont="1" applyBorder="1" applyAlignment="1">
      <alignment horizontal="left" vertical="center" wrapText="1"/>
    </xf>
    <xf numFmtId="0" fontId="202" fillId="0" borderId="43" xfId="0" applyFont="1" applyBorder="1" applyAlignment="1">
      <alignment horizontal="left" vertical="center" wrapText="1"/>
    </xf>
    <xf numFmtId="0" fontId="400" fillId="0" borderId="43" xfId="0" applyFont="1" applyBorder="1" applyAlignment="1">
      <alignment horizontal="left" vertical="center" wrapText="1"/>
    </xf>
    <xf numFmtId="2" fontId="48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130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right" vertical="center" wrapText="1"/>
      <protection hidden="1"/>
    </xf>
    <xf numFmtId="49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298" fillId="0" borderId="43" xfId="0" applyFont="1" applyBorder="1" applyAlignment="1">
      <alignment horizontal="left" vertical="center" wrapText="1"/>
    </xf>
    <xf numFmtId="0" fontId="127" fillId="0" borderId="43" xfId="0" applyFont="1" applyBorder="1" applyAlignment="1">
      <alignment horizontal="left" vertical="center" wrapText="1"/>
    </xf>
    <xf numFmtId="0" fontId="220" fillId="0" borderId="43" xfId="0" applyFont="1" applyBorder="1" applyAlignment="1">
      <alignment horizontal="left" vertical="center" wrapText="1"/>
    </xf>
    <xf numFmtId="0" fontId="355" fillId="0" borderId="43" xfId="0" applyFont="1" applyBorder="1" applyAlignment="1">
      <alignment horizontal="left" vertical="center" wrapText="1"/>
    </xf>
    <xf numFmtId="0" fontId="41" fillId="0" borderId="27" xfId="0" applyFont="1" applyBorder="1" applyAlignment="1" applyProtection="1">
      <alignment horizontal="center" vertical="center"/>
      <protection hidden="1"/>
    </xf>
    <xf numFmtId="165" fontId="36" fillId="25" borderId="25" xfId="0" applyNumberFormat="1" applyFont="1" applyFill="1" applyBorder="1" applyAlignment="1" applyProtection="1">
      <alignment horizontal="center" vertical="center"/>
      <protection locked="0"/>
    </xf>
    <xf numFmtId="0" fontId="0" fillId="0" borderId="30" xfId="0" applyBorder="1" applyProtection="1">
      <protection locked="0"/>
    </xf>
    <xf numFmtId="0" fontId="331" fillId="0" borderId="43" xfId="0" applyFont="1" applyBorder="1" applyAlignment="1">
      <alignment horizontal="left" vertical="center" wrapText="1"/>
    </xf>
    <xf numFmtId="0" fontId="97" fillId="0" borderId="43" xfId="0" applyFont="1" applyBorder="1" applyAlignment="1">
      <alignment horizontal="left" vertical="center" wrapText="1"/>
    </xf>
    <xf numFmtId="0" fontId="232" fillId="0" borderId="43" xfId="0" applyFont="1" applyBorder="1" applyAlignment="1">
      <alignment horizontal="left" vertical="center" wrapText="1"/>
    </xf>
    <xf numFmtId="0" fontId="193" fillId="0" borderId="43" xfId="0" applyFont="1" applyBorder="1" applyAlignment="1">
      <alignment horizontal="left" vertical="center" wrapText="1"/>
    </xf>
    <xf numFmtId="2" fontId="53" fillId="24" borderId="15" xfId="0" applyNumberFormat="1" applyFont="1" applyFill="1" applyBorder="1" applyAlignment="1" applyProtection="1">
      <alignment horizontal="left" vertical="center" wrapText="1"/>
      <protection hidden="1"/>
    </xf>
    <xf numFmtId="0" fontId="301" fillId="0" borderId="43" xfId="0" applyFont="1" applyBorder="1" applyAlignment="1">
      <alignment horizontal="left" vertical="center" wrapText="1"/>
    </xf>
    <xf numFmtId="0" fontId="262" fillId="0" borderId="43" xfId="0" applyFont="1" applyBorder="1" applyAlignment="1">
      <alignment horizontal="left" vertical="center" wrapText="1"/>
    </xf>
    <xf numFmtId="0" fontId="322" fillId="0" borderId="43" xfId="0" applyFont="1" applyBorder="1" applyAlignment="1">
      <alignment horizontal="left" vertical="center" wrapText="1"/>
    </xf>
    <xf numFmtId="0" fontId="79" fillId="0" borderId="43" xfId="0" applyFont="1" applyBorder="1" applyAlignment="1">
      <alignment horizontal="left" vertical="center" wrapText="1"/>
    </xf>
    <xf numFmtId="0" fontId="241" fillId="0" borderId="43" xfId="0" applyFont="1" applyBorder="1" applyAlignment="1">
      <alignment horizontal="left" vertical="center" wrapText="1"/>
    </xf>
    <xf numFmtId="0" fontId="154" fillId="0" borderId="43" xfId="0" applyFont="1" applyBorder="1" applyAlignment="1">
      <alignment horizontal="left" vertical="center" wrapText="1"/>
    </xf>
    <xf numFmtId="0" fontId="346" fillId="0" borderId="43" xfId="0" applyFont="1" applyBorder="1" applyAlignment="1">
      <alignment horizontal="left" vertical="center" wrapText="1"/>
    </xf>
    <xf numFmtId="0" fontId="235" fillId="0" borderId="43" xfId="0" applyFont="1" applyBorder="1" applyAlignment="1">
      <alignment horizontal="left" vertical="center" wrapText="1"/>
    </xf>
    <xf numFmtId="0" fontId="48" fillId="24" borderId="21" xfId="0" applyFont="1" applyFill="1" applyBorder="1" applyAlignment="1" applyProtection="1">
      <alignment horizontal="center" vertical="center" wrapText="1"/>
      <protection hidden="1"/>
    </xf>
    <xf numFmtId="0" fontId="0" fillId="0" borderId="22" xfId="0" applyBorder="1" applyProtection="1">
      <protection hidden="1"/>
    </xf>
    <xf numFmtId="0" fontId="157" fillId="0" borderId="43" xfId="0" applyFont="1" applyBorder="1" applyAlignment="1">
      <alignment horizontal="left" vertical="center" wrapText="1"/>
    </xf>
    <xf numFmtId="2" fontId="42" fillId="27" borderId="0" xfId="0" applyNumberFormat="1" applyFont="1" applyFill="1" applyAlignment="1" applyProtection="1">
      <alignment horizontal="left" vertical="center" wrapText="1"/>
      <protection hidden="1"/>
    </xf>
    <xf numFmtId="0" fontId="52" fillId="24" borderId="11" xfId="0" applyFont="1" applyFill="1" applyBorder="1" applyAlignment="1" applyProtection="1">
      <alignment horizontal="center" vertical="center" wrapText="1"/>
      <protection hidden="1"/>
    </xf>
    <xf numFmtId="0" fontId="0" fillId="0" borderId="39" xfId="0" applyBorder="1" applyProtection="1">
      <protection hidden="1"/>
    </xf>
    <xf numFmtId="0" fontId="382" fillId="0" borderId="43" xfId="0" applyFont="1" applyBorder="1" applyAlignment="1">
      <alignment horizontal="left" vertical="center" wrapText="1"/>
    </xf>
    <xf numFmtId="0" fontId="334" fillId="0" borderId="43" xfId="0" applyFont="1" applyBorder="1" applyAlignment="1">
      <alignment horizontal="left" vertical="center" wrapText="1"/>
    </xf>
    <xf numFmtId="4" fontId="49" fillId="0" borderId="15" xfId="0" applyNumberFormat="1" applyFont="1" applyBorder="1" applyAlignment="1">
      <alignment horizontal="center" vertical="center" wrapText="1"/>
    </xf>
    <xf numFmtId="0" fontId="0" fillId="0" borderId="14" xfId="0" applyBorder="1"/>
    <xf numFmtId="0" fontId="0" fillId="0" borderId="27" xfId="0" applyBorder="1"/>
    <xf numFmtId="0" fontId="0" fillId="0" borderId="29" xfId="0" applyBorder="1"/>
    <xf numFmtId="0" fontId="0" fillId="0" borderId="30" xfId="0" applyBorder="1"/>
    <xf numFmtId="0" fontId="187" fillId="0" borderId="43" xfId="0" applyFont="1" applyBorder="1" applyAlignment="1">
      <alignment horizontal="left" vertical="center" wrapText="1"/>
    </xf>
    <xf numFmtId="0" fontId="367" fillId="0" borderId="43" xfId="0" applyFont="1" applyBorder="1" applyAlignment="1">
      <alignment horizontal="left" vertical="center" wrapText="1"/>
    </xf>
    <xf numFmtId="0" fontId="148" fillId="0" borderId="43" xfId="0" applyFont="1" applyBorder="1" applyAlignment="1">
      <alignment horizontal="left" vertical="center" wrapText="1"/>
    </xf>
    <xf numFmtId="0" fontId="61" fillId="0" borderId="43" xfId="0" applyFont="1" applyBorder="1" applyAlignment="1">
      <alignment horizontal="left" vertical="center" wrapText="1"/>
    </xf>
    <xf numFmtId="0" fontId="280" fillId="0" borderId="43" xfId="0" applyFont="1" applyBorder="1" applyAlignment="1">
      <alignment horizontal="left" vertical="center" wrapText="1"/>
    </xf>
    <xf numFmtId="0" fontId="343" fillId="0" borderId="43" xfId="0" applyFont="1" applyBorder="1" applyAlignment="1">
      <alignment horizontal="left" vertical="center" wrapText="1"/>
    </xf>
    <xf numFmtId="0" fontId="136" fillId="0" borderId="43" xfId="0" applyFont="1" applyBorder="1" applyAlignment="1">
      <alignment horizontal="left" vertical="center" wrapText="1"/>
    </xf>
    <xf numFmtId="0" fontId="52" fillId="24" borderId="42" xfId="0" applyFont="1" applyFill="1" applyBorder="1" applyAlignment="1" applyProtection="1">
      <alignment horizontal="center" vertical="center" wrapText="1"/>
      <protection hidden="1"/>
    </xf>
    <xf numFmtId="0" fontId="0" fillId="0" borderId="41" xfId="0" applyBorder="1" applyProtection="1">
      <protection hidden="1"/>
    </xf>
    <xf numFmtId="0" fontId="0" fillId="0" borderId="19" xfId="0" applyBorder="1" applyProtection="1">
      <protection locked="0" hidden="1"/>
    </xf>
    <xf numFmtId="0" fontId="166" fillId="0" borderId="43" xfId="0" applyFont="1" applyBorder="1" applyAlignment="1">
      <alignment horizontal="left" vertical="center" wrapText="1"/>
    </xf>
    <xf numFmtId="0" fontId="42" fillId="25" borderId="15" xfId="0" applyFont="1" applyFill="1" applyBorder="1" applyAlignment="1" applyProtection="1">
      <alignment horizontal="left" vertical="top" wrapText="1"/>
      <protection locked="0"/>
    </xf>
    <xf numFmtId="0" fontId="0" fillId="0" borderId="19" xfId="0" applyBorder="1" applyProtection="1">
      <protection locked="0"/>
    </xf>
    <xf numFmtId="0" fontId="319" fillId="0" borderId="43" xfId="0" applyFont="1" applyBorder="1" applyAlignment="1">
      <alignment horizontal="left" vertical="center" wrapText="1"/>
    </xf>
    <xf numFmtId="0" fontId="391" fillId="0" borderId="43" xfId="0" applyFont="1" applyBorder="1" applyAlignment="1">
      <alignment horizontal="left" vertical="center" wrapText="1"/>
    </xf>
    <xf numFmtId="0" fontId="88" fillId="0" borderId="43" xfId="0" applyFont="1" applyBorder="1" applyAlignment="1">
      <alignment horizontal="left" vertical="center" wrapText="1"/>
    </xf>
    <xf numFmtId="165" fontId="36" fillId="25" borderId="11" xfId="0" applyNumberFormat="1" applyFont="1" applyFill="1" applyBorder="1" applyAlignment="1" applyProtection="1">
      <alignment horizontal="center" vertical="center"/>
      <protection locked="0"/>
    </xf>
    <xf numFmtId="0" fontId="259" fillId="0" borderId="43" xfId="0" applyFont="1" applyBorder="1" applyAlignment="1">
      <alignment horizontal="left" vertical="center" wrapText="1"/>
    </xf>
    <xf numFmtId="0" fontId="373" fillId="0" borderId="43" xfId="0" applyFont="1" applyBorder="1" applyAlignment="1">
      <alignment horizontal="left" vertical="center" wrapText="1"/>
    </xf>
    <xf numFmtId="0" fontId="91" fillId="0" borderId="43" xfId="0" applyFont="1" applyBorder="1" applyAlignment="1">
      <alignment horizontal="left" vertical="center" wrapText="1"/>
    </xf>
    <xf numFmtId="0" fontId="76" fillId="0" borderId="43" xfId="0" applyFont="1" applyBorder="1" applyAlignment="1">
      <alignment horizontal="left" vertical="center" wrapText="1"/>
    </xf>
    <xf numFmtId="0" fontId="379" fillId="0" borderId="43" xfId="0" applyFont="1" applyBorder="1" applyAlignment="1">
      <alignment horizontal="left" vertical="center" wrapText="1"/>
    </xf>
    <xf numFmtId="0" fontId="175" fillId="0" borderId="43" xfId="0" applyFont="1" applyBorder="1" applyAlignment="1">
      <alignment horizontal="left" vertical="center" wrapText="1"/>
    </xf>
    <xf numFmtId="0" fontId="178" fillId="0" borderId="43" xfId="0" applyFont="1" applyBorder="1" applyAlignment="1">
      <alignment horizontal="left" vertical="center" wrapText="1"/>
    </xf>
    <xf numFmtId="0" fontId="289" fillId="0" borderId="43" xfId="0" applyFont="1" applyBorder="1" applyAlignment="1">
      <alignment horizontal="left" vertical="center" wrapText="1"/>
    </xf>
    <xf numFmtId="0" fontId="55" fillId="0" borderId="0" xfId="0" applyFont="1" applyAlignment="1" applyProtection="1">
      <alignment horizontal="center" vertical="center" wrapText="1"/>
      <protection hidden="1"/>
    </xf>
    <xf numFmtId="0" fontId="106" fillId="0" borderId="43" xfId="0" applyFont="1" applyBorder="1" applyAlignment="1">
      <alignment horizontal="left" vertical="center" wrapText="1"/>
    </xf>
    <xf numFmtId="0" fontId="124" fillId="0" borderId="43" xfId="0" applyFont="1" applyBorder="1" applyAlignment="1">
      <alignment horizontal="left" vertical="center" wrapText="1"/>
    </xf>
    <xf numFmtId="0" fontId="217" fillId="0" borderId="43" xfId="0" applyFont="1" applyBorder="1" applyAlignment="1">
      <alignment horizontal="left" vertical="center" wrapText="1"/>
    </xf>
    <xf numFmtId="0" fontId="0" fillId="0" borderId="32" xfId="0" applyBorder="1" applyProtection="1">
      <protection hidden="1"/>
    </xf>
    <xf numFmtId="0" fontId="0" fillId="0" borderId="33" xfId="0" applyBorder="1" applyProtection="1">
      <protection hidden="1"/>
    </xf>
    <xf numFmtId="0" fontId="0" fillId="0" borderId="34" xfId="0" applyBorder="1" applyProtection="1">
      <protection hidden="1"/>
    </xf>
    <xf numFmtId="0" fontId="0" fillId="0" borderId="35" xfId="0" applyBorder="1" applyProtection="1">
      <protection hidden="1"/>
    </xf>
    <xf numFmtId="0" fontId="0" fillId="0" borderId="36" xfId="0" applyBorder="1" applyProtection="1">
      <protection hidden="1"/>
    </xf>
    <xf numFmtId="2" fontId="48" fillId="24" borderId="15" xfId="0" applyNumberFormat="1" applyFont="1" applyFill="1" applyBorder="1" applyAlignment="1" applyProtection="1">
      <alignment horizontal="center" vertical="center" wrapText="1"/>
      <protection hidden="1"/>
    </xf>
    <xf numFmtId="0" fontId="271" fillId="0" borderId="43" xfId="0" applyFont="1" applyBorder="1" applyAlignment="1">
      <alignment horizontal="left" vertical="center" wrapText="1"/>
    </xf>
    <xf numFmtId="0" fontId="142" fillId="0" borderId="43" xfId="0" applyFont="1" applyBorder="1" applyAlignment="1">
      <alignment horizontal="left" vertical="center" wrapText="1"/>
    </xf>
    <xf numFmtId="0" fontId="340" fillId="0" borderId="43" xfId="0" applyFont="1" applyBorder="1" applyAlignment="1">
      <alignment horizontal="left" vertical="center" wrapText="1"/>
    </xf>
    <xf numFmtId="0" fontId="115" fillId="0" borderId="43" xfId="0" applyFont="1" applyBorder="1" applyAlignment="1">
      <alignment horizontal="left" vertical="center" wrapText="1"/>
    </xf>
    <xf numFmtId="0" fontId="133" fillId="0" borderId="43" xfId="0" applyFont="1" applyBorder="1" applyAlignment="1">
      <alignment horizontal="left" vertical="center" wrapText="1"/>
    </xf>
    <xf numFmtId="0" fontId="223" fillId="0" borderId="43" xfId="0" applyFont="1" applyBorder="1" applyAlignment="1">
      <alignment horizontal="left" vertical="center" wrapText="1"/>
    </xf>
    <xf numFmtId="0" fontId="205" fillId="0" borderId="43" xfId="0" applyFont="1" applyBorder="1" applyAlignment="1">
      <alignment horizontal="left" vertical="center" wrapText="1"/>
    </xf>
    <xf numFmtId="0" fontId="190" fillId="0" borderId="43" xfId="0" applyFont="1" applyBorder="1" applyAlignment="1">
      <alignment horizontal="left" vertical="center" wrapText="1"/>
    </xf>
    <xf numFmtId="0" fontId="349" fillId="0" borderId="43" xfId="0" applyFont="1" applyBorder="1" applyAlignment="1">
      <alignment horizontal="left" vertical="center" wrapText="1"/>
    </xf>
    <xf numFmtId="168" fontId="36" fillId="25" borderId="15" xfId="0" applyNumberFormat="1" applyFont="1" applyFill="1" applyBorder="1" applyAlignment="1" applyProtection="1">
      <alignment horizontal="center" vertical="center"/>
      <protection locked="0"/>
    </xf>
    <xf numFmtId="0" fontId="418" fillId="0" borderId="43" xfId="0" applyFont="1" applyBorder="1" applyAlignment="1">
      <alignment horizontal="left" vertical="center" wrapText="1"/>
    </xf>
    <xf numFmtId="0" fontId="409" fillId="0" borderId="43" xfId="0" applyFont="1" applyBorder="1" applyAlignment="1">
      <alignment horizontal="left" vertical="center" wrapText="1"/>
    </xf>
    <xf numFmtId="49" fontId="36" fillId="0" borderId="15" xfId="0" applyNumberFormat="1" applyFont="1" applyBorder="1" applyAlignment="1">
      <alignment horizontal="center" vertical="center"/>
    </xf>
    <xf numFmtId="0" fontId="214" fillId="0" borderId="43" xfId="0" applyFont="1" applyBorder="1" applyAlignment="1">
      <alignment horizontal="left" vertical="center" wrapText="1"/>
    </xf>
    <xf numFmtId="0" fontId="145" fillId="0" borderId="43" xfId="0" applyFont="1" applyBorder="1" applyAlignment="1">
      <alignment horizontal="left" vertical="center" wrapText="1"/>
    </xf>
    <xf numFmtId="0" fontId="151" fillId="0" borderId="43" xfId="0" applyFont="1" applyBorder="1" applyAlignment="1">
      <alignment horizontal="left" vertical="center" wrapText="1"/>
    </xf>
    <xf numFmtId="0" fontId="45" fillId="24" borderId="15" xfId="0" applyFont="1" applyFill="1" applyBorder="1" applyAlignment="1" applyProtection="1">
      <alignment horizontal="center" vertical="center" wrapText="1"/>
      <protection hidden="1"/>
    </xf>
    <xf numFmtId="0" fontId="52" fillId="24" borderId="15" xfId="39" applyFont="1" applyFill="1" applyBorder="1" applyAlignment="1" applyProtection="1">
      <alignment horizontal="center" vertical="center" wrapText="1"/>
      <protection locked="0" hidden="1"/>
    </xf>
    <xf numFmtId="0" fontId="0" fillId="0" borderId="25" xfId="0" applyBorder="1" applyProtection="1">
      <protection locked="0" hidden="1"/>
    </xf>
    <xf numFmtId="2" fontId="48" fillId="24" borderId="11" xfId="0" applyNumberFormat="1" applyFont="1" applyFill="1" applyBorder="1" applyAlignment="1" applyProtection="1">
      <alignment vertical="center" wrapText="1"/>
      <protection hidden="1"/>
    </xf>
    <xf numFmtId="0" fontId="208" fillId="0" borderId="43" xfId="0" applyFont="1" applyBorder="1" applyAlignment="1">
      <alignment horizontal="left" vertical="center" wrapText="1"/>
    </xf>
    <xf numFmtId="0" fontId="226" fillId="0" borderId="43" xfId="0" applyFont="1" applyBorder="1" applyAlignment="1">
      <alignment horizontal="left" vertical="center" wrapText="1"/>
    </xf>
    <xf numFmtId="0" fontId="118" fillId="0" borderId="43" xfId="0" applyFont="1" applyBorder="1" applyAlignment="1">
      <alignment horizontal="left" vertical="center" wrapText="1"/>
    </xf>
    <xf numFmtId="0" fontId="295" fillId="0" borderId="43" xfId="0" applyFont="1" applyBorder="1" applyAlignment="1">
      <alignment horizontal="left" vertical="center" wrapText="1"/>
    </xf>
  </cellXfs>
  <cellStyles count="52">
    <cellStyle name="20% - Акцент1 2" xfId="1" xr:uid="{00000000-0005-0000-0000-000001000000}"/>
    <cellStyle name="20% - Акцент2 2" xfId="2" xr:uid="{00000000-0005-0000-0000-000002000000}"/>
    <cellStyle name="20% - Акцент3 2" xfId="3" xr:uid="{00000000-0005-0000-0000-000003000000}"/>
    <cellStyle name="20% - Акцент4 2" xfId="4" xr:uid="{00000000-0005-0000-0000-000004000000}"/>
    <cellStyle name="20% - Акцент5 2" xfId="5" xr:uid="{00000000-0005-0000-0000-000005000000}"/>
    <cellStyle name="20% - Акцент6 2" xfId="6" xr:uid="{00000000-0005-0000-0000-000006000000}"/>
    <cellStyle name="40% - Акцент1 2" xfId="7" xr:uid="{00000000-0005-0000-0000-000007000000}"/>
    <cellStyle name="40% - Акцент2 2" xfId="8" xr:uid="{00000000-0005-0000-0000-000008000000}"/>
    <cellStyle name="40% - Акцент3 2" xfId="9" xr:uid="{00000000-0005-0000-0000-000009000000}"/>
    <cellStyle name="40% - Акцент4 2" xfId="10" xr:uid="{00000000-0005-0000-0000-00000A000000}"/>
    <cellStyle name="40% - Акцент5 2" xfId="11" xr:uid="{00000000-0005-0000-0000-00000B000000}"/>
    <cellStyle name="40% - Акцент6 2" xfId="12" xr:uid="{00000000-0005-0000-0000-00000C000000}"/>
    <cellStyle name="60% - Акцент1 2" xfId="13" xr:uid="{00000000-0005-0000-0000-00000D000000}"/>
    <cellStyle name="60% - Акцент2 2" xfId="14" xr:uid="{00000000-0005-0000-0000-00000E000000}"/>
    <cellStyle name="60% - Акцент3 2" xfId="15" xr:uid="{00000000-0005-0000-0000-00000F000000}"/>
    <cellStyle name="60% - Акцент4 2" xfId="16" xr:uid="{00000000-0005-0000-0000-000010000000}"/>
    <cellStyle name="60% - Акцент5 2" xfId="17" xr:uid="{00000000-0005-0000-0000-000011000000}"/>
    <cellStyle name="60% - Акцент6 2" xfId="18" xr:uid="{00000000-0005-0000-0000-000012000000}"/>
    <cellStyle name="Акцент1 2" xfId="19" xr:uid="{00000000-0005-0000-0000-000013000000}"/>
    <cellStyle name="Акцент2 2" xfId="20" xr:uid="{00000000-0005-0000-0000-000014000000}"/>
    <cellStyle name="Акцент3 2" xfId="21" xr:uid="{00000000-0005-0000-0000-000015000000}"/>
    <cellStyle name="Акцент4 2" xfId="22" xr:uid="{00000000-0005-0000-0000-000016000000}"/>
    <cellStyle name="Акцент5 2" xfId="23" xr:uid="{00000000-0005-0000-0000-000017000000}"/>
    <cellStyle name="Акцент6 2" xfId="24" xr:uid="{00000000-0005-0000-0000-000018000000}"/>
    <cellStyle name="Ввод  2" xfId="25" xr:uid="{00000000-0005-0000-0000-000019000000}"/>
    <cellStyle name="Вывод 2" xfId="26" xr:uid="{00000000-0005-0000-0000-00001A000000}"/>
    <cellStyle name="Вычисление 2" xfId="27" xr:uid="{00000000-0005-0000-0000-00001B000000}"/>
    <cellStyle name="Заголовок 1 2" xfId="28" xr:uid="{00000000-0005-0000-0000-00001C000000}"/>
    <cellStyle name="Заголовок 2 2" xfId="29" xr:uid="{00000000-0005-0000-0000-00001D000000}"/>
    <cellStyle name="Заголовок 3 2" xfId="30" xr:uid="{00000000-0005-0000-0000-00001E000000}"/>
    <cellStyle name="Заголовок 4 2" xfId="31" xr:uid="{00000000-0005-0000-0000-00001F000000}"/>
    <cellStyle name="Итог 2" xfId="32" xr:uid="{00000000-0005-0000-0000-000020000000}"/>
    <cellStyle name="Контрольная ячейка 2" xfId="33" xr:uid="{00000000-0005-0000-0000-000021000000}"/>
    <cellStyle name="Название 2" xfId="34" xr:uid="{00000000-0005-0000-0000-000022000000}"/>
    <cellStyle name="Нейтральный 2" xfId="35" xr:uid="{00000000-0005-0000-0000-000023000000}"/>
    <cellStyle name="Обычный" xfId="0" builtinId="0"/>
    <cellStyle name="Обычный 16" xfId="36" xr:uid="{00000000-0005-0000-0000-000024000000}"/>
    <cellStyle name="Обычный 16 2" xfId="37" xr:uid="{00000000-0005-0000-0000-000025000000}"/>
    <cellStyle name="Обычный 16 2 2" xfId="38" xr:uid="{00000000-0005-0000-0000-000026000000}"/>
    <cellStyle name="Обычный 2" xfId="39" xr:uid="{00000000-0005-0000-0000-000027000000}"/>
    <cellStyle name="Обычный 2 2" xfId="40" xr:uid="{00000000-0005-0000-0000-000028000000}"/>
    <cellStyle name="Обычный 2 2 2" xfId="41" xr:uid="{00000000-0005-0000-0000-000029000000}"/>
    <cellStyle name="Обычный 3" xfId="42" xr:uid="{00000000-0005-0000-0000-00002A000000}"/>
    <cellStyle name="Обычный 3 2" xfId="43" xr:uid="{00000000-0005-0000-0000-00002B000000}"/>
    <cellStyle name="Обычный 3 3" xfId="44" xr:uid="{00000000-0005-0000-0000-00002C000000}"/>
    <cellStyle name="Плохой 2" xfId="45" xr:uid="{00000000-0005-0000-0000-00002D000000}"/>
    <cellStyle name="Пояснение 2" xfId="46" xr:uid="{00000000-0005-0000-0000-00002E000000}"/>
    <cellStyle name="Примечание 2" xfId="47" xr:uid="{00000000-0005-0000-0000-00002F000000}"/>
    <cellStyle name="Примечание 2 2" xfId="48" xr:uid="{00000000-0005-0000-0000-000030000000}"/>
    <cellStyle name="Связанная ячейка 2" xfId="49" xr:uid="{00000000-0005-0000-0000-000031000000}"/>
    <cellStyle name="Текст предупреждения 2" xfId="50" xr:uid="{00000000-0005-0000-0000-000032000000}"/>
    <cellStyle name="Хороший 2" xfId="51" xr:uid="{00000000-0005-0000-0000-000033000000}"/>
  </cellStyles>
  <dxfs count="9"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auto="1"/>
        </patternFill>
      </fill>
      <border>
        <left/>
        <right/>
        <top/>
        <bottom/>
        <vertical/>
        <horizontal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  <dxf>
      <font>
        <color theme="0"/>
      </font>
      <fill>
        <patternFill>
          <bgColor indexed="65"/>
        </patternFill>
      </fill>
      <border>
        <left/>
        <right/>
        <top/>
        <bottom/>
      </border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1A1A1A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Лист1"/>
  <dimension ref="A1:BP307"/>
  <sheetViews>
    <sheetView showGridLines="0" tabSelected="1" topLeftCell="A279" zoomScaleNormal="100" zoomScaleSheetLayoutView="100" workbookViewId="0">
      <selection activeCell="AA300" sqref="AA300"/>
    </sheetView>
  </sheetViews>
  <sheetFormatPr defaultColWidth="9.140625" defaultRowHeight="12.75" x14ac:dyDescent="0.2"/>
  <cols>
    <col min="1" max="1" width="9.140625" style="313" customWidth="1"/>
    <col min="2" max="2" width="10.85546875" style="3" customWidth="1"/>
    <col min="3" max="3" width="12.5703125" style="3" customWidth="1"/>
    <col min="4" max="4" width="6.42578125" style="3" customWidth="1"/>
    <col min="5" max="5" width="6.85546875" style="3" customWidth="1"/>
    <col min="6" max="6" width="8.42578125" style="3" customWidth="1"/>
    <col min="7" max="7" width="9.42578125" style="3" customWidth="1"/>
    <col min="8" max="8" width="11.85546875" style="3" customWidth="1"/>
    <col min="9" max="9" width="9.42578125" style="3" customWidth="1"/>
    <col min="10" max="10" width="9.140625" style="4" customWidth="1"/>
    <col min="11" max="12" width="13.85546875" style="4" customWidth="1"/>
    <col min="13" max="13" width="9.42578125" style="4" customWidth="1"/>
    <col min="14" max="14" width="15.85546875" style="4" hidden="1" customWidth="1"/>
    <col min="15" max="15" width="10.42578125" style="3" customWidth="1"/>
    <col min="16" max="16" width="7.42578125" style="1" customWidth="1"/>
    <col min="17" max="17" width="15.5703125" style="1" customWidth="1"/>
    <col min="18" max="18" width="8.140625" style="313" customWidth="1"/>
    <col min="19" max="19" width="6.140625" style="313" customWidth="1"/>
    <col min="20" max="20" width="10.85546875" style="2" customWidth="1"/>
    <col min="21" max="21" width="10.42578125" style="2" customWidth="1"/>
    <col min="22" max="22" width="9.42578125" style="2" customWidth="1"/>
    <col min="23" max="23" width="8.42578125" style="2" customWidth="1"/>
    <col min="24" max="24" width="10" style="313" customWidth="1"/>
    <col min="25" max="25" width="11" style="313" customWidth="1"/>
    <col min="26" max="26" width="10" style="313" customWidth="1"/>
    <col min="27" max="27" width="11.5703125" style="313" customWidth="1"/>
    <col min="28" max="28" width="10.42578125" style="313" customWidth="1"/>
    <col min="29" max="29" width="30" style="313" customWidth="1"/>
    <col min="30" max="30" width="11.42578125" style="52" bestFit="1" customWidth="1"/>
    <col min="31" max="31" width="9.140625" style="52" customWidth="1"/>
    <col min="32" max="32" width="8.85546875" style="52" customWidth="1"/>
    <col min="33" max="33" width="13.5703125" style="313" customWidth="1"/>
    <col min="34" max="34" width="9.140625" style="313" customWidth="1"/>
    <col min="35" max="16384" width="9.140625" style="313"/>
  </cols>
  <sheetData>
    <row r="1" spans="1:32" s="317" customFormat="1" ht="45" customHeight="1" x14ac:dyDescent="0.2">
      <c r="A1" s="41"/>
      <c r="B1" s="41"/>
      <c r="C1" s="41"/>
      <c r="D1" s="379" t="s">
        <v>0</v>
      </c>
      <c r="E1" s="341"/>
      <c r="F1" s="341"/>
      <c r="G1" s="12" t="s">
        <v>1</v>
      </c>
      <c r="H1" s="379" t="s">
        <v>2</v>
      </c>
      <c r="I1" s="341"/>
      <c r="J1" s="341"/>
      <c r="K1" s="341"/>
      <c r="L1" s="341"/>
      <c r="M1" s="341"/>
      <c r="N1" s="341"/>
      <c r="O1" s="341"/>
      <c r="P1" s="341"/>
      <c r="Q1" s="341"/>
      <c r="R1" s="340" t="s">
        <v>3</v>
      </c>
      <c r="S1" s="341"/>
      <c r="T1" s="341"/>
      <c r="U1" s="13"/>
      <c r="V1" s="13"/>
      <c r="W1" s="13"/>
      <c r="X1" s="13"/>
      <c r="Y1" s="13"/>
      <c r="Z1" s="13"/>
      <c r="AA1" s="13"/>
      <c r="AB1" s="53"/>
      <c r="AC1" s="53"/>
      <c r="AD1" s="53"/>
      <c r="AE1" s="53"/>
      <c r="AF1" s="53"/>
    </row>
    <row r="2" spans="1:32" s="317" customFormat="1" ht="16.5" customHeight="1" x14ac:dyDescent="0.2">
      <c r="A2" s="29" t="s">
        <v>4</v>
      </c>
      <c r="B2" s="30" t="s">
        <v>3</v>
      </c>
      <c r="C2" s="11"/>
      <c r="D2" s="11"/>
      <c r="E2" s="15"/>
      <c r="F2" s="15"/>
      <c r="G2" s="15"/>
      <c r="H2" s="15"/>
      <c r="I2" s="15"/>
      <c r="J2" s="15"/>
      <c r="K2" s="15"/>
      <c r="L2" s="15"/>
      <c r="M2" s="15"/>
      <c r="N2" s="15"/>
      <c r="O2" s="15"/>
      <c r="P2" s="502" t="str">
        <f>IF(ISNA(VLOOKUP(DeliveryAddress,Setting!B:C,2,FALSE)),"",IF(ISNA(VLOOKUP(UnloadAddress,Setting!B:C,2,FALSE)),"",IF(VLOOKUP(DeliveryAddress,Setting!B:C,2,FALSE)=VLOOKUP(UnloadAddress,Setting!B:C,2,FALSE),"","Укажите, кто получит груз в поле Тип доверенности.")))</f>
        <v/>
      </c>
      <c r="Q2" s="330"/>
      <c r="R2" s="330"/>
      <c r="S2" s="330"/>
      <c r="T2" s="330"/>
      <c r="U2" s="330"/>
      <c r="V2" s="330"/>
      <c r="W2" s="330"/>
      <c r="X2" s="16"/>
      <c r="Y2" s="16"/>
      <c r="Z2" s="16"/>
      <c r="AA2" s="16"/>
      <c r="AB2" s="51"/>
      <c r="AC2" s="51"/>
      <c r="AD2" s="51"/>
      <c r="AE2" s="51"/>
    </row>
    <row r="3" spans="1:32" s="317" customFormat="1" ht="11.25" customHeight="1" x14ac:dyDescent="0.2">
      <c r="A3" s="27"/>
      <c r="B3" s="10" t="s">
        <v>5</v>
      </c>
      <c r="C3" s="14"/>
      <c r="D3" s="14"/>
      <c r="E3" s="17"/>
      <c r="F3" s="18" t="s">
        <v>6</v>
      </c>
      <c r="G3" s="15"/>
      <c r="H3" s="15"/>
      <c r="I3" s="15"/>
      <c r="J3" s="18"/>
      <c r="K3" s="18"/>
      <c r="L3" s="18"/>
      <c r="M3" s="15"/>
      <c r="N3" s="15"/>
      <c r="O3" s="15"/>
      <c r="P3" s="330"/>
      <c r="Q3" s="330"/>
      <c r="R3" s="330"/>
      <c r="S3" s="330"/>
      <c r="T3" s="330"/>
      <c r="U3" s="330"/>
      <c r="V3" s="330"/>
      <c r="W3" s="330"/>
      <c r="X3" s="16"/>
      <c r="Y3" s="16"/>
      <c r="Z3" s="16"/>
      <c r="AA3" s="16"/>
      <c r="AB3" s="51"/>
      <c r="AC3" s="51"/>
      <c r="AD3" s="51"/>
      <c r="AE3" s="51"/>
    </row>
    <row r="4" spans="1:32" s="317" customFormat="1" ht="9" customHeight="1" x14ac:dyDescent="0.2">
      <c r="A4" s="19"/>
      <c r="B4" s="19"/>
      <c r="C4" s="19"/>
      <c r="D4" s="19"/>
      <c r="E4" s="19"/>
      <c r="F4" s="19"/>
      <c r="G4" s="19"/>
      <c r="H4" s="19"/>
      <c r="I4" s="19"/>
      <c r="J4" s="19"/>
      <c r="K4" s="19"/>
      <c r="L4" s="19"/>
      <c r="M4" s="19"/>
      <c r="N4" s="19"/>
      <c r="O4" s="19"/>
      <c r="P4" s="19"/>
      <c r="Q4" s="20"/>
      <c r="R4" s="20"/>
      <c r="S4" s="20"/>
      <c r="T4" s="20"/>
      <c r="U4" s="20"/>
      <c r="V4" s="21"/>
      <c r="W4" s="22"/>
      <c r="X4" s="22"/>
      <c r="Y4" s="22"/>
      <c r="Z4" s="22"/>
      <c r="AA4" s="22"/>
      <c r="AB4" s="51"/>
      <c r="AC4" s="51"/>
      <c r="AD4" s="51"/>
      <c r="AE4" s="51"/>
    </row>
    <row r="5" spans="1:32" s="317" customFormat="1" ht="23.45" customHeight="1" x14ac:dyDescent="0.2">
      <c r="A5" s="414" t="s">
        <v>7</v>
      </c>
      <c r="B5" s="361"/>
      <c r="C5" s="362"/>
      <c r="D5" s="381"/>
      <c r="E5" s="382"/>
      <c r="F5" s="511" t="s">
        <v>8</v>
      </c>
      <c r="G5" s="362"/>
      <c r="H5" s="381"/>
      <c r="I5" s="486"/>
      <c r="J5" s="486"/>
      <c r="K5" s="486"/>
      <c r="L5" s="486"/>
      <c r="M5" s="382"/>
      <c r="N5" s="61"/>
      <c r="P5" s="24" t="s">
        <v>9</v>
      </c>
      <c r="Q5" s="521">
        <v>45614</v>
      </c>
      <c r="R5" s="412"/>
      <c r="T5" s="442" t="s">
        <v>10</v>
      </c>
      <c r="U5" s="372"/>
      <c r="V5" s="443" t="s">
        <v>11</v>
      </c>
      <c r="W5" s="412"/>
      <c r="AB5" s="51"/>
      <c r="AC5" s="51"/>
      <c r="AD5" s="51"/>
      <c r="AE5" s="51"/>
    </row>
    <row r="6" spans="1:32" s="317" customFormat="1" ht="24" customHeight="1" x14ac:dyDescent="0.2">
      <c r="A6" s="414" t="s">
        <v>12</v>
      </c>
      <c r="B6" s="361"/>
      <c r="C6" s="362"/>
      <c r="D6" s="488" t="s">
        <v>13</v>
      </c>
      <c r="E6" s="489"/>
      <c r="F6" s="489"/>
      <c r="G6" s="489"/>
      <c r="H6" s="489"/>
      <c r="I6" s="489"/>
      <c r="J6" s="489"/>
      <c r="K6" s="489"/>
      <c r="L6" s="489"/>
      <c r="M6" s="412"/>
      <c r="N6" s="62"/>
      <c r="P6" s="24" t="s">
        <v>14</v>
      </c>
      <c r="Q6" s="524" t="str">
        <f>IF(Q5=0," ",CHOOSE(WEEKDAY(Q5,2),"Понедельник","Вторник","Среда","Четверг","Пятница","Суббота","Воскресенье"))</f>
        <v>Понедельник</v>
      </c>
      <c r="R6" s="325"/>
      <c r="T6" s="448" t="s">
        <v>15</v>
      </c>
      <c r="U6" s="372"/>
      <c r="V6" s="472" t="s">
        <v>16</v>
      </c>
      <c r="W6" s="358"/>
      <c r="AB6" s="51"/>
      <c r="AC6" s="51"/>
      <c r="AD6" s="51"/>
      <c r="AE6" s="51"/>
    </row>
    <row r="7" spans="1:32" s="317" customFormat="1" ht="21.75" hidden="1" customHeight="1" x14ac:dyDescent="0.2">
      <c r="A7" s="55"/>
      <c r="B7" s="55"/>
      <c r="C7" s="55"/>
      <c r="D7" s="365" t="str">
        <f>IFERROR(VLOOKUP(DeliveryAddress,Table,3,0),1)</f>
        <v>1</v>
      </c>
      <c r="E7" s="366"/>
      <c r="F7" s="366"/>
      <c r="G7" s="366"/>
      <c r="H7" s="366"/>
      <c r="I7" s="366"/>
      <c r="J7" s="366"/>
      <c r="K7" s="366"/>
      <c r="L7" s="366"/>
      <c r="M7" s="367"/>
      <c r="N7" s="63"/>
      <c r="P7" s="24"/>
      <c r="Q7" s="42"/>
      <c r="R7" s="42"/>
      <c r="T7" s="330"/>
      <c r="U7" s="372"/>
      <c r="V7" s="473"/>
      <c r="W7" s="474"/>
      <c r="AB7" s="51"/>
      <c r="AC7" s="51"/>
      <c r="AD7" s="51"/>
      <c r="AE7" s="51"/>
    </row>
    <row r="8" spans="1:32" s="317" customFormat="1" ht="25.5" customHeight="1" x14ac:dyDescent="0.2">
      <c r="A8" s="531" t="s">
        <v>17</v>
      </c>
      <c r="B8" s="327"/>
      <c r="C8" s="328"/>
      <c r="D8" s="373" t="s">
        <v>18</v>
      </c>
      <c r="E8" s="374"/>
      <c r="F8" s="374"/>
      <c r="G8" s="374"/>
      <c r="H8" s="374"/>
      <c r="I8" s="374"/>
      <c r="J8" s="374"/>
      <c r="K8" s="374"/>
      <c r="L8" s="374"/>
      <c r="M8" s="375"/>
      <c r="N8" s="64"/>
      <c r="P8" s="24" t="s">
        <v>19</v>
      </c>
      <c r="Q8" s="419">
        <v>0.41666666666666669</v>
      </c>
      <c r="R8" s="367"/>
      <c r="T8" s="330"/>
      <c r="U8" s="372"/>
      <c r="V8" s="473"/>
      <c r="W8" s="474"/>
      <c r="AB8" s="51"/>
      <c r="AC8" s="51"/>
      <c r="AD8" s="51"/>
      <c r="AE8" s="51"/>
    </row>
    <row r="9" spans="1:32" s="317" customFormat="1" ht="39.950000000000003" customHeight="1" x14ac:dyDescent="0.2">
      <c r="A9" s="427" t="str">
        <f>IF(ISNA(VLOOKUP(DeliveryAddress,Setting!B:C,2,FALSE)),"",IF(ISNA(VLOOKUP(UnloadAddress,Setting!B:C,2,FALSE)),"",IF(VLOOKUP(DeliveryAddress,Setting!B:C,2,FALSE)=VLOOKUP(UnloadAddress,Setting!B:C,2,FALSE),"","Тип доверенности/получателя при получении в адресе перегруза:")))</f>
        <v/>
      </c>
      <c r="B9" s="330"/>
      <c r="C9" s="330"/>
      <c r="D9" s="425"/>
      <c r="E9" s="332"/>
      <c r="F9" s="427" t="str">
        <f>IF(AND($A$9="Тип доверенности/получателя при получении в адресе перегруза:",$D$9="Разовая доверенность"),"Паспортные данные получателя заказа:","")</f>
        <v/>
      </c>
      <c r="G9" s="330"/>
      <c r="H9" s="331" t="str">
        <f>IF(AND($A$9="Тип доверенности/получателя при получении в адресе перегруза:",$D$9="Разовая доверенность"),"Введите ФИО","")</f>
        <v/>
      </c>
      <c r="I9" s="332"/>
      <c r="J9" s="331" t="str">
        <f>IF(AND($A$9="Тип доверенности/получателя при получении в адресе перегруза:",$D$9="Разовая доверенность"),"Введите паспортные данные","")</f>
        <v/>
      </c>
      <c r="K9" s="332"/>
      <c r="L9" s="332"/>
      <c r="M9" s="332"/>
      <c r="N9" s="318"/>
      <c r="P9" s="26" t="s">
        <v>20</v>
      </c>
      <c r="Q9" s="409"/>
      <c r="R9" s="410"/>
      <c r="T9" s="330"/>
      <c r="U9" s="372"/>
      <c r="V9" s="475"/>
      <c r="W9" s="476"/>
      <c r="X9" s="43"/>
      <c r="Y9" s="43"/>
      <c r="Z9" s="43"/>
      <c r="AA9" s="43"/>
      <c r="AB9" s="51"/>
      <c r="AC9" s="51"/>
      <c r="AD9" s="51"/>
      <c r="AE9" s="51"/>
    </row>
    <row r="10" spans="1:32" s="317" customFormat="1" ht="26.45" customHeight="1" x14ac:dyDescent="0.2">
      <c r="A10" s="427" t="str">
        <f>IF(AND($A$9="Тип доверенности/получателя при получении в адресе перегруза:",$D$9="Уполномоченное лицо"),"Постоянная доверенность (название, номер):","")</f>
        <v/>
      </c>
      <c r="B10" s="330"/>
      <c r="C10" s="330"/>
      <c r="D10" s="425"/>
      <c r="E10" s="332"/>
      <c r="F10" s="427" t="str">
        <f>IF(AND($A$9="Тип доверенности/получателя при получении в адресе перегруза:",$D$9="Уполномоченное лицо"),"Уполномоченное лицо при получении груза в адресе перегруза:","")</f>
        <v/>
      </c>
      <c r="G10" s="330"/>
      <c r="H10" s="467" t="str">
        <f>IFERROR(VLOOKUP($D$10,Proxy,2,FALSE),"")</f>
        <v/>
      </c>
      <c r="I10" s="330"/>
      <c r="J10" s="330"/>
      <c r="K10" s="330"/>
      <c r="L10" s="330"/>
      <c r="M10" s="330"/>
      <c r="N10" s="316"/>
      <c r="P10" s="26" t="s">
        <v>21</v>
      </c>
      <c r="Q10" s="449"/>
      <c r="R10" s="450"/>
      <c r="U10" s="24" t="s">
        <v>22</v>
      </c>
      <c r="V10" s="357" t="s">
        <v>23</v>
      </c>
      <c r="W10" s="358"/>
      <c r="X10" s="44"/>
      <c r="Y10" s="44"/>
      <c r="Z10" s="44"/>
      <c r="AA10" s="44"/>
      <c r="AB10" s="51"/>
      <c r="AC10" s="51"/>
      <c r="AD10" s="51"/>
      <c r="AE10" s="51"/>
    </row>
    <row r="11" spans="1:32" s="317" customFormat="1" ht="15.95" customHeight="1" x14ac:dyDescent="0.2">
      <c r="A11" s="28" t="s">
        <v>24</v>
      </c>
      <c r="B11" s="25"/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P11" s="26" t="s">
        <v>25</v>
      </c>
      <c r="Q11" s="411"/>
      <c r="R11" s="412"/>
      <c r="U11" s="24" t="s">
        <v>26</v>
      </c>
      <c r="V11" s="493" t="s">
        <v>27</v>
      </c>
      <c r="W11" s="410"/>
      <c r="X11" s="45"/>
      <c r="Y11" s="45"/>
      <c r="Z11" s="45"/>
      <c r="AA11" s="45"/>
      <c r="AB11" s="51"/>
      <c r="AC11" s="51"/>
      <c r="AD11" s="51"/>
      <c r="AE11" s="51"/>
    </row>
    <row r="12" spans="1:32" s="317" customFormat="1" ht="18.600000000000001" customHeight="1" x14ac:dyDescent="0.2">
      <c r="A12" s="440" t="s">
        <v>28</v>
      </c>
      <c r="B12" s="361"/>
      <c r="C12" s="361"/>
      <c r="D12" s="361"/>
      <c r="E12" s="361"/>
      <c r="F12" s="361"/>
      <c r="G12" s="361"/>
      <c r="H12" s="361"/>
      <c r="I12" s="361"/>
      <c r="J12" s="361"/>
      <c r="K12" s="361"/>
      <c r="L12" s="361"/>
      <c r="M12" s="362"/>
      <c r="N12" s="65"/>
      <c r="P12" s="24" t="s">
        <v>29</v>
      </c>
      <c r="Q12" s="419"/>
      <c r="R12" s="367"/>
      <c r="S12" s="23"/>
      <c r="U12" s="24"/>
      <c r="V12" s="341"/>
      <c r="W12" s="330"/>
      <c r="AB12" s="51"/>
      <c r="AC12" s="51"/>
      <c r="AD12" s="51"/>
      <c r="AE12" s="51"/>
    </row>
    <row r="13" spans="1:32" s="317" customFormat="1" ht="23.25" customHeight="1" x14ac:dyDescent="0.2">
      <c r="A13" s="440" t="s">
        <v>30</v>
      </c>
      <c r="B13" s="361"/>
      <c r="C13" s="361"/>
      <c r="D13" s="361"/>
      <c r="E13" s="361"/>
      <c r="F13" s="361"/>
      <c r="G13" s="361"/>
      <c r="H13" s="361"/>
      <c r="I13" s="361"/>
      <c r="J13" s="361"/>
      <c r="K13" s="361"/>
      <c r="L13" s="361"/>
      <c r="M13" s="362"/>
      <c r="N13" s="65"/>
      <c r="O13" s="26"/>
      <c r="P13" s="26" t="s">
        <v>31</v>
      </c>
      <c r="Q13" s="493"/>
      <c r="R13" s="410"/>
      <c r="S13" s="23"/>
      <c r="X13" s="49"/>
      <c r="Y13" s="49"/>
      <c r="Z13" s="49"/>
      <c r="AA13" s="49"/>
      <c r="AB13" s="51"/>
      <c r="AC13" s="51"/>
      <c r="AD13" s="51"/>
      <c r="AE13" s="51"/>
    </row>
    <row r="14" spans="1:32" s="317" customFormat="1" ht="18.600000000000001" customHeight="1" x14ac:dyDescent="0.2">
      <c r="A14" s="440" t="s">
        <v>32</v>
      </c>
      <c r="B14" s="361"/>
      <c r="C14" s="361"/>
      <c r="D14" s="361"/>
      <c r="E14" s="361"/>
      <c r="F14" s="361"/>
      <c r="G14" s="361"/>
      <c r="H14" s="361"/>
      <c r="I14" s="361"/>
      <c r="J14" s="361"/>
      <c r="K14" s="361"/>
      <c r="L14" s="361"/>
      <c r="M14" s="362"/>
      <c r="N14" s="65"/>
      <c r="X14" s="50"/>
      <c r="Y14" s="50"/>
      <c r="Z14" s="50"/>
      <c r="AA14" s="50"/>
      <c r="AB14" s="51"/>
      <c r="AC14" s="51"/>
      <c r="AD14" s="51"/>
      <c r="AE14" s="51"/>
    </row>
    <row r="15" spans="1:32" s="317" customFormat="1" ht="22.5" customHeight="1" x14ac:dyDescent="0.2">
      <c r="A15" s="455" t="s">
        <v>33</v>
      </c>
      <c r="B15" s="361"/>
      <c r="C15" s="361"/>
      <c r="D15" s="361"/>
      <c r="E15" s="361"/>
      <c r="F15" s="361"/>
      <c r="G15" s="361"/>
      <c r="H15" s="361"/>
      <c r="I15" s="361"/>
      <c r="J15" s="361"/>
      <c r="K15" s="361"/>
      <c r="L15" s="361"/>
      <c r="M15" s="362"/>
      <c r="N15" s="66"/>
      <c r="P15" s="431" t="s">
        <v>34</v>
      </c>
      <c r="Q15" s="341"/>
      <c r="R15" s="341"/>
      <c r="S15" s="341"/>
      <c r="T15" s="341"/>
      <c r="AB15" s="51"/>
      <c r="AC15" s="51"/>
      <c r="AD15" s="51"/>
      <c r="AE15" s="51"/>
    </row>
    <row r="16" spans="1:32" ht="18.75" customHeight="1" x14ac:dyDescent="0.2">
      <c r="B16" s="6"/>
      <c r="C16" s="6"/>
      <c r="D16" s="5"/>
      <c r="E16" s="5"/>
      <c r="F16" s="5"/>
      <c r="G16" s="5"/>
      <c r="H16" s="7"/>
      <c r="I16" s="7"/>
      <c r="J16" s="7"/>
      <c r="K16" s="7"/>
      <c r="L16" s="7"/>
      <c r="M16" s="7"/>
      <c r="N16" s="7"/>
      <c r="O16" s="7"/>
      <c r="P16" s="432"/>
      <c r="Q16" s="432"/>
      <c r="R16" s="432"/>
      <c r="S16" s="432"/>
      <c r="T16" s="432"/>
      <c r="U16" s="7"/>
      <c r="V16" s="7"/>
      <c r="W16" s="8"/>
      <c r="X16" s="9"/>
      <c r="Y16" s="9"/>
      <c r="Z16" s="9"/>
      <c r="AA16" s="9"/>
      <c r="AB16" s="9"/>
      <c r="AC16" s="9"/>
    </row>
    <row r="17" spans="1:68" ht="27.75" customHeight="1" x14ac:dyDescent="0.2">
      <c r="A17" s="352" t="s">
        <v>35</v>
      </c>
      <c r="B17" s="352" t="s">
        <v>36</v>
      </c>
      <c r="C17" s="424" t="s">
        <v>37</v>
      </c>
      <c r="D17" s="352" t="s">
        <v>38</v>
      </c>
      <c r="E17" s="396"/>
      <c r="F17" s="352" t="s">
        <v>39</v>
      </c>
      <c r="G17" s="352" t="s">
        <v>40</v>
      </c>
      <c r="H17" s="352" t="s">
        <v>41</v>
      </c>
      <c r="I17" s="352" t="s">
        <v>42</v>
      </c>
      <c r="J17" s="352" t="s">
        <v>43</v>
      </c>
      <c r="K17" s="352" t="s">
        <v>44</v>
      </c>
      <c r="L17" s="352" t="s">
        <v>45</v>
      </c>
      <c r="M17" s="352" t="s">
        <v>46</v>
      </c>
      <c r="N17" s="352" t="s">
        <v>47</v>
      </c>
      <c r="O17" s="352" t="s">
        <v>48</v>
      </c>
      <c r="P17" s="352" t="s">
        <v>49</v>
      </c>
      <c r="Q17" s="395"/>
      <c r="R17" s="395"/>
      <c r="S17" s="395"/>
      <c r="T17" s="396"/>
      <c r="U17" s="528" t="s">
        <v>50</v>
      </c>
      <c r="V17" s="362"/>
      <c r="W17" s="352" t="s">
        <v>51</v>
      </c>
      <c r="X17" s="352" t="s">
        <v>52</v>
      </c>
      <c r="Y17" s="529" t="s">
        <v>53</v>
      </c>
      <c r="Z17" s="484" t="s">
        <v>54</v>
      </c>
      <c r="AA17" s="468" t="s">
        <v>55</v>
      </c>
      <c r="AB17" s="468" t="s">
        <v>56</v>
      </c>
      <c r="AC17" s="468" t="s">
        <v>57</v>
      </c>
      <c r="AD17" s="468" t="s">
        <v>58</v>
      </c>
      <c r="AE17" s="506"/>
      <c r="AF17" s="507"/>
      <c r="AG17" s="69"/>
      <c r="BD17" s="68" t="s">
        <v>59</v>
      </c>
    </row>
    <row r="18" spans="1:68" ht="14.25" customHeight="1" x14ac:dyDescent="0.2">
      <c r="A18" s="353"/>
      <c r="B18" s="353"/>
      <c r="C18" s="353"/>
      <c r="D18" s="397"/>
      <c r="E18" s="399"/>
      <c r="F18" s="353"/>
      <c r="G18" s="353"/>
      <c r="H18" s="353"/>
      <c r="I18" s="353"/>
      <c r="J18" s="353"/>
      <c r="K18" s="353"/>
      <c r="L18" s="353"/>
      <c r="M18" s="353"/>
      <c r="N18" s="353"/>
      <c r="O18" s="353"/>
      <c r="P18" s="397"/>
      <c r="Q18" s="398"/>
      <c r="R18" s="398"/>
      <c r="S18" s="398"/>
      <c r="T18" s="399"/>
      <c r="U18" s="70" t="s">
        <v>60</v>
      </c>
      <c r="V18" s="70" t="s">
        <v>61</v>
      </c>
      <c r="W18" s="353"/>
      <c r="X18" s="353"/>
      <c r="Y18" s="530"/>
      <c r="Z18" s="485"/>
      <c r="AA18" s="469"/>
      <c r="AB18" s="469"/>
      <c r="AC18" s="469"/>
      <c r="AD18" s="508"/>
      <c r="AE18" s="509"/>
      <c r="AF18" s="510"/>
      <c r="AG18" s="69"/>
      <c r="BD18" s="68"/>
    </row>
    <row r="19" spans="1:68" ht="27.75" customHeight="1" x14ac:dyDescent="0.2">
      <c r="A19" s="390" t="s">
        <v>62</v>
      </c>
      <c r="B19" s="391"/>
      <c r="C19" s="391"/>
      <c r="D19" s="391"/>
      <c r="E19" s="391"/>
      <c r="F19" s="391"/>
      <c r="G19" s="391"/>
      <c r="H19" s="391"/>
      <c r="I19" s="391"/>
      <c r="J19" s="391"/>
      <c r="K19" s="391"/>
      <c r="L19" s="391"/>
      <c r="M19" s="391"/>
      <c r="N19" s="391"/>
      <c r="O19" s="391"/>
      <c r="P19" s="391"/>
      <c r="Q19" s="391"/>
      <c r="R19" s="391"/>
      <c r="S19" s="391"/>
      <c r="T19" s="391"/>
      <c r="U19" s="391"/>
      <c r="V19" s="391"/>
      <c r="W19" s="391"/>
      <c r="X19" s="391"/>
      <c r="Y19" s="391"/>
      <c r="Z19" s="391"/>
      <c r="AA19" s="48"/>
      <c r="AB19" s="48"/>
      <c r="AC19" s="48"/>
    </row>
    <row r="20" spans="1:68" ht="16.5" customHeight="1" x14ac:dyDescent="0.25">
      <c r="A20" s="329" t="s">
        <v>62</v>
      </c>
      <c r="B20" s="330"/>
      <c r="C20" s="330"/>
      <c r="D20" s="330"/>
      <c r="E20" s="330"/>
      <c r="F20" s="330"/>
      <c r="G20" s="330"/>
      <c r="H20" s="330"/>
      <c r="I20" s="330"/>
      <c r="J20" s="330"/>
      <c r="K20" s="330"/>
      <c r="L20" s="330"/>
      <c r="M20" s="330"/>
      <c r="N20" s="330"/>
      <c r="O20" s="330"/>
      <c r="P20" s="330"/>
      <c r="Q20" s="330"/>
      <c r="R20" s="330"/>
      <c r="S20" s="330"/>
      <c r="T20" s="330"/>
      <c r="U20" s="330"/>
      <c r="V20" s="330"/>
      <c r="W20" s="330"/>
      <c r="X20" s="330"/>
      <c r="Y20" s="330"/>
      <c r="Z20" s="330"/>
      <c r="AA20" s="315"/>
      <c r="AB20" s="315"/>
      <c r="AC20" s="315"/>
    </row>
    <row r="21" spans="1:68" ht="14.25" customHeight="1" x14ac:dyDescent="0.25">
      <c r="A21" s="354" t="s">
        <v>63</v>
      </c>
      <c r="B21" s="330"/>
      <c r="C21" s="330"/>
      <c r="D21" s="330"/>
      <c r="E21" s="330"/>
      <c r="F21" s="330"/>
      <c r="G21" s="330"/>
      <c r="H21" s="330"/>
      <c r="I21" s="330"/>
      <c r="J21" s="330"/>
      <c r="K21" s="330"/>
      <c r="L21" s="330"/>
      <c r="M21" s="330"/>
      <c r="N21" s="330"/>
      <c r="O21" s="330"/>
      <c r="P21" s="330"/>
      <c r="Q21" s="330"/>
      <c r="R21" s="330"/>
      <c r="S21" s="330"/>
      <c r="T21" s="330"/>
      <c r="U21" s="330"/>
      <c r="V21" s="330"/>
      <c r="W21" s="330"/>
      <c r="X21" s="330"/>
      <c r="Y21" s="330"/>
      <c r="Z21" s="330"/>
      <c r="AA21" s="314"/>
      <c r="AB21" s="314"/>
      <c r="AC21" s="314"/>
    </row>
    <row r="22" spans="1:68" ht="27" customHeight="1" x14ac:dyDescent="0.25">
      <c r="A22" s="54" t="s">
        <v>64</v>
      </c>
      <c r="B22" s="54" t="s">
        <v>65</v>
      </c>
      <c r="C22" s="31">
        <v>4301070899</v>
      </c>
      <c r="D22" s="324">
        <v>4607111035752</v>
      </c>
      <c r="E22" s="325"/>
      <c r="F22" s="319">
        <v>0.43</v>
      </c>
      <c r="G22" s="32">
        <v>16</v>
      </c>
      <c r="H22" s="319">
        <v>6.88</v>
      </c>
      <c r="I22" s="319">
        <v>7.2539999999999996</v>
      </c>
      <c r="J22" s="32">
        <v>84</v>
      </c>
      <c r="K22" s="32" t="s">
        <v>66</v>
      </c>
      <c r="L22" s="32" t="s">
        <v>67</v>
      </c>
      <c r="M22" s="33" t="s">
        <v>68</v>
      </c>
      <c r="N22" s="33"/>
      <c r="O22" s="32">
        <v>180</v>
      </c>
      <c r="P22" s="480" t="str">
        <f>HYPERLINK("https://abi.ru/products/Замороженные/Ядрена копоть/Ядрена копоть/Пельмени/P002928/","Пельмени «С мясом и копченостями» 0,43 сфера ТМ «Ядрена копоть»")</f>
        <v>Пельмени «С мясом и копченостями» 0,43 сфера ТМ «Ядрена копоть»</v>
      </c>
      <c r="Q22" s="334"/>
      <c r="R22" s="334"/>
      <c r="S22" s="334"/>
      <c r="T22" s="335"/>
      <c r="U22" s="34"/>
      <c r="V22" s="34"/>
      <c r="W22" s="35" t="s">
        <v>69</v>
      </c>
      <c r="X22" s="320">
        <v>0</v>
      </c>
      <c r="Y22" s="321">
        <f>IFERROR(IF(X22="","",X22),"")</f>
        <v>0</v>
      </c>
      <c r="Z22" s="36">
        <f>IFERROR(IF(X22="","",X22*0.0155),"")</f>
        <v>0</v>
      </c>
      <c r="AA22" s="56"/>
      <c r="AB22" s="57"/>
      <c r="AC22" s="72" t="s">
        <v>70</v>
      </c>
      <c r="AG22" s="67"/>
      <c r="AJ22" s="71" t="s">
        <v>71</v>
      </c>
      <c r="AK22" s="71">
        <v>1</v>
      </c>
      <c r="BB22" s="73" t="s">
        <v>1</v>
      </c>
      <c r="BM22" s="67">
        <f>IFERROR(X22*I22,"0")</f>
        <v>0</v>
      </c>
      <c r="BN22" s="67">
        <f>IFERROR(Y22*I22,"0")</f>
        <v>0</v>
      </c>
      <c r="BO22" s="67">
        <f>IFERROR(X22/J22,"0")</f>
        <v>0</v>
      </c>
      <c r="BP22" s="67">
        <f>IFERROR(Y22/J22,"0")</f>
        <v>0</v>
      </c>
    </row>
    <row r="23" spans="1:68" x14ac:dyDescent="0.2">
      <c r="A23" s="336"/>
      <c r="B23" s="330"/>
      <c r="C23" s="330"/>
      <c r="D23" s="330"/>
      <c r="E23" s="330"/>
      <c r="F23" s="330"/>
      <c r="G23" s="330"/>
      <c r="H23" s="330"/>
      <c r="I23" s="330"/>
      <c r="J23" s="330"/>
      <c r="K23" s="330"/>
      <c r="L23" s="330"/>
      <c r="M23" s="330"/>
      <c r="N23" s="330"/>
      <c r="O23" s="337"/>
      <c r="P23" s="326" t="s">
        <v>72</v>
      </c>
      <c r="Q23" s="327"/>
      <c r="R23" s="327"/>
      <c r="S23" s="327"/>
      <c r="T23" s="327"/>
      <c r="U23" s="327"/>
      <c r="V23" s="328"/>
      <c r="W23" s="37" t="s">
        <v>69</v>
      </c>
      <c r="X23" s="322">
        <f>IFERROR(SUM(X22:X22),"0")</f>
        <v>0</v>
      </c>
      <c r="Y23" s="322">
        <f>IFERROR(SUM(Y22:Y22),"0")</f>
        <v>0</v>
      </c>
      <c r="Z23" s="322">
        <f>IFERROR(IF(Z22="",0,Z22),"0")</f>
        <v>0</v>
      </c>
      <c r="AA23" s="323"/>
      <c r="AB23" s="323"/>
      <c r="AC23" s="323"/>
    </row>
    <row r="24" spans="1:68" x14ac:dyDescent="0.2">
      <c r="A24" s="330"/>
      <c r="B24" s="330"/>
      <c r="C24" s="330"/>
      <c r="D24" s="330"/>
      <c r="E24" s="330"/>
      <c r="F24" s="330"/>
      <c r="G24" s="330"/>
      <c r="H24" s="330"/>
      <c r="I24" s="330"/>
      <c r="J24" s="330"/>
      <c r="K24" s="330"/>
      <c r="L24" s="330"/>
      <c r="M24" s="330"/>
      <c r="N24" s="330"/>
      <c r="O24" s="337"/>
      <c r="P24" s="326" t="s">
        <v>72</v>
      </c>
      <c r="Q24" s="327"/>
      <c r="R24" s="327"/>
      <c r="S24" s="327"/>
      <c r="T24" s="327"/>
      <c r="U24" s="327"/>
      <c r="V24" s="328"/>
      <c r="W24" s="37" t="s">
        <v>73</v>
      </c>
      <c r="X24" s="322">
        <f>IFERROR(SUMPRODUCT(X22:X22*H22:H22),"0")</f>
        <v>0</v>
      </c>
      <c r="Y24" s="322">
        <f>IFERROR(SUMPRODUCT(Y22:Y22*H22:H22),"0")</f>
        <v>0</v>
      </c>
      <c r="Z24" s="37"/>
      <c r="AA24" s="323"/>
      <c r="AB24" s="323"/>
      <c r="AC24" s="323"/>
    </row>
    <row r="25" spans="1:68" ht="27.75" customHeight="1" x14ac:dyDescent="0.2">
      <c r="A25" s="390" t="s">
        <v>74</v>
      </c>
      <c r="B25" s="391"/>
      <c r="C25" s="391"/>
      <c r="D25" s="391"/>
      <c r="E25" s="391"/>
      <c r="F25" s="391"/>
      <c r="G25" s="391"/>
      <c r="H25" s="391"/>
      <c r="I25" s="391"/>
      <c r="J25" s="391"/>
      <c r="K25" s="391"/>
      <c r="L25" s="391"/>
      <c r="M25" s="391"/>
      <c r="N25" s="391"/>
      <c r="O25" s="391"/>
      <c r="P25" s="391"/>
      <c r="Q25" s="391"/>
      <c r="R25" s="391"/>
      <c r="S25" s="391"/>
      <c r="T25" s="391"/>
      <c r="U25" s="391"/>
      <c r="V25" s="391"/>
      <c r="W25" s="391"/>
      <c r="X25" s="391"/>
      <c r="Y25" s="391"/>
      <c r="Z25" s="391"/>
      <c r="AA25" s="48"/>
      <c r="AB25" s="48"/>
      <c r="AC25" s="48"/>
    </row>
    <row r="26" spans="1:68" ht="16.5" customHeight="1" x14ac:dyDescent="0.25">
      <c r="A26" s="329" t="s">
        <v>75</v>
      </c>
      <c r="B26" s="330"/>
      <c r="C26" s="330"/>
      <c r="D26" s="330"/>
      <c r="E26" s="330"/>
      <c r="F26" s="330"/>
      <c r="G26" s="330"/>
      <c r="H26" s="330"/>
      <c r="I26" s="330"/>
      <c r="J26" s="330"/>
      <c r="K26" s="330"/>
      <c r="L26" s="330"/>
      <c r="M26" s="330"/>
      <c r="N26" s="330"/>
      <c r="O26" s="330"/>
      <c r="P26" s="330"/>
      <c r="Q26" s="330"/>
      <c r="R26" s="330"/>
      <c r="S26" s="330"/>
      <c r="T26" s="330"/>
      <c r="U26" s="330"/>
      <c r="V26" s="330"/>
      <c r="W26" s="330"/>
      <c r="X26" s="330"/>
      <c r="Y26" s="330"/>
      <c r="Z26" s="330"/>
      <c r="AA26" s="315"/>
      <c r="AB26" s="315"/>
      <c r="AC26" s="315"/>
    </row>
    <row r="27" spans="1:68" ht="14.25" customHeight="1" x14ac:dyDescent="0.25">
      <c r="A27" s="354" t="s">
        <v>76</v>
      </c>
      <c r="B27" s="330"/>
      <c r="C27" s="330"/>
      <c r="D27" s="330"/>
      <c r="E27" s="330"/>
      <c r="F27" s="330"/>
      <c r="G27" s="330"/>
      <c r="H27" s="330"/>
      <c r="I27" s="330"/>
      <c r="J27" s="330"/>
      <c r="K27" s="330"/>
      <c r="L27" s="330"/>
      <c r="M27" s="330"/>
      <c r="N27" s="330"/>
      <c r="O27" s="330"/>
      <c r="P27" s="330"/>
      <c r="Q27" s="330"/>
      <c r="R27" s="330"/>
      <c r="S27" s="330"/>
      <c r="T27" s="330"/>
      <c r="U27" s="330"/>
      <c r="V27" s="330"/>
      <c r="W27" s="330"/>
      <c r="X27" s="330"/>
      <c r="Y27" s="330"/>
      <c r="Z27" s="330"/>
      <c r="AA27" s="314"/>
      <c r="AB27" s="314"/>
      <c r="AC27" s="314"/>
    </row>
    <row r="28" spans="1:68" ht="27" customHeight="1" x14ac:dyDescent="0.25">
      <c r="A28" s="54" t="s">
        <v>77</v>
      </c>
      <c r="B28" s="54" t="s">
        <v>78</v>
      </c>
      <c r="C28" s="31">
        <v>4301132095</v>
      </c>
      <c r="D28" s="324">
        <v>4607111036605</v>
      </c>
      <c r="E28" s="325"/>
      <c r="F28" s="319">
        <v>0.25</v>
      </c>
      <c r="G28" s="32">
        <v>6</v>
      </c>
      <c r="H28" s="319">
        <v>1.5</v>
      </c>
      <c r="I28" s="319">
        <v>1.9218</v>
      </c>
      <c r="J28" s="32">
        <v>140</v>
      </c>
      <c r="K28" s="32" t="s">
        <v>79</v>
      </c>
      <c r="L28" s="32" t="s">
        <v>80</v>
      </c>
      <c r="M28" s="33" t="s">
        <v>68</v>
      </c>
      <c r="N28" s="33"/>
      <c r="O28" s="32">
        <v>180</v>
      </c>
      <c r="P28" s="343" t="str">
        <f>HYPERLINK("https://abi.ru/products/Замороженные/Горячая штучка/Наггетсы ГШ/Наггетсы/P004106/","Нагетосы Сочная курочка в хрустящей панировке со сметаной и зеленью Наггетсы ГШ Фикс.вес 0,25 Лоток Горячая штучка")</f>
        <v>Нагетосы Сочная курочка в хрустящей панировке со сметаной и зеленью Наггетсы ГШ Фикс.вес 0,25 Лоток Горячая штучка</v>
      </c>
      <c r="Q28" s="334"/>
      <c r="R28" s="334"/>
      <c r="S28" s="334"/>
      <c r="T28" s="335"/>
      <c r="U28" s="34"/>
      <c r="V28" s="34"/>
      <c r="W28" s="35" t="s">
        <v>69</v>
      </c>
      <c r="X28" s="320">
        <v>28</v>
      </c>
      <c r="Y28" s="321">
        <f>IFERROR(IF(X28="","",X28),"")</f>
        <v>28</v>
      </c>
      <c r="Z28" s="36">
        <f>IFERROR(IF(X28="","",X28*0.00941),"")</f>
        <v>0.26347999999999999</v>
      </c>
      <c r="AA28" s="56"/>
      <c r="AB28" s="57"/>
      <c r="AC28" s="74" t="s">
        <v>81</v>
      </c>
      <c r="AG28" s="67"/>
      <c r="AJ28" s="71" t="s">
        <v>82</v>
      </c>
      <c r="AK28" s="71">
        <v>14</v>
      </c>
      <c r="BB28" s="75" t="s">
        <v>83</v>
      </c>
      <c r="BM28" s="67">
        <f>IFERROR(X28*I28,"0")</f>
        <v>53.810400000000001</v>
      </c>
      <c r="BN28" s="67">
        <f>IFERROR(Y28*I28,"0")</f>
        <v>53.810400000000001</v>
      </c>
      <c r="BO28" s="67">
        <f>IFERROR(X28/J28,"0")</f>
        <v>0.2</v>
      </c>
      <c r="BP28" s="67">
        <f>IFERROR(Y28/J28,"0")</f>
        <v>0.2</v>
      </c>
    </row>
    <row r="29" spans="1:68" ht="27" customHeight="1" x14ac:dyDescent="0.25">
      <c r="A29" s="54" t="s">
        <v>84</v>
      </c>
      <c r="B29" s="54" t="s">
        <v>85</v>
      </c>
      <c r="C29" s="31">
        <v>4301132093</v>
      </c>
      <c r="D29" s="324">
        <v>4607111036520</v>
      </c>
      <c r="E29" s="325"/>
      <c r="F29" s="319">
        <v>0.25</v>
      </c>
      <c r="G29" s="32">
        <v>6</v>
      </c>
      <c r="H29" s="319">
        <v>1.5</v>
      </c>
      <c r="I29" s="319">
        <v>1.9218</v>
      </c>
      <c r="J29" s="32">
        <v>140</v>
      </c>
      <c r="K29" s="32" t="s">
        <v>79</v>
      </c>
      <c r="L29" s="32" t="s">
        <v>80</v>
      </c>
      <c r="M29" s="33" t="s">
        <v>68</v>
      </c>
      <c r="N29" s="33"/>
      <c r="O29" s="32">
        <v>180</v>
      </c>
      <c r="P29" s="369" t="str">
        <f>HYPERLINK("https://abi.ru/products/Замороженные/Горячая штучка/Наггетсы ГШ/Наггетсы/P004104/","Нагетосы Сочная курочка в хрустящей панировке Наггетсы ГШ Фикс.вес 0,25 Лоток Горячая штучка")</f>
        <v>Нагетосы Сочная курочка в хрустящей панировке Наггетсы ГШ Фикс.вес 0,25 Лоток Горячая штучка</v>
      </c>
      <c r="Q29" s="334"/>
      <c r="R29" s="334"/>
      <c r="S29" s="334"/>
      <c r="T29" s="335"/>
      <c r="U29" s="34"/>
      <c r="V29" s="34"/>
      <c r="W29" s="35" t="s">
        <v>69</v>
      </c>
      <c r="X29" s="320">
        <v>0</v>
      </c>
      <c r="Y29" s="321">
        <f>IFERROR(IF(X29="","",X29),"")</f>
        <v>0</v>
      </c>
      <c r="Z29" s="36">
        <f>IFERROR(IF(X29="","",X29*0.00941),"")</f>
        <v>0</v>
      </c>
      <c r="AA29" s="56"/>
      <c r="AB29" s="57"/>
      <c r="AC29" s="76" t="s">
        <v>81</v>
      </c>
      <c r="AG29" s="67"/>
      <c r="AJ29" s="71" t="s">
        <v>82</v>
      </c>
      <c r="AK29" s="71">
        <v>14</v>
      </c>
      <c r="BB29" s="77" t="s">
        <v>83</v>
      </c>
      <c r="BM29" s="67">
        <f>IFERROR(X29*I29,"0")</f>
        <v>0</v>
      </c>
      <c r="BN29" s="67">
        <f>IFERROR(Y29*I29,"0")</f>
        <v>0</v>
      </c>
      <c r="BO29" s="67">
        <f>IFERROR(X29/J29,"0")</f>
        <v>0</v>
      </c>
      <c r="BP29" s="67">
        <f>IFERROR(Y29/J29,"0")</f>
        <v>0</v>
      </c>
    </row>
    <row r="30" spans="1:68" ht="27" customHeight="1" x14ac:dyDescent="0.25">
      <c r="A30" s="54" t="s">
        <v>86</v>
      </c>
      <c r="B30" s="54" t="s">
        <v>87</v>
      </c>
      <c r="C30" s="31">
        <v>4301132092</v>
      </c>
      <c r="D30" s="324">
        <v>4607111036537</v>
      </c>
      <c r="E30" s="325"/>
      <c r="F30" s="319">
        <v>0.25</v>
      </c>
      <c r="G30" s="32">
        <v>6</v>
      </c>
      <c r="H30" s="319">
        <v>1.5</v>
      </c>
      <c r="I30" s="319">
        <v>1.9218</v>
      </c>
      <c r="J30" s="32">
        <v>140</v>
      </c>
      <c r="K30" s="32" t="s">
        <v>79</v>
      </c>
      <c r="L30" s="32" t="s">
        <v>88</v>
      </c>
      <c r="M30" s="33" t="s">
        <v>68</v>
      </c>
      <c r="N30" s="33"/>
      <c r="O30" s="32">
        <v>180</v>
      </c>
      <c r="P30" s="347" t="str">
        <f>HYPERLINK("https://abi.ru/products/Замороженные/Горячая штучка/Наггетсы ГШ/Наггетсы/P004103/","Нагетосы Сочная курочка Наггетсы ГШ Фикс.вес 0,25 Лоток Горячая штучка")</f>
        <v>Нагетосы Сочная курочка Наггетсы ГШ Фикс.вес 0,25 Лоток Горячая штучка</v>
      </c>
      <c r="Q30" s="334"/>
      <c r="R30" s="334"/>
      <c r="S30" s="334"/>
      <c r="T30" s="335"/>
      <c r="U30" s="34"/>
      <c r="V30" s="34"/>
      <c r="W30" s="35" t="s">
        <v>69</v>
      </c>
      <c r="X30" s="320">
        <v>0</v>
      </c>
      <c r="Y30" s="321">
        <f>IFERROR(IF(X30="","",X30),"")</f>
        <v>0</v>
      </c>
      <c r="Z30" s="36">
        <f>IFERROR(IF(X30="","",X30*0.00941),"")</f>
        <v>0</v>
      </c>
      <c r="AA30" s="56"/>
      <c r="AB30" s="57"/>
      <c r="AC30" s="78" t="s">
        <v>81</v>
      </c>
      <c r="AG30" s="67"/>
      <c r="AJ30" s="71" t="s">
        <v>89</v>
      </c>
      <c r="AK30" s="71">
        <v>140</v>
      </c>
      <c r="BB30" s="79" t="s">
        <v>83</v>
      </c>
      <c r="BM30" s="67">
        <f>IFERROR(X30*I30,"0")</f>
        <v>0</v>
      </c>
      <c r="BN30" s="67">
        <f>IFERROR(Y30*I30,"0")</f>
        <v>0</v>
      </c>
      <c r="BO30" s="67">
        <f>IFERROR(X30/J30,"0")</f>
        <v>0</v>
      </c>
      <c r="BP30" s="67">
        <f>IFERROR(Y30/J30,"0")</f>
        <v>0</v>
      </c>
    </row>
    <row r="31" spans="1:68" ht="27" customHeight="1" x14ac:dyDescent="0.25">
      <c r="A31" s="54" t="s">
        <v>90</v>
      </c>
      <c r="B31" s="54" t="s">
        <v>91</v>
      </c>
      <c r="C31" s="31">
        <v>4301132094</v>
      </c>
      <c r="D31" s="324">
        <v>4607111036599</v>
      </c>
      <c r="E31" s="325"/>
      <c r="F31" s="319">
        <v>0.25</v>
      </c>
      <c r="G31" s="32">
        <v>6</v>
      </c>
      <c r="H31" s="319">
        <v>1.5</v>
      </c>
      <c r="I31" s="319">
        <v>1.9218</v>
      </c>
      <c r="J31" s="32">
        <v>140</v>
      </c>
      <c r="K31" s="32" t="s">
        <v>79</v>
      </c>
      <c r="L31" s="32" t="s">
        <v>80</v>
      </c>
      <c r="M31" s="33" t="s">
        <v>68</v>
      </c>
      <c r="N31" s="33"/>
      <c r="O31" s="32">
        <v>180</v>
      </c>
      <c r="P31" s="376" t="str">
        <f>HYPERLINK("https://abi.ru/products/Замороженные/Горячая штучка/Наггетсы ГШ/Наггетсы/P004105/","Нагетосы Сочная курочка со сладкой паприкой Наггетсы ГШ Фикс.вес 0,25 Лоток Горячая штучка")</f>
        <v>Нагетосы Сочная курочка со сладкой паприкой Наггетсы ГШ Фикс.вес 0,25 Лоток Горячая штучка</v>
      </c>
      <c r="Q31" s="334"/>
      <c r="R31" s="334"/>
      <c r="S31" s="334"/>
      <c r="T31" s="335"/>
      <c r="U31" s="34"/>
      <c r="V31" s="34"/>
      <c r="W31" s="35" t="s">
        <v>69</v>
      </c>
      <c r="X31" s="320">
        <v>28</v>
      </c>
      <c r="Y31" s="321">
        <f>IFERROR(IF(X31="","",X31),"")</f>
        <v>28</v>
      </c>
      <c r="Z31" s="36">
        <f>IFERROR(IF(X31="","",X31*0.00941),"")</f>
        <v>0.26347999999999999</v>
      </c>
      <c r="AA31" s="56"/>
      <c r="AB31" s="57"/>
      <c r="AC31" s="80" t="s">
        <v>81</v>
      </c>
      <c r="AG31" s="67"/>
      <c r="AJ31" s="71" t="s">
        <v>82</v>
      </c>
      <c r="AK31" s="71">
        <v>14</v>
      </c>
      <c r="BB31" s="81" t="s">
        <v>83</v>
      </c>
      <c r="BM31" s="67">
        <f>IFERROR(X31*I31,"0")</f>
        <v>53.810400000000001</v>
      </c>
      <c r="BN31" s="67">
        <f>IFERROR(Y31*I31,"0")</f>
        <v>53.810400000000001</v>
      </c>
      <c r="BO31" s="67">
        <f>IFERROR(X31/J31,"0")</f>
        <v>0.2</v>
      </c>
      <c r="BP31" s="67">
        <f>IFERROR(Y31/J31,"0")</f>
        <v>0.2</v>
      </c>
    </row>
    <row r="32" spans="1:68" x14ac:dyDescent="0.2">
      <c r="A32" s="336"/>
      <c r="B32" s="330"/>
      <c r="C32" s="330"/>
      <c r="D32" s="330"/>
      <c r="E32" s="330"/>
      <c r="F32" s="330"/>
      <c r="G32" s="330"/>
      <c r="H32" s="330"/>
      <c r="I32" s="330"/>
      <c r="J32" s="330"/>
      <c r="K32" s="330"/>
      <c r="L32" s="330"/>
      <c r="M32" s="330"/>
      <c r="N32" s="330"/>
      <c r="O32" s="337"/>
      <c r="P32" s="326" t="s">
        <v>72</v>
      </c>
      <c r="Q32" s="327"/>
      <c r="R32" s="327"/>
      <c r="S32" s="327"/>
      <c r="T32" s="327"/>
      <c r="U32" s="327"/>
      <c r="V32" s="328"/>
      <c r="W32" s="37" t="s">
        <v>69</v>
      </c>
      <c r="X32" s="322">
        <f>IFERROR(SUM(X28:X31),"0")</f>
        <v>56</v>
      </c>
      <c r="Y32" s="322">
        <f>IFERROR(SUM(Y28:Y31),"0")</f>
        <v>56</v>
      </c>
      <c r="Z32" s="322">
        <f>IFERROR(IF(Z28="",0,Z28),"0")+IFERROR(IF(Z29="",0,Z29),"0")+IFERROR(IF(Z30="",0,Z30),"0")+IFERROR(IF(Z31="",0,Z31),"0")</f>
        <v>0.52695999999999998</v>
      </c>
      <c r="AA32" s="323"/>
      <c r="AB32" s="323"/>
      <c r="AC32" s="323"/>
    </row>
    <row r="33" spans="1:68" x14ac:dyDescent="0.2">
      <c r="A33" s="330"/>
      <c r="B33" s="330"/>
      <c r="C33" s="330"/>
      <c r="D33" s="330"/>
      <c r="E33" s="330"/>
      <c r="F33" s="330"/>
      <c r="G33" s="330"/>
      <c r="H33" s="330"/>
      <c r="I33" s="330"/>
      <c r="J33" s="330"/>
      <c r="K33" s="330"/>
      <c r="L33" s="330"/>
      <c r="M33" s="330"/>
      <c r="N33" s="330"/>
      <c r="O33" s="337"/>
      <c r="P33" s="326" t="s">
        <v>72</v>
      </c>
      <c r="Q33" s="327"/>
      <c r="R33" s="327"/>
      <c r="S33" s="327"/>
      <c r="T33" s="327"/>
      <c r="U33" s="327"/>
      <c r="V33" s="328"/>
      <c r="W33" s="37" t="s">
        <v>73</v>
      </c>
      <c r="X33" s="322">
        <f>IFERROR(SUMPRODUCT(X28:X31*H28:H31),"0")</f>
        <v>84</v>
      </c>
      <c r="Y33" s="322">
        <f>IFERROR(SUMPRODUCT(Y28:Y31*H28:H31),"0")</f>
        <v>84</v>
      </c>
      <c r="Z33" s="37"/>
      <c r="AA33" s="323"/>
      <c r="AB33" s="323"/>
      <c r="AC33" s="323"/>
    </row>
    <row r="34" spans="1:68" ht="16.5" customHeight="1" x14ac:dyDescent="0.25">
      <c r="A34" s="329" t="s">
        <v>92</v>
      </c>
      <c r="B34" s="330"/>
      <c r="C34" s="330"/>
      <c r="D34" s="330"/>
      <c r="E34" s="330"/>
      <c r="F34" s="330"/>
      <c r="G34" s="330"/>
      <c r="H34" s="330"/>
      <c r="I34" s="330"/>
      <c r="J34" s="330"/>
      <c r="K34" s="330"/>
      <c r="L34" s="330"/>
      <c r="M34" s="330"/>
      <c r="N34" s="330"/>
      <c r="O34" s="330"/>
      <c r="P34" s="330"/>
      <c r="Q34" s="330"/>
      <c r="R34" s="330"/>
      <c r="S34" s="330"/>
      <c r="T34" s="330"/>
      <c r="U34" s="330"/>
      <c r="V34" s="330"/>
      <c r="W34" s="330"/>
      <c r="X34" s="330"/>
      <c r="Y34" s="330"/>
      <c r="Z34" s="330"/>
      <c r="AA34" s="315"/>
      <c r="AB34" s="315"/>
      <c r="AC34" s="315"/>
    </row>
    <row r="35" spans="1:68" ht="14.25" customHeight="1" x14ac:dyDescent="0.25">
      <c r="A35" s="354" t="s">
        <v>63</v>
      </c>
      <c r="B35" s="330"/>
      <c r="C35" s="330"/>
      <c r="D35" s="330"/>
      <c r="E35" s="330"/>
      <c r="F35" s="330"/>
      <c r="G35" s="330"/>
      <c r="H35" s="330"/>
      <c r="I35" s="330"/>
      <c r="J35" s="330"/>
      <c r="K35" s="330"/>
      <c r="L35" s="330"/>
      <c r="M35" s="330"/>
      <c r="N35" s="330"/>
      <c r="O35" s="330"/>
      <c r="P35" s="330"/>
      <c r="Q35" s="330"/>
      <c r="R35" s="330"/>
      <c r="S35" s="330"/>
      <c r="T35" s="330"/>
      <c r="U35" s="330"/>
      <c r="V35" s="330"/>
      <c r="W35" s="330"/>
      <c r="X35" s="330"/>
      <c r="Y35" s="330"/>
      <c r="Z35" s="330"/>
      <c r="AA35" s="314"/>
      <c r="AB35" s="314"/>
      <c r="AC35" s="314"/>
    </row>
    <row r="36" spans="1:68" ht="27" customHeight="1" x14ac:dyDescent="0.25">
      <c r="A36" s="54" t="s">
        <v>93</v>
      </c>
      <c r="B36" s="54" t="s">
        <v>94</v>
      </c>
      <c r="C36" s="31">
        <v>4301070884</v>
      </c>
      <c r="D36" s="324">
        <v>4607111036315</v>
      </c>
      <c r="E36" s="325"/>
      <c r="F36" s="319">
        <v>0.75</v>
      </c>
      <c r="G36" s="32">
        <v>8</v>
      </c>
      <c r="H36" s="319">
        <v>6</v>
      </c>
      <c r="I36" s="319">
        <v>6.27</v>
      </c>
      <c r="J36" s="32">
        <v>84</v>
      </c>
      <c r="K36" s="32" t="s">
        <v>66</v>
      </c>
      <c r="L36" s="32" t="s">
        <v>80</v>
      </c>
      <c r="M36" s="33" t="s">
        <v>68</v>
      </c>
      <c r="N36" s="33"/>
      <c r="O36" s="32">
        <v>180</v>
      </c>
      <c r="P36" s="497" t="str">
        <f>HYPERLINK("https://abi.ru/products/Замороженные/Горячая штучка/Grandmeni/Пельмени/P002782/","Пельмени Grandmeni с говядиной и свининой Grandmeni 0,75 Сфера Горячая штучка")</f>
        <v>Пельмени Grandmeni с говядиной и свининой Grandmeni 0,75 Сфера Горячая штучка</v>
      </c>
      <c r="Q36" s="334"/>
      <c r="R36" s="334"/>
      <c r="S36" s="334"/>
      <c r="T36" s="335"/>
      <c r="U36" s="34"/>
      <c r="V36" s="34"/>
      <c r="W36" s="35" t="s">
        <v>69</v>
      </c>
      <c r="X36" s="320">
        <v>0</v>
      </c>
      <c r="Y36" s="321">
        <f>IFERROR(IF(X36="","",X36),"")</f>
        <v>0</v>
      </c>
      <c r="Z36" s="36">
        <f>IFERROR(IF(X36="","",X36*0.0155),"")</f>
        <v>0</v>
      </c>
      <c r="AA36" s="56"/>
      <c r="AB36" s="57"/>
      <c r="AC36" s="82" t="s">
        <v>95</v>
      </c>
      <c r="AG36" s="67"/>
      <c r="AJ36" s="71" t="s">
        <v>82</v>
      </c>
      <c r="AK36" s="71">
        <v>12</v>
      </c>
      <c r="BB36" s="83" t="s">
        <v>1</v>
      </c>
      <c r="BM36" s="67">
        <f>IFERROR(X36*I36,"0")</f>
        <v>0</v>
      </c>
      <c r="BN36" s="67">
        <f>IFERROR(Y36*I36,"0")</f>
        <v>0</v>
      </c>
      <c r="BO36" s="67">
        <f>IFERROR(X36/J36,"0")</f>
        <v>0</v>
      </c>
      <c r="BP36" s="67">
        <f>IFERROR(Y36/J36,"0")</f>
        <v>0</v>
      </c>
    </row>
    <row r="37" spans="1:68" ht="27" customHeight="1" x14ac:dyDescent="0.25">
      <c r="A37" s="54" t="s">
        <v>96</v>
      </c>
      <c r="B37" s="54" t="s">
        <v>97</v>
      </c>
      <c r="C37" s="31">
        <v>4301070864</v>
      </c>
      <c r="D37" s="324">
        <v>4607111036292</v>
      </c>
      <c r="E37" s="325"/>
      <c r="F37" s="319">
        <v>0.75</v>
      </c>
      <c r="G37" s="32">
        <v>8</v>
      </c>
      <c r="H37" s="319">
        <v>6</v>
      </c>
      <c r="I37" s="319">
        <v>6.27</v>
      </c>
      <c r="J37" s="32">
        <v>84</v>
      </c>
      <c r="K37" s="32" t="s">
        <v>66</v>
      </c>
      <c r="L37" s="32" t="s">
        <v>80</v>
      </c>
      <c r="M37" s="33" t="s">
        <v>68</v>
      </c>
      <c r="N37" s="33"/>
      <c r="O37" s="32">
        <v>180</v>
      </c>
      <c r="P37" s="459" t="str">
        <f>HYPERLINK("https://abi.ru/products/Замороженные/Горячая штучка/Grandmeni/Пельмени/P002645/","Пельмени Grandmeni со сливочным маслом Grandmeni 0,75 Сфера Горячая штучка")</f>
        <v>Пельмени Grandmeni со сливочным маслом Grandmeni 0,75 Сфера Горячая штучка</v>
      </c>
      <c r="Q37" s="334"/>
      <c r="R37" s="334"/>
      <c r="S37" s="334"/>
      <c r="T37" s="335"/>
      <c r="U37" s="34"/>
      <c r="V37" s="34"/>
      <c r="W37" s="35" t="s">
        <v>69</v>
      </c>
      <c r="X37" s="320">
        <v>0</v>
      </c>
      <c r="Y37" s="321">
        <f>IFERROR(IF(X37="","",X37),"")</f>
        <v>0</v>
      </c>
      <c r="Z37" s="36">
        <f>IFERROR(IF(X37="","",X37*0.0155),"")</f>
        <v>0</v>
      </c>
      <c r="AA37" s="56"/>
      <c r="AB37" s="57"/>
      <c r="AC37" s="84" t="s">
        <v>98</v>
      </c>
      <c r="AG37" s="67"/>
      <c r="AJ37" s="71" t="s">
        <v>82</v>
      </c>
      <c r="AK37" s="71">
        <v>12</v>
      </c>
      <c r="BB37" s="85" t="s">
        <v>1</v>
      </c>
      <c r="BM37" s="67">
        <f>IFERROR(X37*I37,"0")</f>
        <v>0</v>
      </c>
      <c r="BN37" s="67">
        <f>IFERROR(Y37*I37,"0")</f>
        <v>0</v>
      </c>
      <c r="BO37" s="67">
        <f>IFERROR(X37/J37,"0")</f>
        <v>0</v>
      </c>
      <c r="BP37" s="67">
        <f>IFERROR(Y37/J37,"0")</f>
        <v>0</v>
      </c>
    </row>
    <row r="38" spans="1:68" x14ac:dyDescent="0.2">
      <c r="A38" s="336"/>
      <c r="B38" s="330"/>
      <c r="C38" s="330"/>
      <c r="D38" s="330"/>
      <c r="E38" s="330"/>
      <c r="F38" s="330"/>
      <c r="G38" s="330"/>
      <c r="H38" s="330"/>
      <c r="I38" s="330"/>
      <c r="J38" s="330"/>
      <c r="K38" s="330"/>
      <c r="L38" s="330"/>
      <c r="M38" s="330"/>
      <c r="N38" s="330"/>
      <c r="O38" s="337"/>
      <c r="P38" s="326" t="s">
        <v>72</v>
      </c>
      <c r="Q38" s="327"/>
      <c r="R38" s="327"/>
      <c r="S38" s="327"/>
      <c r="T38" s="327"/>
      <c r="U38" s="327"/>
      <c r="V38" s="328"/>
      <c r="W38" s="37" t="s">
        <v>69</v>
      </c>
      <c r="X38" s="322">
        <f>IFERROR(SUM(X36:X37),"0")</f>
        <v>0</v>
      </c>
      <c r="Y38" s="322">
        <f>IFERROR(SUM(Y36:Y37),"0")</f>
        <v>0</v>
      </c>
      <c r="Z38" s="322">
        <f>IFERROR(IF(Z36="",0,Z36),"0")+IFERROR(IF(Z37="",0,Z37),"0")</f>
        <v>0</v>
      </c>
      <c r="AA38" s="323"/>
      <c r="AB38" s="323"/>
      <c r="AC38" s="323"/>
    </row>
    <row r="39" spans="1:68" x14ac:dyDescent="0.2">
      <c r="A39" s="330"/>
      <c r="B39" s="330"/>
      <c r="C39" s="330"/>
      <c r="D39" s="330"/>
      <c r="E39" s="330"/>
      <c r="F39" s="330"/>
      <c r="G39" s="330"/>
      <c r="H39" s="330"/>
      <c r="I39" s="330"/>
      <c r="J39" s="330"/>
      <c r="K39" s="330"/>
      <c r="L39" s="330"/>
      <c r="M39" s="330"/>
      <c r="N39" s="330"/>
      <c r="O39" s="337"/>
      <c r="P39" s="326" t="s">
        <v>72</v>
      </c>
      <c r="Q39" s="327"/>
      <c r="R39" s="327"/>
      <c r="S39" s="327"/>
      <c r="T39" s="327"/>
      <c r="U39" s="327"/>
      <c r="V39" s="328"/>
      <c r="W39" s="37" t="s">
        <v>73</v>
      </c>
      <c r="X39" s="322">
        <f>IFERROR(SUMPRODUCT(X36:X37*H36:H37),"0")</f>
        <v>0</v>
      </c>
      <c r="Y39" s="322">
        <f>IFERROR(SUMPRODUCT(Y36:Y37*H36:H37),"0")</f>
        <v>0</v>
      </c>
      <c r="Z39" s="37"/>
      <c r="AA39" s="323"/>
      <c r="AB39" s="323"/>
      <c r="AC39" s="323"/>
    </row>
    <row r="40" spans="1:68" ht="16.5" customHeight="1" x14ac:dyDescent="0.25">
      <c r="A40" s="329" t="s">
        <v>99</v>
      </c>
      <c r="B40" s="330"/>
      <c r="C40" s="330"/>
      <c r="D40" s="330"/>
      <c r="E40" s="330"/>
      <c r="F40" s="330"/>
      <c r="G40" s="330"/>
      <c r="H40" s="330"/>
      <c r="I40" s="330"/>
      <c r="J40" s="330"/>
      <c r="K40" s="330"/>
      <c r="L40" s="330"/>
      <c r="M40" s="330"/>
      <c r="N40" s="330"/>
      <c r="O40" s="330"/>
      <c r="P40" s="330"/>
      <c r="Q40" s="330"/>
      <c r="R40" s="330"/>
      <c r="S40" s="330"/>
      <c r="T40" s="330"/>
      <c r="U40" s="330"/>
      <c r="V40" s="330"/>
      <c r="W40" s="330"/>
      <c r="X40" s="330"/>
      <c r="Y40" s="330"/>
      <c r="Z40" s="330"/>
      <c r="AA40" s="315"/>
      <c r="AB40" s="315"/>
      <c r="AC40" s="315"/>
    </row>
    <row r="41" spans="1:68" ht="14.25" customHeight="1" x14ac:dyDescent="0.25">
      <c r="A41" s="354" t="s">
        <v>100</v>
      </c>
      <c r="B41" s="330"/>
      <c r="C41" s="330"/>
      <c r="D41" s="330"/>
      <c r="E41" s="330"/>
      <c r="F41" s="330"/>
      <c r="G41" s="330"/>
      <c r="H41" s="330"/>
      <c r="I41" s="330"/>
      <c r="J41" s="330"/>
      <c r="K41" s="330"/>
      <c r="L41" s="330"/>
      <c r="M41" s="330"/>
      <c r="N41" s="330"/>
      <c r="O41" s="330"/>
      <c r="P41" s="330"/>
      <c r="Q41" s="330"/>
      <c r="R41" s="330"/>
      <c r="S41" s="330"/>
      <c r="T41" s="330"/>
      <c r="U41" s="330"/>
      <c r="V41" s="330"/>
      <c r="W41" s="330"/>
      <c r="X41" s="330"/>
      <c r="Y41" s="330"/>
      <c r="Z41" s="330"/>
      <c r="AA41" s="314"/>
      <c r="AB41" s="314"/>
      <c r="AC41" s="314"/>
    </row>
    <row r="42" spans="1:68" ht="27" customHeight="1" x14ac:dyDescent="0.25">
      <c r="A42" s="54" t="s">
        <v>101</v>
      </c>
      <c r="B42" s="54" t="s">
        <v>102</v>
      </c>
      <c r="C42" s="31">
        <v>4301190022</v>
      </c>
      <c r="D42" s="324">
        <v>4607111037053</v>
      </c>
      <c r="E42" s="325"/>
      <c r="F42" s="319">
        <v>0.2</v>
      </c>
      <c r="G42" s="32">
        <v>6</v>
      </c>
      <c r="H42" s="319">
        <v>1.2</v>
      </c>
      <c r="I42" s="319">
        <v>1.5918000000000001</v>
      </c>
      <c r="J42" s="32">
        <v>130</v>
      </c>
      <c r="K42" s="32" t="s">
        <v>103</v>
      </c>
      <c r="L42" s="32" t="s">
        <v>80</v>
      </c>
      <c r="M42" s="33" t="s">
        <v>68</v>
      </c>
      <c r="N42" s="33"/>
      <c r="O42" s="32">
        <v>365</v>
      </c>
      <c r="P42" s="383" t="str">
        <f>HYPERLINK("https://abi.ru/products/Замороженные/Горячая штучка/Чебупай/Изделия хлебобулочные/P003337/","«Чебупай сочное яблоко» Фикс.вес 0,2 Лоток ТМ «Горячая штучка»")</f>
        <v>«Чебупай сочное яблоко» Фикс.вес 0,2 Лоток ТМ «Горячая штучка»</v>
      </c>
      <c r="Q42" s="334"/>
      <c r="R42" s="334"/>
      <c r="S42" s="334"/>
      <c r="T42" s="335"/>
      <c r="U42" s="34"/>
      <c r="V42" s="34"/>
      <c r="W42" s="35" t="s">
        <v>69</v>
      </c>
      <c r="X42" s="320">
        <v>0</v>
      </c>
      <c r="Y42" s="321">
        <f>IFERROR(IF(X42="","",X42),"")</f>
        <v>0</v>
      </c>
      <c r="Z42" s="36">
        <f>IFERROR(IF(X42="","",X42*0.0095),"")</f>
        <v>0</v>
      </c>
      <c r="AA42" s="56"/>
      <c r="AB42" s="57"/>
      <c r="AC42" s="86" t="s">
        <v>104</v>
      </c>
      <c r="AG42" s="67"/>
      <c r="AJ42" s="71" t="s">
        <v>82</v>
      </c>
      <c r="AK42" s="71">
        <v>10</v>
      </c>
      <c r="BB42" s="87" t="s">
        <v>83</v>
      </c>
      <c r="BM42" s="67">
        <f>IFERROR(X42*I42,"0")</f>
        <v>0</v>
      </c>
      <c r="BN42" s="67">
        <f>IFERROR(Y42*I42,"0")</f>
        <v>0</v>
      </c>
      <c r="BO42" s="67">
        <f>IFERROR(X42/J42,"0")</f>
        <v>0</v>
      </c>
      <c r="BP42" s="67">
        <f>IFERROR(Y42/J42,"0")</f>
        <v>0</v>
      </c>
    </row>
    <row r="43" spans="1:68" x14ac:dyDescent="0.2">
      <c r="A43" s="336"/>
      <c r="B43" s="330"/>
      <c r="C43" s="330"/>
      <c r="D43" s="330"/>
      <c r="E43" s="330"/>
      <c r="F43" s="330"/>
      <c r="G43" s="330"/>
      <c r="H43" s="330"/>
      <c r="I43" s="330"/>
      <c r="J43" s="330"/>
      <c r="K43" s="330"/>
      <c r="L43" s="330"/>
      <c r="M43" s="330"/>
      <c r="N43" s="330"/>
      <c r="O43" s="337"/>
      <c r="P43" s="326" t="s">
        <v>72</v>
      </c>
      <c r="Q43" s="327"/>
      <c r="R43" s="327"/>
      <c r="S43" s="327"/>
      <c r="T43" s="327"/>
      <c r="U43" s="327"/>
      <c r="V43" s="328"/>
      <c r="W43" s="37" t="s">
        <v>69</v>
      </c>
      <c r="X43" s="322">
        <f>IFERROR(SUM(X42:X42),"0")</f>
        <v>0</v>
      </c>
      <c r="Y43" s="322">
        <f>IFERROR(SUM(Y42:Y42),"0")</f>
        <v>0</v>
      </c>
      <c r="Z43" s="322">
        <f>IFERROR(IF(Z42="",0,Z42),"0")</f>
        <v>0</v>
      </c>
      <c r="AA43" s="323"/>
      <c r="AB43" s="323"/>
      <c r="AC43" s="323"/>
    </row>
    <row r="44" spans="1:68" x14ac:dyDescent="0.2">
      <c r="A44" s="330"/>
      <c r="B44" s="330"/>
      <c r="C44" s="330"/>
      <c r="D44" s="330"/>
      <c r="E44" s="330"/>
      <c r="F44" s="330"/>
      <c r="G44" s="330"/>
      <c r="H44" s="330"/>
      <c r="I44" s="330"/>
      <c r="J44" s="330"/>
      <c r="K44" s="330"/>
      <c r="L44" s="330"/>
      <c r="M44" s="330"/>
      <c r="N44" s="330"/>
      <c r="O44" s="337"/>
      <c r="P44" s="326" t="s">
        <v>72</v>
      </c>
      <c r="Q44" s="327"/>
      <c r="R44" s="327"/>
      <c r="S44" s="327"/>
      <c r="T44" s="327"/>
      <c r="U44" s="327"/>
      <c r="V44" s="328"/>
      <c r="W44" s="37" t="s">
        <v>73</v>
      </c>
      <c r="X44" s="322">
        <f>IFERROR(SUMPRODUCT(X42:X42*H42:H42),"0")</f>
        <v>0</v>
      </c>
      <c r="Y44" s="322">
        <f>IFERROR(SUMPRODUCT(Y42:Y42*H42:H42),"0")</f>
        <v>0</v>
      </c>
      <c r="Z44" s="37"/>
      <c r="AA44" s="323"/>
      <c r="AB44" s="323"/>
      <c r="AC44" s="323"/>
    </row>
    <row r="45" spans="1:68" ht="16.5" customHeight="1" x14ac:dyDescent="0.25">
      <c r="A45" s="329" t="s">
        <v>105</v>
      </c>
      <c r="B45" s="330"/>
      <c r="C45" s="330"/>
      <c r="D45" s="330"/>
      <c r="E45" s="330"/>
      <c r="F45" s="330"/>
      <c r="G45" s="330"/>
      <c r="H45" s="330"/>
      <c r="I45" s="330"/>
      <c r="J45" s="330"/>
      <c r="K45" s="330"/>
      <c r="L45" s="330"/>
      <c r="M45" s="330"/>
      <c r="N45" s="330"/>
      <c r="O45" s="330"/>
      <c r="P45" s="330"/>
      <c r="Q45" s="330"/>
      <c r="R45" s="330"/>
      <c r="S45" s="330"/>
      <c r="T45" s="330"/>
      <c r="U45" s="330"/>
      <c r="V45" s="330"/>
      <c r="W45" s="330"/>
      <c r="X45" s="330"/>
      <c r="Y45" s="330"/>
      <c r="Z45" s="330"/>
      <c r="AA45" s="315"/>
      <c r="AB45" s="315"/>
      <c r="AC45" s="315"/>
    </row>
    <row r="46" spans="1:68" ht="14.25" customHeight="1" x14ac:dyDescent="0.25">
      <c r="A46" s="354" t="s">
        <v>63</v>
      </c>
      <c r="B46" s="330"/>
      <c r="C46" s="330"/>
      <c r="D46" s="330"/>
      <c r="E46" s="330"/>
      <c r="F46" s="330"/>
      <c r="G46" s="330"/>
      <c r="H46" s="330"/>
      <c r="I46" s="330"/>
      <c r="J46" s="330"/>
      <c r="K46" s="330"/>
      <c r="L46" s="330"/>
      <c r="M46" s="330"/>
      <c r="N46" s="330"/>
      <c r="O46" s="330"/>
      <c r="P46" s="330"/>
      <c r="Q46" s="330"/>
      <c r="R46" s="330"/>
      <c r="S46" s="330"/>
      <c r="T46" s="330"/>
      <c r="U46" s="330"/>
      <c r="V46" s="330"/>
      <c r="W46" s="330"/>
      <c r="X46" s="330"/>
      <c r="Y46" s="330"/>
      <c r="Z46" s="330"/>
      <c r="AA46" s="314"/>
      <c r="AB46" s="314"/>
      <c r="AC46" s="314"/>
    </row>
    <row r="47" spans="1:68" ht="27" customHeight="1" x14ac:dyDescent="0.25">
      <c r="A47" s="54" t="s">
        <v>106</v>
      </c>
      <c r="B47" s="54" t="s">
        <v>107</v>
      </c>
      <c r="C47" s="31">
        <v>4301070989</v>
      </c>
      <c r="D47" s="324">
        <v>4607111037190</v>
      </c>
      <c r="E47" s="325"/>
      <c r="F47" s="319">
        <v>0.43</v>
      </c>
      <c r="G47" s="32">
        <v>16</v>
      </c>
      <c r="H47" s="319">
        <v>6.88</v>
      </c>
      <c r="I47" s="319">
        <v>7.1996000000000002</v>
      </c>
      <c r="J47" s="32">
        <v>84</v>
      </c>
      <c r="K47" s="32" t="s">
        <v>66</v>
      </c>
      <c r="L47" s="32" t="s">
        <v>80</v>
      </c>
      <c r="M47" s="33" t="s">
        <v>68</v>
      </c>
      <c r="N47" s="33"/>
      <c r="O47" s="32">
        <v>180</v>
      </c>
      <c r="P47" s="392" t="str">
        <f>HYPERLINK("https://abi.ru/products/Замороженные/Горячая штучка/Бигбули ГШ/Пельмени/P003728/","Пельмени «Бигбули #МЕГАВКУСИЩЕ с сочной грудинкой» 0,43 сфера ТМ «Горячая штучка»")</f>
        <v>Пельмени «Бигбули #МЕГАВКУСИЩЕ с сочной грудинкой» 0,43 сфера ТМ «Горячая штучка»</v>
      </c>
      <c r="Q47" s="334"/>
      <c r="R47" s="334"/>
      <c r="S47" s="334"/>
      <c r="T47" s="335"/>
      <c r="U47" s="34"/>
      <c r="V47" s="34"/>
      <c r="W47" s="35" t="s">
        <v>69</v>
      </c>
      <c r="X47" s="320">
        <v>0</v>
      </c>
      <c r="Y47" s="321">
        <f t="shared" ref="Y47:Y58" si="0">IFERROR(IF(X47="","",X47),"")</f>
        <v>0</v>
      </c>
      <c r="Z47" s="36">
        <f t="shared" ref="Z47:Z58" si="1">IFERROR(IF(X47="","",X47*0.0155),"")</f>
        <v>0</v>
      </c>
      <c r="AA47" s="56"/>
      <c r="AB47" s="57"/>
      <c r="AC47" s="88" t="s">
        <v>108</v>
      </c>
      <c r="AG47" s="67"/>
      <c r="AJ47" s="71" t="s">
        <v>82</v>
      </c>
      <c r="AK47" s="71">
        <v>12</v>
      </c>
      <c r="BB47" s="89" t="s">
        <v>1</v>
      </c>
      <c r="BM47" s="67">
        <f t="shared" ref="BM47:BM58" si="2">IFERROR(X47*I47,"0")</f>
        <v>0</v>
      </c>
      <c r="BN47" s="67">
        <f t="shared" ref="BN47:BN58" si="3">IFERROR(Y47*I47,"0")</f>
        <v>0</v>
      </c>
      <c r="BO47" s="67">
        <f t="shared" ref="BO47:BO58" si="4">IFERROR(X47/J47,"0")</f>
        <v>0</v>
      </c>
      <c r="BP47" s="67">
        <f t="shared" ref="BP47:BP58" si="5">IFERROR(Y47/J47,"0")</f>
        <v>0</v>
      </c>
    </row>
    <row r="48" spans="1:68" ht="27" customHeight="1" x14ac:dyDescent="0.25">
      <c r="A48" s="54" t="s">
        <v>109</v>
      </c>
      <c r="B48" s="54" t="s">
        <v>110</v>
      </c>
      <c r="C48" s="31">
        <v>4301071032</v>
      </c>
      <c r="D48" s="324">
        <v>4607111038999</v>
      </c>
      <c r="E48" s="325"/>
      <c r="F48" s="319">
        <v>0.4</v>
      </c>
      <c r="G48" s="32">
        <v>16</v>
      </c>
      <c r="H48" s="319">
        <v>6.4</v>
      </c>
      <c r="I48" s="319">
        <v>6.7195999999999998</v>
      </c>
      <c r="J48" s="32">
        <v>84</v>
      </c>
      <c r="K48" s="32" t="s">
        <v>66</v>
      </c>
      <c r="L48" s="32" t="s">
        <v>80</v>
      </c>
      <c r="M48" s="33" t="s">
        <v>68</v>
      </c>
      <c r="N48" s="33"/>
      <c r="O48" s="32">
        <v>180</v>
      </c>
      <c r="P48" s="492" t="str">
        <f>HYPERLINK("https://abi.ru/products/Замороженные/Горячая штучка/Бигбули ГШ/Пельмени/P004202/","Пельмени «Бигбули #МЕГАВКУСИЩЕ с сочной грудинкой» 0,4 сфера ТМ «Горячая штучка»")</f>
        <v>Пельмени «Бигбули #МЕГАВКУСИЩЕ с сочной грудинкой» 0,4 сфера ТМ «Горячая штучка»</v>
      </c>
      <c r="Q48" s="334"/>
      <c r="R48" s="334"/>
      <c r="S48" s="334"/>
      <c r="T48" s="335"/>
      <c r="U48" s="34"/>
      <c r="V48" s="34"/>
      <c r="W48" s="35" t="s">
        <v>69</v>
      </c>
      <c r="X48" s="320">
        <v>0</v>
      </c>
      <c r="Y48" s="321">
        <f t="shared" si="0"/>
        <v>0</v>
      </c>
      <c r="Z48" s="36">
        <f t="shared" si="1"/>
        <v>0</v>
      </c>
      <c r="AA48" s="56"/>
      <c r="AB48" s="57"/>
      <c r="AC48" s="90" t="s">
        <v>108</v>
      </c>
      <c r="AG48" s="67"/>
      <c r="AJ48" s="71" t="s">
        <v>82</v>
      </c>
      <c r="AK48" s="71">
        <v>12</v>
      </c>
      <c r="BB48" s="91" t="s">
        <v>1</v>
      </c>
      <c r="BM48" s="67">
        <f t="shared" si="2"/>
        <v>0</v>
      </c>
      <c r="BN48" s="67">
        <f t="shared" si="3"/>
        <v>0</v>
      </c>
      <c r="BO48" s="67">
        <f t="shared" si="4"/>
        <v>0</v>
      </c>
      <c r="BP48" s="67">
        <f t="shared" si="5"/>
        <v>0</v>
      </c>
    </row>
    <row r="49" spans="1:68" ht="27" customHeight="1" x14ac:dyDescent="0.25">
      <c r="A49" s="54" t="s">
        <v>111</v>
      </c>
      <c r="B49" s="54" t="s">
        <v>112</v>
      </c>
      <c r="C49" s="31">
        <v>4301070972</v>
      </c>
      <c r="D49" s="324">
        <v>4607111037183</v>
      </c>
      <c r="E49" s="325"/>
      <c r="F49" s="319">
        <v>0.9</v>
      </c>
      <c r="G49" s="32">
        <v>8</v>
      </c>
      <c r="H49" s="319">
        <v>7.2</v>
      </c>
      <c r="I49" s="319">
        <v>7.4859999999999998</v>
      </c>
      <c r="J49" s="32">
        <v>84</v>
      </c>
      <c r="K49" s="32" t="s">
        <v>66</v>
      </c>
      <c r="L49" s="32" t="s">
        <v>80</v>
      </c>
      <c r="M49" s="33" t="s">
        <v>68</v>
      </c>
      <c r="N49" s="33"/>
      <c r="O49" s="32">
        <v>180</v>
      </c>
      <c r="P49" s="496" t="str">
        <f>HYPERLINK("https://abi.ru/products/Замороженные/Горячая штучка/Бигбули ГШ/Пельмени/P003682/","Пельмени «Бигбули #МЕГАВКУСИЩЕ с сочной грудинкой» 0,9 сфера ТМ «Горячая штучка»")</f>
        <v>Пельмени «Бигбули #МЕГАВКУСИЩЕ с сочной грудинкой» 0,9 сфера ТМ «Горячая штучка»</v>
      </c>
      <c r="Q49" s="334"/>
      <c r="R49" s="334"/>
      <c r="S49" s="334"/>
      <c r="T49" s="335"/>
      <c r="U49" s="34"/>
      <c r="V49" s="34"/>
      <c r="W49" s="35" t="s">
        <v>69</v>
      </c>
      <c r="X49" s="320">
        <v>0</v>
      </c>
      <c r="Y49" s="321">
        <f t="shared" si="0"/>
        <v>0</v>
      </c>
      <c r="Z49" s="36">
        <f t="shared" si="1"/>
        <v>0</v>
      </c>
      <c r="AA49" s="56"/>
      <c r="AB49" s="57"/>
      <c r="AC49" s="92" t="s">
        <v>108</v>
      </c>
      <c r="AG49" s="67"/>
      <c r="AJ49" s="71" t="s">
        <v>82</v>
      </c>
      <c r="AK49" s="71">
        <v>12</v>
      </c>
      <c r="BB49" s="93" t="s">
        <v>1</v>
      </c>
      <c r="BM49" s="67">
        <f t="shared" si="2"/>
        <v>0</v>
      </c>
      <c r="BN49" s="67">
        <f t="shared" si="3"/>
        <v>0</v>
      </c>
      <c r="BO49" s="67">
        <f t="shared" si="4"/>
        <v>0</v>
      </c>
      <c r="BP49" s="67">
        <f t="shared" si="5"/>
        <v>0</v>
      </c>
    </row>
    <row r="50" spans="1:68" ht="27" customHeight="1" x14ac:dyDescent="0.25">
      <c r="A50" s="54" t="s">
        <v>113</v>
      </c>
      <c r="B50" s="54" t="s">
        <v>114</v>
      </c>
      <c r="C50" s="31">
        <v>4301071044</v>
      </c>
      <c r="D50" s="324">
        <v>4607111039385</v>
      </c>
      <c r="E50" s="325"/>
      <c r="F50" s="319">
        <v>0.7</v>
      </c>
      <c r="G50" s="32">
        <v>10</v>
      </c>
      <c r="H50" s="319">
        <v>7</v>
      </c>
      <c r="I50" s="319">
        <v>7.3</v>
      </c>
      <c r="J50" s="32">
        <v>84</v>
      </c>
      <c r="K50" s="32" t="s">
        <v>66</v>
      </c>
      <c r="L50" s="32" t="s">
        <v>80</v>
      </c>
      <c r="M50" s="33" t="s">
        <v>68</v>
      </c>
      <c r="N50" s="33"/>
      <c r="O50" s="32">
        <v>180</v>
      </c>
      <c r="P50" s="403" t="str">
        <f>HYPERLINK("https://abi.ru/products/Замороженные/Горячая штучка/Бигбули ГШ/Пельмени/P004440/","Пельмени «Бигбули #МЕГАВКУСИЩЕ с сочной грудинкой» 0,7 сфера ТМ «Горячая штучка»")</f>
        <v>Пельмени «Бигбули #МЕГАВКУСИЩЕ с сочной грудинкой» 0,7 сфера ТМ «Горячая штучка»</v>
      </c>
      <c r="Q50" s="334"/>
      <c r="R50" s="334"/>
      <c r="S50" s="334"/>
      <c r="T50" s="335"/>
      <c r="U50" s="34"/>
      <c r="V50" s="34"/>
      <c r="W50" s="35" t="s">
        <v>69</v>
      </c>
      <c r="X50" s="320">
        <v>0</v>
      </c>
      <c r="Y50" s="321">
        <f t="shared" si="0"/>
        <v>0</v>
      </c>
      <c r="Z50" s="36">
        <f t="shared" si="1"/>
        <v>0</v>
      </c>
      <c r="AA50" s="56"/>
      <c r="AB50" s="57"/>
      <c r="AC50" s="94" t="s">
        <v>108</v>
      </c>
      <c r="AG50" s="67"/>
      <c r="AJ50" s="71" t="s">
        <v>82</v>
      </c>
      <c r="AK50" s="71">
        <v>12</v>
      </c>
      <c r="BB50" s="95" t="s">
        <v>1</v>
      </c>
      <c r="BM50" s="67">
        <f t="shared" si="2"/>
        <v>0</v>
      </c>
      <c r="BN50" s="67">
        <f t="shared" si="3"/>
        <v>0</v>
      </c>
      <c r="BO50" s="67">
        <f t="shared" si="4"/>
        <v>0</v>
      </c>
      <c r="BP50" s="67">
        <f t="shared" si="5"/>
        <v>0</v>
      </c>
    </row>
    <row r="51" spans="1:68" ht="27" customHeight="1" x14ac:dyDescent="0.25">
      <c r="A51" s="54" t="s">
        <v>115</v>
      </c>
      <c r="B51" s="54" t="s">
        <v>116</v>
      </c>
      <c r="C51" s="31">
        <v>4301070970</v>
      </c>
      <c r="D51" s="324">
        <v>4607111037091</v>
      </c>
      <c r="E51" s="325"/>
      <c r="F51" s="319">
        <v>0.43</v>
      </c>
      <c r="G51" s="32">
        <v>16</v>
      </c>
      <c r="H51" s="319">
        <v>6.88</v>
      </c>
      <c r="I51" s="319">
        <v>7.11</v>
      </c>
      <c r="J51" s="32">
        <v>84</v>
      </c>
      <c r="K51" s="32" t="s">
        <v>66</v>
      </c>
      <c r="L51" s="32" t="s">
        <v>80</v>
      </c>
      <c r="M51" s="33" t="s">
        <v>68</v>
      </c>
      <c r="N51" s="33"/>
      <c r="O51" s="32">
        <v>180</v>
      </c>
      <c r="P51" s="452" t="str">
        <f>HYPERLINK("https://abi.ru/products/Замороженные/Горячая штучка/Бигбули ГШ/Пельмени/P003680/","Пельмени «Бигбули #МЕГАМАСЛИЩЕ со сливочным маслом» 0,43 сфера ТМ «Горячая штучка»")</f>
        <v>Пельмени «Бигбули #МЕГАМАСЛИЩЕ со сливочным маслом» 0,43 сфера ТМ «Горячая штучка»</v>
      </c>
      <c r="Q51" s="334"/>
      <c r="R51" s="334"/>
      <c r="S51" s="334"/>
      <c r="T51" s="335"/>
      <c r="U51" s="34"/>
      <c r="V51" s="34"/>
      <c r="W51" s="35" t="s">
        <v>69</v>
      </c>
      <c r="X51" s="320">
        <v>0</v>
      </c>
      <c r="Y51" s="321">
        <f t="shared" si="0"/>
        <v>0</v>
      </c>
      <c r="Z51" s="36">
        <f t="shared" si="1"/>
        <v>0</v>
      </c>
      <c r="AA51" s="56"/>
      <c r="AB51" s="57"/>
      <c r="AC51" s="96" t="s">
        <v>117</v>
      </c>
      <c r="AG51" s="67"/>
      <c r="AJ51" s="71" t="s">
        <v>82</v>
      </c>
      <c r="AK51" s="71">
        <v>12</v>
      </c>
      <c r="BB51" s="97" t="s">
        <v>1</v>
      </c>
      <c r="BM51" s="67">
        <f t="shared" si="2"/>
        <v>0</v>
      </c>
      <c r="BN51" s="67">
        <f t="shared" si="3"/>
        <v>0</v>
      </c>
      <c r="BO51" s="67">
        <f t="shared" si="4"/>
        <v>0</v>
      </c>
      <c r="BP51" s="67">
        <f t="shared" si="5"/>
        <v>0</v>
      </c>
    </row>
    <row r="52" spans="1:68" ht="27" customHeight="1" x14ac:dyDescent="0.25">
      <c r="A52" s="54" t="s">
        <v>118</v>
      </c>
      <c r="B52" s="54" t="s">
        <v>119</v>
      </c>
      <c r="C52" s="31">
        <v>4301071045</v>
      </c>
      <c r="D52" s="324">
        <v>4607111039392</v>
      </c>
      <c r="E52" s="325"/>
      <c r="F52" s="319">
        <v>0.4</v>
      </c>
      <c r="G52" s="32">
        <v>16</v>
      </c>
      <c r="H52" s="319">
        <v>6.4</v>
      </c>
      <c r="I52" s="319">
        <v>6.7195999999999998</v>
      </c>
      <c r="J52" s="32">
        <v>84</v>
      </c>
      <c r="K52" s="32" t="s">
        <v>66</v>
      </c>
      <c r="L52" s="32" t="s">
        <v>80</v>
      </c>
      <c r="M52" s="33" t="s">
        <v>68</v>
      </c>
      <c r="N52" s="33"/>
      <c r="O52" s="32">
        <v>180</v>
      </c>
      <c r="P52" s="406" t="s">
        <v>120</v>
      </c>
      <c r="Q52" s="334"/>
      <c r="R52" s="334"/>
      <c r="S52" s="334"/>
      <c r="T52" s="335"/>
      <c r="U52" s="34"/>
      <c r="V52" s="34"/>
      <c r="W52" s="35" t="s">
        <v>69</v>
      </c>
      <c r="X52" s="320">
        <v>0</v>
      </c>
      <c r="Y52" s="321">
        <f t="shared" si="0"/>
        <v>0</v>
      </c>
      <c r="Z52" s="36">
        <f t="shared" si="1"/>
        <v>0</v>
      </c>
      <c r="AA52" s="56"/>
      <c r="AB52" s="57"/>
      <c r="AC52" s="98" t="s">
        <v>117</v>
      </c>
      <c r="AG52" s="67"/>
      <c r="AJ52" s="71" t="s">
        <v>82</v>
      </c>
      <c r="AK52" s="71">
        <v>12</v>
      </c>
      <c r="BB52" s="99" t="s">
        <v>1</v>
      </c>
      <c r="BM52" s="67">
        <f t="shared" si="2"/>
        <v>0</v>
      </c>
      <c r="BN52" s="67">
        <f t="shared" si="3"/>
        <v>0</v>
      </c>
      <c r="BO52" s="67">
        <f t="shared" si="4"/>
        <v>0</v>
      </c>
      <c r="BP52" s="67">
        <f t="shared" si="5"/>
        <v>0</v>
      </c>
    </row>
    <row r="53" spans="1:68" ht="27" customHeight="1" x14ac:dyDescent="0.25">
      <c r="A53" s="54" t="s">
        <v>121</v>
      </c>
      <c r="B53" s="54" t="s">
        <v>122</v>
      </c>
      <c r="C53" s="31">
        <v>4301070971</v>
      </c>
      <c r="D53" s="324">
        <v>4607111036902</v>
      </c>
      <c r="E53" s="325"/>
      <c r="F53" s="319">
        <v>0.9</v>
      </c>
      <c r="G53" s="32">
        <v>8</v>
      </c>
      <c r="H53" s="319">
        <v>7.2</v>
      </c>
      <c r="I53" s="319">
        <v>7.43</v>
      </c>
      <c r="J53" s="32">
        <v>84</v>
      </c>
      <c r="K53" s="32" t="s">
        <v>66</v>
      </c>
      <c r="L53" s="32" t="s">
        <v>80</v>
      </c>
      <c r="M53" s="33" t="s">
        <v>68</v>
      </c>
      <c r="N53" s="33"/>
      <c r="O53" s="32">
        <v>180</v>
      </c>
      <c r="P53" s="428" t="str">
        <f>HYPERLINK("https://abi.ru/products/Замороженные/Горячая штучка/Бигбули ГШ/Пельмени/P003681/","Пельмени «Бигбули #МЕГАМАСЛИЩЕ со сливочным маслом» ф/в 0,9 ТМ «Горячая штучка»")</f>
        <v>Пельмени «Бигбули #МЕГАМАСЛИЩЕ со сливочным маслом» ф/в 0,9 ТМ «Горячая штучка»</v>
      </c>
      <c r="Q53" s="334"/>
      <c r="R53" s="334"/>
      <c r="S53" s="334"/>
      <c r="T53" s="335"/>
      <c r="U53" s="34"/>
      <c r="V53" s="34"/>
      <c r="W53" s="35" t="s">
        <v>69</v>
      </c>
      <c r="X53" s="320">
        <v>0</v>
      </c>
      <c r="Y53" s="321">
        <f t="shared" si="0"/>
        <v>0</v>
      </c>
      <c r="Z53" s="36">
        <f t="shared" si="1"/>
        <v>0</v>
      </c>
      <c r="AA53" s="56"/>
      <c r="AB53" s="57"/>
      <c r="AC53" s="100" t="s">
        <v>117</v>
      </c>
      <c r="AG53" s="67"/>
      <c r="AJ53" s="71" t="s">
        <v>82</v>
      </c>
      <c r="AK53" s="71">
        <v>12</v>
      </c>
      <c r="BB53" s="101" t="s">
        <v>1</v>
      </c>
      <c r="BM53" s="67">
        <f t="shared" si="2"/>
        <v>0</v>
      </c>
      <c r="BN53" s="67">
        <f t="shared" si="3"/>
        <v>0</v>
      </c>
      <c r="BO53" s="67">
        <f t="shared" si="4"/>
        <v>0</v>
      </c>
      <c r="BP53" s="67">
        <f t="shared" si="5"/>
        <v>0</v>
      </c>
    </row>
    <row r="54" spans="1:68" ht="27" customHeight="1" x14ac:dyDescent="0.25">
      <c r="A54" s="54" t="s">
        <v>123</v>
      </c>
      <c r="B54" s="54" t="s">
        <v>124</v>
      </c>
      <c r="C54" s="31">
        <v>4301071031</v>
      </c>
      <c r="D54" s="324">
        <v>4607111038982</v>
      </c>
      <c r="E54" s="325"/>
      <c r="F54" s="319">
        <v>0.7</v>
      </c>
      <c r="G54" s="32">
        <v>10</v>
      </c>
      <c r="H54" s="319">
        <v>7</v>
      </c>
      <c r="I54" s="319">
        <v>7.2859999999999996</v>
      </c>
      <c r="J54" s="32">
        <v>84</v>
      </c>
      <c r="K54" s="32" t="s">
        <v>66</v>
      </c>
      <c r="L54" s="32" t="s">
        <v>67</v>
      </c>
      <c r="M54" s="33" t="s">
        <v>68</v>
      </c>
      <c r="N54" s="33"/>
      <c r="O54" s="32">
        <v>180</v>
      </c>
      <c r="P54" s="503" t="str">
        <f>HYPERLINK("https://abi.ru/products/Замороженные/Горячая штучка/Бигбули ГШ/Пельмени/P004203/","Пельмени «Бигбули #МЕГАМАСЛИЩЕ со сливочным маслом» 0,7 сфера ТМ «Горячая штучка»")</f>
        <v>Пельмени «Бигбули #МЕГАМАСЛИЩЕ со сливочным маслом» 0,7 сфера ТМ «Горячая штучка»</v>
      </c>
      <c r="Q54" s="334"/>
      <c r="R54" s="334"/>
      <c r="S54" s="334"/>
      <c r="T54" s="335"/>
      <c r="U54" s="34"/>
      <c r="V54" s="34"/>
      <c r="W54" s="35" t="s">
        <v>69</v>
      </c>
      <c r="X54" s="320">
        <v>0</v>
      </c>
      <c r="Y54" s="321">
        <f t="shared" si="0"/>
        <v>0</v>
      </c>
      <c r="Z54" s="36">
        <f t="shared" si="1"/>
        <v>0</v>
      </c>
      <c r="AA54" s="56"/>
      <c r="AB54" s="57"/>
      <c r="AC54" s="102" t="s">
        <v>117</v>
      </c>
      <c r="AG54" s="67"/>
      <c r="AJ54" s="71" t="s">
        <v>71</v>
      </c>
      <c r="AK54" s="71">
        <v>1</v>
      </c>
      <c r="BB54" s="103" t="s">
        <v>1</v>
      </c>
      <c r="BM54" s="67">
        <f t="shared" si="2"/>
        <v>0</v>
      </c>
      <c r="BN54" s="67">
        <f t="shared" si="3"/>
        <v>0</v>
      </c>
      <c r="BO54" s="67">
        <f t="shared" si="4"/>
        <v>0</v>
      </c>
      <c r="BP54" s="67">
        <f t="shared" si="5"/>
        <v>0</v>
      </c>
    </row>
    <row r="55" spans="1:68" ht="27" customHeight="1" x14ac:dyDescent="0.25">
      <c r="A55" s="54" t="s">
        <v>125</v>
      </c>
      <c r="B55" s="54" t="s">
        <v>126</v>
      </c>
      <c r="C55" s="31">
        <v>4301070969</v>
      </c>
      <c r="D55" s="324">
        <v>4607111036858</v>
      </c>
      <c r="E55" s="325"/>
      <c r="F55" s="319">
        <v>0.43</v>
      </c>
      <c r="G55" s="32">
        <v>16</v>
      </c>
      <c r="H55" s="319">
        <v>6.88</v>
      </c>
      <c r="I55" s="319">
        <v>7.1996000000000002</v>
      </c>
      <c r="J55" s="32">
        <v>84</v>
      </c>
      <c r="K55" s="32" t="s">
        <v>66</v>
      </c>
      <c r="L55" s="32" t="s">
        <v>67</v>
      </c>
      <c r="M55" s="33" t="s">
        <v>68</v>
      </c>
      <c r="N55" s="33"/>
      <c r="O55" s="32">
        <v>180</v>
      </c>
      <c r="P55" s="418" t="str">
        <f>HYPERLINK("https://abi.ru/products/Замороженные/Горячая штучка/Бигбули ГШ/Пельмени/P003679/","Пельмени «Бигбули с мясом» 0,43 Сфера ТМ «Горячая штучка»")</f>
        <v>Пельмени «Бигбули с мясом» 0,43 Сфера ТМ «Горячая штучка»</v>
      </c>
      <c r="Q55" s="334"/>
      <c r="R55" s="334"/>
      <c r="S55" s="334"/>
      <c r="T55" s="335"/>
      <c r="U55" s="34"/>
      <c r="V55" s="34"/>
      <c r="W55" s="35" t="s">
        <v>69</v>
      </c>
      <c r="X55" s="320">
        <v>0</v>
      </c>
      <c r="Y55" s="321">
        <f t="shared" si="0"/>
        <v>0</v>
      </c>
      <c r="Z55" s="36">
        <f t="shared" si="1"/>
        <v>0</v>
      </c>
      <c r="AA55" s="56"/>
      <c r="AB55" s="57"/>
      <c r="AC55" s="104" t="s">
        <v>117</v>
      </c>
      <c r="AG55" s="67"/>
      <c r="AJ55" s="71" t="s">
        <v>71</v>
      </c>
      <c r="AK55" s="71">
        <v>1</v>
      </c>
      <c r="BB55" s="105" t="s">
        <v>1</v>
      </c>
      <c r="BM55" s="67">
        <f t="shared" si="2"/>
        <v>0</v>
      </c>
      <c r="BN55" s="67">
        <f t="shared" si="3"/>
        <v>0</v>
      </c>
      <c r="BO55" s="67">
        <f t="shared" si="4"/>
        <v>0</v>
      </c>
      <c r="BP55" s="67">
        <f t="shared" si="5"/>
        <v>0</v>
      </c>
    </row>
    <row r="56" spans="1:68" ht="27" customHeight="1" x14ac:dyDescent="0.25">
      <c r="A56" s="54" t="s">
        <v>127</v>
      </c>
      <c r="B56" s="54" t="s">
        <v>128</v>
      </c>
      <c r="C56" s="31">
        <v>4301071046</v>
      </c>
      <c r="D56" s="324">
        <v>4607111039354</v>
      </c>
      <c r="E56" s="325"/>
      <c r="F56" s="319">
        <v>0.4</v>
      </c>
      <c r="G56" s="32">
        <v>16</v>
      </c>
      <c r="H56" s="319">
        <v>6.4</v>
      </c>
      <c r="I56" s="319">
        <v>6.7195999999999998</v>
      </c>
      <c r="J56" s="32">
        <v>84</v>
      </c>
      <c r="K56" s="32" t="s">
        <v>66</v>
      </c>
      <c r="L56" s="32" t="s">
        <v>67</v>
      </c>
      <c r="M56" s="33" t="s">
        <v>68</v>
      </c>
      <c r="N56" s="33"/>
      <c r="O56" s="32">
        <v>180</v>
      </c>
      <c r="P56" s="356" t="str">
        <f>HYPERLINK("https://abi.ru/products/Замороженные/Горячая штучка/Бигбули ГШ/Пельмени/P004443/","Пельмени «Бигбули с мясом» 0,4 Сфера ТМ «Горячая штучка»")</f>
        <v>Пельмени «Бигбули с мясом» 0,4 Сфера ТМ «Горячая штучка»</v>
      </c>
      <c r="Q56" s="334"/>
      <c r="R56" s="334"/>
      <c r="S56" s="334"/>
      <c r="T56" s="335"/>
      <c r="U56" s="34"/>
      <c r="V56" s="34"/>
      <c r="W56" s="35" t="s">
        <v>69</v>
      </c>
      <c r="X56" s="320">
        <v>0</v>
      </c>
      <c r="Y56" s="321">
        <f t="shared" si="0"/>
        <v>0</v>
      </c>
      <c r="Z56" s="36">
        <f t="shared" si="1"/>
        <v>0</v>
      </c>
      <c r="AA56" s="56"/>
      <c r="AB56" s="57"/>
      <c r="AC56" s="106" t="s">
        <v>117</v>
      </c>
      <c r="AG56" s="67"/>
      <c r="AJ56" s="71" t="s">
        <v>71</v>
      </c>
      <c r="AK56" s="71">
        <v>1</v>
      </c>
      <c r="BB56" s="107" t="s">
        <v>1</v>
      </c>
      <c r="BM56" s="67">
        <f t="shared" si="2"/>
        <v>0</v>
      </c>
      <c r="BN56" s="67">
        <f t="shared" si="3"/>
        <v>0</v>
      </c>
      <c r="BO56" s="67">
        <f t="shared" si="4"/>
        <v>0</v>
      </c>
      <c r="BP56" s="67">
        <f t="shared" si="5"/>
        <v>0</v>
      </c>
    </row>
    <row r="57" spans="1:68" ht="27" customHeight="1" x14ac:dyDescent="0.25">
      <c r="A57" s="54" t="s">
        <v>129</v>
      </c>
      <c r="B57" s="54" t="s">
        <v>130</v>
      </c>
      <c r="C57" s="31">
        <v>4301070968</v>
      </c>
      <c r="D57" s="324">
        <v>4607111036889</v>
      </c>
      <c r="E57" s="325"/>
      <c r="F57" s="319">
        <v>0.9</v>
      </c>
      <c r="G57" s="32">
        <v>8</v>
      </c>
      <c r="H57" s="319">
        <v>7.2</v>
      </c>
      <c r="I57" s="319">
        <v>7.4859999999999998</v>
      </c>
      <c r="J57" s="32">
        <v>84</v>
      </c>
      <c r="K57" s="32" t="s">
        <v>66</v>
      </c>
      <c r="L57" s="32" t="s">
        <v>80</v>
      </c>
      <c r="M57" s="33" t="s">
        <v>68</v>
      </c>
      <c r="N57" s="33"/>
      <c r="O57" s="32">
        <v>180</v>
      </c>
      <c r="P57" s="515" t="str">
        <f>HYPERLINK("https://abi.ru/products/Замороженные/Горячая штучка/Бигбули ГШ/Пельмени/P003678/","Пельмени «Бигбули с мясом» 0,9 Сфера ТМ «Горячая штучка»")</f>
        <v>Пельмени «Бигбули с мясом» 0,9 Сфера ТМ «Горячая штучка»</v>
      </c>
      <c r="Q57" s="334"/>
      <c r="R57" s="334"/>
      <c r="S57" s="334"/>
      <c r="T57" s="335"/>
      <c r="U57" s="34"/>
      <c r="V57" s="34"/>
      <c r="W57" s="35" t="s">
        <v>69</v>
      </c>
      <c r="X57" s="320">
        <v>36</v>
      </c>
      <c r="Y57" s="321">
        <f t="shared" si="0"/>
        <v>36</v>
      </c>
      <c r="Z57" s="36">
        <f t="shared" si="1"/>
        <v>0.55800000000000005</v>
      </c>
      <c r="AA57" s="56"/>
      <c r="AB57" s="57"/>
      <c r="AC57" s="108" t="s">
        <v>117</v>
      </c>
      <c r="AG57" s="67"/>
      <c r="AJ57" s="71" t="s">
        <v>82</v>
      </c>
      <c r="AK57" s="71">
        <v>12</v>
      </c>
      <c r="BB57" s="109" t="s">
        <v>1</v>
      </c>
      <c r="BM57" s="67">
        <f t="shared" si="2"/>
        <v>269.49599999999998</v>
      </c>
      <c r="BN57" s="67">
        <f t="shared" si="3"/>
        <v>269.49599999999998</v>
      </c>
      <c r="BO57" s="67">
        <f t="shared" si="4"/>
        <v>0.42857142857142855</v>
      </c>
      <c r="BP57" s="67">
        <f t="shared" si="5"/>
        <v>0.42857142857142855</v>
      </c>
    </row>
    <row r="58" spans="1:68" ht="27" customHeight="1" x14ac:dyDescent="0.25">
      <c r="A58" s="54" t="s">
        <v>131</v>
      </c>
      <c r="B58" s="54" t="s">
        <v>132</v>
      </c>
      <c r="C58" s="31">
        <v>4301071047</v>
      </c>
      <c r="D58" s="324">
        <v>4607111039330</v>
      </c>
      <c r="E58" s="325"/>
      <c r="F58" s="319">
        <v>0.7</v>
      </c>
      <c r="G58" s="32">
        <v>10</v>
      </c>
      <c r="H58" s="319">
        <v>7</v>
      </c>
      <c r="I58" s="319">
        <v>7.3</v>
      </c>
      <c r="J58" s="32">
        <v>84</v>
      </c>
      <c r="K58" s="32" t="s">
        <v>66</v>
      </c>
      <c r="L58" s="32" t="s">
        <v>67</v>
      </c>
      <c r="M58" s="33" t="s">
        <v>68</v>
      </c>
      <c r="N58" s="33"/>
      <c r="O58" s="32">
        <v>180</v>
      </c>
      <c r="P58" s="534" t="str">
        <f>HYPERLINK("https://abi.ru/products/Замороженные/Горячая штучка/Бигбули ГШ/Пельмени/P004442/","Пельмени «Бигбули с мясом» 0,7 Сфера ТМ «Горячая штучка»")</f>
        <v>Пельмени «Бигбули с мясом» 0,7 Сфера ТМ «Горячая штучка»</v>
      </c>
      <c r="Q58" s="334"/>
      <c r="R58" s="334"/>
      <c r="S58" s="334"/>
      <c r="T58" s="335"/>
      <c r="U58" s="34"/>
      <c r="V58" s="34"/>
      <c r="W58" s="35" t="s">
        <v>69</v>
      </c>
      <c r="X58" s="320">
        <v>0</v>
      </c>
      <c r="Y58" s="321">
        <f t="shared" si="0"/>
        <v>0</v>
      </c>
      <c r="Z58" s="36">
        <f t="shared" si="1"/>
        <v>0</v>
      </c>
      <c r="AA58" s="56"/>
      <c r="AB58" s="57"/>
      <c r="AC58" s="110" t="s">
        <v>117</v>
      </c>
      <c r="AG58" s="67"/>
      <c r="AJ58" s="71" t="s">
        <v>71</v>
      </c>
      <c r="AK58" s="71">
        <v>1</v>
      </c>
      <c r="BB58" s="111" t="s">
        <v>1</v>
      </c>
      <c r="BM58" s="67">
        <f t="shared" si="2"/>
        <v>0</v>
      </c>
      <c r="BN58" s="67">
        <f t="shared" si="3"/>
        <v>0</v>
      </c>
      <c r="BO58" s="67">
        <f t="shared" si="4"/>
        <v>0</v>
      </c>
      <c r="BP58" s="67">
        <f t="shared" si="5"/>
        <v>0</v>
      </c>
    </row>
    <row r="59" spans="1:68" x14ac:dyDescent="0.2">
      <c r="A59" s="336"/>
      <c r="B59" s="330"/>
      <c r="C59" s="330"/>
      <c r="D59" s="330"/>
      <c r="E59" s="330"/>
      <c r="F59" s="330"/>
      <c r="G59" s="330"/>
      <c r="H59" s="330"/>
      <c r="I59" s="330"/>
      <c r="J59" s="330"/>
      <c r="K59" s="330"/>
      <c r="L59" s="330"/>
      <c r="M59" s="330"/>
      <c r="N59" s="330"/>
      <c r="O59" s="337"/>
      <c r="P59" s="326" t="s">
        <v>72</v>
      </c>
      <c r="Q59" s="327"/>
      <c r="R59" s="327"/>
      <c r="S59" s="327"/>
      <c r="T59" s="327"/>
      <c r="U59" s="327"/>
      <c r="V59" s="328"/>
      <c r="W59" s="37" t="s">
        <v>69</v>
      </c>
      <c r="X59" s="322">
        <f>IFERROR(SUM(X47:X58),"0")</f>
        <v>36</v>
      </c>
      <c r="Y59" s="322">
        <f>IFERROR(SUM(Y47:Y58),"0")</f>
        <v>36</v>
      </c>
      <c r="Z59" s="322">
        <f>IFERROR(IF(Z47="",0,Z47),"0")+IFERROR(IF(Z48="",0,Z48),"0")+IFERROR(IF(Z49="",0,Z49),"0")+IFERROR(IF(Z50="",0,Z50),"0")+IFERROR(IF(Z51="",0,Z51),"0")+IFERROR(IF(Z52="",0,Z52),"0")+IFERROR(IF(Z53="",0,Z53),"0")+IFERROR(IF(Z54="",0,Z54),"0")+IFERROR(IF(Z55="",0,Z55),"0")+IFERROR(IF(Z56="",0,Z56),"0")+IFERROR(IF(Z57="",0,Z57),"0")+IFERROR(IF(Z58="",0,Z58),"0")</f>
        <v>0.55800000000000005</v>
      </c>
      <c r="AA59" s="323"/>
      <c r="AB59" s="323"/>
      <c r="AC59" s="323"/>
    </row>
    <row r="60" spans="1:68" x14ac:dyDescent="0.2">
      <c r="A60" s="330"/>
      <c r="B60" s="330"/>
      <c r="C60" s="330"/>
      <c r="D60" s="330"/>
      <c r="E60" s="330"/>
      <c r="F60" s="330"/>
      <c r="G60" s="330"/>
      <c r="H60" s="330"/>
      <c r="I60" s="330"/>
      <c r="J60" s="330"/>
      <c r="K60" s="330"/>
      <c r="L60" s="330"/>
      <c r="M60" s="330"/>
      <c r="N60" s="330"/>
      <c r="O60" s="337"/>
      <c r="P60" s="326" t="s">
        <v>72</v>
      </c>
      <c r="Q60" s="327"/>
      <c r="R60" s="327"/>
      <c r="S60" s="327"/>
      <c r="T60" s="327"/>
      <c r="U60" s="327"/>
      <c r="V60" s="328"/>
      <c r="W60" s="37" t="s">
        <v>73</v>
      </c>
      <c r="X60" s="322">
        <f>IFERROR(SUMPRODUCT(X47:X58*H47:H58),"0")</f>
        <v>259.2</v>
      </c>
      <c r="Y60" s="322">
        <f>IFERROR(SUMPRODUCT(Y47:Y58*H47:H58),"0")</f>
        <v>259.2</v>
      </c>
      <c r="Z60" s="37"/>
      <c r="AA60" s="323"/>
      <c r="AB60" s="323"/>
      <c r="AC60" s="323"/>
    </row>
    <row r="61" spans="1:68" ht="16.5" customHeight="1" x14ac:dyDescent="0.25">
      <c r="A61" s="329" t="s">
        <v>133</v>
      </c>
      <c r="B61" s="330"/>
      <c r="C61" s="330"/>
      <c r="D61" s="330"/>
      <c r="E61" s="330"/>
      <c r="F61" s="330"/>
      <c r="G61" s="330"/>
      <c r="H61" s="330"/>
      <c r="I61" s="330"/>
      <c r="J61" s="330"/>
      <c r="K61" s="330"/>
      <c r="L61" s="330"/>
      <c r="M61" s="330"/>
      <c r="N61" s="330"/>
      <c r="O61" s="330"/>
      <c r="P61" s="330"/>
      <c r="Q61" s="330"/>
      <c r="R61" s="330"/>
      <c r="S61" s="330"/>
      <c r="T61" s="330"/>
      <c r="U61" s="330"/>
      <c r="V61" s="330"/>
      <c r="W61" s="330"/>
      <c r="X61" s="330"/>
      <c r="Y61" s="330"/>
      <c r="Z61" s="330"/>
      <c r="AA61" s="315"/>
      <c r="AB61" s="315"/>
      <c r="AC61" s="315"/>
    </row>
    <row r="62" spans="1:68" ht="14.25" customHeight="1" x14ac:dyDescent="0.25">
      <c r="A62" s="354" t="s">
        <v>63</v>
      </c>
      <c r="B62" s="330"/>
      <c r="C62" s="330"/>
      <c r="D62" s="330"/>
      <c r="E62" s="330"/>
      <c r="F62" s="330"/>
      <c r="G62" s="330"/>
      <c r="H62" s="330"/>
      <c r="I62" s="330"/>
      <c r="J62" s="330"/>
      <c r="K62" s="330"/>
      <c r="L62" s="330"/>
      <c r="M62" s="330"/>
      <c r="N62" s="330"/>
      <c r="O62" s="330"/>
      <c r="P62" s="330"/>
      <c r="Q62" s="330"/>
      <c r="R62" s="330"/>
      <c r="S62" s="330"/>
      <c r="T62" s="330"/>
      <c r="U62" s="330"/>
      <c r="V62" s="330"/>
      <c r="W62" s="330"/>
      <c r="X62" s="330"/>
      <c r="Y62" s="330"/>
      <c r="Z62" s="330"/>
      <c r="AA62" s="314"/>
      <c r="AB62" s="314"/>
      <c r="AC62" s="314"/>
    </row>
    <row r="63" spans="1:68" ht="27" customHeight="1" x14ac:dyDescent="0.25">
      <c r="A63" s="54" t="s">
        <v>134</v>
      </c>
      <c r="B63" s="54" t="s">
        <v>135</v>
      </c>
      <c r="C63" s="31">
        <v>4301070977</v>
      </c>
      <c r="D63" s="324">
        <v>4607111037411</v>
      </c>
      <c r="E63" s="325"/>
      <c r="F63" s="319">
        <v>2.7</v>
      </c>
      <c r="G63" s="32">
        <v>1</v>
      </c>
      <c r="H63" s="319">
        <v>2.7</v>
      </c>
      <c r="I63" s="319">
        <v>2.8132000000000001</v>
      </c>
      <c r="J63" s="32">
        <v>234</v>
      </c>
      <c r="K63" s="32" t="s">
        <v>136</v>
      </c>
      <c r="L63" s="32" t="s">
        <v>67</v>
      </c>
      <c r="M63" s="33" t="s">
        <v>68</v>
      </c>
      <c r="N63" s="33"/>
      <c r="O63" s="32">
        <v>180</v>
      </c>
      <c r="P63" s="401" t="str">
        <f>HYPERLINK("https://abi.ru/products/Замороженные/Горячая штучка/Бульмени вес ГШ/Пельмени/P003687/","Пельмени «Бульмени с говядиной и свининой Наваристые» Весовые Сфера ТМ «Горячая штучка» 2,7 кг")</f>
        <v>Пельмени «Бульмени с говядиной и свининой Наваристые» Весовые Сфера ТМ «Горячая штучка» 2,7 кг</v>
      </c>
      <c r="Q63" s="334"/>
      <c r="R63" s="334"/>
      <c r="S63" s="334"/>
      <c r="T63" s="335"/>
      <c r="U63" s="34"/>
      <c r="V63" s="34"/>
      <c r="W63" s="35" t="s">
        <v>69</v>
      </c>
      <c r="X63" s="320">
        <v>0</v>
      </c>
      <c r="Y63" s="321">
        <f>IFERROR(IF(X63="","",X63),"")</f>
        <v>0</v>
      </c>
      <c r="Z63" s="36">
        <f>IFERROR(IF(X63="","",X63*0.00502),"")</f>
        <v>0</v>
      </c>
      <c r="AA63" s="56"/>
      <c r="AB63" s="57"/>
      <c r="AC63" s="112" t="s">
        <v>137</v>
      </c>
      <c r="AG63" s="67"/>
      <c r="AJ63" s="71" t="s">
        <v>71</v>
      </c>
      <c r="AK63" s="71">
        <v>1</v>
      </c>
      <c r="BB63" s="113" t="s">
        <v>1</v>
      </c>
      <c r="BM63" s="67">
        <f>IFERROR(X63*I63,"0")</f>
        <v>0</v>
      </c>
      <c r="BN63" s="67">
        <f>IFERROR(Y63*I63,"0")</f>
        <v>0</v>
      </c>
      <c r="BO63" s="67">
        <f>IFERROR(X63/J63,"0")</f>
        <v>0</v>
      </c>
      <c r="BP63" s="67">
        <f>IFERROR(Y63/J63,"0")</f>
        <v>0</v>
      </c>
    </row>
    <row r="64" spans="1:68" ht="27" customHeight="1" x14ac:dyDescent="0.25">
      <c r="A64" s="54" t="s">
        <v>138</v>
      </c>
      <c r="B64" s="54" t="s">
        <v>139</v>
      </c>
      <c r="C64" s="31">
        <v>4301070981</v>
      </c>
      <c r="D64" s="324">
        <v>4607111036728</v>
      </c>
      <c r="E64" s="325"/>
      <c r="F64" s="319">
        <v>5</v>
      </c>
      <c r="G64" s="32">
        <v>1</v>
      </c>
      <c r="H64" s="319">
        <v>5</v>
      </c>
      <c r="I64" s="319">
        <v>5.2131999999999996</v>
      </c>
      <c r="J64" s="32">
        <v>144</v>
      </c>
      <c r="K64" s="32" t="s">
        <v>66</v>
      </c>
      <c r="L64" s="32" t="s">
        <v>88</v>
      </c>
      <c r="M64" s="33" t="s">
        <v>68</v>
      </c>
      <c r="N64" s="33"/>
      <c r="O64" s="32">
        <v>180</v>
      </c>
      <c r="P64" s="504" t="str">
        <f>HYPERLINK("https://abi.ru/products/Замороженные/Горячая штучка/Бульмени вес ГШ/Пельмени/P003697/","Пельмени «Бульмени с говядиной и свининой Наваристые» Весовые Сфера ТМ «Горячая штучка» 5 кг")</f>
        <v>Пельмени «Бульмени с говядиной и свининой Наваристые» Весовые Сфера ТМ «Горячая штучка» 5 кг</v>
      </c>
      <c r="Q64" s="334"/>
      <c r="R64" s="334"/>
      <c r="S64" s="334"/>
      <c r="T64" s="335"/>
      <c r="U64" s="34"/>
      <c r="V64" s="34"/>
      <c r="W64" s="35" t="s">
        <v>69</v>
      </c>
      <c r="X64" s="320">
        <v>0</v>
      </c>
      <c r="Y64" s="321">
        <f>IFERROR(IF(X64="","",X64),"")</f>
        <v>0</v>
      </c>
      <c r="Z64" s="36">
        <f>IFERROR(IF(X64="","",X64*0.00866),"")</f>
        <v>0</v>
      </c>
      <c r="AA64" s="56"/>
      <c r="AB64" s="57"/>
      <c r="AC64" s="114" t="s">
        <v>137</v>
      </c>
      <c r="AG64" s="67"/>
      <c r="AJ64" s="71" t="s">
        <v>89</v>
      </c>
      <c r="AK64" s="71">
        <v>144</v>
      </c>
      <c r="BB64" s="115" t="s">
        <v>1</v>
      </c>
      <c r="BM64" s="67">
        <f>IFERROR(X64*I64,"0")</f>
        <v>0</v>
      </c>
      <c r="BN64" s="67">
        <f>IFERROR(Y64*I64,"0")</f>
        <v>0</v>
      </c>
      <c r="BO64" s="67">
        <f>IFERROR(X64/J64,"0")</f>
        <v>0</v>
      </c>
      <c r="BP64" s="67">
        <f>IFERROR(Y64/J64,"0")</f>
        <v>0</v>
      </c>
    </row>
    <row r="65" spans="1:68" x14ac:dyDescent="0.2">
      <c r="A65" s="336"/>
      <c r="B65" s="330"/>
      <c r="C65" s="330"/>
      <c r="D65" s="330"/>
      <c r="E65" s="330"/>
      <c r="F65" s="330"/>
      <c r="G65" s="330"/>
      <c r="H65" s="330"/>
      <c r="I65" s="330"/>
      <c r="J65" s="330"/>
      <c r="K65" s="330"/>
      <c r="L65" s="330"/>
      <c r="M65" s="330"/>
      <c r="N65" s="330"/>
      <c r="O65" s="337"/>
      <c r="P65" s="326" t="s">
        <v>72</v>
      </c>
      <c r="Q65" s="327"/>
      <c r="R65" s="327"/>
      <c r="S65" s="327"/>
      <c r="T65" s="327"/>
      <c r="U65" s="327"/>
      <c r="V65" s="328"/>
      <c r="W65" s="37" t="s">
        <v>69</v>
      </c>
      <c r="X65" s="322">
        <f>IFERROR(SUM(X63:X64),"0")</f>
        <v>0</v>
      </c>
      <c r="Y65" s="322">
        <f>IFERROR(SUM(Y63:Y64),"0")</f>
        <v>0</v>
      </c>
      <c r="Z65" s="322">
        <f>IFERROR(IF(Z63="",0,Z63),"0")+IFERROR(IF(Z64="",0,Z64),"0")</f>
        <v>0</v>
      </c>
      <c r="AA65" s="323"/>
      <c r="AB65" s="323"/>
      <c r="AC65" s="323"/>
    </row>
    <row r="66" spans="1:68" x14ac:dyDescent="0.2">
      <c r="A66" s="330"/>
      <c r="B66" s="330"/>
      <c r="C66" s="330"/>
      <c r="D66" s="330"/>
      <c r="E66" s="330"/>
      <c r="F66" s="330"/>
      <c r="G66" s="330"/>
      <c r="H66" s="330"/>
      <c r="I66" s="330"/>
      <c r="J66" s="330"/>
      <c r="K66" s="330"/>
      <c r="L66" s="330"/>
      <c r="M66" s="330"/>
      <c r="N66" s="330"/>
      <c r="O66" s="337"/>
      <c r="P66" s="326" t="s">
        <v>72</v>
      </c>
      <c r="Q66" s="327"/>
      <c r="R66" s="327"/>
      <c r="S66" s="327"/>
      <c r="T66" s="327"/>
      <c r="U66" s="327"/>
      <c r="V66" s="328"/>
      <c r="W66" s="37" t="s">
        <v>73</v>
      </c>
      <c r="X66" s="322">
        <f>IFERROR(SUMPRODUCT(X63:X64*H63:H64),"0")</f>
        <v>0</v>
      </c>
      <c r="Y66" s="322">
        <f>IFERROR(SUMPRODUCT(Y63:Y64*H63:H64),"0")</f>
        <v>0</v>
      </c>
      <c r="Z66" s="37"/>
      <c r="AA66" s="323"/>
      <c r="AB66" s="323"/>
      <c r="AC66" s="323"/>
    </row>
    <row r="67" spans="1:68" ht="16.5" customHeight="1" x14ac:dyDescent="0.25">
      <c r="A67" s="329" t="s">
        <v>140</v>
      </c>
      <c r="B67" s="330"/>
      <c r="C67" s="330"/>
      <c r="D67" s="330"/>
      <c r="E67" s="330"/>
      <c r="F67" s="330"/>
      <c r="G67" s="330"/>
      <c r="H67" s="330"/>
      <c r="I67" s="330"/>
      <c r="J67" s="330"/>
      <c r="K67" s="330"/>
      <c r="L67" s="330"/>
      <c r="M67" s="330"/>
      <c r="N67" s="330"/>
      <c r="O67" s="330"/>
      <c r="P67" s="330"/>
      <c r="Q67" s="330"/>
      <c r="R67" s="330"/>
      <c r="S67" s="330"/>
      <c r="T67" s="330"/>
      <c r="U67" s="330"/>
      <c r="V67" s="330"/>
      <c r="W67" s="330"/>
      <c r="X67" s="330"/>
      <c r="Y67" s="330"/>
      <c r="Z67" s="330"/>
      <c r="AA67" s="315"/>
      <c r="AB67" s="315"/>
      <c r="AC67" s="315"/>
    </row>
    <row r="68" spans="1:68" ht="14.25" customHeight="1" x14ac:dyDescent="0.25">
      <c r="A68" s="354" t="s">
        <v>141</v>
      </c>
      <c r="B68" s="330"/>
      <c r="C68" s="330"/>
      <c r="D68" s="330"/>
      <c r="E68" s="330"/>
      <c r="F68" s="330"/>
      <c r="G68" s="330"/>
      <c r="H68" s="330"/>
      <c r="I68" s="330"/>
      <c r="J68" s="330"/>
      <c r="K68" s="330"/>
      <c r="L68" s="330"/>
      <c r="M68" s="330"/>
      <c r="N68" s="330"/>
      <c r="O68" s="330"/>
      <c r="P68" s="330"/>
      <c r="Q68" s="330"/>
      <c r="R68" s="330"/>
      <c r="S68" s="330"/>
      <c r="T68" s="330"/>
      <c r="U68" s="330"/>
      <c r="V68" s="330"/>
      <c r="W68" s="330"/>
      <c r="X68" s="330"/>
      <c r="Y68" s="330"/>
      <c r="Z68" s="330"/>
      <c r="AA68" s="314"/>
      <c r="AB68" s="314"/>
      <c r="AC68" s="314"/>
    </row>
    <row r="69" spans="1:68" ht="27" customHeight="1" x14ac:dyDescent="0.25">
      <c r="A69" s="54" t="s">
        <v>142</v>
      </c>
      <c r="B69" s="54" t="s">
        <v>143</v>
      </c>
      <c r="C69" s="31">
        <v>4301135271</v>
      </c>
      <c r="D69" s="324">
        <v>4607111033659</v>
      </c>
      <c r="E69" s="325"/>
      <c r="F69" s="319">
        <v>0.3</v>
      </c>
      <c r="G69" s="32">
        <v>12</v>
      </c>
      <c r="H69" s="319">
        <v>3.6</v>
      </c>
      <c r="I69" s="319">
        <v>4.3036000000000003</v>
      </c>
      <c r="J69" s="32">
        <v>70</v>
      </c>
      <c r="K69" s="32" t="s">
        <v>79</v>
      </c>
      <c r="L69" s="32" t="s">
        <v>80</v>
      </c>
      <c r="M69" s="33" t="s">
        <v>68</v>
      </c>
      <c r="N69" s="33"/>
      <c r="O69" s="32">
        <v>180</v>
      </c>
      <c r="P69" s="445" t="str">
        <f>HYPERLINK("https://abi.ru/products/Замороженные/Горячая штучка/Бельмеши/Снеки/P004088/","Бельмеши сочные с мясом Базовый ассортимент Фикс.вес 0,3 Лоток Горячая штучка")</f>
        <v>Бельмеши сочные с мясом Базовый ассортимент Фикс.вес 0,3 Лоток Горячая штучка</v>
      </c>
      <c r="Q69" s="334"/>
      <c r="R69" s="334"/>
      <c r="S69" s="334"/>
      <c r="T69" s="335"/>
      <c r="U69" s="34"/>
      <c r="V69" s="34"/>
      <c r="W69" s="35" t="s">
        <v>69</v>
      </c>
      <c r="X69" s="320">
        <v>0</v>
      </c>
      <c r="Y69" s="321">
        <f>IFERROR(IF(X69="","",X69),"")</f>
        <v>0</v>
      </c>
      <c r="Z69" s="36">
        <f>IFERROR(IF(X69="","",X69*0.01788),"")</f>
        <v>0</v>
      </c>
      <c r="AA69" s="56"/>
      <c r="AB69" s="57"/>
      <c r="AC69" s="116" t="s">
        <v>144</v>
      </c>
      <c r="AG69" s="67"/>
      <c r="AJ69" s="71" t="s">
        <v>82</v>
      </c>
      <c r="AK69" s="71">
        <v>14</v>
      </c>
      <c r="BB69" s="117" t="s">
        <v>83</v>
      </c>
      <c r="BM69" s="67">
        <f>IFERROR(X69*I69,"0")</f>
        <v>0</v>
      </c>
      <c r="BN69" s="67">
        <f>IFERROR(Y69*I69,"0")</f>
        <v>0</v>
      </c>
      <c r="BO69" s="67">
        <f>IFERROR(X69/J69,"0")</f>
        <v>0</v>
      </c>
      <c r="BP69" s="67">
        <f>IFERROR(Y69/J69,"0")</f>
        <v>0</v>
      </c>
    </row>
    <row r="70" spans="1:68" x14ac:dyDescent="0.2">
      <c r="A70" s="336"/>
      <c r="B70" s="330"/>
      <c r="C70" s="330"/>
      <c r="D70" s="330"/>
      <c r="E70" s="330"/>
      <c r="F70" s="330"/>
      <c r="G70" s="330"/>
      <c r="H70" s="330"/>
      <c r="I70" s="330"/>
      <c r="J70" s="330"/>
      <c r="K70" s="330"/>
      <c r="L70" s="330"/>
      <c r="M70" s="330"/>
      <c r="N70" s="330"/>
      <c r="O70" s="337"/>
      <c r="P70" s="326" t="s">
        <v>72</v>
      </c>
      <c r="Q70" s="327"/>
      <c r="R70" s="327"/>
      <c r="S70" s="327"/>
      <c r="T70" s="327"/>
      <c r="U70" s="327"/>
      <c r="V70" s="328"/>
      <c r="W70" s="37" t="s">
        <v>69</v>
      </c>
      <c r="X70" s="322">
        <f>IFERROR(SUM(X69:X69),"0")</f>
        <v>0</v>
      </c>
      <c r="Y70" s="322">
        <f>IFERROR(SUM(Y69:Y69),"0")</f>
        <v>0</v>
      </c>
      <c r="Z70" s="322">
        <f>IFERROR(IF(Z69="",0,Z69),"0")</f>
        <v>0</v>
      </c>
      <c r="AA70" s="323"/>
      <c r="AB70" s="323"/>
      <c r="AC70" s="323"/>
    </row>
    <row r="71" spans="1:68" x14ac:dyDescent="0.2">
      <c r="A71" s="330"/>
      <c r="B71" s="330"/>
      <c r="C71" s="330"/>
      <c r="D71" s="330"/>
      <c r="E71" s="330"/>
      <c r="F71" s="330"/>
      <c r="G71" s="330"/>
      <c r="H71" s="330"/>
      <c r="I71" s="330"/>
      <c r="J71" s="330"/>
      <c r="K71" s="330"/>
      <c r="L71" s="330"/>
      <c r="M71" s="330"/>
      <c r="N71" s="330"/>
      <c r="O71" s="337"/>
      <c r="P71" s="326" t="s">
        <v>72</v>
      </c>
      <c r="Q71" s="327"/>
      <c r="R71" s="327"/>
      <c r="S71" s="327"/>
      <c r="T71" s="327"/>
      <c r="U71" s="327"/>
      <c r="V71" s="328"/>
      <c r="W71" s="37" t="s">
        <v>73</v>
      </c>
      <c r="X71" s="322">
        <f>IFERROR(SUMPRODUCT(X69:X69*H69:H69),"0")</f>
        <v>0</v>
      </c>
      <c r="Y71" s="322">
        <f>IFERROR(SUMPRODUCT(Y69:Y69*H69:H69),"0")</f>
        <v>0</v>
      </c>
      <c r="Z71" s="37"/>
      <c r="AA71" s="323"/>
      <c r="AB71" s="323"/>
      <c r="AC71" s="323"/>
    </row>
    <row r="72" spans="1:68" ht="16.5" customHeight="1" x14ac:dyDescent="0.25">
      <c r="A72" s="329" t="s">
        <v>145</v>
      </c>
      <c r="B72" s="330"/>
      <c r="C72" s="330"/>
      <c r="D72" s="330"/>
      <c r="E72" s="330"/>
      <c r="F72" s="330"/>
      <c r="G72" s="330"/>
      <c r="H72" s="330"/>
      <c r="I72" s="330"/>
      <c r="J72" s="330"/>
      <c r="K72" s="330"/>
      <c r="L72" s="330"/>
      <c r="M72" s="330"/>
      <c r="N72" s="330"/>
      <c r="O72" s="330"/>
      <c r="P72" s="330"/>
      <c r="Q72" s="330"/>
      <c r="R72" s="330"/>
      <c r="S72" s="330"/>
      <c r="T72" s="330"/>
      <c r="U72" s="330"/>
      <c r="V72" s="330"/>
      <c r="W72" s="330"/>
      <c r="X72" s="330"/>
      <c r="Y72" s="330"/>
      <c r="Z72" s="330"/>
      <c r="AA72" s="315"/>
      <c r="AB72" s="315"/>
      <c r="AC72" s="315"/>
    </row>
    <row r="73" spans="1:68" ht="14.25" customHeight="1" x14ac:dyDescent="0.25">
      <c r="A73" s="354" t="s">
        <v>146</v>
      </c>
      <c r="B73" s="330"/>
      <c r="C73" s="330"/>
      <c r="D73" s="330"/>
      <c r="E73" s="330"/>
      <c r="F73" s="330"/>
      <c r="G73" s="330"/>
      <c r="H73" s="330"/>
      <c r="I73" s="330"/>
      <c r="J73" s="330"/>
      <c r="K73" s="330"/>
      <c r="L73" s="330"/>
      <c r="M73" s="330"/>
      <c r="N73" s="330"/>
      <c r="O73" s="330"/>
      <c r="P73" s="330"/>
      <c r="Q73" s="330"/>
      <c r="R73" s="330"/>
      <c r="S73" s="330"/>
      <c r="T73" s="330"/>
      <c r="U73" s="330"/>
      <c r="V73" s="330"/>
      <c r="W73" s="330"/>
      <c r="X73" s="330"/>
      <c r="Y73" s="330"/>
      <c r="Z73" s="330"/>
      <c r="AA73" s="314"/>
      <c r="AB73" s="314"/>
      <c r="AC73" s="314"/>
    </row>
    <row r="74" spans="1:68" ht="27" customHeight="1" x14ac:dyDescent="0.25">
      <c r="A74" s="54" t="s">
        <v>147</v>
      </c>
      <c r="B74" s="54" t="s">
        <v>148</v>
      </c>
      <c r="C74" s="31">
        <v>4301131021</v>
      </c>
      <c r="D74" s="324">
        <v>4607111034137</v>
      </c>
      <c r="E74" s="325"/>
      <c r="F74" s="319">
        <v>0.3</v>
      </c>
      <c r="G74" s="32">
        <v>12</v>
      </c>
      <c r="H74" s="319">
        <v>3.6</v>
      </c>
      <c r="I74" s="319">
        <v>4.3036000000000003</v>
      </c>
      <c r="J74" s="32">
        <v>70</v>
      </c>
      <c r="K74" s="32" t="s">
        <v>79</v>
      </c>
      <c r="L74" s="32" t="s">
        <v>80</v>
      </c>
      <c r="M74" s="33" t="s">
        <v>68</v>
      </c>
      <c r="N74" s="33"/>
      <c r="O74" s="32">
        <v>180</v>
      </c>
      <c r="P74" s="441" t="str">
        <f>HYPERLINK("https://abi.ru/products/Замороженные/Горячая штучка/Крылышки ГШ/Крылья/P004099/","Крылья Крылышки острые к пиву Базовый ассортимент Фикс.вес 0,3 Лоток Горячая штучка")</f>
        <v>Крылья Крылышки острые к пиву Базовый ассортимент Фикс.вес 0,3 Лоток Горячая штучка</v>
      </c>
      <c r="Q74" s="334"/>
      <c r="R74" s="334"/>
      <c r="S74" s="334"/>
      <c r="T74" s="335"/>
      <c r="U74" s="34"/>
      <c r="V74" s="34"/>
      <c r="W74" s="35" t="s">
        <v>69</v>
      </c>
      <c r="X74" s="320">
        <v>42</v>
      </c>
      <c r="Y74" s="321">
        <f>IFERROR(IF(X74="","",X74),"")</f>
        <v>42</v>
      </c>
      <c r="Z74" s="36">
        <f>IFERROR(IF(X74="","",X74*0.01788),"")</f>
        <v>0.75095999999999996</v>
      </c>
      <c r="AA74" s="56"/>
      <c r="AB74" s="57"/>
      <c r="AC74" s="118" t="s">
        <v>149</v>
      </c>
      <c r="AG74" s="67"/>
      <c r="AJ74" s="71" t="s">
        <v>82</v>
      </c>
      <c r="AK74" s="71">
        <v>14</v>
      </c>
      <c r="BB74" s="119" t="s">
        <v>83</v>
      </c>
      <c r="BM74" s="67">
        <f>IFERROR(X74*I74,"0")</f>
        <v>180.75120000000001</v>
      </c>
      <c r="BN74" s="67">
        <f>IFERROR(Y74*I74,"0")</f>
        <v>180.75120000000001</v>
      </c>
      <c r="BO74" s="67">
        <f>IFERROR(X74/J74,"0")</f>
        <v>0.6</v>
      </c>
      <c r="BP74" s="67">
        <f>IFERROR(Y74/J74,"0")</f>
        <v>0.6</v>
      </c>
    </row>
    <row r="75" spans="1:68" ht="27" customHeight="1" x14ac:dyDescent="0.25">
      <c r="A75" s="54" t="s">
        <v>150</v>
      </c>
      <c r="B75" s="54" t="s">
        <v>151</v>
      </c>
      <c r="C75" s="31">
        <v>4301131022</v>
      </c>
      <c r="D75" s="324">
        <v>4607111034120</v>
      </c>
      <c r="E75" s="325"/>
      <c r="F75" s="319">
        <v>0.3</v>
      </c>
      <c r="G75" s="32">
        <v>12</v>
      </c>
      <c r="H75" s="319">
        <v>3.6</v>
      </c>
      <c r="I75" s="319">
        <v>4.3036000000000003</v>
      </c>
      <c r="J75" s="32">
        <v>70</v>
      </c>
      <c r="K75" s="32" t="s">
        <v>79</v>
      </c>
      <c r="L75" s="32" t="s">
        <v>80</v>
      </c>
      <c r="M75" s="33" t="s">
        <v>68</v>
      </c>
      <c r="N75" s="33"/>
      <c r="O75" s="32">
        <v>180</v>
      </c>
      <c r="P75" s="516" t="str">
        <f>HYPERLINK("https://abi.ru/products/Замороженные/Горячая штучка/Крылышки ГШ/Крылья/P004101/","Крылья Хрустящие крылышки Базовый ассортимент Фикс.вес 0,3 Лоток Горячая штучка")</f>
        <v>Крылья Хрустящие крылышки Базовый ассортимент Фикс.вес 0,3 Лоток Горячая штучка</v>
      </c>
      <c r="Q75" s="334"/>
      <c r="R75" s="334"/>
      <c r="S75" s="334"/>
      <c r="T75" s="335"/>
      <c r="U75" s="34"/>
      <c r="V75" s="34"/>
      <c r="W75" s="35" t="s">
        <v>69</v>
      </c>
      <c r="X75" s="320">
        <v>14</v>
      </c>
      <c r="Y75" s="321">
        <f>IFERROR(IF(X75="","",X75),"")</f>
        <v>14</v>
      </c>
      <c r="Z75" s="36">
        <f>IFERROR(IF(X75="","",X75*0.01788),"")</f>
        <v>0.25031999999999999</v>
      </c>
      <c r="AA75" s="56"/>
      <c r="AB75" s="57"/>
      <c r="AC75" s="120" t="s">
        <v>152</v>
      </c>
      <c r="AG75" s="67"/>
      <c r="AJ75" s="71" t="s">
        <v>82</v>
      </c>
      <c r="AK75" s="71">
        <v>14</v>
      </c>
      <c r="BB75" s="121" t="s">
        <v>83</v>
      </c>
      <c r="BM75" s="67">
        <f>IFERROR(X75*I75,"0")</f>
        <v>60.250400000000006</v>
      </c>
      <c r="BN75" s="67">
        <f>IFERROR(Y75*I75,"0")</f>
        <v>60.250400000000006</v>
      </c>
      <c r="BO75" s="67">
        <f>IFERROR(X75/J75,"0")</f>
        <v>0.2</v>
      </c>
      <c r="BP75" s="67">
        <f>IFERROR(Y75/J75,"0")</f>
        <v>0.2</v>
      </c>
    </row>
    <row r="76" spans="1:68" x14ac:dyDescent="0.2">
      <c r="A76" s="336"/>
      <c r="B76" s="330"/>
      <c r="C76" s="330"/>
      <c r="D76" s="330"/>
      <c r="E76" s="330"/>
      <c r="F76" s="330"/>
      <c r="G76" s="330"/>
      <c r="H76" s="330"/>
      <c r="I76" s="330"/>
      <c r="J76" s="330"/>
      <c r="K76" s="330"/>
      <c r="L76" s="330"/>
      <c r="M76" s="330"/>
      <c r="N76" s="330"/>
      <c r="O76" s="337"/>
      <c r="P76" s="326" t="s">
        <v>72</v>
      </c>
      <c r="Q76" s="327"/>
      <c r="R76" s="327"/>
      <c r="S76" s="327"/>
      <c r="T76" s="327"/>
      <c r="U76" s="327"/>
      <c r="V76" s="328"/>
      <c r="W76" s="37" t="s">
        <v>69</v>
      </c>
      <c r="X76" s="322">
        <f>IFERROR(SUM(X74:X75),"0")</f>
        <v>56</v>
      </c>
      <c r="Y76" s="322">
        <f>IFERROR(SUM(Y74:Y75),"0")</f>
        <v>56</v>
      </c>
      <c r="Z76" s="322">
        <f>IFERROR(IF(Z74="",0,Z74),"0")+IFERROR(IF(Z75="",0,Z75),"0")</f>
        <v>1.0012799999999999</v>
      </c>
      <c r="AA76" s="323"/>
      <c r="AB76" s="323"/>
      <c r="AC76" s="323"/>
    </row>
    <row r="77" spans="1:68" x14ac:dyDescent="0.2">
      <c r="A77" s="330"/>
      <c r="B77" s="330"/>
      <c r="C77" s="330"/>
      <c r="D77" s="330"/>
      <c r="E77" s="330"/>
      <c r="F77" s="330"/>
      <c r="G77" s="330"/>
      <c r="H77" s="330"/>
      <c r="I77" s="330"/>
      <c r="J77" s="330"/>
      <c r="K77" s="330"/>
      <c r="L77" s="330"/>
      <c r="M77" s="330"/>
      <c r="N77" s="330"/>
      <c r="O77" s="337"/>
      <c r="P77" s="326" t="s">
        <v>72</v>
      </c>
      <c r="Q77" s="327"/>
      <c r="R77" s="327"/>
      <c r="S77" s="327"/>
      <c r="T77" s="327"/>
      <c r="U77" s="327"/>
      <c r="V77" s="328"/>
      <c r="W77" s="37" t="s">
        <v>73</v>
      </c>
      <c r="X77" s="322">
        <f>IFERROR(SUMPRODUCT(X74:X75*H74:H75),"0")</f>
        <v>201.60000000000002</v>
      </c>
      <c r="Y77" s="322">
        <f>IFERROR(SUMPRODUCT(Y74:Y75*H74:H75),"0")</f>
        <v>201.60000000000002</v>
      </c>
      <c r="Z77" s="37"/>
      <c r="AA77" s="323"/>
      <c r="AB77" s="323"/>
      <c r="AC77" s="323"/>
    </row>
    <row r="78" spans="1:68" ht="16.5" customHeight="1" x14ac:dyDescent="0.25">
      <c r="A78" s="329" t="s">
        <v>153</v>
      </c>
      <c r="B78" s="330"/>
      <c r="C78" s="330"/>
      <c r="D78" s="330"/>
      <c r="E78" s="330"/>
      <c r="F78" s="330"/>
      <c r="G78" s="330"/>
      <c r="H78" s="330"/>
      <c r="I78" s="330"/>
      <c r="J78" s="330"/>
      <c r="K78" s="330"/>
      <c r="L78" s="330"/>
      <c r="M78" s="330"/>
      <c r="N78" s="330"/>
      <c r="O78" s="330"/>
      <c r="P78" s="330"/>
      <c r="Q78" s="330"/>
      <c r="R78" s="330"/>
      <c r="S78" s="330"/>
      <c r="T78" s="330"/>
      <c r="U78" s="330"/>
      <c r="V78" s="330"/>
      <c r="W78" s="330"/>
      <c r="X78" s="330"/>
      <c r="Y78" s="330"/>
      <c r="Z78" s="330"/>
      <c r="AA78" s="315"/>
      <c r="AB78" s="315"/>
      <c r="AC78" s="315"/>
    </row>
    <row r="79" spans="1:68" ht="14.25" customHeight="1" x14ac:dyDescent="0.25">
      <c r="A79" s="354" t="s">
        <v>141</v>
      </c>
      <c r="B79" s="330"/>
      <c r="C79" s="330"/>
      <c r="D79" s="330"/>
      <c r="E79" s="330"/>
      <c r="F79" s="330"/>
      <c r="G79" s="330"/>
      <c r="H79" s="330"/>
      <c r="I79" s="330"/>
      <c r="J79" s="330"/>
      <c r="K79" s="330"/>
      <c r="L79" s="330"/>
      <c r="M79" s="330"/>
      <c r="N79" s="330"/>
      <c r="O79" s="330"/>
      <c r="P79" s="330"/>
      <c r="Q79" s="330"/>
      <c r="R79" s="330"/>
      <c r="S79" s="330"/>
      <c r="T79" s="330"/>
      <c r="U79" s="330"/>
      <c r="V79" s="330"/>
      <c r="W79" s="330"/>
      <c r="X79" s="330"/>
      <c r="Y79" s="330"/>
      <c r="Z79" s="330"/>
      <c r="AA79" s="314"/>
      <c r="AB79" s="314"/>
      <c r="AC79" s="314"/>
    </row>
    <row r="80" spans="1:68" ht="27" customHeight="1" x14ac:dyDescent="0.25">
      <c r="A80" s="54" t="s">
        <v>154</v>
      </c>
      <c r="B80" s="54" t="s">
        <v>155</v>
      </c>
      <c r="C80" s="31">
        <v>4301135285</v>
      </c>
      <c r="D80" s="324">
        <v>4607111036407</v>
      </c>
      <c r="E80" s="325"/>
      <c r="F80" s="319">
        <v>0.3</v>
      </c>
      <c r="G80" s="32">
        <v>14</v>
      </c>
      <c r="H80" s="319">
        <v>4.2</v>
      </c>
      <c r="I80" s="319">
        <v>4.5292000000000003</v>
      </c>
      <c r="J80" s="32">
        <v>70</v>
      </c>
      <c r="K80" s="32" t="s">
        <v>79</v>
      </c>
      <c r="L80" s="32" t="s">
        <v>80</v>
      </c>
      <c r="M80" s="33" t="s">
        <v>68</v>
      </c>
      <c r="N80" s="33"/>
      <c r="O80" s="32">
        <v>180</v>
      </c>
      <c r="P80" s="483" t="str">
        <f>HYPERLINK("https://abi.ru/products/Замороженные/Горячая штучка/Чебупели/Снеки/P004113/","Чебупели Курочка гриль Базовый ассортимент Фикс.вес 0,3 Пакет Горячая штучка")</f>
        <v>Чебупели Курочка гриль Базовый ассортимент Фикс.вес 0,3 Пакет Горячая штучка</v>
      </c>
      <c r="Q80" s="334"/>
      <c r="R80" s="334"/>
      <c r="S80" s="334"/>
      <c r="T80" s="335"/>
      <c r="U80" s="34"/>
      <c r="V80" s="34"/>
      <c r="W80" s="35" t="s">
        <v>69</v>
      </c>
      <c r="X80" s="320">
        <v>0</v>
      </c>
      <c r="Y80" s="321">
        <f t="shared" ref="Y80:Y85" si="6">IFERROR(IF(X80="","",X80),"")</f>
        <v>0</v>
      </c>
      <c r="Z80" s="36">
        <f t="shared" ref="Z80:Z85" si="7">IFERROR(IF(X80="","",X80*0.01788),"")</f>
        <v>0</v>
      </c>
      <c r="AA80" s="56"/>
      <c r="AB80" s="57"/>
      <c r="AC80" s="122" t="s">
        <v>156</v>
      </c>
      <c r="AG80" s="67"/>
      <c r="AJ80" s="71" t="s">
        <v>82</v>
      </c>
      <c r="AK80" s="71">
        <v>14</v>
      </c>
      <c r="BB80" s="123" t="s">
        <v>83</v>
      </c>
      <c r="BM80" s="67">
        <f t="shared" ref="BM80:BM85" si="8">IFERROR(X80*I80,"0")</f>
        <v>0</v>
      </c>
      <c r="BN80" s="67">
        <f t="shared" ref="BN80:BN85" si="9">IFERROR(Y80*I80,"0")</f>
        <v>0</v>
      </c>
      <c r="BO80" s="67">
        <f t="shared" ref="BO80:BO85" si="10">IFERROR(X80/J80,"0")</f>
        <v>0</v>
      </c>
      <c r="BP80" s="67">
        <f t="shared" ref="BP80:BP85" si="11">IFERROR(Y80/J80,"0")</f>
        <v>0</v>
      </c>
    </row>
    <row r="81" spans="1:68" ht="27" customHeight="1" x14ac:dyDescent="0.25">
      <c r="A81" s="54" t="s">
        <v>157</v>
      </c>
      <c r="B81" s="54" t="s">
        <v>158</v>
      </c>
      <c r="C81" s="31">
        <v>4301135286</v>
      </c>
      <c r="D81" s="324">
        <v>4607111033628</v>
      </c>
      <c r="E81" s="325"/>
      <c r="F81" s="319">
        <v>0.3</v>
      </c>
      <c r="G81" s="32">
        <v>12</v>
      </c>
      <c r="H81" s="319">
        <v>3.6</v>
      </c>
      <c r="I81" s="319">
        <v>4.3036000000000003</v>
      </c>
      <c r="J81" s="32">
        <v>70</v>
      </c>
      <c r="K81" s="32" t="s">
        <v>79</v>
      </c>
      <c r="L81" s="32" t="s">
        <v>80</v>
      </c>
      <c r="M81" s="33" t="s">
        <v>68</v>
      </c>
      <c r="N81" s="33"/>
      <c r="O81" s="32">
        <v>180</v>
      </c>
      <c r="P81" s="355" t="str">
        <f>HYPERLINK("https://abi.ru/products/Замороженные/Горячая штучка/Чебупели/Снеки/P004114/","Чебупели острые Базовый ассортимент Фикс.вес 0,3 Лоток Горячая штучка")</f>
        <v>Чебупели острые Базовый ассортимент Фикс.вес 0,3 Лоток Горячая штучка</v>
      </c>
      <c r="Q81" s="334"/>
      <c r="R81" s="334"/>
      <c r="S81" s="334"/>
      <c r="T81" s="335"/>
      <c r="U81" s="34"/>
      <c r="V81" s="34"/>
      <c r="W81" s="35" t="s">
        <v>69</v>
      </c>
      <c r="X81" s="320">
        <v>14</v>
      </c>
      <c r="Y81" s="321">
        <f t="shared" si="6"/>
        <v>14</v>
      </c>
      <c r="Z81" s="36">
        <f t="shared" si="7"/>
        <v>0.25031999999999999</v>
      </c>
      <c r="AA81" s="56"/>
      <c r="AB81" s="57"/>
      <c r="AC81" s="124" t="s">
        <v>159</v>
      </c>
      <c r="AG81" s="67"/>
      <c r="AJ81" s="71" t="s">
        <v>82</v>
      </c>
      <c r="AK81" s="71">
        <v>14</v>
      </c>
      <c r="BB81" s="125" t="s">
        <v>83</v>
      </c>
      <c r="BM81" s="67">
        <f t="shared" si="8"/>
        <v>60.250400000000006</v>
      </c>
      <c r="BN81" s="67">
        <f t="shared" si="9"/>
        <v>60.250400000000006</v>
      </c>
      <c r="BO81" s="67">
        <f t="shared" si="10"/>
        <v>0.2</v>
      </c>
      <c r="BP81" s="67">
        <f t="shared" si="11"/>
        <v>0.2</v>
      </c>
    </row>
    <row r="82" spans="1:68" ht="27" customHeight="1" x14ac:dyDescent="0.25">
      <c r="A82" s="54" t="s">
        <v>160</v>
      </c>
      <c r="B82" s="54" t="s">
        <v>161</v>
      </c>
      <c r="C82" s="31">
        <v>4301135565</v>
      </c>
      <c r="D82" s="324">
        <v>4607111033451</v>
      </c>
      <c r="E82" s="325"/>
      <c r="F82" s="319">
        <v>0.3</v>
      </c>
      <c r="G82" s="32">
        <v>12</v>
      </c>
      <c r="H82" s="319">
        <v>3.6</v>
      </c>
      <c r="I82" s="319">
        <v>4.3036000000000003</v>
      </c>
      <c r="J82" s="32">
        <v>70</v>
      </c>
      <c r="K82" s="32" t="s">
        <v>79</v>
      </c>
      <c r="L82" s="32" t="s">
        <v>67</v>
      </c>
      <c r="M82" s="33" t="s">
        <v>68</v>
      </c>
      <c r="N82" s="33"/>
      <c r="O82" s="32">
        <v>180</v>
      </c>
      <c r="P82" s="513" t="s">
        <v>162</v>
      </c>
      <c r="Q82" s="334"/>
      <c r="R82" s="334"/>
      <c r="S82" s="334"/>
      <c r="T82" s="335"/>
      <c r="U82" s="34"/>
      <c r="V82" s="34"/>
      <c r="W82" s="35" t="s">
        <v>69</v>
      </c>
      <c r="X82" s="320">
        <v>56</v>
      </c>
      <c r="Y82" s="321">
        <f t="shared" si="6"/>
        <v>56</v>
      </c>
      <c r="Z82" s="36">
        <f t="shared" si="7"/>
        <v>1.0012799999999999</v>
      </c>
      <c r="AA82" s="56"/>
      <c r="AB82" s="57"/>
      <c r="AC82" s="126" t="s">
        <v>163</v>
      </c>
      <c r="AG82" s="67"/>
      <c r="AJ82" s="71" t="s">
        <v>71</v>
      </c>
      <c r="AK82" s="71">
        <v>1</v>
      </c>
      <c r="BB82" s="127" t="s">
        <v>83</v>
      </c>
      <c r="BM82" s="67">
        <f t="shared" si="8"/>
        <v>241.00160000000002</v>
      </c>
      <c r="BN82" s="67">
        <f t="shared" si="9"/>
        <v>241.00160000000002</v>
      </c>
      <c r="BO82" s="67">
        <f t="shared" si="10"/>
        <v>0.8</v>
      </c>
      <c r="BP82" s="67">
        <f t="shared" si="11"/>
        <v>0.8</v>
      </c>
    </row>
    <row r="83" spans="1:68" ht="27" customHeight="1" x14ac:dyDescent="0.25">
      <c r="A83" s="54" t="s">
        <v>164</v>
      </c>
      <c r="B83" s="54" t="s">
        <v>165</v>
      </c>
      <c r="C83" s="31">
        <v>4301135295</v>
      </c>
      <c r="D83" s="324">
        <v>4607111035141</v>
      </c>
      <c r="E83" s="325"/>
      <c r="F83" s="319">
        <v>0.3</v>
      </c>
      <c r="G83" s="32">
        <v>12</v>
      </c>
      <c r="H83" s="319">
        <v>3.6</v>
      </c>
      <c r="I83" s="319">
        <v>4.3036000000000003</v>
      </c>
      <c r="J83" s="32">
        <v>70</v>
      </c>
      <c r="K83" s="32" t="s">
        <v>79</v>
      </c>
      <c r="L83" s="32" t="s">
        <v>80</v>
      </c>
      <c r="M83" s="33" t="s">
        <v>68</v>
      </c>
      <c r="N83" s="33"/>
      <c r="O83" s="32">
        <v>180</v>
      </c>
      <c r="P83" s="526" t="str">
        <f>HYPERLINK("https://abi.ru/products/Замороженные/Горячая штучка/Чебупели/Снеки/P004130/","Чебупели с мясом без свинины Базовый ассортимент Фикс.вес 0,3 Лоток Горячая штучка")</f>
        <v>Чебупели с мясом без свинины Базовый ассортимент Фикс.вес 0,3 Лоток Горячая штучка</v>
      </c>
      <c r="Q83" s="334"/>
      <c r="R83" s="334"/>
      <c r="S83" s="334"/>
      <c r="T83" s="335"/>
      <c r="U83" s="34"/>
      <c r="V83" s="34"/>
      <c r="W83" s="35" t="s">
        <v>69</v>
      </c>
      <c r="X83" s="320">
        <v>28</v>
      </c>
      <c r="Y83" s="321">
        <f t="shared" si="6"/>
        <v>28</v>
      </c>
      <c r="Z83" s="36">
        <f t="shared" si="7"/>
        <v>0.50063999999999997</v>
      </c>
      <c r="AA83" s="56"/>
      <c r="AB83" s="57"/>
      <c r="AC83" s="128" t="s">
        <v>166</v>
      </c>
      <c r="AG83" s="67"/>
      <c r="AJ83" s="71" t="s">
        <v>82</v>
      </c>
      <c r="AK83" s="71">
        <v>14</v>
      </c>
      <c r="BB83" s="129" t="s">
        <v>83</v>
      </c>
      <c r="BM83" s="67">
        <f t="shared" si="8"/>
        <v>120.50080000000001</v>
      </c>
      <c r="BN83" s="67">
        <f t="shared" si="9"/>
        <v>120.50080000000001</v>
      </c>
      <c r="BO83" s="67">
        <f t="shared" si="10"/>
        <v>0.4</v>
      </c>
      <c r="BP83" s="67">
        <f t="shared" si="11"/>
        <v>0.4</v>
      </c>
    </row>
    <row r="84" spans="1:68" ht="27" customHeight="1" x14ac:dyDescent="0.25">
      <c r="A84" s="54" t="s">
        <v>167</v>
      </c>
      <c r="B84" s="54" t="s">
        <v>168</v>
      </c>
      <c r="C84" s="31">
        <v>4301135578</v>
      </c>
      <c r="D84" s="324">
        <v>4607111033444</v>
      </c>
      <c r="E84" s="325"/>
      <c r="F84" s="319">
        <v>0.3</v>
      </c>
      <c r="G84" s="32">
        <v>12</v>
      </c>
      <c r="H84" s="319">
        <v>3.6</v>
      </c>
      <c r="I84" s="319">
        <v>4.3036000000000003</v>
      </c>
      <c r="J84" s="32">
        <v>70</v>
      </c>
      <c r="K84" s="32" t="s">
        <v>79</v>
      </c>
      <c r="L84" s="32" t="s">
        <v>67</v>
      </c>
      <c r="M84" s="33" t="s">
        <v>68</v>
      </c>
      <c r="N84" s="33"/>
      <c r="O84" s="32">
        <v>180</v>
      </c>
      <c r="P84" s="479" t="s">
        <v>169</v>
      </c>
      <c r="Q84" s="334"/>
      <c r="R84" s="334"/>
      <c r="S84" s="334"/>
      <c r="T84" s="335"/>
      <c r="U84" s="34"/>
      <c r="V84" s="34"/>
      <c r="W84" s="35" t="s">
        <v>69</v>
      </c>
      <c r="X84" s="320">
        <v>84</v>
      </c>
      <c r="Y84" s="321">
        <f t="shared" si="6"/>
        <v>84</v>
      </c>
      <c r="Z84" s="36">
        <f t="shared" si="7"/>
        <v>1.5019199999999999</v>
      </c>
      <c r="AA84" s="56"/>
      <c r="AB84" s="57"/>
      <c r="AC84" s="130" t="s">
        <v>163</v>
      </c>
      <c r="AG84" s="67"/>
      <c r="AJ84" s="71" t="s">
        <v>71</v>
      </c>
      <c r="AK84" s="71">
        <v>1</v>
      </c>
      <c r="BB84" s="131" t="s">
        <v>83</v>
      </c>
      <c r="BM84" s="67">
        <f t="shared" si="8"/>
        <v>361.50240000000002</v>
      </c>
      <c r="BN84" s="67">
        <f t="shared" si="9"/>
        <v>361.50240000000002</v>
      </c>
      <c r="BO84" s="67">
        <f t="shared" si="10"/>
        <v>1.2</v>
      </c>
      <c r="BP84" s="67">
        <f t="shared" si="11"/>
        <v>1.2</v>
      </c>
    </row>
    <row r="85" spans="1:68" ht="27" customHeight="1" x14ac:dyDescent="0.25">
      <c r="A85" s="54" t="s">
        <v>170</v>
      </c>
      <c r="B85" s="54" t="s">
        <v>171</v>
      </c>
      <c r="C85" s="31">
        <v>4301135290</v>
      </c>
      <c r="D85" s="324">
        <v>4607111035028</v>
      </c>
      <c r="E85" s="325"/>
      <c r="F85" s="319">
        <v>0.48</v>
      </c>
      <c r="G85" s="32">
        <v>8</v>
      </c>
      <c r="H85" s="319">
        <v>3.84</v>
      </c>
      <c r="I85" s="319">
        <v>4.4488000000000003</v>
      </c>
      <c r="J85" s="32">
        <v>70</v>
      </c>
      <c r="K85" s="32" t="s">
        <v>79</v>
      </c>
      <c r="L85" s="32" t="s">
        <v>80</v>
      </c>
      <c r="M85" s="33" t="s">
        <v>68</v>
      </c>
      <c r="N85" s="33"/>
      <c r="O85" s="32">
        <v>180</v>
      </c>
      <c r="P85" s="527" t="str">
        <f>HYPERLINK("https://abi.ru/products/Замороженные/Горячая штучка/Чебупели/Снеки/P004125/","Чебупели с мясом Базовый ассортимент Фикс.вес 0,48 Лоток Горячая штучка ХХЛ")</f>
        <v>Чебупели с мясом Базовый ассортимент Фикс.вес 0,48 Лоток Горячая штучка ХХЛ</v>
      </c>
      <c r="Q85" s="334"/>
      <c r="R85" s="334"/>
      <c r="S85" s="334"/>
      <c r="T85" s="335"/>
      <c r="U85" s="34"/>
      <c r="V85" s="34"/>
      <c r="W85" s="35" t="s">
        <v>69</v>
      </c>
      <c r="X85" s="320">
        <v>0</v>
      </c>
      <c r="Y85" s="321">
        <f t="shared" si="6"/>
        <v>0</v>
      </c>
      <c r="Z85" s="36">
        <f t="shared" si="7"/>
        <v>0</v>
      </c>
      <c r="AA85" s="56"/>
      <c r="AB85" s="57"/>
      <c r="AC85" s="132" t="s">
        <v>166</v>
      </c>
      <c r="AG85" s="67"/>
      <c r="AJ85" s="71" t="s">
        <v>82</v>
      </c>
      <c r="AK85" s="71">
        <v>14</v>
      </c>
      <c r="BB85" s="133" t="s">
        <v>83</v>
      </c>
      <c r="BM85" s="67">
        <f t="shared" si="8"/>
        <v>0</v>
      </c>
      <c r="BN85" s="67">
        <f t="shared" si="9"/>
        <v>0</v>
      </c>
      <c r="BO85" s="67">
        <f t="shared" si="10"/>
        <v>0</v>
      </c>
      <c r="BP85" s="67">
        <f t="shared" si="11"/>
        <v>0</v>
      </c>
    </row>
    <row r="86" spans="1:68" x14ac:dyDescent="0.2">
      <c r="A86" s="336"/>
      <c r="B86" s="330"/>
      <c r="C86" s="330"/>
      <c r="D86" s="330"/>
      <c r="E86" s="330"/>
      <c r="F86" s="330"/>
      <c r="G86" s="330"/>
      <c r="H86" s="330"/>
      <c r="I86" s="330"/>
      <c r="J86" s="330"/>
      <c r="K86" s="330"/>
      <c r="L86" s="330"/>
      <c r="M86" s="330"/>
      <c r="N86" s="330"/>
      <c r="O86" s="337"/>
      <c r="P86" s="326" t="s">
        <v>72</v>
      </c>
      <c r="Q86" s="327"/>
      <c r="R86" s="327"/>
      <c r="S86" s="327"/>
      <c r="T86" s="327"/>
      <c r="U86" s="327"/>
      <c r="V86" s="328"/>
      <c r="W86" s="37" t="s">
        <v>69</v>
      </c>
      <c r="X86" s="322">
        <f>IFERROR(SUM(X80:X85),"0")</f>
        <v>182</v>
      </c>
      <c r="Y86" s="322">
        <f>IFERROR(SUM(Y80:Y85),"0")</f>
        <v>182</v>
      </c>
      <c r="Z86" s="322">
        <f>IFERROR(IF(Z80="",0,Z80),"0")+IFERROR(IF(Z81="",0,Z81),"0")+IFERROR(IF(Z82="",0,Z82),"0")+IFERROR(IF(Z83="",0,Z83),"0")+IFERROR(IF(Z84="",0,Z84),"0")+IFERROR(IF(Z85="",0,Z85),"0")</f>
        <v>3.2541599999999997</v>
      </c>
      <c r="AA86" s="323"/>
      <c r="AB86" s="323"/>
      <c r="AC86" s="323"/>
    </row>
    <row r="87" spans="1:68" x14ac:dyDescent="0.2">
      <c r="A87" s="330"/>
      <c r="B87" s="330"/>
      <c r="C87" s="330"/>
      <c r="D87" s="330"/>
      <c r="E87" s="330"/>
      <c r="F87" s="330"/>
      <c r="G87" s="330"/>
      <c r="H87" s="330"/>
      <c r="I87" s="330"/>
      <c r="J87" s="330"/>
      <c r="K87" s="330"/>
      <c r="L87" s="330"/>
      <c r="M87" s="330"/>
      <c r="N87" s="330"/>
      <c r="O87" s="337"/>
      <c r="P87" s="326" t="s">
        <v>72</v>
      </c>
      <c r="Q87" s="327"/>
      <c r="R87" s="327"/>
      <c r="S87" s="327"/>
      <c r="T87" s="327"/>
      <c r="U87" s="327"/>
      <c r="V87" s="328"/>
      <c r="W87" s="37" t="s">
        <v>73</v>
      </c>
      <c r="X87" s="322">
        <f>IFERROR(SUMPRODUCT(X80:X85*H80:H85),"0")</f>
        <v>655.20000000000005</v>
      </c>
      <c r="Y87" s="322">
        <f>IFERROR(SUMPRODUCT(Y80:Y85*H80:H85),"0")</f>
        <v>655.20000000000005</v>
      </c>
      <c r="Z87" s="37"/>
      <c r="AA87" s="323"/>
      <c r="AB87" s="323"/>
      <c r="AC87" s="323"/>
    </row>
    <row r="88" spans="1:68" ht="16.5" customHeight="1" x14ac:dyDescent="0.25">
      <c r="A88" s="329" t="s">
        <v>172</v>
      </c>
      <c r="B88" s="330"/>
      <c r="C88" s="330"/>
      <c r="D88" s="330"/>
      <c r="E88" s="330"/>
      <c r="F88" s="330"/>
      <c r="G88" s="330"/>
      <c r="H88" s="330"/>
      <c r="I88" s="330"/>
      <c r="J88" s="330"/>
      <c r="K88" s="330"/>
      <c r="L88" s="330"/>
      <c r="M88" s="330"/>
      <c r="N88" s="330"/>
      <c r="O88" s="330"/>
      <c r="P88" s="330"/>
      <c r="Q88" s="330"/>
      <c r="R88" s="330"/>
      <c r="S88" s="330"/>
      <c r="T88" s="330"/>
      <c r="U88" s="330"/>
      <c r="V88" s="330"/>
      <c r="W88" s="330"/>
      <c r="X88" s="330"/>
      <c r="Y88" s="330"/>
      <c r="Z88" s="330"/>
      <c r="AA88" s="315"/>
      <c r="AB88" s="315"/>
      <c r="AC88" s="315"/>
    </row>
    <row r="89" spans="1:68" ht="14.25" customHeight="1" x14ac:dyDescent="0.25">
      <c r="A89" s="354" t="s">
        <v>173</v>
      </c>
      <c r="B89" s="330"/>
      <c r="C89" s="330"/>
      <c r="D89" s="330"/>
      <c r="E89" s="330"/>
      <c r="F89" s="330"/>
      <c r="G89" s="330"/>
      <c r="H89" s="330"/>
      <c r="I89" s="330"/>
      <c r="J89" s="330"/>
      <c r="K89" s="330"/>
      <c r="L89" s="330"/>
      <c r="M89" s="330"/>
      <c r="N89" s="330"/>
      <c r="O89" s="330"/>
      <c r="P89" s="330"/>
      <c r="Q89" s="330"/>
      <c r="R89" s="330"/>
      <c r="S89" s="330"/>
      <c r="T89" s="330"/>
      <c r="U89" s="330"/>
      <c r="V89" s="330"/>
      <c r="W89" s="330"/>
      <c r="X89" s="330"/>
      <c r="Y89" s="330"/>
      <c r="Z89" s="330"/>
      <c r="AA89" s="314"/>
      <c r="AB89" s="314"/>
      <c r="AC89" s="314"/>
    </row>
    <row r="90" spans="1:68" ht="27" customHeight="1" x14ac:dyDescent="0.25">
      <c r="A90" s="54" t="s">
        <v>174</v>
      </c>
      <c r="B90" s="54" t="s">
        <v>175</v>
      </c>
      <c r="C90" s="31">
        <v>4301136042</v>
      </c>
      <c r="D90" s="324">
        <v>4607025784012</v>
      </c>
      <c r="E90" s="325"/>
      <c r="F90" s="319">
        <v>0.09</v>
      </c>
      <c r="G90" s="32">
        <v>24</v>
      </c>
      <c r="H90" s="319">
        <v>2.16</v>
      </c>
      <c r="I90" s="319">
        <v>2.4912000000000001</v>
      </c>
      <c r="J90" s="32">
        <v>126</v>
      </c>
      <c r="K90" s="32" t="s">
        <v>79</v>
      </c>
      <c r="L90" s="32" t="s">
        <v>80</v>
      </c>
      <c r="M90" s="33" t="s">
        <v>68</v>
      </c>
      <c r="N90" s="33"/>
      <c r="O90" s="32">
        <v>180</v>
      </c>
      <c r="P90" s="461" t="str">
        <f>HYPERLINK("https://abi.ru/products/Замороженные/Горячая штучка/Чебуреки ГШ/Чебуреки/P004138/","Чебуреки с мясом Базовый ассортимент Штучка 0,09 Пленка Горячая штучка")</f>
        <v>Чебуреки с мясом Базовый ассортимент Штучка 0,09 Пленка Горячая штучка</v>
      </c>
      <c r="Q90" s="334"/>
      <c r="R90" s="334"/>
      <c r="S90" s="334"/>
      <c r="T90" s="335"/>
      <c r="U90" s="34"/>
      <c r="V90" s="34"/>
      <c r="W90" s="35" t="s">
        <v>69</v>
      </c>
      <c r="X90" s="320">
        <v>0</v>
      </c>
      <c r="Y90" s="321">
        <f>IFERROR(IF(X90="","",X90),"")</f>
        <v>0</v>
      </c>
      <c r="Z90" s="36">
        <f>IFERROR(IF(X90="","",X90*0.00936),"")</f>
        <v>0</v>
      </c>
      <c r="AA90" s="56"/>
      <c r="AB90" s="57"/>
      <c r="AC90" s="134" t="s">
        <v>176</v>
      </c>
      <c r="AG90" s="67"/>
      <c r="AJ90" s="71" t="s">
        <v>82</v>
      </c>
      <c r="AK90" s="71">
        <v>14</v>
      </c>
      <c r="BB90" s="135" t="s">
        <v>83</v>
      </c>
      <c r="BM90" s="67">
        <f>IFERROR(X90*I90,"0")</f>
        <v>0</v>
      </c>
      <c r="BN90" s="67">
        <f>IFERROR(Y90*I90,"0")</f>
        <v>0</v>
      </c>
      <c r="BO90" s="67">
        <f>IFERROR(X90/J90,"0")</f>
        <v>0</v>
      </c>
      <c r="BP90" s="67">
        <f>IFERROR(Y90/J90,"0")</f>
        <v>0</v>
      </c>
    </row>
    <row r="91" spans="1:68" ht="27" customHeight="1" x14ac:dyDescent="0.25">
      <c r="A91" s="54" t="s">
        <v>177</v>
      </c>
      <c r="B91" s="54" t="s">
        <v>178</v>
      </c>
      <c r="C91" s="31">
        <v>4301136040</v>
      </c>
      <c r="D91" s="324">
        <v>4607025784319</v>
      </c>
      <c r="E91" s="325"/>
      <c r="F91" s="319">
        <v>0.36</v>
      </c>
      <c r="G91" s="32">
        <v>10</v>
      </c>
      <c r="H91" s="319">
        <v>3.6</v>
      </c>
      <c r="I91" s="319">
        <v>4.2439999999999998</v>
      </c>
      <c r="J91" s="32">
        <v>70</v>
      </c>
      <c r="K91" s="32" t="s">
        <v>79</v>
      </c>
      <c r="L91" s="32" t="s">
        <v>80</v>
      </c>
      <c r="M91" s="33" t="s">
        <v>68</v>
      </c>
      <c r="N91" s="33"/>
      <c r="O91" s="32">
        <v>180</v>
      </c>
      <c r="P91" s="466" t="str">
        <f>HYPERLINK("https://abi.ru/products/Замороженные/Горячая штучка/Чебуреки ГШ/Чебуреки/P004127/","Чебуреки со свининой и говядиной Базовый ассортимент Фикс.вес 0,36 Лоток Горячая штучка")</f>
        <v>Чебуреки со свининой и говядиной Базовый ассортимент Фикс.вес 0,36 Лоток Горячая штучка</v>
      </c>
      <c r="Q91" s="334"/>
      <c r="R91" s="334"/>
      <c r="S91" s="334"/>
      <c r="T91" s="335"/>
      <c r="U91" s="34"/>
      <c r="V91" s="34"/>
      <c r="W91" s="35" t="s">
        <v>69</v>
      </c>
      <c r="X91" s="320">
        <v>56</v>
      </c>
      <c r="Y91" s="321">
        <f>IFERROR(IF(X91="","",X91),"")</f>
        <v>56</v>
      </c>
      <c r="Z91" s="36">
        <f>IFERROR(IF(X91="","",X91*0.01788),"")</f>
        <v>1.0012799999999999</v>
      </c>
      <c r="AA91" s="56"/>
      <c r="AB91" s="57"/>
      <c r="AC91" s="136" t="s">
        <v>159</v>
      </c>
      <c r="AG91" s="67"/>
      <c r="AJ91" s="71" t="s">
        <v>82</v>
      </c>
      <c r="AK91" s="71">
        <v>14</v>
      </c>
      <c r="BB91" s="137" t="s">
        <v>83</v>
      </c>
      <c r="BM91" s="67">
        <f>IFERROR(X91*I91,"0")</f>
        <v>237.66399999999999</v>
      </c>
      <c r="BN91" s="67">
        <f>IFERROR(Y91*I91,"0")</f>
        <v>237.66399999999999</v>
      </c>
      <c r="BO91" s="67">
        <f>IFERROR(X91/J91,"0")</f>
        <v>0.8</v>
      </c>
      <c r="BP91" s="67">
        <f>IFERROR(Y91/J91,"0")</f>
        <v>0.8</v>
      </c>
    </row>
    <row r="92" spans="1:68" ht="16.5" customHeight="1" x14ac:dyDescent="0.25">
      <c r="A92" s="54" t="s">
        <v>179</v>
      </c>
      <c r="B92" s="54" t="s">
        <v>180</v>
      </c>
      <c r="C92" s="31">
        <v>4301136039</v>
      </c>
      <c r="D92" s="324">
        <v>4607111035370</v>
      </c>
      <c r="E92" s="325"/>
      <c r="F92" s="319">
        <v>0.14000000000000001</v>
      </c>
      <c r="G92" s="32">
        <v>22</v>
      </c>
      <c r="H92" s="319">
        <v>3.08</v>
      </c>
      <c r="I92" s="319">
        <v>3.464</v>
      </c>
      <c r="J92" s="32">
        <v>84</v>
      </c>
      <c r="K92" s="32" t="s">
        <v>66</v>
      </c>
      <c r="L92" s="32" t="s">
        <v>80</v>
      </c>
      <c r="M92" s="33" t="s">
        <v>68</v>
      </c>
      <c r="N92" s="33"/>
      <c r="O92" s="32">
        <v>180</v>
      </c>
      <c r="P92" s="368" t="str">
        <f>HYPERLINK("https://abi.ru/products/Замороженные/Горячая штучка/Чебуреки ГШ/Чебуреки/P004122/","Чебуречище Базовый ассортимент Штучка 0,14 Пленка Горячая штучка")</f>
        <v>Чебуречище Базовый ассортимент Штучка 0,14 Пленка Горячая штучка</v>
      </c>
      <c r="Q92" s="334"/>
      <c r="R92" s="334"/>
      <c r="S92" s="334"/>
      <c r="T92" s="335"/>
      <c r="U92" s="34"/>
      <c r="V92" s="34"/>
      <c r="W92" s="35" t="s">
        <v>69</v>
      </c>
      <c r="X92" s="320">
        <v>0</v>
      </c>
      <c r="Y92" s="321">
        <f>IFERROR(IF(X92="","",X92),"")</f>
        <v>0</v>
      </c>
      <c r="Z92" s="36">
        <f>IFERROR(IF(X92="","",X92*0.0155),"")</f>
        <v>0</v>
      </c>
      <c r="AA92" s="56"/>
      <c r="AB92" s="57"/>
      <c r="AC92" s="138" t="s">
        <v>181</v>
      </c>
      <c r="AG92" s="67"/>
      <c r="AJ92" s="71" t="s">
        <v>82</v>
      </c>
      <c r="AK92" s="71">
        <v>12</v>
      </c>
      <c r="BB92" s="139" t="s">
        <v>83</v>
      </c>
      <c r="BM92" s="67">
        <f>IFERROR(X92*I92,"0")</f>
        <v>0</v>
      </c>
      <c r="BN92" s="67">
        <f>IFERROR(Y92*I92,"0")</f>
        <v>0</v>
      </c>
      <c r="BO92" s="67">
        <f>IFERROR(X92/J92,"0")</f>
        <v>0</v>
      </c>
      <c r="BP92" s="67">
        <f>IFERROR(Y92/J92,"0")</f>
        <v>0</v>
      </c>
    </row>
    <row r="93" spans="1:68" x14ac:dyDescent="0.2">
      <c r="A93" s="336"/>
      <c r="B93" s="330"/>
      <c r="C93" s="330"/>
      <c r="D93" s="330"/>
      <c r="E93" s="330"/>
      <c r="F93" s="330"/>
      <c r="G93" s="330"/>
      <c r="H93" s="330"/>
      <c r="I93" s="330"/>
      <c r="J93" s="330"/>
      <c r="K93" s="330"/>
      <c r="L93" s="330"/>
      <c r="M93" s="330"/>
      <c r="N93" s="330"/>
      <c r="O93" s="337"/>
      <c r="P93" s="326" t="s">
        <v>72</v>
      </c>
      <c r="Q93" s="327"/>
      <c r="R93" s="327"/>
      <c r="S93" s="327"/>
      <c r="T93" s="327"/>
      <c r="U93" s="327"/>
      <c r="V93" s="328"/>
      <c r="W93" s="37" t="s">
        <v>69</v>
      </c>
      <c r="X93" s="322">
        <f>IFERROR(SUM(X90:X92),"0")</f>
        <v>56</v>
      </c>
      <c r="Y93" s="322">
        <f>IFERROR(SUM(Y90:Y92),"0")</f>
        <v>56</v>
      </c>
      <c r="Z93" s="322">
        <f>IFERROR(IF(Z90="",0,Z90),"0")+IFERROR(IF(Z91="",0,Z91),"0")+IFERROR(IF(Z92="",0,Z92),"0")</f>
        <v>1.0012799999999999</v>
      </c>
      <c r="AA93" s="323"/>
      <c r="AB93" s="323"/>
      <c r="AC93" s="323"/>
    </row>
    <row r="94" spans="1:68" x14ac:dyDescent="0.2">
      <c r="A94" s="330"/>
      <c r="B94" s="330"/>
      <c r="C94" s="330"/>
      <c r="D94" s="330"/>
      <c r="E94" s="330"/>
      <c r="F94" s="330"/>
      <c r="G94" s="330"/>
      <c r="H94" s="330"/>
      <c r="I94" s="330"/>
      <c r="J94" s="330"/>
      <c r="K94" s="330"/>
      <c r="L94" s="330"/>
      <c r="M94" s="330"/>
      <c r="N94" s="330"/>
      <c r="O94" s="337"/>
      <c r="P94" s="326" t="s">
        <v>72</v>
      </c>
      <c r="Q94" s="327"/>
      <c r="R94" s="327"/>
      <c r="S94" s="327"/>
      <c r="T94" s="327"/>
      <c r="U94" s="327"/>
      <c r="V94" s="328"/>
      <c r="W94" s="37" t="s">
        <v>73</v>
      </c>
      <c r="X94" s="322">
        <f>IFERROR(SUMPRODUCT(X90:X92*H90:H92),"0")</f>
        <v>201.6</v>
      </c>
      <c r="Y94" s="322">
        <f>IFERROR(SUMPRODUCT(Y90:Y92*H90:H92),"0")</f>
        <v>201.6</v>
      </c>
      <c r="Z94" s="37"/>
      <c r="AA94" s="323"/>
      <c r="AB94" s="323"/>
      <c r="AC94" s="323"/>
    </row>
    <row r="95" spans="1:68" ht="16.5" customHeight="1" x14ac:dyDescent="0.25">
      <c r="A95" s="329" t="s">
        <v>182</v>
      </c>
      <c r="B95" s="330"/>
      <c r="C95" s="330"/>
      <c r="D95" s="330"/>
      <c r="E95" s="330"/>
      <c r="F95" s="330"/>
      <c r="G95" s="330"/>
      <c r="H95" s="330"/>
      <c r="I95" s="330"/>
      <c r="J95" s="330"/>
      <c r="K95" s="330"/>
      <c r="L95" s="330"/>
      <c r="M95" s="330"/>
      <c r="N95" s="330"/>
      <c r="O95" s="330"/>
      <c r="P95" s="330"/>
      <c r="Q95" s="330"/>
      <c r="R95" s="330"/>
      <c r="S95" s="330"/>
      <c r="T95" s="330"/>
      <c r="U95" s="330"/>
      <c r="V95" s="330"/>
      <c r="W95" s="330"/>
      <c r="X95" s="330"/>
      <c r="Y95" s="330"/>
      <c r="Z95" s="330"/>
      <c r="AA95" s="315"/>
      <c r="AB95" s="315"/>
      <c r="AC95" s="315"/>
    </row>
    <row r="96" spans="1:68" ht="14.25" customHeight="1" x14ac:dyDescent="0.25">
      <c r="A96" s="354" t="s">
        <v>63</v>
      </c>
      <c r="B96" s="330"/>
      <c r="C96" s="330"/>
      <c r="D96" s="330"/>
      <c r="E96" s="330"/>
      <c r="F96" s="330"/>
      <c r="G96" s="330"/>
      <c r="H96" s="330"/>
      <c r="I96" s="330"/>
      <c r="J96" s="330"/>
      <c r="K96" s="330"/>
      <c r="L96" s="330"/>
      <c r="M96" s="330"/>
      <c r="N96" s="330"/>
      <c r="O96" s="330"/>
      <c r="P96" s="330"/>
      <c r="Q96" s="330"/>
      <c r="R96" s="330"/>
      <c r="S96" s="330"/>
      <c r="T96" s="330"/>
      <c r="U96" s="330"/>
      <c r="V96" s="330"/>
      <c r="W96" s="330"/>
      <c r="X96" s="330"/>
      <c r="Y96" s="330"/>
      <c r="Z96" s="330"/>
      <c r="AA96" s="314"/>
      <c r="AB96" s="314"/>
      <c r="AC96" s="314"/>
    </row>
    <row r="97" spans="1:68" ht="27" customHeight="1" x14ac:dyDescent="0.25">
      <c r="A97" s="54" t="s">
        <v>183</v>
      </c>
      <c r="B97" s="54" t="s">
        <v>184</v>
      </c>
      <c r="C97" s="31">
        <v>4301070975</v>
      </c>
      <c r="D97" s="324">
        <v>4607111033970</v>
      </c>
      <c r="E97" s="325"/>
      <c r="F97" s="319">
        <v>0.43</v>
      </c>
      <c r="G97" s="32">
        <v>16</v>
      </c>
      <c r="H97" s="319">
        <v>6.88</v>
      </c>
      <c r="I97" s="319">
        <v>7.1996000000000002</v>
      </c>
      <c r="J97" s="32">
        <v>84</v>
      </c>
      <c r="K97" s="32" t="s">
        <v>66</v>
      </c>
      <c r="L97" s="32" t="s">
        <v>80</v>
      </c>
      <c r="M97" s="33" t="s">
        <v>68</v>
      </c>
      <c r="N97" s="33"/>
      <c r="O97" s="32">
        <v>180</v>
      </c>
      <c r="P97" s="388" t="str">
        <f>HYPERLINK("https://abi.ru/products/Замороженные/Горячая штучка/Бульмени ГШ/Пельмени/P003685/","Пельмени «Бульмени с говядиной и свининой» 0,43 Сфера ТМ «Горячая штучка»")</f>
        <v>Пельмени «Бульмени с говядиной и свининой» 0,43 Сфера ТМ «Горячая штучка»</v>
      </c>
      <c r="Q97" s="334"/>
      <c r="R97" s="334"/>
      <c r="S97" s="334"/>
      <c r="T97" s="335"/>
      <c r="U97" s="34"/>
      <c r="V97" s="34"/>
      <c r="W97" s="35" t="s">
        <v>69</v>
      </c>
      <c r="X97" s="320">
        <v>0</v>
      </c>
      <c r="Y97" s="321">
        <f t="shared" ref="Y97:Y104" si="12">IFERROR(IF(X97="","",X97),"")</f>
        <v>0</v>
      </c>
      <c r="Z97" s="36">
        <f t="shared" ref="Z97:Z104" si="13">IFERROR(IF(X97="","",X97*0.0155),"")</f>
        <v>0</v>
      </c>
      <c r="AA97" s="56"/>
      <c r="AB97" s="57"/>
      <c r="AC97" s="140" t="s">
        <v>137</v>
      </c>
      <c r="AG97" s="67"/>
      <c r="AJ97" s="71" t="s">
        <v>82</v>
      </c>
      <c r="AK97" s="71">
        <v>12</v>
      </c>
      <c r="BB97" s="141" t="s">
        <v>1</v>
      </c>
      <c r="BM97" s="67">
        <f t="shared" ref="BM97:BM104" si="14">IFERROR(X97*I97,"0")</f>
        <v>0</v>
      </c>
      <c r="BN97" s="67">
        <f t="shared" ref="BN97:BN104" si="15">IFERROR(Y97*I97,"0")</f>
        <v>0</v>
      </c>
      <c r="BO97" s="67">
        <f t="shared" ref="BO97:BO104" si="16">IFERROR(X97/J97,"0")</f>
        <v>0</v>
      </c>
      <c r="BP97" s="67">
        <f t="shared" ref="BP97:BP104" si="17">IFERROR(Y97/J97,"0")</f>
        <v>0</v>
      </c>
    </row>
    <row r="98" spans="1:68" ht="27" customHeight="1" x14ac:dyDescent="0.25">
      <c r="A98" s="54" t="s">
        <v>185</v>
      </c>
      <c r="B98" s="54" t="s">
        <v>186</v>
      </c>
      <c r="C98" s="31">
        <v>4301071051</v>
      </c>
      <c r="D98" s="324">
        <v>4607111039262</v>
      </c>
      <c r="E98" s="325"/>
      <c r="F98" s="319">
        <v>0.4</v>
      </c>
      <c r="G98" s="32">
        <v>16</v>
      </c>
      <c r="H98" s="319">
        <v>6.4</v>
      </c>
      <c r="I98" s="319">
        <v>6.7195999999999998</v>
      </c>
      <c r="J98" s="32">
        <v>84</v>
      </c>
      <c r="K98" s="32" t="s">
        <v>66</v>
      </c>
      <c r="L98" s="32" t="s">
        <v>80</v>
      </c>
      <c r="M98" s="33" t="s">
        <v>68</v>
      </c>
      <c r="N98" s="33"/>
      <c r="O98" s="32">
        <v>180</v>
      </c>
      <c r="P98" s="487" t="str">
        <f>HYPERLINK("https://abi.ru/products/Замороженные/Горячая штучка/Бульмени ГШ/Пельмени/P004474/","Пельмени «Бульмени с говядиной и свининой» 0,4 Сфера ТМ «Горячая штучка»")</f>
        <v>Пельмени «Бульмени с говядиной и свининой» 0,4 Сфера ТМ «Горячая штучка»</v>
      </c>
      <c r="Q98" s="334"/>
      <c r="R98" s="334"/>
      <c r="S98" s="334"/>
      <c r="T98" s="335"/>
      <c r="U98" s="34"/>
      <c r="V98" s="34"/>
      <c r="W98" s="35" t="s">
        <v>69</v>
      </c>
      <c r="X98" s="320">
        <v>0</v>
      </c>
      <c r="Y98" s="321">
        <f t="shared" si="12"/>
        <v>0</v>
      </c>
      <c r="Z98" s="36">
        <f t="shared" si="13"/>
        <v>0</v>
      </c>
      <c r="AA98" s="56"/>
      <c r="AB98" s="57"/>
      <c r="AC98" s="142" t="s">
        <v>137</v>
      </c>
      <c r="AG98" s="67"/>
      <c r="AJ98" s="71" t="s">
        <v>82</v>
      </c>
      <c r="AK98" s="71">
        <v>12</v>
      </c>
      <c r="BB98" s="143" t="s">
        <v>1</v>
      </c>
      <c r="BM98" s="67">
        <f t="shared" si="14"/>
        <v>0</v>
      </c>
      <c r="BN98" s="67">
        <f t="shared" si="15"/>
        <v>0</v>
      </c>
      <c r="BO98" s="67">
        <f t="shared" si="16"/>
        <v>0</v>
      </c>
      <c r="BP98" s="67">
        <f t="shared" si="17"/>
        <v>0</v>
      </c>
    </row>
    <row r="99" spans="1:68" ht="27" customHeight="1" x14ac:dyDescent="0.25">
      <c r="A99" s="54" t="s">
        <v>187</v>
      </c>
      <c r="B99" s="54" t="s">
        <v>188</v>
      </c>
      <c r="C99" s="31">
        <v>4301070976</v>
      </c>
      <c r="D99" s="324">
        <v>4607111034144</v>
      </c>
      <c r="E99" s="325"/>
      <c r="F99" s="319">
        <v>0.9</v>
      </c>
      <c r="G99" s="32">
        <v>8</v>
      </c>
      <c r="H99" s="319">
        <v>7.2</v>
      </c>
      <c r="I99" s="319">
        <v>7.4859999999999998</v>
      </c>
      <c r="J99" s="32">
        <v>84</v>
      </c>
      <c r="K99" s="32" t="s">
        <v>66</v>
      </c>
      <c r="L99" s="32" t="s">
        <v>88</v>
      </c>
      <c r="M99" s="33" t="s">
        <v>68</v>
      </c>
      <c r="N99" s="33"/>
      <c r="O99" s="32">
        <v>180</v>
      </c>
      <c r="P99" s="363" t="str">
        <f>HYPERLINK("https://abi.ru/products/Замороженные/Горячая штучка/Бульмени ГШ/Пельмени/P003686/","Пельмени «Бульмени с говядиной и свининой» 0,9 Сфера ТМ «Горячая штучка»")</f>
        <v>Пельмени «Бульмени с говядиной и свининой» 0,9 Сфера ТМ «Горячая штучка»</v>
      </c>
      <c r="Q99" s="334"/>
      <c r="R99" s="334"/>
      <c r="S99" s="334"/>
      <c r="T99" s="335"/>
      <c r="U99" s="34"/>
      <c r="V99" s="34"/>
      <c r="W99" s="35" t="s">
        <v>69</v>
      </c>
      <c r="X99" s="320">
        <v>0</v>
      </c>
      <c r="Y99" s="321">
        <f t="shared" si="12"/>
        <v>0</v>
      </c>
      <c r="Z99" s="36">
        <f t="shared" si="13"/>
        <v>0</v>
      </c>
      <c r="AA99" s="56"/>
      <c r="AB99" s="57"/>
      <c r="AC99" s="144" t="s">
        <v>137</v>
      </c>
      <c r="AG99" s="67"/>
      <c r="AJ99" s="71" t="s">
        <v>89</v>
      </c>
      <c r="AK99" s="71">
        <v>84</v>
      </c>
      <c r="BB99" s="145" t="s">
        <v>1</v>
      </c>
      <c r="BM99" s="67">
        <f t="shared" si="14"/>
        <v>0</v>
      </c>
      <c r="BN99" s="67">
        <f t="shared" si="15"/>
        <v>0</v>
      </c>
      <c r="BO99" s="67">
        <f t="shared" si="16"/>
        <v>0</v>
      </c>
      <c r="BP99" s="67">
        <f t="shared" si="17"/>
        <v>0</v>
      </c>
    </row>
    <row r="100" spans="1:68" ht="27" customHeight="1" x14ac:dyDescent="0.25">
      <c r="A100" s="54" t="s">
        <v>189</v>
      </c>
      <c r="B100" s="54" t="s">
        <v>190</v>
      </c>
      <c r="C100" s="31">
        <v>4301071038</v>
      </c>
      <c r="D100" s="324">
        <v>4607111039248</v>
      </c>
      <c r="E100" s="325"/>
      <c r="F100" s="319">
        <v>0.7</v>
      </c>
      <c r="G100" s="32">
        <v>10</v>
      </c>
      <c r="H100" s="319">
        <v>7</v>
      </c>
      <c r="I100" s="319">
        <v>7.3</v>
      </c>
      <c r="J100" s="32">
        <v>84</v>
      </c>
      <c r="K100" s="32" t="s">
        <v>66</v>
      </c>
      <c r="L100" s="32" t="s">
        <v>88</v>
      </c>
      <c r="M100" s="33" t="s">
        <v>68</v>
      </c>
      <c r="N100" s="33"/>
      <c r="O100" s="32">
        <v>180</v>
      </c>
      <c r="P100" s="370" t="str">
        <f>HYPERLINK("https://abi.ru/products/Замороженные/Горячая штучка/Бульмени ГШ/Пельмени/P004345/","Пельмени «Бульмени с говядиной и свининой» 0,7 Сфера ТМ «Горячая штучка»")</f>
        <v>Пельмени «Бульмени с говядиной и свининой» 0,7 Сфера ТМ «Горячая штучка»</v>
      </c>
      <c r="Q100" s="334"/>
      <c r="R100" s="334"/>
      <c r="S100" s="334"/>
      <c r="T100" s="335"/>
      <c r="U100" s="34"/>
      <c r="V100" s="34"/>
      <c r="W100" s="35" t="s">
        <v>69</v>
      </c>
      <c r="X100" s="320">
        <v>0</v>
      </c>
      <c r="Y100" s="321">
        <f t="shared" si="12"/>
        <v>0</v>
      </c>
      <c r="Z100" s="36">
        <f t="shared" si="13"/>
        <v>0</v>
      </c>
      <c r="AA100" s="56"/>
      <c r="AB100" s="57"/>
      <c r="AC100" s="146" t="s">
        <v>137</v>
      </c>
      <c r="AG100" s="67"/>
      <c r="AJ100" s="71" t="s">
        <v>89</v>
      </c>
      <c r="AK100" s="71">
        <v>84</v>
      </c>
      <c r="BB100" s="147" t="s">
        <v>1</v>
      </c>
      <c r="BM100" s="67">
        <f t="shared" si="14"/>
        <v>0</v>
      </c>
      <c r="BN100" s="67">
        <f t="shared" si="15"/>
        <v>0</v>
      </c>
      <c r="BO100" s="67">
        <f t="shared" si="16"/>
        <v>0</v>
      </c>
      <c r="BP100" s="67">
        <f t="shared" si="17"/>
        <v>0</v>
      </c>
    </row>
    <row r="101" spans="1:68" ht="27" customHeight="1" x14ac:dyDescent="0.25">
      <c r="A101" s="54" t="s">
        <v>191</v>
      </c>
      <c r="B101" s="54" t="s">
        <v>192</v>
      </c>
      <c r="C101" s="31">
        <v>4301070973</v>
      </c>
      <c r="D101" s="324">
        <v>4607111033987</v>
      </c>
      <c r="E101" s="325"/>
      <c r="F101" s="319">
        <v>0.43</v>
      </c>
      <c r="G101" s="32">
        <v>16</v>
      </c>
      <c r="H101" s="319">
        <v>6.88</v>
      </c>
      <c r="I101" s="319">
        <v>7.1996000000000002</v>
      </c>
      <c r="J101" s="32">
        <v>84</v>
      </c>
      <c r="K101" s="32" t="s">
        <v>66</v>
      </c>
      <c r="L101" s="32" t="s">
        <v>80</v>
      </c>
      <c r="M101" s="33" t="s">
        <v>68</v>
      </c>
      <c r="N101" s="33"/>
      <c r="O101" s="32">
        <v>180</v>
      </c>
      <c r="P101" s="499" t="str">
        <f>HYPERLINK("https://abi.ru/products/Замороженные/Горячая штучка/Бульмени ГШ/Пельмени/P003683/","Пельмени «Бульмени со сливочным маслом» 0,43 Сфера ТМ «Горячая штучка»")</f>
        <v>Пельмени «Бульмени со сливочным маслом» 0,43 Сфера ТМ «Горячая штучка»</v>
      </c>
      <c r="Q101" s="334"/>
      <c r="R101" s="334"/>
      <c r="S101" s="334"/>
      <c r="T101" s="335"/>
      <c r="U101" s="34"/>
      <c r="V101" s="34"/>
      <c r="W101" s="35" t="s">
        <v>69</v>
      </c>
      <c r="X101" s="320">
        <v>0</v>
      </c>
      <c r="Y101" s="321">
        <f t="shared" si="12"/>
        <v>0</v>
      </c>
      <c r="Z101" s="36">
        <f t="shared" si="13"/>
        <v>0</v>
      </c>
      <c r="AA101" s="56"/>
      <c r="AB101" s="57"/>
      <c r="AC101" s="148" t="s">
        <v>193</v>
      </c>
      <c r="AG101" s="67"/>
      <c r="AJ101" s="71" t="s">
        <v>82</v>
      </c>
      <c r="AK101" s="71">
        <v>12</v>
      </c>
      <c r="BB101" s="149" t="s">
        <v>1</v>
      </c>
      <c r="BM101" s="67">
        <f t="shared" si="14"/>
        <v>0</v>
      </c>
      <c r="BN101" s="67">
        <f t="shared" si="15"/>
        <v>0</v>
      </c>
      <c r="BO101" s="67">
        <f t="shared" si="16"/>
        <v>0</v>
      </c>
      <c r="BP101" s="67">
        <f t="shared" si="17"/>
        <v>0</v>
      </c>
    </row>
    <row r="102" spans="1:68" ht="27" customHeight="1" x14ac:dyDescent="0.25">
      <c r="A102" s="54" t="s">
        <v>194</v>
      </c>
      <c r="B102" s="54" t="s">
        <v>195</v>
      </c>
      <c r="C102" s="31">
        <v>4301071049</v>
      </c>
      <c r="D102" s="324">
        <v>4607111039293</v>
      </c>
      <c r="E102" s="325"/>
      <c r="F102" s="319">
        <v>0.4</v>
      </c>
      <c r="G102" s="32">
        <v>16</v>
      </c>
      <c r="H102" s="319">
        <v>6.4</v>
      </c>
      <c r="I102" s="319">
        <v>6.7195999999999998</v>
      </c>
      <c r="J102" s="32">
        <v>84</v>
      </c>
      <c r="K102" s="32" t="s">
        <v>66</v>
      </c>
      <c r="L102" s="32" t="s">
        <v>88</v>
      </c>
      <c r="M102" s="33" t="s">
        <v>68</v>
      </c>
      <c r="N102" s="33"/>
      <c r="O102" s="32">
        <v>180</v>
      </c>
      <c r="P102" s="500" t="str">
        <f>HYPERLINK("https://abi.ru/products/Замороженные/Горячая штучка/Бульмени ГШ/Пельмени/P004444/","Пельмени «Бульмени со сливочным маслом» 0,4 Сфера ТМ «Горячая штучка»")</f>
        <v>Пельмени «Бульмени со сливочным маслом» 0,4 Сфера ТМ «Горячая штучка»</v>
      </c>
      <c r="Q102" s="334"/>
      <c r="R102" s="334"/>
      <c r="S102" s="334"/>
      <c r="T102" s="335"/>
      <c r="U102" s="34"/>
      <c r="V102" s="34"/>
      <c r="W102" s="35" t="s">
        <v>69</v>
      </c>
      <c r="X102" s="320">
        <v>0</v>
      </c>
      <c r="Y102" s="321">
        <f t="shared" si="12"/>
        <v>0</v>
      </c>
      <c r="Z102" s="36">
        <f t="shared" si="13"/>
        <v>0</v>
      </c>
      <c r="AA102" s="56"/>
      <c r="AB102" s="57"/>
      <c r="AC102" s="150" t="s">
        <v>196</v>
      </c>
      <c r="AG102" s="67"/>
      <c r="AJ102" s="71" t="s">
        <v>89</v>
      </c>
      <c r="AK102" s="71">
        <v>84</v>
      </c>
      <c r="BB102" s="151" t="s">
        <v>1</v>
      </c>
      <c r="BM102" s="67">
        <f t="shared" si="14"/>
        <v>0</v>
      </c>
      <c r="BN102" s="67">
        <f t="shared" si="15"/>
        <v>0</v>
      </c>
      <c r="BO102" s="67">
        <f t="shared" si="16"/>
        <v>0</v>
      </c>
      <c r="BP102" s="67">
        <f t="shared" si="17"/>
        <v>0</v>
      </c>
    </row>
    <row r="103" spans="1:68" ht="27" customHeight="1" x14ac:dyDescent="0.25">
      <c r="A103" s="54" t="s">
        <v>197</v>
      </c>
      <c r="B103" s="54" t="s">
        <v>198</v>
      </c>
      <c r="C103" s="31">
        <v>4301070974</v>
      </c>
      <c r="D103" s="324">
        <v>4607111034151</v>
      </c>
      <c r="E103" s="325"/>
      <c r="F103" s="319">
        <v>0.9</v>
      </c>
      <c r="G103" s="32">
        <v>8</v>
      </c>
      <c r="H103" s="319">
        <v>7.2</v>
      </c>
      <c r="I103" s="319">
        <v>7.4859999999999998</v>
      </c>
      <c r="J103" s="32">
        <v>84</v>
      </c>
      <c r="K103" s="32" t="s">
        <v>66</v>
      </c>
      <c r="L103" s="32" t="s">
        <v>88</v>
      </c>
      <c r="M103" s="33" t="s">
        <v>68</v>
      </c>
      <c r="N103" s="33"/>
      <c r="O103" s="32">
        <v>180</v>
      </c>
      <c r="P103" s="387" t="str">
        <f>HYPERLINK("https://abi.ru/products/Замороженные/Горячая штучка/Бульмени ГШ/Пельмени/P003684/","Пельмени «Бульмени со сливочным маслом» 0,9 Сфера ТМ «Горячая штучка»")</f>
        <v>Пельмени «Бульмени со сливочным маслом» 0,9 Сфера ТМ «Горячая штучка»</v>
      </c>
      <c r="Q103" s="334"/>
      <c r="R103" s="334"/>
      <c r="S103" s="334"/>
      <c r="T103" s="335"/>
      <c r="U103" s="34"/>
      <c r="V103" s="34"/>
      <c r="W103" s="35" t="s">
        <v>69</v>
      </c>
      <c r="X103" s="320">
        <v>0</v>
      </c>
      <c r="Y103" s="321">
        <f t="shared" si="12"/>
        <v>0</v>
      </c>
      <c r="Z103" s="36">
        <f t="shared" si="13"/>
        <v>0</v>
      </c>
      <c r="AA103" s="56"/>
      <c r="AB103" s="57"/>
      <c r="AC103" s="152" t="s">
        <v>193</v>
      </c>
      <c r="AG103" s="67"/>
      <c r="AJ103" s="71" t="s">
        <v>89</v>
      </c>
      <c r="AK103" s="71">
        <v>84</v>
      </c>
      <c r="BB103" s="153" t="s">
        <v>1</v>
      </c>
      <c r="BM103" s="67">
        <f t="shared" si="14"/>
        <v>0</v>
      </c>
      <c r="BN103" s="67">
        <f t="shared" si="15"/>
        <v>0</v>
      </c>
      <c r="BO103" s="67">
        <f t="shared" si="16"/>
        <v>0</v>
      </c>
      <c r="BP103" s="67">
        <f t="shared" si="17"/>
        <v>0</v>
      </c>
    </row>
    <row r="104" spans="1:68" ht="27" customHeight="1" x14ac:dyDescent="0.25">
      <c r="A104" s="54" t="s">
        <v>199</v>
      </c>
      <c r="B104" s="54" t="s">
        <v>200</v>
      </c>
      <c r="C104" s="31">
        <v>4301071039</v>
      </c>
      <c r="D104" s="324">
        <v>4607111039279</v>
      </c>
      <c r="E104" s="325"/>
      <c r="F104" s="319">
        <v>0.7</v>
      </c>
      <c r="G104" s="32">
        <v>10</v>
      </c>
      <c r="H104" s="319">
        <v>7</v>
      </c>
      <c r="I104" s="319">
        <v>7.3</v>
      </c>
      <c r="J104" s="32">
        <v>84</v>
      </c>
      <c r="K104" s="32" t="s">
        <v>66</v>
      </c>
      <c r="L104" s="32" t="s">
        <v>88</v>
      </c>
      <c r="M104" s="33" t="s">
        <v>68</v>
      </c>
      <c r="N104" s="33"/>
      <c r="O104" s="32">
        <v>180</v>
      </c>
      <c r="P104" s="350" t="str">
        <f>HYPERLINK("https://abi.ru/products/Замороженные/Горячая штучка/Бульмени ГШ/Пельмени/P004346/","Пельмени «Бульмени со сливочным маслом» 0,7 Сфера ТМ «Горячая штучка»")</f>
        <v>Пельмени «Бульмени со сливочным маслом» 0,7 Сфера ТМ «Горячая штучка»</v>
      </c>
      <c r="Q104" s="334"/>
      <c r="R104" s="334"/>
      <c r="S104" s="334"/>
      <c r="T104" s="335"/>
      <c r="U104" s="34"/>
      <c r="V104" s="34"/>
      <c r="W104" s="35" t="s">
        <v>69</v>
      </c>
      <c r="X104" s="320">
        <v>0</v>
      </c>
      <c r="Y104" s="321">
        <f t="shared" si="12"/>
        <v>0</v>
      </c>
      <c r="Z104" s="36">
        <f t="shared" si="13"/>
        <v>0</v>
      </c>
      <c r="AA104" s="56"/>
      <c r="AB104" s="57"/>
      <c r="AC104" s="154" t="s">
        <v>137</v>
      </c>
      <c r="AG104" s="67"/>
      <c r="AJ104" s="71" t="s">
        <v>89</v>
      </c>
      <c r="AK104" s="71">
        <v>84</v>
      </c>
      <c r="BB104" s="155" t="s">
        <v>1</v>
      </c>
      <c r="BM104" s="67">
        <f t="shared" si="14"/>
        <v>0</v>
      </c>
      <c r="BN104" s="67">
        <f t="shared" si="15"/>
        <v>0</v>
      </c>
      <c r="BO104" s="67">
        <f t="shared" si="16"/>
        <v>0</v>
      </c>
      <c r="BP104" s="67">
        <f t="shared" si="17"/>
        <v>0</v>
      </c>
    </row>
    <row r="105" spans="1:68" x14ac:dyDescent="0.2">
      <c r="A105" s="336"/>
      <c r="B105" s="330"/>
      <c r="C105" s="330"/>
      <c r="D105" s="330"/>
      <c r="E105" s="330"/>
      <c r="F105" s="330"/>
      <c r="G105" s="330"/>
      <c r="H105" s="330"/>
      <c r="I105" s="330"/>
      <c r="J105" s="330"/>
      <c r="K105" s="330"/>
      <c r="L105" s="330"/>
      <c r="M105" s="330"/>
      <c r="N105" s="330"/>
      <c r="O105" s="337"/>
      <c r="P105" s="326" t="s">
        <v>72</v>
      </c>
      <c r="Q105" s="327"/>
      <c r="R105" s="327"/>
      <c r="S105" s="327"/>
      <c r="T105" s="327"/>
      <c r="U105" s="327"/>
      <c r="V105" s="328"/>
      <c r="W105" s="37" t="s">
        <v>69</v>
      </c>
      <c r="X105" s="322">
        <f>IFERROR(SUM(X97:X104),"0")</f>
        <v>0</v>
      </c>
      <c r="Y105" s="322">
        <f>IFERROR(SUM(Y97:Y104),"0")</f>
        <v>0</v>
      </c>
      <c r="Z105" s="322">
        <f>IFERROR(IF(Z97="",0,Z97),"0")+IFERROR(IF(Z98="",0,Z98),"0")+IFERROR(IF(Z99="",0,Z99),"0")+IFERROR(IF(Z100="",0,Z100),"0")+IFERROR(IF(Z101="",0,Z101),"0")+IFERROR(IF(Z102="",0,Z102),"0")+IFERROR(IF(Z103="",0,Z103),"0")+IFERROR(IF(Z104="",0,Z104),"0")</f>
        <v>0</v>
      </c>
      <c r="AA105" s="323"/>
      <c r="AB105" s="323"/>
      <c r="AC105" s="323"/>
    </row>
    <row r="106" spans="1:68" x14ac:dyDescent="0.2">
      <c r="A106" s="330"/>
      <c r="B106" s="330"/>
      <c r="C106" s="330"/>
      <c r="D106" s="330"/>
      <c r="E106" s="330"/>
      <c r="F106" s="330"/>
      <c r="G106" s="330"/>
      <c r="H106" s="330"/>
      <c r="I106" s="330"/>
      <c r="J106" s="330"/>
      <c r="K106" s="330"/>
      <c r="L106" s="330"/>
      <c r="M106" s="330"/>
      <c r="N106" s="330"/>
      <c r="O106" s="337"/>
      <c r="P106" s="326" t="s">
        <v>72</v>
      </c>
      <c r="Q106" s="327"/>
      <c r="R106" s="327"/>
      <c r="S106" s="327"/>
      <c r="T106" s="327"/>
      <c r="U106" s="327"/>
      <c r="V106" s="328"/>
      <c r="W106" s="37" t="s">
        <v>73</v>
      </c>
      <c r="X106" s="322">
        <f>IFERROR(SUMPRODUCT(X97:X104*H97:H104),"0")</f>
        <v>0</v>
      </c>
      <c r="Y106" s="322">
        <f>IFERROR(SUMPRODUCT(Y97:Y104*H97:H104),"0")</f>
        <v>0</v>
      </c>
      <c r="Z106" s="37"/>
      <c r="AA106" s="323"/>
      <c r="AB106" s="323"/>
      <c r="AC106" s="323"/>
    </row>
    <row r="107" spans="1:68" ht="16.5" customHeight="1" x14ac:dyDescent="0.25">
      <c r="A107" s="329" t="s">
        <v>201</v>
      </c>
      <c r="B107" s="330"/>
      <c r="C107" s="330"/>
      <c r="D107" s="330"/>
      <c r="E107" s="330"/>
      <c r="F107" s="330"/>
      <c r="G107" s="330"/>
      <c r="H107" s="330"/>
      <c r="I107" s="330"/>
      <c r="J107" s="330"/>
      <c r="K107" s="330"/>
      <c r="L107" s="330"/>
      <c r="M107" s="330"/>
      <c r="N107" s="330"/>
      <c r="O107" s="330"/>
      <c r="P107" s="330"/>
      <c r="Q107" s="330"/>
      <c r="R107" s="330"/>
      <c r="S107" s="330"/>
      <c r="T107" s="330"/>
      <c r="U107" s="330"/>
      <c r="V107" s="330"/>
      <c r="W107" s="330"/>
      <c r="X107" s="330"/>
      <c r="Y107" s="330"/>
      <c r="Z107" s="330"/>
      <c r="AA107" s="315"/>
      <c r="AB107" s="315"/>
      <c r="AC107" s="315"/>
    </row>
    <row r="108" spans="1:68" ht="14.25" customHeight="1" x14ac:dyDescent="0.25">
      <c r="A108" s="354" t="s">
        <v>141</v>
      </c>
      <c r="B108" s="330"/>
      <c r="C108" s="330"/>
      <c r="D108" s="330"/>
      <c r="E108" s="330"/>
      <c r="F108" s="330"/>
      <c r="G108" s="330"/>
      <c r="H108" s="330"/>
      <c r="I108" s="330"/>
      <c r="J108" s="330"/>
      <c r="K108" s="330"/>
      <c r="L108" s="330"/>
      <c r="M108" s="330"/>
      <c r="N108" s="330"/>
      <c r="O108" s="330"/>
      <c r="P108" s="330"/>
      <c r="Q108" s="330"/>
      <c r="R108" s="330"/>
      <c r="S108" s="330"/>
      <c r="T108" s="330"/>
      <c r="U108" s="330"/>
      <c r="V108" s="330"/>
      <c r="W108" s="330"/>
      <c r="X108" s="330"/>
      <c r="Y108" s="330"/>
      <c r="Z108" s="330"/>
      <c r="AA108" s="314"/>
      <c r="AB108" s="314"/>
      <c r="AC108" s="314"/>
    </row>
    <row r="109" spans="1:68" ht="27" customHeight="1" x14ac:dyDescent="0.25">
      <c r="A109" s="54" t="s">
        <v>202</v>
      </c>
      <c r="B109" s="54" t="s">
        <v>203</v>
      </c>
      <c r="C109" s="31">
        <v>4301135533</v>
      </c>
      <c r="D109" s="324">
        <v>4607111034014</v>
      </c>
      <c r="E109" s="325"/>
      <c r="F109" s="319">
        <v>0.25</v>
      </c>
      <c r="G109" s="32">
        <v>12</v>
      </c>
      <c r="H109" s="319">
        <v>3</v>
      </c>
      <c r="I109" s="319">
        <v>3.7035999999999998</v>
      </c>
      <c r="J109" s="32">
        <v>70</v>
      </c>
      <c r="K109" s="32" t="s">
        <v>79</v>
      </c>
      <c r="L109" s="32" t="s">
        <v>67</v>
      </c>
      <c r="M109" s="33" t="s">
        <v>68</v>
      </c>
      <c r="N109" s="33"/>
      <c r="O109" s="32">
        <v>180</v>
      </c>
      <c r="P109" s="477" t="s">
        <v>204</v>
      </c>
      <c r="Q109" s="334"/>
      <c r="R109" s="334"/>
      <c r="S109" s="334"/>
      <c r="T109" s="335"/>
      <c r="U109" s="34"/>
      <c r="V109" s="34"/>
      <c r="W109" s="35" t="s">
        <v>69</v>
      </c>
      <c r="X109" s="320">
        <v>70</v>
      </c>
      <c r="Y109" s="321">
        <f>IFERROR(IF(X109="","",X109),"")</f>
        <v>70</v>
      </c>
      <c r="Z109" s="36">
        <f>IFERROR(IF(X109="","",X109*0.01788),"")</f>
        <v>1.2516</v>
      </c>
      <c r="AA109" s="56"/>
      <c r="AB109" s="57"/>
      <c r="AC109" s="156" t="s">
        <v>205</v>
      </c>
      <c r="AG109" s="67"/>
      <c r="AJ109" s="71" t="s">
        <v>71</v>
      </c>
      <c r="AK109" s="71">
        <v>1</v>
      </c>
      <c r="BB109" s="157" t="s">
        <v>83</v>
      </c>
      <c r="BM109" s="67">
        <f>IFERROR(X109*I109,"0")</f>
        <v>259.25200000000001</v>
      </c>
      <c r="BN109" s="67">
        <f>IFERROR(Y109*I109,"0")</f>
        <v>259.25200000000001</v>
      </c>
      <c r="BO109" s="67">
        <f>IFERROR(X109/J109,"0")</f>
        <v>1</v>
      </c>
      <c r="BP109" s="67">
        <f>IFERROR(Y109/J109,"0")</f>
        <v>1</v>
      </c>
    </row>
    <row r="110" spans="1:68" ht="27" customHeight="1" x14ac:dyDescent="0.25">
      <c r="A110" s="54" t="s">
        <v>206</v>
      </c>
      <c r="B110" s="54" t="s">
        <v>207</v>
      </c>
      <c r="C110" s="31">
        <v>4301135532</v>
      </c>
      <c r="D110" s="324">
        <v>4607111033994</v>
      </c>
      <c r="E110" s="325"/>
      <c r="F110" s="319">
        <v>0.25</v>
      </c>
      <c r="G110" s="32">
        <v>12</v>
      </c>
      <c r="H110" s="319">
        <v>3</v>
      </c>
      <c r="I110" s="319">
        <v>3.7035999999999998</v>
      </c>
      <c r="J110" s="32">
        <v>70</v>
      </c>
      <c r="K110" s="32" t="s">
        <v>79</v>
      </c>
      <c r="L110" s="32" t="s">
        <v>67</v>
      </c>
      <c r="M110" s="33" t="s">
        <v>68</v>
      </c>
      <c r="N110" s="33"/>
      <c r="O110" s="32">
        <v>180</v>
      </c>
      <c r="P110" s="519" t="s">
        <v>208</v>
      </c>
      <c r="Q110" s="334"/>
      <c r="R110" s="334"/>
      <c r="S110" s="334"/>
      <c r="T110" s="335"/>
      <c r="U110" s="34"/>
      <c r="V110" s="34"/>
      <c r="W110" s="35" t="s">
        <v>69</v>
      </c>
      <c r="X110" s="320">
        <v>42</v>
      </c>
      <c r="Y110" s="321">
        <f>IFERROR(IF(X110="","",X110),"")</f>
        <v>42</v>
      </c>
      <c r="Z110" s="36">
        <f>IFERROR(IF(X110="","",X110*0.01788),"")</f>
        <v>0.75095999999999996</v>
      </c>
      <c r="AA110" s="56"/>
      <c r="AB110" s="57"/>
      <c r="AC110" s="158" t="s">
        <v>163</v>
      </c>
      <c r="AG110" s="67"/>
      <c r="AJ110" s="71" t="s">
        <v>71</v>
      </c>
      <c r="AK110" s="71">
        <v>1</v>
      </c>
      <c r="BB110" s="159" t="s">
        <v>83</v>
      </c>
      <c r="BM110" s="67">
        <f>IFERROR(X110*I110,"0")</f>
        <v>155.55119999999999</v>
      </c>
      <c r="BN110" s="67">
        <f>IFERROR(Y110*I110,"0")</f>
        <v>155.55119999999999</v>
      </c>
      <c r="BO110" s="67">
        <f>IFERROR(X110/J110,"0")</f>
        <v>0.6</v>
      </c>
      <c r="BP110" s="67">
        <f>IFERROR(Y110/J110,"0")</f>
        <v>0.6</v>
      </c>
    </row>
    <row r="111" spans="1:68" x14ac:dyDescent="0.2">
      <c r="A111" s="336"/>
      <c r="B111" s="330"/>
      <c r="C111" s="330"/>
      <c r="D111" s="330"/>
      <c r="E111" s="330"/>
      <c r="F111" s="330"/>
      <c r="G111" s="330"/>
      <c r="H111" s="330"/>
      <c r="I111" s="330"/>
      <c r="J111" s="330"/>
      <c r="K111" s="330"/>
      <c r="L111" s="330"/>
      <c r="M111" s="330"/>
      <c r="N111" s="330"/>
      <c r="O111" s="337"/>
      <c r="P111" s="326" t="s">
        <v>72</v>
      </c>
      <c r="Q111" s="327"/>
      <c r="R111" s="327"/>
      <c r="S111" s="327"/>
      <c r="T111" s="327"/>
      <c r="U111" s="327"/>
      <c r="V111" s="328"/>
      <c r="W111" s="37" t="s">
        <v>69</v>
      </c>
      <c r="X111" s="322">
        <f>IFERROR(SUM(X109:X110),"0")</f>
        <v>112</v>
      </c>
      <c r="Y111" s="322">
        <f>IFERROR(SUM(Y109:Y110),"0")</f>
        <v>112</v>
      </c>
      <c r="Z111" s="322">
        <f>IFERROR(IF(Z109="",0,Z109),"0")+IFERROR(IF(Z110="",0,Z110),"0")</f>
        <v>2.0025599999999999</v>
      </c>
      <c r="AA111" s="323"/>
      <c r="AB111" s="323"/>
      <c r="AC111" s="323"/>
    </row>
    <row r="112" spans="1:68" x14ac:dyDescent="0.2">
      <c r="A112" s="330"/>
      <c r="B112" s="330"/>
      <c r="C112" s="330"/>
      <c r="D112" s="330"/>
      <c r="E112" s="330"/>
      <c r="F112" s="330"/>
      <c r="G112" s="330"/>
      <c r="H112" s="330"/>
      <c r="I112" s="330"/>
      <c r="J112" s="330"/>
      <c r="K112" s="330"/>
      <c r="L112" s="330"/>
      <c r="M112" s="330"/>
      <c r="N112" s="330"/>
      <c r="O112" s="337"/>
      <c r="P112" s="326" t="s">
        <v>72</v>
      </c>
      <c r="Q112" s="327"/>
      <c r="R112" s="327"/>
      <c r="S112" s="327"/>
      <c r="T112" s="327"/>
      <c r="U112" s="327"/>
      <c r="V112" s="328"/>
      <c r="W112" s="37" t="s">
        <v>73</v>
      </c>
      <c r="X112" s="322">
        <f>IFERROR(SUMPRODUCT(X109:X110*H109:H110),"0")</f>
        <v>336</v>
      </c>
      <c r="Y112" s="322">
        <f>IFERROR(SUMPRODUCT(Y109:Y110*H109:H110),"0")</f>
        <v>336</v>
      </c>
      <c r="Z112" s="37"/>
      <c r="AA112" s="323"/>
      <c r="AB112" s="323"/>
      <c r="AC112" s="323"/>
    </row>
    <row r="113" spans="1:68" ht="16.5" customHeight="1" x14ac:dyDescent="0.25">
      <c r="A113" s="329" t="s">
        <v>209</v>
      </c>
      <c r="B113" s="330"/>
      <c r="C113" s="330"/>
      <c r="D113" s="330"/>
      <c r="E113" s="330"/>
      <c r="F113" s="330"/>
      <c r="G113" s="330"/>
      <c r="H113" s="330"/>
      <c r="I113" s="330"/>
      <c r="J113" s="330"/>
      <c r="K113" s="330"/>
      <c r="L113" s="330"/>
      <c r="M113" s="330"/>
      <c r="N113" s="330"/>
      <c r="O113" s="330"/>
      <c r="P113" s="330"/>
      <c r="Q113" s="330"/>
      <c r="R113" s="330"/>
      <c r="S113" s="330"/>
      <c r="T113" s="330"/>
      <c r="U113" s="330"/>
      <c r="V113" s="330"/>
      <c r="W113" s="330"/>
      <c r="X113" s="330"/>
      <c r="Y113" s="330"/>
      <c r="Z113" s="330"/>
      <c r="AA113" s="315"/>
      <c r="AB113" s="315"/>
      <c r="AC113" s="315"/>
    </row>
    <row r="114" spans="1:68" ht="14.25" customHeight="1" x14ac:dyDescent="0.25">
      <c r="A114" s="354" t="s">
        <v>141</v>
      </c>
      <c r="B114" s="330"/>
      <c r="C114" s="330"/>
      <c r="D114" s="330"/>
      <c r="E114" s="330"/>
      <c r="F114" s="330"/>
      <c r="G114" s="330"/>
      <c r="H114" s="330"/>
      <c r="I114" s="330"/>
      <c r="J114" s="330"/>
      <c r="K114" s="330"/>
      <c r="L114" s="330"/>
      <c r="M114" s="330"/>
      <c r="N114" s="330"/>
      <c r="O114" s="330"/>
      <c r="P114" s="330"/>
      <c r="Q114" s="330"/>
      <c r="R114" s="330"/>
      <c r="S114" s="330"/>
      <c r="T114" s="330"/>
      <c r="U114" s="330"/>
      <c r="V114" s="330"/>
      <c r="W114" s="330"/>
      <c r="X114" s="330"/>
      <c r="Y114" s="330"/>
      <c r="Z114" s="330"/>
      <c r="AA114" s="314"/>
      <c r="AB114" s="314"/>
      <c r="AC114" s="314"/>
    </row>
    <row r="115" spans="1:68" ht="27" customHeight="1" x14ac:dyDescent="0.25">
      <c r="A115" s="54" t="s">
        <v>210</v>
      </c>
      <c r="B115" s="54" t="s">
        <v>211</v>
      </c>
      <c r="C115" s="31">
        <v>4301135311</v>
      </c>
      <c r="D115" s="324">
        <v>4607111039095</v>
      </c>
      <c r="E115" s="325"/>
      <c r="F115" s="319">
        <v>0.25</v>
      </c>
      <c r="G115" s="32">
        <v>12</v>
      </c>
      <c r="H115" s="319">
        <v>3</v>
      </c>
      <c r="I115" s="319">
        <v>3.7480000000000002</v>
      </c>
      <c r="J115" s="32">
        <v>70</v>
      </c>
      <c r="K115" s="32" t="s">
        <v>79</v>
      </c>
      <c r="L115" s="32" t="s">
        <v>80</v>
      </c>
      <c r="M115" s="33" t="s">
        <v>68</v>
      </c>
      <c r="N115" s="33"/>
      <c r="O115" s="32">
        <v>180</v>
      </c>
      <c r="P115" s="454" t="str">
        <f>HYPERLINK("https://abi.ru/products/Замороженные/Горячая штучка/Хотстеры/Снеки/P004205/","Снеки «Хотстеры с сыром» ф/в 0,25 ТМ «Горячая штучка»")</f>
        <v>Снеки «Хотстеры с сыром» ф/в 0,25 ТМ «Горячая штучка»</v>
      </c>
      <c r="Q115" s="334"/>
      <c r="R115" s="334"/>
      <c r="S115" s="334"/>
      <c r="T115" s="335"/>
      <c r="U115" s="34"/>
      <c r="V115" s="34"/>
      <c r="W115" s="35" t="s">
        <v>69</v>
      </c>
      <c r="X115" s="320">
        <v>0</v>
      </c>
      <c r="Y115" s="321">
        <f>IFERROR(IF(X115="","",X115),"")</f>
        <v>0</v>
      </c>
      <c r="Z115" s="36">
        <f>IFERROR(IF(X115="","",X115*0.01788),"")</f>
        <v>0</v>
      </c>
      <c r="AA115" s="56"/>
      <c r="AB115" s="57"/>
      <c r="AC115" s="160" t="s">
        <v>212</v>
      </c>
      <c r="AG115" s="67"/>
      <c r="AJ115" s="71" t="s">
        <v>82</v>
      </c>
      <c r="AK115" s="71">
        <v>14</v>
      </c>
      <c r="BB115" s="161" t="s">
        <v>83</v>
      </c>
      <c r="BM115" s="67">
        <f>IFERROR(X115*I115,"0")</f>
        <v>0</v>
      </c>
      <c r="BN115" s="67">
        <f>IFERROR(Y115*I115,"0")</f>
        <v>0</v>
      </c>
      <c r="BO115" s="67">
        <f>IFERROR(X115/J115,"0")</f>
        <v>0</v>
      </c>
      <c r="BP115" s="67">
        <f>IFERROR(Y115/J115,"0")</f>
        <v>0</v>
      </c>
    </row>
    <row r="116" spans="1:68" ht="27" customHeight="1" x14ac:dyDescent="0.25">
      <c r="A116" s="54" t="s">
        <v>213</v>
      </c>
      <c r="B116" s="54" t="s">
        <v>214</v>
      </c>
      <c r="C116" s="31">
        <v>4301135300</v>
      </c>
      <c r="D116" s="324">
        <v>4607111039101</v>
      </c>
      <c r="E116" s="325"/>
      <c r="F116" s="319">
        <v>0.45</v>
      </c>
      <c r="G116" s="32">
        <v>8</v>
      </c>
      <c r="H116" s="319">
        <v>3.6</v>
      </c>
      <c r="I116" s="319">
        <v>4.26</v>
      </c>
      <c r="J116" s="32">
        <v>70</v>
      </c>
      <c r="K116" s="32" t="s">
        <v>79</v>
      </c>
      <c r="L116" s="32" t="s">
        <v>67</v>
      </c>
      <c r="M116" s="33" t="s">
        <v>68</v>
      </c>
      <c r="N116" s="33"/>
      <c r="O116" s="32">
        <v>180</v>
      </c>
      <c r="P116" s="386" t="s">
        <v>215</v>
      </c>
      <c r="Q116" s="334"/>
      <c r="R116" s="334"/>
      <c r="S116" s="334"/>
      <c r="T116" s="335"/>
      <c r="U116" s="34"/>
      <c r="V116" s="34"/>
      <c r="W116" s="35" t="s">
        <v>69</v>
      </c>
      <c r="X116" s="320">
        <v>0</v>
      </c>
      <c r="Y116" s="321">
        <f>IFERROR(IF(X116="","",X116),"")</f>
        <v>0</v>
      </c>
      <c r="Z116" s="36">
        <f>IFERROR(IF(X116="","",X116*0.01788),"")</f>
        <v>0</v>
      </c>
      <c r="AA116" s="56"/>
      <c r="AB116" s="57"/>
      <c r="AC116" s="162" t="s">
        <v>212</v>
      </c>
      <c r="AG116" s="67"/>
      <c r="AJ116" s="71" t="s">
        <v>71</v>
      </c>
      <c r="AK116" s="71">
        <v>1</v>
      </c>
      <c r="BB116" s="163" t="s">
        <v>83</v>
      </c>
      <c r="BM116" s="67">
        <f>IFERROR(X116*I116,"0")</f>
        <v>0</v>
      </c>
      <c r="BN116" s="67">
        <f>IFERROR(Y116*I116,"0")</f>
        <v>0</v>
      </c>
      <c r="BO116" s="67">
        <f>IFERROR(X116/J116,"0")</f>
        <v>0</v>
      </c>
      <c r="BP116" s="67">
        <f>IFERROR(Y116/J116,"0")</f>
        <v>0</v>
      </c>
    </row>
    <row r="117" spans="1:68" ht="16.5" customHeight="1" x14ac:dyDescent="0.25">
      <c r="A117" s="54" t="s">
        <v>216</v>
      </c>
      <c r="B117" s="54" t="s">
        <v>217</v>
      </c>
      <c r="C117" s="31">
        <v>4301135282</v>
      </c>
      <c r="D117" s="324">
        <v>4607111034199</v>
      </c>
      <c r="E117" s="325"/>
      <c r="F117" s="319">
        <v>0.25</v>
      </c>
      <c r="G117" s="32">
        <v>12</v>
      </c>
      <c r="H117" s="319">
        <v>3</v>
      </c>
      <c r="I117" s="319">
        <v>3.7035999999999998</v>
      </c>
      <c r="J117" s="32">
        <v>70</v>
      </c>
      <c r="K117" s="32" t="s">
        <v>79</v>
      </c>
      <c r="L117" s="32" t="s">
        <v>88</v>
      </c>
      <c r="M117" s="33" t="s">
        <v>68</v>
      </c>
      <c r="N117" s="33"/>
      <c r="O117" s="32">
        <v>180</v>
      </c>
      <c r="P117" s="417" t="str">
        <f>HYPERLINK("https://abi.ru/products/Замороженные/Горячая штучка/Хотстеры/Снеки/P004110/","Хотстеры Хотстеры Фикс.вес 0,25 Лоток Горячая штучка")</f>
        <v>Хотстеры Хотстеры Фикс.вес 0,25 Лоток Горячая штучка</v>
      </c>
      <c r="Q117" s="334"/>
      <c r="R117" s="334"/>
      <c r="S117" s="334"/>
      <c r="T117" s="335"/>
      <c r="U117" s="34"/>
      <c r="V117" s="34"/>
      <c r="W117" s="35" t="s">
        <v>69</v>
      </c>
      <c r="X117" s="320">
        <v>28</v>
      </c>
      <c r="Y117" s="321">
        <f>IFERROR(IF(X117="","",X117),"")</f>
        <v>28</v>
      </c>
      <c r="Z117" s="36">
        <f>IFERROR(IF(X117="","",X117*0.01788),"")</f>
        <v>0.50063999999999997</v>
      </c>
      <c r="AA117" s="56"/>
      <c r="AB117" s="57"/>
      <c r="AC117" s="164" t="s">
        <v>218</v>
      </c>
      <c r="AG117" s="67"/>
      <c r="AJ117" s="71" t="s">
        <v>89</v>
      </c>
      <c r="AK117" s="71">
        <v>70</v>
      </c>
      <c r="BB117" s="165" t="s">
        <v>83</v>
      </c>
      <c r="BM117" s="67">
        <f>IFERROR(X117*I117,"0")</f>
        <v>103.70079999999999</v>
      </c>
      <c r="BN117" s="67">
        <f>IFERROR(Y117*I117,"0")</f>
        <v>103.70079999999999</v>
      </c>
      <c r="BO117" s="67">
        <f>IFERROR(X117/J117,"0")</f>
        <v>0.4</v>
      </c>
      <c r="BP117" s="67">
        <f>IFERROR(Y117/J117,"0")</f>
        <v>0.4</v>
      </c>
    </row>
    <row r="118" spans="1:68" x14ac:dyDescent="0.2">
      <c r="A118" s="336"/>
      <c r="B118" s="330"/>
      <c r="C118" s="330"/>
      <c r="D118" s="330"/>
      <c r="E118" s="330"/>
      <c r="F118" s="330"/>
      <c r="G118" s="330"/>
      <c r="H118" s="330"/>
      <c r="I118" s="330"/>
      <c r="J118" s="330"/>
      <c r="K118" s="330"/>
      <c r="L118" s="330"/>
      <c r="M118" s="330"/>
      <c r="N118" s="330"/>
      <c r="O118" s="337"/>
      <c r="P118" s="326" t="s">
        <v>72</v>
      </c>
      <c r="Q118" s="327"/>
      <c r="R118" s="327"/>
      <c r="S118" s="327"/>
      <c r="T118" s="327"/>
      <c r="U118" s="327"/>
      <c r="V118" s="328"/>
      <c r="W118" s="37" t="s">
        <v>69</v>
      </c>
      <c r="X118" s="322">
        <f>IFERROR(SUM(X115:X117),"0")</f>
        <v>28</v>
      </c>
      <c r="Y118" s="322">
        <f>IFERROR(SUM(Y115:Y117),"0")</f>
        <v>28</v>
      </c>
      <c r="Z118" s="322">
        <f>IFERROR(IF(Z115="",0,Z115),"0")+IFERROR(IF(Z116="",0,Z116),"0")+IFERROR(IF(Z117="",0,Z117),"0")</f>
        <v>0.50063999999999997</v>
      </c>
      <c r="AA118" s="323"/>
      <c r="AB118" s="323"/>
      <c r="AC118" s="323"/>
    </row>
    <row r="119" spans="1:68" x14ac:dyDescent="0.2">
      <c r="A119" s="330"/>
      <c r="B119" s="330"/>
      <c r="C119" s="330"/>
      <c r="D119" s="330"/>
      <c r="E119" s="330"/>
      <c r="F119" s="330"/>
      <c r="G119" s="330"/>
      <c r="H119" s="330"/>
      <c r="I119" s="330"/>
      <c r="J119" s="330"/>
      <c r="K119" s="330"/>
      <c r="L119" s="330"/>
      <c r="M119" s="330"/>
      <c r="N119" s="330"/>
      <c r="O119" s="337"/>
      <c r="P119" s="326" t="s">
        <v>72</v>
      </c>
      <c r="Q119" s="327"/>
      <c r="R119" s="327"/>
      <c r="S119" s="327"/>
      <c r="T119" s="327"/>
      <c r="U119" s="327"/>
      <c r="V119" s="328"/>
      <c r="W119" s="37" t="s">
        <v>73</v>
      </c>
      <c r="X119" s="322">
        <f>IFERROR(SUMPRODUCT(X115:X117*H115:H117),"0")</f>
        <v>84</v>
      </c>
      <c r="Y119" s="322">
        <f>IFERROR(SUMPRODUCT(Y115:Y117*H115:H117),"0")</f>
        <v>84</v>
      </c>
      <c r="Z119" s="37"/>
      <c r="AA119" s="323"/>
      <c r="AB119" s="323"/>
      <c r="AC119" s="323"/>
    </row>
    <row r="120" spans="1:68" ht="16.5" customHeight="1" x14ac:dyDescent="0.25">
      <c r="A120" s="329" t="s">
        <v>219</v>
      </c>
      <c r="B120" s="330"/>
      <c r="C120" s="330"/>
      <c r="D120" s="330"/>
      <c r="E120" s="330"/>
      <c r="F120" s="330"/>
      <c r="G120" s="330"/>
      <c r="H120" s="330"/>
      <c r="I120" s="330"/>
      <c r="J120" s="330"/>
      <c r="K120" s="330"/>
      <c r="L120" s="330"/>
      <c r="M120" s="330"/>
      <c r="N120" s="330"/>
      <c r="O120" s="330"/>
      <c r="P120" s="330"/>
      <c r="Q120" s="330"/>
      <c r="R120" s="330"/>
      <c r="S120" s="330"/>
      <c r="T120" s="330"/>
      <c r="U120" s="330"/>
      <c r="V120" s="330"/>
      <c r="W120" s="330"/>
      <c r="X120" s="330"/>
      <c r="Y120" s="330"/>
      <c r="Z120" s="330"/>
      <c r="AA120" s="315"/>
      <c r="AB120" s="315"/>
      <c r="AC120" s="315"/>
    </row>
    <row r="121" spans="1:68" ht="14.25" customHeight="1" x14ac:dyDescent="0.25">
      <c r="A121" s="354" t="s">
        <v>141</v>
      </c>
      <c r="B121" s="330"/>
      <c r="C121" s="330"/>
      <c r="D121" s="330"/>
      <c r="E121" s="330"/>
      <c r="F121" s="330"/>
      <c r="G121" s="330"/>
      <c r="H121" s="330"/>
      <c r="I121" s="330"/>
      <c r="J121" s="330"/>
      <c r="K121" s="330"/>
      <c r="L121" s="330"/>
      <c r="M121" s="330"/>
      <c r="N121" s="330"/>
      <c r="O121" s="330"/>
      <c r="P121" s="330"/>
      <c r="Q121" s="330"/>
      <c r="R121" s="330"/>
      <c r="S121" s="330"/>
      <c r="T121" s="330"/>
      <c r="U121" s="330"/>
      <c r="V121" s="330"/>
      <c r="W121" s="330"/>
      <c r="X121" s="330"/>
      <c r="Y121" s="330"/>
      <c r="Z121" s="330"/>
      <c r="AA121" s="314"/>
      <c r="AB121" s="314"/>
      <c r="AC121" s="314"/>
    </row>
    <row r="122" spans="1:68" ht="27" customHeight="1" x14ac:dyDescent="0.25">
      <c r="A122" s="54" t="s">
        <v>220</v>
      </c>
      <c r="B122" s="54" t="s">
        <v>221</v>
      </c>
      <c r="C122" s="31">
        <v>4301135178</v>
      </c>
      <c r="D122" s="324">
        <v>4607111034816</v>
      </c>
      <c r="E122" s="325"/>
      <c r="F122" s="319">
        <v>0.25</v>
      </c>
      <c r="G122" s="32">
        <v>6</v>
      </c>
      <c r="H122" s="319">
        <v>1.5</v>
      </c>
      <c r="I122" s="319">
        <v>1.9218</v>
      </c>
      <c r="J122" s="32">
        <v>140</v>
      </c>
      <c r="K122" s="32" t="s">
        <v>79</v>
      </c>
      <c r="L122" s="32" t="s">
        <v>67</v>
      </c>
      <c r="M122" s="33" t="s">
        <v>68</v>
      </c>
      <c r="N122" s="33"/>
      <c r="O122" s="32">
        <v>180</v>
      </c>
      <c r="P122" s="438" t="str">
        <f>HYPERLINK("https://abi.ru/products/Замороженные/Горячая штучка/Круггетсы/Снеки/P003311/","«Круггетсы с соусом Барбекю» Фикс.вес 0,25 Лоток ТМ «Горячая штучка»")</f>
        <v>«Круггетсы с соусом Барбекю» Фикс.вес 0,25 Лоток ТМ «Горячая штучка»</v>
      </c>
      <c r="Q122" s="334"/>
      <c r="R122" s="334"/>
      <c r="S122" s="334"/>
      <c r="T122" s="335"/>
      <c r="U122" s="34"/>
      <c r="V122" s="34"/>
      <c r="W122" s="35" t="s">
        <v>69</v>
      </c>
      <c r="X122" s="320">
        <v>0</v>
      </c>
      <c r="Y122" s="321">
        <f>IFERROR(IF(X122="","",X122),"")</f>
        <v>0</v>
      </c>
      <c r="Z122" s="36">
        <f>IFERROR(IF(X122="","",X122*0.00941),"")</f>
        <v>0</v>
      </c>
      <c r="AA122" s="56"/>
      <c r="AB122" s="57"/>
      <c r="AC122" s="166" t="s">
        <v>218</v>
      </c>
      <c r="AG122" s="67"/>
      <c r="AJ122" s="71" t="s">
        <v>71</v>
      </c>
      <c r="AK122" s="71">
        <v>1</v>
      </c>
      <c r="BB122" s="167" t="s">
        <v>83</v>
      </c>
      <c r="BM122" s="67">
        <f>IFERROR(X122*I122,"0")</f>
        <v>0</v>
      </c>
      <c r="BN122" s="67">
        <f>IFERROR(Y122*I122,"0")</f>
        <v>0</v>
      </c>
      <c r="BO122" s="67">
        <f>IFERROR(X122/J122,"0")</f>
        <v>0</v>
      </c>
      <c r="BP122" s="67">
        <f>IFERROR(Y122/J122,"0")</f>
        <v>0</v>
      </c>
    </row>
    <row r="123" spans="1:68" ht="27" customHeight="1" x14ac:dyDescent="0.25">
      <c r="A123" s="54" t="s">
        <v>222</v>
      </c>
      <c r="B123" s="54" t="s">
        <v>223</v>
      </c>
      <c r="C123" s="31">
        <v>4301135275</v>
      </c>
      <c r="D123" s="324">
        <v>4607111034380</v>
      </c>
      <c r="E123" s="325"/>
      <c r="F123" s="319">
        <v>0.25</v>
      </c>
      <c r="G123" s="32">
        <v>12</v>
      </c>
      <c r="H123" s="319">
        <v>3</v>
      </c>
      <c r="I123" s="319">
        <v>3.28</v>
      </c>
      <c r="J123" s="32">
        <v>70</v>
      </c>
      <c r="K123" s="32" t="s">
        <v>79</v>
      </c>
      <c r="L123" s="32" t="s">
        <v>80</v>
      </c>
      <c r="M123" s="33" t="s">
        <v>68</v>
      </c>
      <c r="N123" s="33"/>
      <c r="O123" s="32">
        <v>180</v>
      </c>
      <c r="P123" s="518" t="str">
        <f>HYPERLINK("https://abi.ru/products/Замороженные/Горячая штучка/Круггетсы/Снеки/P004095/","«Круггетсы с сырным соусом» Фикс.вес 0,25 ф/п ТМ «Горячая штучка»")</f>
        <v>«Круггетсы с сырным соусом» Фикс.вес 0,25 ф/п ТМ «Горячая штучка»</v>
      </c>
      <c r="Q123" s="334"/>
      <c r="R123" s="334"/>
      <c r="S123" s="334"/>
      <c r="T123" s="335"/>
      <c r="U123" s="34"/>
      <c r="V123" s="34"/>
      <c r="W123" s="35" t="s">
        <v>69</v>
      </c>
      <c r="X123" s="320">
        <v>0</v>
      </c>
      <c r="Y123" s="321">
        <f>IFERROR(IF(X123="","",X123),"")</f>
        <v>0</v>
      </c>
      <c r="Z123" s="36">
        <f>IFERROR(IF(X123="","",X123*0.01788),"")</f>
        <v>0</v>
      </c>
      <c r="AA123" s="56"/>
      <c r="AB123" s="57"/>
      <c r="AC123" s="168" t="s">
        <v>224</v>
      </c>
      <c r="AG123" s="67"/>
      <c r="AJ123" s="71" t="s">
        <v>82</v>
      </c>
      <c r="AK123" s="71">
        <v>14</v>
      </c>
      <c r="BB123" s="169" t="s">
        <v>83</v>
      </c>
      <c r="BM123" s="67">
        <f>IFERROR(X123*I123,"0")</f>
        <v>0</v>
      </c>
      <c r="BN123" s="67">
        <f>IFERROR(Y123*I123,"0")</f>
        <v>0</v>
      </c>
      <c r="BO123" s="67">
        <f>IFERROR(X123/J123,"0")</f>
        <v>0</v>
      </c>
      <c r="BP123" s="67">
        <f>IFERROR(Y123/J123,"0")</f>
        <v>0</v>
      </c>
    </row>
    <row r="124" spans="1:68" ht="27" customHeight="1" x14ac:dyDescent="0.25">
      <c r="A124" s="54" t="s">
        <v>225</v>
      </c>
      <c r="B124" s="54" t="s">
        <v>226</v>
      </c>
      <c r="C124" s="31">
        <v>4301135277</v>
      </c>
      <c r="D124" s="324">
        <v>4607111034397</v>
      </c>
      <c r="E124" s="325"/>
      <c r="F124" s="319">
        <v>0.25</v>
      </c>
      <c r="G124" s="32">
        <v>12</v>
      </c>
      <c r="H124" s="319">
        <v>3</v>
      </c>
      <c r="I124" s="319">
        <v>3.28</v>
      </c>
      <c r="J124" s="32">
        <v>70</v>
      </c>
      <c r="K124" s="32" t="s">
        <v>79</v>
      </c>
      <c r="L124" s="32" t="s">
        <v>80</v>
      </c>
      <c r="M124" s="33" t="s">
        <v>68</v>
      </c>
      <c r="N124" s="33"/>
      <c r="O124" s="32">
        <v>180</v>
      </c>
      <c r="P124" s="532" t="str">
        <f>HYPERLINK("https://abi.ru/products/Замороженные/Горячая штучка/Круггетсы/Снеки/P004097/","Снеки «Круггетсы Сочные» Фикс.вес 0,25 ф/п ТМ «Горячая штучка»")</f>
        <v>Снеки «Круггетсы Сочные» Фикс.вес 0,25 ф/п ТМ «Горячая штучка»</v>
      </c>
      <c r="Q124" s="334"/>
      <c r="R124" s="334"/>
      <c r="S124" s="334"/>
      <c r="T124" s="335"/>
      <c r="U124" s="34"/>
      <c r="V124" s="34"/>
      <c r="W124" s="35" t="s">
        <v>69</v>
      </c>
      <c r="X124" s="320">
        <v>0</v>
      </c>
      <c r="Y124" s="321">
        <f>IFERROR(IF(X124="","",X124),"")</f>
        <v>0</v>
      </c>
      <c r="Z124" s="36">
        <f>IFERROR(IF(X124="","",X124*0.01788),"")</f>
        <v>0</v>
      </c>
      <c r="AA124" s="56"/>
      <c r="AB124" s="57"/>
      <c r="AC124" s="170" t="s">
        <v>205</v>
      </c>
      <c r="AG124" s="67"/>
      <c r="AJ124" s="71" t="s">
        <v>82</v>
      </c>
      <c r="AK124" s="71">
        <v>14</v>
      </c>
      <c r="BB124" s="171" t="s">
        <v>83</v>
      </c>
      <c r="BM124" s="67">
        <f>IFERROR(X124*I124,"0")</f>
        <v>0</v>
      </c>
      <c r="BN124" s="67">
        <f>IFERROR(Y124*I124,"0")</f>
        <v>0</v>
      </c>
      <c r="BO124" s="67">
        <f>IFERROR(X124/J124,"0")</f>
        <v>0</v>
      </c>
      <c r="BP124" s="67">
        <f>IFERROR(Y124/J124,"0")</f>
        <v>0</v>
      </c>
    </row>
    <row r="125" spans="1:68" x14ac:dyDescent="0.2">
      <c r="A125" s="336"/>
      <c r="B125" s="330"/>
      <c r="C125" s="330"/>
      <c r="D125" s="330"/>
      <c r="E125" s="330"/>
      <c r="F125" s="330"/>
      <c r="G125" s="330"/>
      <c r="H125" s="330"/>
      <c r="I125" s="330"/>
      <c r="J125" s="330"/>
      <c r="K125" s="330"/>
      <c r="L125" s="330"/>
      <c r="M125" s="330"/>
      <c r="N125" s="330"/>
      <c r="O125" s="337"/>
      <c r="P125" s="326" t="s">
        <v>72</v>
      </c>
      <c r="Q125" s="327"/>
      <c r="R125" s="327"/>
      <c r="S125" s="327"/>
      <c r="T125" s="327"/>
      <c r="U125" s="327"/>
      <c r="V125" s="328"/>
      <c r="W125" s="37" t="s">
        <v>69</v>
      </c>
      <c r="X125" s="322">
        <f>IFERROR(SUM(X122:X124),"0")</f>
        <v>0</v>
      </c>
      <c r="Y125" s="322">
        <f>IFERROR(SUM(Y122:Y124),"0")</f>
        <v>0</v>
      </c>
      <c r="Z125" s="322">
        <f>IFERROR(IF(Z122="",0,Z122),"0")+IFERROR(IF(Z123="",0,Z123),"0")+IFERROR(IF(Z124="",0,Z124),"0")</f>
        <v>0</v>
      </c>
      <c r="AA125" s="323"/>
      <c r="AB125" s="323"/>
      <c r="AC125" s="323"/>
    </row>
    <row r="126" spans="1:68" x14ac:dyDescent="0.2">
      <c r="A126" s="330"/>
      <c r="B126" s="330"/>
      <c r="C126" s="330"/>
      <c r="D126" s="330"/>
      <c r="E126" s="330"/>
      <c r="F126" s="330"/>
      <c r="G126" s="330"/>
      <c r="H126" s="330"/>
      <c r="I126" s="330"/>
      <c r="J126" s="330"/>
      <c r="K126" s="330"/>
      <c r="L126" s="330"/>
      <c r="M126" s="330"/>
      <c r="N126" s="330"/>
      <c r="O126" s="337"/>
      <c r="P126" s="326" t="s">
        <v>72</v>
      </c>
      <c r="Q126" s="327"/>
      <c r="R126" s="327"/>
      <c r="S126" s="327"/>
      <c r="T126" s="327"/>
      <c r="U126" s="327"/>
      <c r="V126" s="328"/>
      <c r="W126" s="37" t="s">
        <v>73</v>
      </c>
      <c r="X126" s="322">
        <f>IFERROR(SUMPRODUCT(X122:X124*H122:H124),"0")</f>
        <v>0</v>
      </c>
      <c r="Y126" s="322">
        <f>IFERROR(SUMPRODUCT(Y122:Y124*H122:H124),"0")</f>
        <v>0</v>
      </c>
      <c r="Z126" s="37"/>
      <c r="AA126" s="323"/>
      <c r="AB126" s="323"/>
      <c r="AC126" s="323"/>
    </row>
    <row r="127" spans="1:68" ht="16.5" customHeight="1" x14ac:dyDescent="0.25">
      <c r="A127" s="329" t="s">
        <v>227</v>
      </c>
      <c r="B127" s="330"/>
      <c r="C127" s="330"/>
      <c r="D127" s="330"/>
      <c r="E127" s="330"/>
      <c r="F127" s="330"/>
      <c r="G127" s="330"/>
      <c r="H127" s="330"/>
      <c r="I127" s="330"/>
      <c r="J127" s="330"/>
      <c r="K127" s="330"/>
      <c r="L127" s="330"/>
      <c r="M127" s="330"/>
      <c r="N127" s="330"/>
      <c r="O127" s="330"/>
      <c r="P127" s="330"/>
      <c r="Q127" s="330"/>
      <c r="R127" s="330"/>
      <c r="S127" s="330"/>
      <c r="T127" s="330"/>
      <c r="U127" s="330"/>
      <c r="V127" s="330"/>
      <c r="W127" s="330"/>
      <c r="X127" s="330"/>
      <c r="Y127" s="330"/>
      <c r="Z127" s="330"/>
      <c r="AA127" s="315"/>
      <c r="AB127" s="315"/>
      <c r="AC127" s="315"/>
    </row>
    <row r="128" spans="1:68" ht="14.25" customHeight="1" x14ac:dyDescent="0.25">
      <c r="A128" s="354" t="s">
        <v>141</v>
      </c>
      <c r="B128" s="330"/>
      <c r="C128" s="330"/>
      <c r="D128" s="330"/>
      <c r="E128" s="330"/>
      <c r="F128" s="330"/>
      <c r="G128" s="330"/>
      <c r="H128" s="330"/>
      <c r="I128" s="330"/>
      <c r="J128" s="330"/>
      <c r="K128" s="330"/>
      <c r="L128" s="330"/>
      <c r="M128" s="330"/>
      <c r="N128" s="330"/>
      <c r="O128" s="330"/>
      <c r="P128" s="330"/>
      <c r="Q128" s="330"/>
      <c r="R128" s="330"/>
      <c r="S128" s="330"/>
      <c r="T128" s="330"/>
      <c r="U128" s="330"/>
      <c r="V128" s="330"/>
      <c r="W128" s="330"/>
      <c r="X128" s="330"/>
      <c r="Y128" s="330"/>
      <c r="Z128" s="330"/>
      <c r="AA128" s="314"/>
      <c r="AB128" s="314"/>
      <c r="AC128" s="314"/>
    </row>
    <row r="129" spans="1:68" ht="27" customHeight="1" x14ac:dyDescent="0.25">
      <c r="A129" s="54" t="s">
        <v>228</v>
      </c>
      <c r="B129" s="54" t="s">
        <v>229</v>
      </c>
      <c r="C129" s="31">
        <v>4301135279</v>
      </c>
      <c r="D129" s="324">
        <v>4607111035806</v>
      </c>
      <c r="E129" s="325"/>
      <c r="F129" s="319">
        <v>0.25</v>
      </c>
      <c r="G129" s="32">
        <v>12</v>
      </c>
      <c r="H129" s="319">
        <v>3</v>
      </c>
      <c r="I129" s="319">
        <v>3.7035999999999998</v>
      </c>
      <c r="J129" s="32">
        <v>70</v>
      </c>
      <c r="K129" s="32" t="s">
        <v>79</v>
      </c>
      <c r="L129" s="32" t="s">
        <v>80</v>
      </c>
      <c r="M129" s="33" t="s">
        <v>68</v>
      </c>
      <c r="N129" s="33"/>
      <c r="O129" s="32">
        <v>180</v>
      </c>
      <c r="P129" s="400" t="str">
        <f>HYPERLINK("https://abi.ru/products/Замороженные/Горячая штучка/Пекерсы/Снеки/P004107/","Снеки Пекерсы с индейкой в сливочном соусе Пекерсы Фикс.вес 0,25 Лоток Горячая штучка НД")</f>
        <v>Снеки Пекерсы с индейкой в сливочном соусе Пекерсы Фикс.вес 0,25 Лоток Горячая штучка НД</v>
      </c>
      <c r="Q129" s="334"/>
      <c r="R129" s="334"/>
      <c r="S129" s="334"/>
      <c r="T129" s="335"/>
      <c r="U129" s="34"/>
      <c r="V129" s="34"/>
      <c r="W129" s="35" t="s">
        <v>69</v>
      </c>
      <c r="X129" s="320">
        <v>28</v>
      </c>
      <c r="Y129" s="321">
        <f>IFERROR(IF(X129="","",X129),"")</f>
        <v>28</v>
      </c>
      <c r="Z129" s="36">
        <f>IFERROR(IF(X129="","",X129*0.01788),"")</f>
        <v>0.50063999999999997</v>
      </c>
      <c r="AA129" s="56"/>
      <c r="AB129" s="57"/>
      <c r="AC129" s="172" t="s">
        <v>230</v>
      </c>
      <c r="AG129" s="67"/>
      <c r="AJ129" s="71" t="s">
        <v>82</v>
      </c>
      <c r="AK129" s="71">
        <v>14</v>
      </c>
      <c r="BB129" s="173" t="s">
        <v>83</v>
      </c>
      <c r="BM129" s="67">
        <f>IFERROR(X129*I129,"0")</f>
        <v>103.70079999999999</v>
      </c>
      <c r="BN129" s="67">
        <f>IFERROR(Y129*I129,"0")</f>
        <v>103.70079999999999</v>
      </c>
      <c r="BO129" s="67">
        <f>IFERROR(X129/J129,"0")</f>
        <v>0.4</v>
      </c>
      <c r="BP129" s="67">
        <f>IFERROR(Y129/J129,"0")</f>
        <v>0.4</v>
      </c>
    </row>
    <row r="130" spans="1:68" x14ac:dyDescent="0.2">
      <c r="A130" s="336"/>
      <c r="B130" s="330"/>
      <c r="C130" s="330"/>
      <c r="D130" s="330"/>
      <c r="E130" s="330"/>
      <c r="F130" s="330"/>
      <c r="G130" s="330"/>
      <c r="H130" s="330"/>
      <c r="I130" s="330"/>
      <c r="J130" s="330"/>
      <c r="K130" s="330"/>
      <c r="L130" s="330"/>
      <c r="M130" s="330"/>
      <c r="N130" s="330"/>
      <c r="O130" s="337"/>
      <c r="P130" s="326" t="s">
        <v>72</v>
      </c>
      <c r="Q130" s="327"/>
      <c r="R130" s="327"/>
      <c r="S130" s="327"/>
      <c r="T130" s="327"/>
      <c r="U130" s="327"/>
      <c r="V130" s="328"/>
      <c r="W130" s="37" t="s">
        <v>69</v>
      </c>
      <c r="X130" s="322">
        <f>IFERROR(SUM(X129:X129),"0")</f>
        <v>28</v>
      </c>
      <c r="Y130" s="322">
        <f>IFERROR(SUM(Y129:Y129),"0")</f>
        <v>28</v>
      </c>
      <c r="Z130" s="322">
        <f>IFERROR(IF(Z129="",0,Z129),"0")</f>
        <v>0.50063999999999997</v>
      </c>
      <c r="AA130" s="323"/>
      <c r="AB130" s="323"/>
      <c r="AC130" s="323"/>
    </row>
    <row r="131" spans="1:68" x14ac:dyDescent="0.2">
      <c r="A131" s="330"/>
      <c r="B131" s="330"/>
      <c r="C131" s="330"/>
      <c r="D131" s="330"/>
      <c r="E131" s="330"/>
      <c r="F131" s="330"/>
      <c r="G131" s="330"/>
      <c r="H131" s="330"/>
      <c r="I131" s="330"/>
      <c r="J131" s="330"/>
      <c r="K131" s="330"/>
      <c r="L131" s="330"/>
      <c r="M131" s="330"/>
      <c r="N131" s="330"/>
      <c r="O131" s="337"/>
      <c r="P131" s="326" t="s">
        <v>72</v>
      </c>
      <c r="Q131" s="327"/>
      <c r="R131" s="327"/>
      <c r="S131" s="327"/>
      <c r="T131" s="327"/>
      <c r="U131" s="327"/>
      <c r="V131" s="328"/>
      <c r="W131" s="37" t="s">
        <v>73</v>
      </c>
      <c r="X131" s="322">
        <f>IFERROR(SUMPRODUCT(X129:X129*H129:H129),"0")</f>
        <v>84</v>
      </c>
      <c r="Y131" s="322">
        <f>IFERROR(SUMPRODUCT(Y129:Y129*H129:H129),"0")</f>
        <v>84</v>
      </c>
      <c r="Z131" s="37"/>
      <c r="AA131" s="323"/>
      <c r="AB131" s="323"/>
      <c r="AC131" s="323"/>
    </row>
    <row r="132" spans="1:68" ht="16.5" customHeight="1" x14ac:dyDescent="0.25">
      <c r="A132" s="329" t="s">
        <v>231</v>
      </c>
      <c r="B132" s="330"/>
      <c r="C132" s="330"/>
      <c r="D132" s="330"/>
      <c r="E132" s="330"/>
      <c r="F132" s="330"/>
      <c r="G132" s="330"/>
      <c r="H132" s="330"/>
      <c r="I132" s="330"/>
      <c r="J132" s="330"/>
      <c r="K132" s="330"/>
      <c r="L132" s="330"/>
      <c r="M132" s="330"/>
      <c r="N132" s="330"/>
      <c r="O132" s="330"/>
      <c r="P132" s="330"/>
      <c r="Q132" s="330"/>
      <c r="R132" s="330"/>
      <c r="S132" s="330"/>
      <c r="T132" s="330"/>
      <c r="U132" s="330"/>
      <c r="V132" s="330"/>
      <c r="W132" s="330"/>
      <c r="X132" s="330"/>
      <c r="Y132" s="330"/>
      <c r="Z132" s="330"/>
      <c r="AA132" s="315"/>
      <c r="AB132" s="315"/>
      <c r="AC132" s="315"/>
    </row>
    <row r="133" spans="1:68" ht="14.25" customHeight="1" x14ac:dyDescent="0.25">
      <c r="A133" s="354" t="s">
        <v>232</v>
      </c>
      <c r="B133" s="330"/>
      <c r="C133" s="330"/>
      <c r="D133" s="330"/>
      <c r="E133" s="330"/>
      <c r="F133" s="330"/>
      <c r="G133" s="330"/>
      <c r="H133" s="330"/>
      <c r="I133" s="330"/>
      <c r="J133" s="330"/>
      <c r="K133" s="330"/>
      <c r="L133" s="330"/>
      <c r="M133" s="330"/>
      <c r="N133" s="330"/>
      <c r="O133" s="330"/>
      <c r="P133" s="330"/>
      <c r="Q133" s="330"/>
      <c r="R133" s="330"/>
      <c r="S133" s="330"/>
      <c r="T133" s="330"/>
      <c r="U133" s="330"/>
      <c r="V133" s="330"/>
      <c r="W133" s="330"/>
      <c r="X133" s="330"/>
      <c r="Y133" s="330"/>
      <c r="Z133" s="330"/>
      <c r="AA133" s="314"/>
      <c r="AB133" s="314"/>
      <c r="AC133" s="314"/>
    </row>
    <row r="134" spans="1:68" ht="27" customHeight="1" x14ac:dyDescent="0.25">
      <c r="A134" s="54" t="s">
        <v>233</v>
      </c>
      <c r="B134" s="54" t="s">
        <v>234</v>
      </c>
      <c r="C134" s="31">
        <v>4301071054</v>
      </c>
      <c r="D134" s="324">
        <v>4607111035639</v>
      </c>
      <c r="E134" s="325"/>
      <c r="F134" s="319">
        <v>0.2</v>
      </c>
      <c r="G134" s="32">
        <v>8</v>
      </c>
      <c r="H134" s="319">
        <v>1.6</v>
      </c>
      <c r="I134" s="319">
        <v>2.12</v>
      </c>
      <c r="J134" s="32">
        <v>72</v>
      </c>
      <c r="K134" s="32" t="s">
        <v>235</v>
      </c>
      <c r="L134" s="32" t="s">
        <v>80</v>
      </c>
      <c r="M134" s="33" t="s">
        <v>68</v>
      </c>
      <c r="N134" s="33"/>
      <c r="O134" s="32">
        <v>180</v>
      </c>
      <c r="P134" s="525" t="s">
        <v>236</v>
      </c>
      <c r="Q134" s="334"/>
      <c r="R134" s="334"/>
      <c r="S134" s="334"/>
      <c r="T134" s="335"/>
      <c r="U134" s="34"/>
      <c r="V134" s="34"/>
      <c r="W134" s="35" t="s">
        <v>69</v>
      </c>
      <c r="X134" s="320">
        <v>0</v>
      </c>
      <c r="Y134" s="321">
        <f>IFERROR(IF(X134="","",X134),"")</f>
        <v>0</v>
      </c>
      <c r="Z134" s="36">
        <f>IFERROR(IF(X134="","",X134*0.01157),"")</f>
        <v>0</v>
      </c>
      <c r="AA134" s="56"/>
      <c r="AB134" s="57"/>
      <c r="AC134" s="174" t="s">
        <v>237</v>
      </c>
      <c r="AG134" s="67"/>
      <c r="AJ134" s="71" t="s">
        <v>82</v>
      </c>
      <c r="AK134" s="71">
        <v>6</v>
      </c>
      <c r="BB134" s="175" t="s">
        <v>83</v>
      </c>
      <c r="BM134" s="67">
        <f>IFERROR(X134*I134,"0")</f>
        <v>0</v>
      </c>
      <c r="BN134" s="67">
        <f>IFERROR(Y134*I134,"0")</f>
        <v>0</v>
      </c>
      <c r="BO134" s="67">
        <f>IFERROR(X134/J134,"0")</f>
        <v>0</v>
      </c>
      <c r="BP134" s="67">
        <f>IFERROR(Y134/J134,"0")</f>
        <v>0</v>
      </c>
    </row>
    <row r="135" spans="1:68" ht="27" customHeight="1" x14ac:dyDescent="0.25">
      <c r="A135" s="54" t="s">
        <v>238</v>
      </c>
      <c r="B135" s="54" t="s">
        <v>239</v>
      </c>
      <c r="C135" s="31">
        <v>4301135540</v>
      </c>
      <c r="D135" s="324">
        <v>4607111035646</v>
      </c>
      <c r="E135" s="325"/>
      <c r="F135" s="319">
        <v>0.2</v>
      </c>
      <c r="G135" s="32">
        <v>8</v>
      </c>
      <c r="H135" s="319">
        <v>1.6</v>
      </c>
      <c r="I135" s="319">
        <v>2.12</v>
      </c>
      <c r="J135" s="32">
        <v>72</v>
      </c>
      <c r="K135" s="32" t="s">
        <v>235</v>
      </c>
      <c r="L135" s="32" t="s">
        <v>80</v>
      </c>
      <c r="M135" s="33" t="s">
        <v>68</v>
      </c>
      <c r="N135" s="33"/>
      <c r="O135" s="32">
        <v>180</v>
      </c>
      <c r="P135" s="505" t="str">
        <f>HYPERLINK("https://abi.ru/products/Замороженные/Горячая штучка/Супермени/Пельмени ПГП/P004523/","Пельмени ПГП «Супермени со сливочным маслом» 0,2 Сфера ТМ «Горячая штучка»")</f>
        <v>Пельмени ПГП «Супермени со сливочным маслом» 0,2 Сфера ТМ «Горячая штучка»</v>
      </c>
      <c r="Q135" s="334"/>
      <c r="R135" s="334"/>
      <c r="S135" s="334"/>
      <c r="T135" s="335"/>
      <c r="U135" s="34"/>
      <c r="V135" s="34"/>
      <c r="W135" s="35" t="s">
        <v>69</v>
      </c>
      <c r="X135" s="320">
        <v>0</v>
      </c>
      <c r="Y135" s="321">
        <f>IFERROR(IF(X135="","",X135),"")</f>
        <v>0</v>
      </c>
      <c r="Z135" s="36">
        <f>IFERROR(IF(X135="","",X135*0.01157),"")</f>
        <v>0</v>
      </c>
      <c r="AA135" s="56"/>
      <c r="AB135" s="57"/>
      <c r="AC135" s="176" t="s">
        <v>237</v>
      </c>
      <c r="AG135" s="67"/>
      <c r="AJ135" s="71" t="s">
        <v>82</v>
      </c>
      <c r="AK135" s="71">
        <v>6</v>
      </c>
      <c r="BB135" s="177" t="s">
        <v>83</v>
      </c>
      <c r="BM135" s="67">
        <f>IFERROR(X135*I135,"0")</f>
        <v>0</v>
      </c>
      <c r="BN135" s="67">
        <f>IFERROR(Y135*I135,"0")</f>
        <v>0</v>
      </c>
      <c r="BO135" s="67">
        <f>IFERROR(X135/J135,"0")</f>
        <v>0</v>
      </c>
      <c r="BP135" s="67">
        <f>IFERROR(Y135/J135,"0")</f>
        <v>0</v>
      </c>
    </row>
    <row r="136" spans="1:68" x14ac:dyDescent="0.2">
      <c r="A136" s="336"/>
      <c r="B136" s="330"/>
      <c r="C136" s="330"/>
      <c r="D136" s="330"/>
      <c r="E136" s="330"/>
      <c r="F136" s="330"/>
      <c r="G136" s="330"/>
      <c r="H136" s="330"/>
      <c r="I136" s="330"/>
      <c r="J136" s="330"/>
      <c r="K136" s="330"/>
      <c r="L136" s="330"/>
      <c r="M136" s="330"/>
      <c r="N136" s="330"/>
      <c r="O136" s="337"/>
      <c r="P136" s="326" t="s">
        <v>72</v>
      </c>
      <c r="Q136" s="327"/>
      <c r="R136" s="327"/>
      <c r="S136" s="327"/>
      <c r="T136" s="327"/>
      <c r="U136" s="327"/>
      <c r="V136" s="328"/>
      <c r="W136" s="37" t="s">
        <v>69</v>
      </c>
      <c r="X136" s="322">
        <f>IFERROR(SUM(X134:X135),"0")</f>
        <v>0</v>
      </c>
      <c r="Y136" s="322">
        <f>IFERROR(SUM(Y134:Y135),"0")</f>
        <v>0</v>
      </c>
      <c r="Z136" s="322">
        <f>IFERROR(IF(Z134="",0,Z134),"0")+IFERROR(IF(Z135="",0,Z135),"0")</f>
        <v>0</v>
      </c>
      <c r="AA136" s="323"/>
      <c r="AB136" s="323"/>
      <c r="AC136" s="323"/>
    </row>
    <row r="137" spans="1:68" x14ac:dyDescent="0.2">
      <c r="A137" s="330"/>
      <c r="B137" s="330"/>
      <c r="C137" s="330"/>
      <c r="D137" s="330"/>
      <c r="E137" s="330"/>
      <c r="F137" s="330"/>
      <c r="G137" s="330"/>
      <c r="H137" s="330"/>
      <c r="I137" s="330"/>
      <c r="J137" s="330"/>
      <c r="K137" s="330"/>
      <c r="L137" s="330"/>
      <c r="M137" s="330"/>
      <c r="N137" s="330"/>
      <c r="O137" s="337"/>
      <c r="P137" s="326" t="s">
        <v>72</v>
      </c>
      <c r="Q137" s="327"/>
      <c r="R137" s="327"/>
      <c r="S137" s="327"/>
      <c r="T137" s="327"/>
      <c r="U137" s="327"/>
      <c r="V137" s="328"/>
      <c r="W137" s="37" t="s">
        <v>73</v>
      </c>
      <c r="X137" s="322">
        <f>IFERROR(SUMPRODUCT(X134:X135*H134:H135),"0")</f>
        <v>0</v>
      </c>
      <c r="Y137" s="322">
        <f>IFERROR(SUMPRODUCT(Y134:Y135*H134:H135),"0")</f>
        <v>0</v>
      </c>
      <c r="Z137" s="37"/>
      <c r="AA137" s="323"/>
      <c r="AB137" s="323"/>
      <c r="AC137" s="323"/>
    </row>
    <row r="138" spans="1:68" ht="16.5" customHeight="1" x14ac:dyDescent="0.25">
      <c r="A138" s="329" t="s">
        <v>240</v>
      </c>
      <c r="B138" s="330"/>
      <c r="C138" s="330"/>
      <c r="D138" s="330"/>
      <c r="E138" s="330"/>
      <c r="F138" s="330"/>
      <c r="G138" s="330"/>
      <c r="H138" s="330"/>
      <c r="I138" s="330"/>
      <c r="J138" s="330"/>
      <c r="K138" s="330"/>
      <c r="L138" s="330"/>
      <c r="M138" s="330"/>
      <c r="N138" s="330"/>
      <c r="O138" s="330"/>
      <c r="P138" s="330"/>
      <c r="Q138" s="330"/>
      <c r="R138" s="330"/>
      <c r="S138" s="330"/>
      <c r="T138" s="330"/>
      <c r="U138" s="330"/>
      <c r="V138" s="330"/>
      <c r="W138" s="330"/>
      <c r="X138" s="330"/>
      <c r="Y138" s="330"/>
      <c r="Z138" s="330"/>
      <c r="AA138" s="315"/>
      <c r="AB138" s="315"/>
      <c r="AC138" s="315"/>
    </row>
    <row r="139" spans="1:68" ht="14.25" customHeight="1" x14ac:dyDescent="0.25">
      <c r="A139" s="354" t="s">
        <v>141</v>
      </c>
      <c r="B139" s="330"/>
      <c r="C139" s="330"/>
      <c r="D139" s="330"/>
      <c r="E139" s="330"/>
      <c r="F139" s="330"/>
      <c r="G139" s="330"/>
      <c r="H139" s="330"/>
      <c r="I139" s="330"/>
      <c r="J139" s="330"/>
      <c r="K139" s="330"/>
      <c r="L139" s="330"/>
      <c r="M139" s="330"/>
      <c r="N139" s="330"/>
      <c r="O139" s="330"/>
      <c r="P139" s="330"/>
      <c r="Q139" s="330"/>
      <c r="R139" s="330"/>
      <c r="S139" s="330"/>
      <c r="T139" s="330"/>
      <c r="U139" s="330"/>
      <c r="V139" s="330"/>
      <c r="W139" s="330"/>
      <c r="X139" s="330"/>
      <c r="Y139" s="330"/>
      <c r="Z139" s="330"/>
      <c r="AA139" s="314"/>
      <c r="AB139" s="314"/>
      <c r="AC139" s="314"/>
    </row>
    <row r="140" spans="1:68" ht="27" customHeight="1" x14ac:dyDescent="0.25">
      <c r="A140" s="54" t="s">
        <v>241</v>
      </c>
      <c r="B140" s="54" t="s">
        <v>242</v>
      </c>
      <c r="C140" s="31">
        <v>4301135281</v>
      </c>
      <c r="D140" s="324">
        <v>4607111036568</v>
      </c>
      <c r="E140" s="325"/>
      <c r="F140" s="319">
        <v>0.28000000000000003</v>
      </c>
      <c r="G140" s="32">
        <v>6</v>
      </c>
      <c r="H140" s="319">
        <v>1.68</v>
      </c>
      <c r="I140" s="319">
        <v>2.1017999999999999</v>
      </c>
      <c r="J140" s="32">
        <v>140</v>
      </c>
      <c r="K140" s="32" t="s">
        <v>79</v>
      </c>
      <c r="L140" s="32" t="s">
        <v>67</v>
      </c>
      <c r="M140" s="33" t="s">
        <v>68</v>
      </c>
      <c r="N140" s="33"/>
      <c r="O140" s="32">
        <v>180</v>
      </c>
      <c r="P140" s="446" t="str">
        <f>HYPERLINK("https://abi.ru/products/Замороженные/Горячая штучка/Чебуманы/Снеки/P004109/","Снеки Чебуманы с говядиной Чебуманы Фикс.вес 0,28 лоток Горячая штучка")</f>
        <v>Снеки Чебуманы с говядиной Чебуманы Фикс.вес 0,28 лоток Горячая штучка</v>
      </c>
      <c r="Q140" s="334"/>
      <c r="R140" s="334"/>
      <c r="S140" s="334"/>
      <c r="T140" s="335"/>
      <c r="U140" s="34"/>
      <c r="V140" s="34"/>
      <c r="W140" s="35" t="s">
        <v>69</v>
      </c>
      <c r="X140" s="320">
        <v>0</v>
      </c>
      <c r="Y140" s="321">
        <f>IFERROR(IF(X140="","",X140),"")</f>
        <v>0</v>
      </c>
      <c r="Z140" s="36">
        <f>IFERROR(IF(X140="","",X140*0.00941),"")</f>
        <v>0</v>
      </c>
      <c r="AA140" s="56"/>
      <c r="AB140" s="57"/>
      <c r="AC140" s="178" t="s">
        <v>243</v>
      </c>
      <c r="AG140" s="67"/>
      <c r="AJ140" s="71" t="s">
        <v>71</v>
      </c>
      <c r="AK140" s="71">
        <v>1</v>
      </c>
      <c r="BB140" s="179" t="s">
        <v>83</v>
      </c>
      <c r="BM140" s="67">
        <f>IFERROR(X140*I140,"0")</f>
        <v>0</v>
      </c>
      <c r="BN140" s="67">
        <f>IFERROR(Y140*I140,"0")</f>
        <v>0</v>
      </c>
      <c r="BO140" s="67">
        <f>IFERROR(X140/J140,"0")</f>
        <v>0</v>
      </c>
      <c r="BP140" s="67">
        <f>IFERROR(Y140/J140,"0")</f>
        <v>0</v>
      </c>
    </row>
    <row r="141" spans="1:68" x14ac:dyDescent="0.2">
      <c r="A141" s="336"/>
      <c r="B141" s="330"/>
      <c r="C141" s="330"/>
      <c r="D141" s="330"/>
      <c r="E141" s="330"/>
      <c r="F141" s="330"/>
      <c r="G141" s="330"/>
      <c r="H141" s="330"/>
      <c r="I141" s="330"/>
      <c r="J141" s="330"/>
      <c r="K141" s="330"/>
      <c r="L141" s="330"/>
      <c r="M141" s="330"/>
      <c r="N141" s="330"/>
      <c r="O141" s="337"/>
      <c r="P141" s="326" t="s">
        <v>72</v>
      </c>
      <c r="Q141" s="327"/>
      <c r="R141" s="327"/>
      <c r="S141" s="327"/>
      <c r="T141" s="327"/>
      <c r="U141" s="327"/>
      <c r="V141" s="328"/>
      <c r="W141" s="37" t="s">
        <v>69</v>
      </c>
      <c r="X141" s="322">
        <f>IFERROR(SUM(X140:X140),"0")</f>
        <v>0</v>
      </c>
      <c r="Y141" s="322">
        <f>IFERROR(SUM(Y140:Y140),"0")</f>
        <v>0</v>
      </c>
      <c r="Z141" s="322">
        <f>IFERROR(IF(Z140="",0,Z140),"0")</f>
        <v>0</v>
      </c>
      <c r="AA141" s="323"/>
      <c r="AB141" s="323"/>
      <c r="AC141" s="323"/>
    </row>
    <row r="142" spans="1:68" x14ac:dyDescent="0.2">
      <c r="A142" s="330"/>
      <c r="B142" s="330"/>
      <c r="C142" s="330"/>
      <c r="D142" s="330"/>
      <c r="E142" s="330"/>
      <c r="F142" s="330"/>
      <c r="G142" s="330"/>
      <c r="H142" s="330"/>
      <c r="I142" s="330"/>
      <c r="J142" s="330"/>
      <c r="K142" s="330"/>
      <c r="L142" s="330"/>
      <c r="M142" s="330"/>
      <c r="N142" s="330"/>
      <c r="O142" s="337"/>
      <c r="P142" s="326" t="s">
        <v>72</v>
      </c>
      <c r="Q142" s="327"/>
      <c r="R142" s="327"/>
      <c r="S142" s="327"/>
      <c r="T142" s="327"/>
      <c r="U142" s="327"/>
      <c r="V142" s="328"/>
      <c r="W142" s="37" t="s">
        <v>73</v>
      </c>
      <c r="X142" s="322">
        <f>IFERROR(SUMPRODUCT(X140:X140*H140:H140),"0")</f>
        <v>0</v>
      </c>
      <c r="Y142" s="322">
        <f>IFERROR(SUMPRODUCT(Y140:Y140*H140:H140),"0")</f>
        <v>0</v>
      </c>
      <c r="Z142" s="37"/>
      <c r="AA142" s="323"/>
      <c r="AB142" s="323"/>
      <c r="AC142" s="323"/>
    </row>
    <row r="143" spans="1:68" ht="27.75" customHeight="1" x14ac:dyDescent="0.2">
      <c r="A143" s="390" t="s">
        <v>244</v>
      </c>
      <c r="B143" s="391"/>
      <c r="C143" s="391"/>
      <c r="D143" s="391"/>
      <c r="E143" s="391"/>
      <c r="F143" s="391"/>
      <c r="G143" s="391"/>
      <c r="H143" s="391"/>
      <c r="I143" s="391"/>
      <c r="J143" s="391"/>
      <c r="K143" s="391"/>
      <c r="L143" s="391"/>
      <c r="M143" s="391"/>
      <c r="N143" s="391"/>
      <c r="O143" s="391"/>
      <c r="P143" s="391"/>
      <c r="Q143" s="391"/>
      <c r="R143" s="391"/>
      <c r="S143" s="391"/>
      <c r="T143" s="391"/>
      <c r="U143" s="391"/>
      <c r="V143" s="391"/>
      <c r="W143" s="391"/>
      <c r="X143" s="391"/>
      <c r="Y143" s="391"/>
      <c r="Z143" s="391"/>
      <c r="AA143" s="48"/>
      <c r="AB143" s="48"/>
      <c r="AC143" s="48"/>
    </row>
    <row r="144" spans="1:68" ht="16.5" customHeight="1" x14ac:dyDescent="0.25">
      <c r="A144" s="329" t="s">
        <v>245</v>
      </c>
      <c r="B144" s="330"/>
      <c r="C144" s="330"/>
      <c r="D144" s="330"/>
      <c r="E144" s="330"/>
      <c r="F144" s="330"/>
      <c r="G144" s="330"/>
      <c r="H144" s="330"/>
      <c r="I144" s="330"/>
      <c r="J144" s="330"/>
      <c r="K144" s="330"/>
      <c r="L144" s="330"/>
      <c r="M144" s="330"/>
      <c r="N144" s="330"/>
      <c r="O144" s="330"/>
      <c r="P144" s="330"/>
      <c r="Q144" s="330"/>
      <c r="R144" s="330"/>
      <c r="S144" s="330"/>
      <c r="T144" s="330"/>
      <c r="U144" s="330"/>
      <c r="V144" s="330"/>
      <c r="W144" s="330"/>
      <c r="X144" s="330"/>
      <c r="Y144" s="330"/>
      <c r="Z144" s="330"/>
      <c r="AA144" s="315"/>
      <c r="AB144" s="315"/>
      <c r="AC144" s="315"/>
    </row>
    <row r="145" spans="1:68" ht="14.25" customHeight="1" x14ac:dyDescent="0.25">
      <c r="A145" s="354" t="s">
        <v>141</v>
      </c>
      <c r="B145" s="330"/>
      <c r="C145" s="330"/>
      <c r="D145" s="330"/>
      <c r="E145" s="330"/>
      <c r="F145" s="330"/>
      <c r="G145" s="330"/>
      <c r="H145" s="330"/>
      <c r="I145" s="330"/>
      <c r="J145" s="330"/>
      <c r="K145" s="330"/>
      <c r="L145" s="330"/>
      <c r="M145" s="330"/>
      <c r="N145" s="330"/>
      <c r="O145" s="330"/>
      <c r="P145" s="330"/>
      <c r="Q145" s="330"/>
      <c r="R145" s="330"/>
      <c r="S145" s="330"/>
      <c r="T145" s="330"/>
      <c r="U145" s="330"/>
      <c r="V145" s="330"/>
      <c r="W145" s="330"/>
      <c r="X145" s="330"/>
      <c r="Y145" s="330"/>
      <c r="Z145" s="330"/>
      <c r="AA145" s="314"/>
      <c r="AB145" s="314"/>
      <c r="AC145" s="314"/>
    </row>
    <row r="146" spans="1:68" ht="27" customHeight="1" x14ac:dyDescent="0.25">
      <c r="A146" s="54" t="s">
        <v>246</v>
      </c>
      <c r="B146" s="54" t="s">
        <v>247</v>
      </c>
      <c r="C146" s="31">
        <v>4301135317</v>
      </c>
      <c r="D146" s="324">
        <v>4607111039057</v>
      </c>
      <c r="E146" s="325"/>
      <c r="F146" s="319">
        <v>1.8</v>
      </c>
      <c r="G146" s="32">
        <v>1</v>
      </c>
      <c r="H146" s="319">
        <v>1.8</v>
      </c>
      <c r="I146" s="319">
        <v>1.9</v>
      </c>
      <c r="J146" s="32">
        <v>234</v>
      </c>
      <c r="K146" s="32" t="s">
        <v>136</v>
      </c>
      <c r="L146" s="32" t="s">
        <v>67</v>
      </c>
      <c r="M146" s="33" t="s">
        <v>68</v>
      </c>
      <c r="N146" s="33"/>
      <c r="O146" s="32">
        <v>180</v>
      </c>
      <c r="P146" s="517" t="s">
        <v>248</v>
      </c>
      <c r="Q146" s="334"/>
      <c r="R146" s="334"/>
      <c r="S146" s="334"/>
      <c r="T146" s="335"/>
      <c r="U146" s="34"/>
      <c r="V146" s="34"/>
      <c r="W146" s="35" t="s">
        <v>69</v>
      </c>
      <c r="X146" s="320">
        <v>0</v>
      </c>
      <c r="Y146" s="321">
        <f>IFERROR(IF(X146="","",X146),"")</f>
        <v>0</v>
      </c>
      <c r="Z146" s="36">
        <f>IFERROR(IF(X146="","",X146*0.00502),"")</f>
        <v>0</v>
      </c>
      <c r="AA146" s="56"/>
      <c r="AB146" s="57"/>
      <c r="AC146" s="180" t="s">
        <v>212</v>
      </c>
      <c r="AG146" s="67"/>
      <c r="AJ146" s="71" t="s">
        <v>71</v>
      </c>
      <c r="AK146" s="71">
        <v>1</v>
      </c>
      <c r="BB146" s="181" t="s">
        <v>83</v>
      </c>
      <c r="BM146" s="67">
        <f>IFERROR(X146*I146,"0")</f>
        <v>0</v>
      </c>
      <c r="BN146" s="67">
        <f>IFERROR(Y146*I146,"0")</f>
        <v>0</v>
      </c>
      <c r="BO146" s="67">
        <f>IFERROR(X146/J146,"0")</f>
        <v>0</v>
      </c>
      <c r="BP146" s="67">
        <f>IFERROR(Y146/J146,"0")</f>
        <v>0</v>
      </c>
    </row>
    <row r="147" spans="1:68" x14ac:dyDescent="0.2">
      <c r="A147" s="336"/>
      <c r="B147" s="330"/>
      <c r="C147" s="330"/>
      <c r="D147" s="330"/>
      <c r="E147" s="330"/>
      <c r="F147" s="330"/>
      <c r="G147" s="330"/>
      <c r="H147" s="330"/>
      <c r="I147" s="330"/>
      <c r="J147" s="330"/>
      <c r="K147" s="330"/>
      <c r="L147" s="330"/>
      <c r="M147" s="330"/>
      <c r="N147" s="330"/>
      <c r="O147" s="337"/>
      <c r="P147" s="326" t="s">
        <v>72</v>
      </c>
      <c r="Q147" s="327"/>
      <c r="R147" s="327"/>
      <c r="S147" s="327"/>
      <c r="T147" s="327"/>
      <c r="U147" s="327"/>
      <c r="V147" s="328"/>
      <c r="W147" s="37" t="s">
        <v>69</v>
      </c>
      <c r="X147" s="322">
        <f>IFERROR(SUM(X146:X146),"0")</f>
        <v>0</v>
      </c>
      <c r="Y147" s="322">
        <f>IFERROR(SUM(Y146:Y146),"0")</f>
        <v>0</v>
      </c>
      <c r="Z147" s="322">
        <f>IFERROR(IF(Z146="",0,Z146),"0")</f>
        <v>0</v>
      </c>
      <c r="AA147" s="323"/>
      <c r="AB147" s="323"/>
      <c r="AC147" s="323"/>
    </row>
    <row r="148" spans="1:68" x14ac:dyDescent="0.2">
      <c r="A148" s="330"/>
      <c r="B148" s="330"/>
      <c r="C148" s="330"/>
      <c r="D148" s="330"/>
      <c r="E148" s="330"/>
      <c r="F148" s="330"/>
      <c r="G148" s="330"/>
      <c r="H148" s="330"/>
      <c r="I148" s="330"/>
      <c r="J148" s="330"/>
      <c r="K148" s="330"/>
      <c r="L148" s="330"/>
      <c r="M148" s="330"/>
      <c r="N148" s="330"/>
      <c r="O148" s="337"/>
      <c r="P148" s="326" t="s">
        <v>72</v>
      </c>
      <c r="Q148" s="327"/>
      <c r="R148" s="327"/>
      <c r="S148" s="327"/>
      <c r="T148" s="327"/>
      <c r="U148" s="327"/>
      <c r="V148" s="328"/>
      <c r="W148" s="37" t="s">
        <v>73</v>
      </c>
      <c r="X148" s="322">
        <f>IFERROR(SUMPRODUCT(X146:X146*H146:H146),"0")</f>
        <v>0</v>
      </c>
      <c r="Y148" s="322">
        <f>IFERROR(SUMPRODUCT(Y146:Y146*H146:H146),"0")</f>
        <v>0</v>
      </c>
      <c r="Z148" s="37"/>
      <c r="AA148" s="323"/>
      <c r="AB148" s="323"/>
      <c r="AC148" s="323"/>
    </row>
    <row r="149" spans="1:68" ht="16.5" customHeight="1" x14ac:dyDescent="0.25">
      <c r="A149" s="329" t="s">
        <v>249</v>
      </c>
      <c r="B149" s="330"/>
      <c r="C149" s="330"/>
      <c r="D149" s="330"/>
      <c r="E149" s="330"/>
      <c r="F149" s="330"/>
      <c r="G149" s="330"/>
      <c r="H149" s="330"/>
      <c r="I149" s="330"/>
      <c r="J149" s="330"/>
      <c r="K149" s="330"/>
      <c r="L149" s="330"/>
      <c r="M149" s="330"/>
      <c r="N149" s="330"/>
      <c r="O149" s="330"/>
      <c r="P149" s="330"/>
      <c r="Q149" s="330"/>
      <c r="R149" s="330"/>
      <c r="S149" s="330"/>
      <c r="T149" s="330"/>
      <c r="U149" s="330"/>
      <c r="V149" s="330"/>
      <c r="W149" s="330"/>
      <c r="X149" s="330"/>
      <c r="Y149" s="330"/>
      <c r="Z149" s="330"/>
      <c r="AA149" s="315"/>
      <c r="AB149" s="315"/>
      <c r="AC149" s="315"/>
    </row>
    <row r="150" spans="1:68" ht="14.25" customHeight="1" x14ac:dyDescent="0.25">
      <c r="A150" s="354" t="s">
        <v>63</v>
      </c>
      <c r="B150" s="330"/>
      <c r="C150" s="330"/>
      <c r="D150" s="330"/>
      <c r="E150" s="330"/>
      <c r="F150" s="330"/>
      <c r="G150" s="330"/>
      <c r="H150" s="330"/>
      <c r="I150" s="330"/>
      <c r="J150" s="330"/>
      <c r="K150" s="330"/>
      <c r="L150" s="330"/>
      <c r="M150" s="330"/>
      <c r="N150" s="330"/>
      <c r="O150" s="330"/>
      <c r="P150" s="330"/>
      <c r="Q150" s="330"/>
      <c r="R150" s="330"/>
      <c r="S150" s="330"/>
      <c r="T150" s="330"/>
      <c r="U150" s="330"/>
      <c r="V150" s="330"/>
      <c r="W150" s="330"/>
      <c r="X150" s="330"/>
      <c r="Y150" s="330"/>
      <c r="Z150" s="330"/>
      <c r="AA150" s="314"/>
      <c r="AB150" s="314"/>
      <c r="AC150" s="314"/>
    </row>
    <row r="151" spans="1:68" ht="16.5" customHeight="1" x14ac:dyDescent="0.25">
      <c r="A151" s="54" t="s">
        <v>250</v>
      </c>
      <c r="B151" s="54" t="s">
        <v>251</v>
      </c>
      <c r="C151" s="31">
        <v>4301071062</v>
      </c>
      <c r="D151" s="324">
        <v>4607111036384</v>
      </c>
      <c r="E151" s="325"/>
      <c r="F151" s="319">
        <v>5</v>
      </c>
      <c r="G151" s="32">
        <v>1</v>
      </c>
      <c r="H151" s="319">
        <v>5</v>
      </c>
      <c r="I151" s="319">
        <v>5.2106000000000003</v>
      </c>
      <c r="J151" s="32">
        <v>144</v>
      </c>
      <c r="K151" s="32" t="s">
        <v>66</v>
      </c>
      <c r="L151" s="32" t="s">
        <v>67</v>
      </c>
      <c r="M151" s="33" t="s">
        <v>68</v>
      </c>
      <c r="N151" s="33"/>
      <c r="O151" s="32">
        <v>180</v>
      </c>
      <c r="P151" s="533" t="s">
        <v>252</v>
      </c>
      <c r="Q151" s="334"/>
      <c r="R151" s="334"/>
      <c r="S151" s="334"/>
      <c r="T151" s="335"/>
      <c r="U151" s="34"/>
      <c r="V151" s="34"/>
      <c r="W151" s="35" t="s">
        <v>69</v>
      </c>
      <c r="X151" s="320">
        <v>0</v>
      </c>
      <c r="Y151" s="321">
        <f>IFERROR(IF(X151="","",X151),"")</f>
        <v>0</v>
      </c>
      <c r="Z151" s="36">
        <f>IFERROR(IF(X151="","",X151*0.00866),"")</f>
        <v>0</v>
      </c>
      <c r="AA151" s="56"/>
      <c r="AB151" s="57"/>
      <c r="AC151" s="182" t="s">
        <v>253</v>
      </c>
      <c r="AG151" s="67"/>
      <c r="AJ151" s="71" t="s">
        <v>71</v>
      </c>
      <c r="AK151" s="71">
        <v>1</v>
      </c>
      <c r="BB151" s="183" t="s">
        <v>1</v>
      </c>
      <c r="BM151" s="67">
        <f>IFERROR(X151*I151,"0")</f>
        <v>0</v>
      </c>
      <c r="BN151" s="67">
        <f>IFERROR(Y151*I151,"0")</f>
        <v>0</v>
      </c>
      <c r="BO151" s="67">
        <f>IFERROR(X151/J151,"0")</f>
        <v>0</v>
      </c>
      <c r="BP151" s="67">
        <f>IFERROR(Y151/J151,"0")</f>
        <v>0</v>
      </c>
    </row>
    <row r="152" spans="1:68" ht="16.5" customHeight="1" x14ac:dyDescent="0.25">
      <c r="A152" s="54" t="s">
        <v>254</v>
      </c>
      <c r="B152" s="54" t="s">
        <v>255</v>
      </c>
      <c r="C152" s="31">
        <v>4301071056</v>
      </c>
      <c r="D152" s="324">
        <v>4640242180250</v>
      </c>
      <c r="E152" s="325"/>
      <c r="F152" s="319">
        <v>5</v>
      </c>
      <c r="G152" s="32">
        <v>1</v>
      </c>
      <c r="H152" s="319">
        <v>5</v>
      </c>
      <c r="I152" s="319">
        <v>5.2131999999999996</v>
      </c>
      <c r="J152" s="32">
        <v>144</v>
      </c>
      <c r="K152" s="32" t="s">
        <v>66</v>
      </c>
      <c r="L152" s="32" t="s">
        <v>67</v>
      </c>
      <c r="M152" s="33" t="s">
        <v>68</v>
      </c>
      <c r="N152" s="33"/>
      <c r="O152" s="32">
        <v>180</v>
      </c>
      <c r="P152" s="348" t="s">
        <v>256</v>
      </c>
      <c r="Q152" s="334"/>
      <c r="R152" s="334"/>
      <c r="S152" s="334"/>
      <c r="T152" s="335"/>
      <c r="U152" s="34"/>
      <c r="V152" s="34"/>
      <c r="W152" s="35" t="s">
        <v>69</v>
      </c>
      <c r="X152" s="320">
        <v>0</v>
      </c>
      <c r="Y152" s="321">
        <f>IFERROR(IF(X152="","",X152),"")</f>
        <v>0</v>
      </c>
      <c r="Z152" s="36">
        <f>IFERROR(IF(X152="","",X152*0.00866),"")</f>
        <v>0</v>
      </c>
      <c r="AA152" s="56"/>
      <c r="AB152" s="57"/>
      <c r="AC152" s="184" t="s">
        <v>257</v>
      </c>
      <c r="AG152" s="67"/>
      <c r="AJ152" s="71" t="s">
        <v>71</v>
      </c>
      <c r="AK152" s="71">
        <v>1</v>
      </c>
      <c r="BB152" s="185" t="s">
        <v>1</v>
      </c>
      <c r="BM152" s="67">
        <f>IFERROR(X152*I152,"0")</f>
        <v>0</v>
      </c>
      <c r="BN152" s="67">
        <f>IFERROR(Y152*I152,"0")</f>
        <v>0</v>
      </c>
      <c r="BO152" s="67">
        <f>IFERROR(X152/J152,"0")</f>
        <v>0</v>
      </c>
      <c r="BP152" s="67">
        <f>IFERROR(Y152/J152,"0")</f>
        <v>0</v>
      </c>
    </row>
    <row r="153" spans="1:68" ht="27" customHeight="1" x14ac:dyDescent="0.25">
      <c r="A153" s="54" t="s">
        <v>258</v>
      </c>
      <c r="B153" s="54" t="s">
        <v>259</v>
      </c>
      <c r="C153" s="31">
        <v>4301071050</v>
      </c>
      <c r="D153" s="324">
        <v>4607111036216</v>
      </c>
      <c r="E153" s="325"/>
      <c r="F153" s="319">
        <v>5</v>
      </c>
      <c r="G153" s="32">
        <v>1</v>
      </c>
      <c r="H153" s="319">
        <v>5</v>
      </c>
      <c r="I153" s="319">
        <v>5.2131999999999996</v>
      </c>
      <c r="J153" s="32">
        <v>144</v>
      </c>
      <c r="K153" s="32" t="s">
        <v>66</v>
      </c>
      <c r="L153" s="32" t="s">
        <v>88</v>
      </c>
      <c r="M153" s="33" t="s">
        <v>68</v>
      </c>
      <c r="N153" s="33"/>
      <c r="O153" s="32">
        <v>180</v>
      </c>
      <c r="P153" s="453" t="s">
        <v>260</v>
      </c>
      <c r="Q153" s="334"/>
      <c r="R153" s="334"/>
      <c r="S153" s="334"/>
      <c r="T153" s="335"/>
      <c r="U153" s="34"/>
      <c r="V153" s="34"/>
      <c r="W153" s="35" t="s">
        <v>69</v>
      </c>
      <c r="X153" s="320">
        <v>0</v>
      </c>
      <c r="Y153" s="321">
        <f>IFERROR(IF(X153="","",X153),"")</f>
        <v>0</v>
      </c>
      <c r="Z153" s="36">
        <f>IFERROR(IF(X153="","",X153*0.00866),"")</f>
        <v>0</v>
      </c>
      <c r="AA153" s="56"/>
      <c r="AB153" s="57"/>
      <c r="AC153" s="186" t="s">
        <v>261</v>
      </c>
      <c r="AG153" s="67"/>
      <c r="AJ153" s="71" t="s">
        <v>89</v>
      </c>
      <c r="AK153" s="71">
        <v>144</v>
      </c>
      <c r="BB153" s="187" t="s">
        <v>1</v>
      </c>
      <c r="BM153" s="67">
        <f>IFERROR(X153*I153,"0")</f>
        <v>0</v>
      </c>
      <c r="BN153" s="67">
        <f>IFERROR(Y153*I153,"0")</f>
        <v>0</v>
      </c>
      <c r="BO153" s="67">
        <f>IFERROR(X153/J153,"0")</f>
        <v>0</v>
      </c>
      <c r="BP153" s="67">
        <f>IFERROR(Y153/J153,"0")</f>
        <v>0</v>
      </c>
    </row>
    <row r="154" spans="1:68" ht="27" customHeight="1" x14ac:dyDescent="0.25">
      <c r="A154" s="54" t="s">
        <v>262</v>
      </c>
      <c r="B154" s="54" t="s">
        <v>263</v>
      </c>
      <c r="C154" s="31">
        <v>4301071061</v>
      </c>
      <c r="D154" s="324">
        <v>4607111036278</v>
      </c>
      <c r="E154" s="325"/>
      <c r="F154" s="319">
        <v>5</v>
      </c>
      <c r="G154" s="32">
        <v>1</v>
      </c>
      <c r="H154" s="319">
        <v>5</v>
      </c>
      <c r="I154" s="319">
        <v>5.2405999999999997</v>
      </c>
      <c r="J154" s="32">
        <v>84</v>
      </c>
      <c r="K154" s="32" t="s">
        <v>66</v>
      </c>
      <c r="L154" s="32" t="s">
        <v>67</v>
      </c>
      <c r="M154" s="33" t="s">
        <v>68</v>
      </c>
      <c r="N154" s="33"/>
      <c r="O154" s="32">
        <v>180</v>
      </c>
      <c r="P154" s="463" t="s">
        <v>264</v>
      </c>
      <c r="Q154" s="334"/>
      <c r="R154" s="334"/>
      <c r="S154" s="334"/>
      <c r="T154" s="335"/>
      <c r="U154" s="34"/>
      <c r="V154" s="34"/>
      <c r="W154" s="35" t="s">
        <v>69</v>
      </c>
      <c r="X154" s="320">
        <v>0</v>
      </c>
      <c r="Y154" s="321">
        <f>IFERROR(IF(X154="","",X154),"")</f>
        <v>0</v>
      </c>
      <c r="Z154" s="36">
        <f>IFERROR(IF(X154="","",X154*0.0155),"")</f>
        <v>0</v>
      </c>
      <c r="AA154" s="56"/>
      <c r="AB154" s="57"/>
      <c r="AC154" s="188" t="s">
        <v>265</v>
      </c>
      <c r="AG154" s="67"/>
      <c r="AJ154" s="71" t="s">
        <v>71</v>
      </c>
      <c r="AK154" s="71">
        <v>1</v>
      </c>
      <c r="BB154" s="189" t="s">
        <v>1</v>
      </c>
      <c r="BM154" s="67">
        <f>IFERROR(X154*I154,"0")</f>
        <v>0</v>
      </c>
      <c r="BN154" s="67">
        <f>IFERROR(Y154*I154,"0")</f>
        <v>0</v>
      </c>
      <c r="BO154" s="67">
        <f>IFERROR(X154/J154,"0")</f>
        <v>0</v>
      </c>
      <c r="BP154" s="67">
        <f>IFERROR(Y154/J154,"0")</f>
        <v>0</v>
      </c>
    </row>
    <row r="155" spans="1:68" x14ac:dyDescent="0.2">
      <c r="A155" s="336"/>
      <c r="B155" s="330"/>
      <c r="C155" s="330"/>
      <c r="D155" s="330"/>
      <c r="E155" s="330"/>
      <c r="F155" s="330"/>
      <c r="G155" s="330"/>
      <c r="H155" s="330"/>
      <c r="I155" s="330"/>
      <c r="J155" s="330"/>
      <c r="K155" s="330"/>
      <c r="L155" s="330"/>
      <c r="M155" s="330"/>
      <c r="N155" s="330"/>
      <c r="O155" s="337"/>
      <c r="P155" s="326" t="s">
        <v>72</v>
      </c>
      <c r="Q155" s="327"/>
      <c r="R155" s="327"/>
      <c r="S155" s="327"/>
      <c r="T155" s="327"/>
      <c r="U155" s="327"/>
      <c r="V155" s="328"/>
      <c r="W155" s="37" t="s">
        <v>69</v>
      </c>
      <c r="X155" s="322">
        <f>IFERROR(SUM(X151:X154),"0")</f>
        <v>0</v>
      </c>
      <c r="Y155" s="322">
        <f>IFERROR(SUM(Y151:Y154),"0")</f>
        <v>0</v>
      </c>
      <c r="Z155" s="322">
        <f>IFERROR(IF(Z151="",0,Z151),"0")+IFERROR(IF(Z152="",0,Z152),"0")+IFERROR(IF(Z153="",0,Z153),"0")+IFERROR(IF(Z154="",0,Z154),"0")</f>
        <v>0</v>
      </c>
      <c r="AA155" s="323"/>
      <c r="AB155" s="323"/>
      <c r="AC155" s="323"/>
    </row>
    <row r="156" spans="1:68" x14ac:dyDescent="0.2">
      <c r="A156" s="330"/>
      <c r="B156" s="330"/>
      <c r="C156" s="330"/>
      <c r="D156" s="330"/>
      <c r="E156" s="330"/>
      <c r="F156" s="330"/>
      <c r="G156" s="330"/>
      <c r="H156" s="330"/>
      <c r="I156" s="330"/>
      <c r="J156" s="330"/>
      <c r="K156" s="330"/>
      <c r="L156" s="330"/>
      <c r="M156" s="330"/>
      <c r="N156" s="330"/>
      <c r="O156" s="337"/>
      <c r="P156" s="326" t="s">
        <v>72</v>
      </c>
      <c r="Q156" s="327"/>
      <c r="R156" s="327"/>
      <c r="S156" s="327"/>
      <c r="T156" s="327"/>
      <c r="U156" s="327"/>
      <c r="V156" s="328"/>
      <c r="W156" s="37" t="s">
        <v>73</v>
      </c>
      <c r="X156" s="322">
        <f>IFERROR(SUMPRODUCT(X151:X154*H151:H154),"0")</f>
        <v>0</v>
      </c>
      <c r="Y156" s="322">
        <f>IFERROR(SUMPRODUCT(Y151:Y154*H151:H154),"0")</f>
        <v>0</v>
      </c>
      <c r="Z156" s="37"/>
      <c r="AA156" s="323"/>
      <c r="AB156" s="323"/>
      <c r="AC156" s="323"/>
    </row>
    <row r="157" spans="1:68" ht="14.25" customHeight="1" x14ac:dyDescent="0.25">
      <c r="A157" s="354" t="s">
        <v>266</v>
      </c>
      <c r="B157" s="330"/>
      <c r="C157" s="330"/>
      <c r="D157" s="330"/>
      <c r="E157" s="330"/>
      <c r="F157" s="330"/>
      <c r="G157" s="330"/>
      <c r="H157" s="330"/>
      <c r="I157" s="330"/>
      <c r="J157" s="330"/>
      <c r="K157" s="330"/>
      <c r="L157" s="330"/>
      <c r="M157" s="330"/>
      <c r="N157" s="330"/>
      <c r="O157" s="330"/>
      <c r="P157" s="330"/>
      <c r="Q157" s="330"/>
      <c r="R157" s="330"/>
      <c r="S157" s="330"/>
      <c r="T157" s="330"/>
      <c r="U157" s="330"/>
      <c r="V157" s="330"/>
      <c r="W157" s="330"/>
      <c r="X157" s="330"/>
      <c r="Y157" s="330"/>
      <c r="Z157" s="330"/>
      <c r="AA157" s="314"/>
      <c r="AB157" s="314"/>
      <c r="AC157" s="314"/>
    </row>
    <row r="158" spans="1:68" ht="27" customHeight="1" x14ac:dyDescent="0.25">
      <c r="A158" s="54" t="s">
        <v>267</v>
      </c>
      <c r="B158" s="54" t="s">
        <v>268</v>
      </c>
      <c r="C158" s="31">
        <v>4301080153</v>
      </c>
      <c r="D158" s="324">
        <v>4607111036827</v>
      </c>
      <c r="E158" s="325"/>
      <c r="F158" s="319">
        <v>1</v>
      </c>
      <c r="G158" s="32">
        <v>5</v>
      </c>
      <c r="H158" s="319">
        <v>5</v>
      </c>
      <c r="I158" s="319">
        <v>5.2</v>
      </c>
      <c r="J158" s="32">
        <v>144</v>
      </c>
      <c r="K158" s="32" t="s">
        <v>66</v>
      </c>
      <c r="L158" s="32" t="s">
        <v>67</v>
      </c>
      <c r="M158" s="33" t="s">
        <v>68</v>
      </c>
      <c r="N158" s="33"/>
      <c r="O158" s="32">
        <v>90</v>
      </c>
      <c r="P158" s="377" t="str">
        <f>HYPERLINK("https://abi.ru/products/Замороженные/No Name/No Name ЗПФ/Вареники/P002958/","Вареники Благолепные с картофелем и грибами No name Весовые Классическая форма No name 5 кг")</f>
        <v>Вареники Благолепные с картофелем и грибами No name Весовые Классическая форма No name 5 кг</v>
      </c>
      <c r="Q158" s="334"/>
      <c r="R158" s="334"/>
      <c r="S158" s="334"/>
      <c r="T158" s="335"/>
      <c r="U158" s="34"/>
      <c r="V158" s="34"/>
      <c r="W158" s="35" t="s">
        <v>69</v>
      </c>
      <c r="X158" s="320">
        <v>0</v>
      </c>
      <c r="Y158" s="321">
        <f>IFERROR(IF(X158="","",X158),"")</f>
        <v>0</v>
      </c>
      <c r="Z158" s="36">
        <f>IFERROR(IF(X158="","",X158*0.00866),"")</f>
        <v>0</v>
      </c>
      <c r="AA158" s="56"/>
      <c r="AB158" s="57"/>
      <c r="AC158" s="190" t="s">
        <v>269</v>
      </c>
      <c r="AG158" s="67"/>
      <c r="AJ158" s="71" t="s">
        <v>71</v>
      </c>
      <c r="AK158" s="71">
        <v>1</v>
      </c>
      <c r="BB158" s="191" t="s">
        <v>1</v>
      </c>
      <c r="BM158" s="67">
        <f>IFERROR(X158*I158,"0")</f>
        <v>0</v>
      </c>
      <c r="BN158" s="67">
        <f>IFERROR(Y158*I158,"0")</f>
        <v>0</v>
      </c>
      <c r="BO158" s="67">
        <f>IFERROR(X158/J158,"0")</f>
        <v>0</v>
      </c>
      <c r="BP158" s="67">
        <f>IFERROR(Y158/J158,"0")</f>
        <v>0</v>
      </c>
    </row>
    <row r="159" spans="1:68" ht="27" customHeight="1" x14ac:dyDescent="0.25">
      <c r="A159" s="54" t="s">
        <v>270</v>
      </c>
      <c r="B159" s="54" t="s">
        <v>271</v>
      </c>
      <c r="C159" s="31">
        <v>4301080154</v>
      </c>
      <c r="D159" s="324">
        <v>4607111036834</v>
      </c>
      <c r="E159" s="325"/>
      <c r="F159" s="319">
        <v>1</v>
      </c>
      <c r="G159" s="32">
        <v>5</v>
      </c>
      <c r="H159" s="319">
        <v>5</v>
      </c>
      <c r="I159" s="319">
        <v>5.2530000000000001</v>
      </c>
      <c r="J159" s="32">
        <v>144</v>
      </c>
      <c r="K159" s="32" t="s">
        <v>66</v>
      </c>
      <c r="L159" s="32" t="s">
        <v>67</v>
      </c>
      <c r="M159" s="33" t="s">
        <v>68</v>
      </c>
      <c r="N159" s="33"/>
      <c r="O159" s="32">
        <v>90</v>
      </c>
      <c r="P159" s="460" t="str">
        <f>HYPERLINK("https://abi.ru/products/Замороженные/No Name/No Name ЗПФ/Вареники/P002961/","Вареники с картофелем и луком No name Весовые Классическая форма No name 5 кг")</f>
        <v>Вареники с картофелем и луком No name Весовые Классическая форма No name 5 кг</v>
      </c>
      <c r="Q159" s="334"/>
      <c r="R159" s="334"/>
      <c r="S159" s="334"/>
      <c r="T159" s="335"/>
      <c r="U159" s="34"/>
      <c r="V159" s="34"/>
      <c r="W159" s="35" t="s">
        <v>69</v>
      </c>
      <c r="X159" s="320">
        <v>0</v>
      </c>
      <c r="Y159" s="321">
        <f>IFERROR(IF(X159="","",X159),"")</f>
        <v>0</v>
      </c>
      <c r="Z159" s="36">
        <f>IFERROR(IF(X159="","",X159*0.00866),"")</f>
        <v>0</v>
      </c>
      <c r="AA159" s="56"/>
      <c r="AB159" s="57"/>
      <c r="AC159" s="192" t="s">
        <v>269</v>
      </c>
      <c r="AG159" s="67"/>
      <c r="AJ159" s="71" t="s">
        <v>71</v>
      </c>
      <c r="AK159" s="71">
        <v>1</v>
      </c>
      <c r="BB159" s="193" t="s">
        <v>1</v>
      </c>
      <c r="BM159" s="67">
        <f>IFERROR(X159*I159,"0")</f>
        <v>0</v>
      </c>
      <c r="BN159" s="67">
        <f>IFERROR(Y159*I159,"0")</f>
        <v>0</v>
      </c>
      <c r="BO159" s="67">
        <f>IFERROR(X159/J159,"0")</f>
        <v>0</v>
      </c>
      <c r="BP159" s="67">
        <f>IFERROR(Y159/J159,"0")</f>
        <v>0</v>
      </c>
    </row>
    <row r="160" spans="1:68" x14ac:dyDescent="0.2">
      <c r="A160" s="336"/>
      <c r="B160" s="330"/>
      <c r="C160" s="330"/>
      <c r="D160" s="330"/>
      <c r="E160" s="330"/>
      <c r="F160" s="330"/>
      <c r="G160" s="330"/>
      <c r="H160" s="330"/>
      <c r="I160" s="330"/>
      <c r="J160" s="330"/>
      <c r="K160" s="330"/>
      <c r="L160" s="330"/>
      <c r="M160" s="330"/>
      <c r="N160" s="330"/>
      <c r="O160" s="337"/>
      <c r="P160" s="326" t="s">
        <v>72</v>
      </c>
      <c r="Q160" s="327"/>
      <c r="R160" s="327"/>
      <c r="S160" s="327"/>
      <c r="T160" s="327"/>
      <c r="U160" s="327"/>
      <c r="V160" s="328"/>
      <c r="W160" s="37" t="s">
        <v>69</v>
      </c>
      <c r="X160" s="322">
        <f>IFERROR(SUM(X158:X159),"0")</f>
        <v>0</v>
      </c>
      <c r="Y160" s="322">
        <f>IFERROR(SUM(Y158:Y159),"0")</f>
        <v>0</v>
      </c>
      <c r="Z160" s="322">
        <f>IFERROR(IF(Z158="",0,Z158),"0")+IFERROR(IF(Z159="",0,Z159),"0")</f>
        <v>0</v>
      </c>
      <c r="AA160" s="323"/>
      <c r="AB160" s="323"/>
      <c r="AC160" s="323"/>
    </row>
    <row r="161" spans="1:68" x14ac:dyDescent="0.2">
      <c r="A161" s="330"/>
      <c r="B161" s="330"/>
      <c r="C161" s="330"/>
      <c r="D161" s="330"/>
      <c r="E161" s="330"/>
      <c r="F161" s="330"/>
      <c r="G161" s="330"/>
      <c r="H161" s="330"/>
      <c r="I161" s="330"/>
      <c r="J161" s="330"/>
      <c r="K161" s="330"/>
      <c r="L161" s="330"/>
      <c r="M161" s="330"/>
      <c r="N161" s="330"/>
      <c r="O161" s="337"/>
      <c r="P161" s="326" t="s">
        <v>72</v>
      </c>
      <c r="Q161" s="327"/>
      <c r="R161" s="327"/>
      <c r="S161" s="327"/>
      <c r="T161" s="327"/>
      <c r="U161" s="327"/>
      <c r="V161" s="328"/>
      <c r="W161" s="37" t="s">
        <v>73</v>
      </c>
      <c r="X161" s="322">
        <f>IFERROR(SUMPRODUCT(X158:X159*H158:H159),"0")</f>
        <v>0</v>
      </c>
      <c r="Y161" s="322">
        <f>IFERROR(SUMPRODUCT(Y158:Y159*H158:H159),"0")</f>
        <v>0</v>
      </c>
      <c r="Z161" s="37"/>
      <c r="AA161" s="323"/>
      <c r="AB161" s="323"/>
      <c r="AC161" s="323"/>
    </row>
    <row r="162" spans="1:68" ht="27.75" customHeight="1" x14ac:dyDescent="0.2">
      <c r="A162" s="390" t="s">
        <v>272</v>
      </c>
      <c r="B162" s="391"/>
      <c r="C162" s="391"/>
      <c r="D162" s="391"/>
      <c r="E162" s="391"/>
      <c r="F162" s="391"/>
      <c r="G162" s="391"/>
      <c r="H162" s="391"/>
      <c r="I162" s="391"/>
      <c r="J162" s="391"/>
      <c r="K162" s="391"/>
      <c r="L162" s="391"/>
      <c r="M162" s="391"/>
      <c r="N162" s="391"/>
      <c r="O162" s="391"/>
      <c r="P162" s="391"/>
      <c r="Q162" s="391"/>
      <c r="R162" s="391"/>
      <c r="S162" s="391"/>
      <c r="T162" s="391"/>
      <c r="U162" s="391"/>
      <c r="V162" s="391"/>
      <c r="W162" s="391"/>
      <c r="X162" s="391"/>
      <c r="Y162" s="391"/>
      <c r="Z162" s="391"/>
      <c r="AA162" s="48"/>
      <c r="AB162" s="48"/>
      <c r="AC162" s="48"/>
    </row>
    <row r="163" spans="1:68" ht="16.5" customHeight="1" x14ac:dyDescent="0.25">
      <c r="A163" s="329" t="s">
        <v>273</v>
      </c>
      <c r="B163" s="330"/>
      <c r="C163" s="330"/>
      <c r="D163" s="330"/>
      <c r="E163" s="330"/>
      <c r="F163" s="330"/>
      <c r="G163" s="330"/>
      <c r="H163" s="330"/>
      <c r="I163" s="330"/>
      <c r="J163" s="330"/>
      <c r="K163" s="330"/>
      <c r="L163" s="330"/>
      <c r="M163" s="330"/>
      <c r="N163" s="330"/>
      <c r="O163" s="330"/>
      <c r="P163" s="330"/>
      <c r="Q163" s="330"/>
      <c r="R163" s="330"/>
      <c r="S163" s="330"/>
      <c r="T163" s="330"/>
      <c r="U163" s="330"/>
      <c r="V163" s="330"/>
      <c r="W163" s="330"/>
      <c r="X163" s="330"/>
      <c r="Y163" s="330"/>
      <c r="Z163" s="330"/>
      <c r="AA163" s="315"/>
      <c r="AB163" s="315"/>
      <c r="AC163" s="315"/>
    </row>
    <row r="164" spans="1:68" ht="14.25" customHeight="1" x14ac:dyDescent="0.25">
      <c r="A164" s="354" t="s">
        <v>76</v>
      </c>
      <c r="B164" s="330"/>
      <c r="C164" s="330"/>
      <c r="D164" s="330"/>
      <c r="E164" s="330"/>
      <c r="F164" s="330"/>
      <c r="G164" s="330"/>
      <c r="H164" s="330"/>
      <c r="I164" s="330"/>
      <c r="J164" s="330"/>
      <c r="K164" s="330"/>
      <c r="L164" s="330"/>
      <c r="M164" s="330"/>
      <c r="N164" s="330"/>
      <c r="O164" s="330"/>
      <c r="P164" s="330"/>
      <c r="Q164" s="330"/>
      <c r="R164" s="330"/>
      <c r="S164" s="330"/>
      <c r="T164" s="330"/>
      <c r="U164" s="330"/>
      <c r="V164" s="330"/>
      <c r="W164" s="330"/>
      <c r="X164" s="330"/>
      <c r="Y164" s="330"/>
      <c r="Z164" s="330"/>
      <c r="AA164" s="314"/>
      <c r="AB164" s="314"/>
      <c r="AC164" s="314"/>
    </row>
    <row r="165" spans="1:68" ht="27" customHeight="1" x14ac:dyDescent="0.25">
      <c r="A165" s="54" t="s">
        <v>274</v>
      </c>
      <c r="B165" s="54" t="s">
        <v>275</v>
      </c>
      <c r="C165" s="31">
        <v>4301132097</v>
      </c>
      <c r="D165" s="324">
        <v>4607111035721</v>
      </c>
      <c r="E165" s="325"/>
      <c r="F165" s="319">
        <v>0.25</v>
      </c>
      <c r="G165" s="32">
        <v>12</v>
      </c>
      <c r="H165" s="319">
        <v>3</v>
      </c>
      <c r="I165" s="319">
        <v>3.3879999999999999</v>
      </c>
      <c r="J165" s="32">
        <v>70</v>
      </c>
      <c r="K165" s="32" t="s">
        <v>79</v>
      </c>
      <c r="L165" s="32" t="s">
        <v>88</v>
      </c>
      <c r="M165" s="33" t="s">
        <v>68</v>
      </c>
      <c r="N165" s="33"/>
      <c r="O165" s="32">
        <v>365</v>
      </c>
      <c r="P165" s="346" t="str">
        <f>HYPERLINK("https://abi.ru/products/Замороженные/Вязанка/Сливушка/Наггетсы/P004152/","Наггетсы С индейкой Наггетсы Фикс.вес 0,25 Лоток Вязанка")</f>
        <v>Наггетсы С индейкой Наггетсы Фикс.вес 0,25 Лоток Вязанка</v>
      </c>
      <c r="Q165" s="334"/>
      <c r="R165" s="334"/>
      <c r="S165" s="334"/>
      <c r="T165" s="335"/>
      <c r="U165" s="34"/>
      <c r="V165" s="34"/>
      <c r="W165" s="35" t="s">
        <v>69</v>
      </c>
      <c r="X165" s="320">
        <v>98</v>
      </c>
      <c r="Y165" s="321">
        <f>IFERROR(IF(X165="","",X165),"")</f>
        <v>98</v>
      </c>
      <c r="Z165" s="36">
        <f>IFERROR(IF(X165="","",X165*0.01788),"")</f>
        <v>1.75224</v>
      </c>
      <c r="AA165" s="56"/>
      <c r="AB165" s="57"/>
      <c r="AC165" s="194" t="s">
        <v>276</v>
      </c>
      <c r="AG165" s="67"/>
      <c r="AJ165" s="71" t="s">
        <v>89</v>
      </c>
      <c r="AK165" s="71">
        <v>70</v>
      </c>
      <c r="BB165" s="195" t="s">
        <v>83</v>
      </c>
      <c r="BM165" s="67">
        <f>IFERROR(X165*I165,"0")</f>
        <v>332.024</v>
      </c>
      <c r="BN165" s="67">
        <f>IFERROR(Y165*I165,"0")</f>
        <v>332.024</v>
      </c>
      <c r="BO165" s="67">
        <f>IFERROR(X165/J165,"0")</f>
        <v>1.4</v>
      </c>
      <c r="BP165" s="67">
        <f>IFERROR(Y165/J165,"0")</f>
        <v>1.4</v>
      </c>
    </row>
    <row r="166" spans="1:68" ht="27" customHeight="1" x14ac:dyDescent="0.25">
      <c r="A166" s="54" t="s">
        <v>277</v>
      </c>
      <c r="B166" s="54" t="s">
        <v>278</v>
      </c>
      <c r="C166" s="31">
        <v>4301132100</v>
      </c>
      <c r="D166" s="324">
        <v>4607111035691</v>
      </c>
      <c r="E166" s="325"/>
      <c r="F166" s="319">
        <v>0.25</v>
      </c>
      <c r="G166" s="32">
        <v>12</v>
      </c>
      <c r="H166" s="319">
        <v>3</v>
      </c>
      <c r="I166" s="319">
        <v>3.3879999999999999</v>
      </c>
      <c r="J166" s="32">
        <v>70</v>
      </c>
      <c r="K166" s="32" t="s">
        <v>79</v>
      </c>
      <c r="L166" s="32" t="s">
        <v>88</v>
      </c>
      <c r="M166" s="33" t="s">
        <v>68</v>
      </c>
      <c r="N166" s="33"/>
      <c r="O166" s="32">
        <v>365</v>
      </c>
      <c r="P166" s="385" t="str">
        <f>HYPERLINK("https://abi.ru/products/Замороженные/Вязанка/Сливушка/Наггетсы/P004155/","Наггетсы с куриным филе (из печи) Наггетсы Фикс.вес 0,25 Лоток Вязанка")</f>
        <v>Наггетсы с куриным филе (из печи) Наггетсы Фикс.вес 0,25 Лоток Вязанка</v>
      </c>
      <c r="Q166" s="334"/>
      <c r="R166" s="334"/>
      <c r="S166" s="334"/>
      <c r="T166" s="335"/>
      <c r="U166" s="34"/>
      <c r="V166" s="34"/>
      <c r="W166" s="35" t="s">
        <v>69</v>
      </c>
      <c r="X166" s="320">
        <v>14</v>
      </c>
      <c r="Y166" s="321">
        <f>IFERROR(IF(X166="","",X166),"")</f>
        <v>14</v>
      </c>
      <c r="Z166" s="36">
        <f>IFERROR(IF(X166="","",X166*0.01788),"")</f>
        <v>0.25031999999999999</v>
      </c>
      <c r="AA166" s="56"/>
      <c r="AB166" s="57"/>
      <c r="AC166" s="196" t="s">
        <v>279</v>
      </c>
      <c r="AG166" s="67"/>
      <c r="AJ166" s="71" t="s">
        <v>89</v>
      </c>
      <c r="AK166" s="71">
        <v>70</v>
      </c>
      <c r="BB166" s="197" t="s">
        <v>83</v>
      </c>
      <c r="BM166" s="67">
        <f>IFERROR(X166*I166,"0")</f>
        <v>47.432000000000002</v>
      </c>
      <c r="BN166" s="67">
        <f>IFERROR(Y166*I166,"0")</f>
        <v>47.432000000000002</v>
      </c>
      <c r="BO166" s="67">
        <f>IFERROR(X166/J166,"0")</f>
        <v>0.2</v>
      </c>
      <c r="BP166" s="67">
        <f>IFERROR(Y166/J166,"0")</f>
        <v>0.2</v>
      </c>
    </row>
    <row r="167" spans="1:68" ht="27" customHeight="1" x14ac:dyDescent="0.25">
      <c r="A167" s="54" t="s">
        <v>280</v>
      </c>
      <c r="B167" s="54" t="s">
        <v>281</v>
      </c>
      <c r="C167" s="31">
        <v>4301132079</v>
      </c>
      <c r="D167" s="324">
        <v>4607111038487</v>
      </c>
      <c r="E167" s="325"/>
      <c r="F167" s="319">
        <v>0.25</v>
      </c>
      <c r="G167" s="32">
        <v>12</v>
      </c>
      <c r="H167" s="319">
        <v>3</v>
      </c>
      <c r="I167" s="319">
        <v>3.7360000000000002</v>
      </c>
      <c r="J167" s="32">
        <v>70</v>
      </c>
      <c r="K167" s="32" t="s">
        <v>79</v>
      </c>
      <c r="L167" s="32" t="s">
        <v>80</v>
      </c>
      <c r="M167" s="33" t="s">
        <v>68</v>
      </c>
      <c r="N167" s="33"/>
      <c r="O167" s="32">
        <v>180</v>
      </c>
      <c r="P167" s="416" t="str">
        <f>HYPERLINK("https://abi.ru/products/Замороженные/Вязанка/Сливушка/Наггетсы/P003470/","Наггетсы «с куриным филе и сыром» ф/в 0,25 ТМ «Вязанка»")</f>
        <v>Наггетсы «с куриным филе и сыром» ф/в 0,25 ТМ «Вязанка»</v>
      </c>
      <c r="Q167" s="334"/>
      <c r="R167" s="334"/>
      <c r="S167" s="334"/>
      <c r="T167" s="335"/>
      <c r="U167" s="34"/>
      <c r="V167" s="34"/>
      <c r="W167" s="35" t="s">
        <v>69</v>
      </c>
      <c r="X167" s="320">
        <v>14</v>
      </c>
      <c r="Y167" s="321">
        <f>IFERROR(IF(X167="","",X167),"")</f>
        <v>14</v>
      </c>
      <c r="Z167" s="36">
        <f>IFERROR(IF(X167="","",X167*0.01788),"")</f>
        <v>0.25031999999999999</v>
      </c>
      <c r="AA167" s="56"/>
      <c r="AB167" s="57"/>
      <c r="AC167" s="198" t="s">
        <v>282</v>
      </c>
      <c r="AG167" s="67"/>
      <c r="AJ167" s="71" t="s">
        <v>82</v>
      </c>
      <c r="AK167" s="71">
        <v>14</v>
      </c>
      <c r="BB167" s="199" t="s">
        <v>83</v>
      </c>
      <c r="BM167" s="67">
        <f>IFERROR(X167*I167,"0")</f>
        <v>52.304000000000002</v>
      </c>
      <c r="BN167" s="67">
        <f>IFERROR(Y167*I167,"0")</f>
        <v>52.304000000000002</v>
      </c>
      <c r="BO167" s="67">
        <f>IFERROR(X167/J167,"0")</f>
        <v>0.2</v>
      </c>
      <c r="BP167" s="67">
        <f>IFERROR(Y167/J167,"0")</f>
        <v>0.2</v>
      </c>
    </row>
    <row r="168" spans="1:68" x14ac:dyDescent="0.2">
      <c r="A168" s="336"/>
      <c r="B168" s="330"/>
      <c r="C168" s="330"/>
      <c r="D168" s="330"/>
      <c r="E168" s="330"/>
      <c r="F168" s="330"/>
      <c r="G168" s="330"/>
      <c r="H168" s="330"/>
      <c r="I168" s="330"/>
      <c r="J168" s="330"/>
      <c r="K168" s="330"/>
      <c r="L168" s="330"/>
      <c r="M168" s="330"/>
      <c r="N168" s="330"/>
      <c r="O168" s="337"/>
      <c r="P168" s="326" t="s">
        <v>72</v>
      </c>
      <c r="Q168" s="327"/>
      <c r="R168" s="327"/>
      <c r="S168" s="327"/>
      <c r="T168" s="327"/>
      <c r="U168" s="327"/>
      <c r="V168" s="328"/>
      <c r="W168" s="37" t="s">
        <v>69</v>
      </c>
      <c r="X168" s="322">
        <f>IFERROR(SUM(X165:X167),"0")</f>
        <v>126</v>
      </c>
      <c r="Y168" s="322">
        <f>IFERROR(SUM(Y165:Y167),"0")</f>
        <v>126</v>
      </c>
      <c r="Z168" s="322">
        <f>IFERROR(IF(Z165="",0,Z165),"0")+IFERROR(IF(Z166="",0,Z166),"0")+IFERROR(IF(Z167="",0,Z167),"0")</f>
        <v>2.2528799999999998</v>
      </c>
      <c r="AA168" s="323"/>
      <c r="AB168" s="323"/>
      <c r="AC168" s="323"/>
    </row>
    <row r="169" spans="1:68" x14ac:dyDescent="0.2">
      <c r="A169" s="330"/>
      <c r="B169" s="330"/>
      <c r="C169" s="330"/>
      <c r="D169" s="330"/>
      <c r="E169" s="330"/>
      <c r="F169" s="330"/>
      <c r="G169" s="330"/>
      <c r="H169" s="330"/>
      <c r="I169" s="330"/>
      <c r="J169" s="330"/>
      <c r="K169" s="330"/>
      <c r="L169" s="330"/>
      <c r="M169" s="330"/>
      <c r="N169" s="330"/>
      <c r="O169" s="337"/>
      <c r="P169" s="326" t="s">
        <v>72</v>
      </c>
      <c r="Q169" s="327"/>
      <c r="R169" s="327"/>
      <c r="S169" s="327"/>
      <c r="T169" s="327"/>
      <c r="U169" s="327"/>
      <c r="V169" s="328"/>
      <c r="W169" s="37" t="s">
        <v>73</v>
      </c>
      <c r="X169" s="322">
        <f>IFERROR(SUMPRODUCT(X165:X167*H165:H167),"0")</f>
        <v>378</v>
      </c>
      <c r="Y169" s="322">
        <f>IFERROR(SUMPRODUCT(Y165:Y167*H165:H167),"0")</f>
        <v>378</v>
      </c>
      <c r="Z169" s="37"/>
      <c r="AA169" s="323"/>
      <c r="AB169" s="323"/>
      <c r="AC169" s="323"/>
    </row>
    <row r="170" spans="1:68" ht="14.25" customHeight="1" x14ac:dyDescent="0.25">
      <c r="A170" s="354" t="s">
        <v>283</v>
      </c>
      <c r="B170" s="330"/>
      <c r="C170" s="330"/>
      <c r="D170" s="330"/>
      <c r="E170" s="330"/>
      <c r="F170" s="330"/>
      <c r="G170" s="330"/>
      <c r="H170" s="330"/>
      <c r="I170" s="330"/>
      <c r="J170" s="330"/>
      <c r="K170" s="330"/>
      <c r="L170" s="330"/>
      <c r="M170" s="330"/>
      <c r="N170" s="330"/>
      <c r="O170" s="330"/>
      <c r="P170" s="330"/>
      <c r="Q170" s="330"/>
      <c r="R170" s="330"/>
      <c r="S170" s="330"/>
      <c r="T170" s="330"/>
      <c r="U170" s="330"/>
      <c r="V170" s="330"/>
      <c r="W170" s="330"/>
      <c r="X170" s="330"/>
      <c r="Y170" s="330"/>
      <c r="Z170" s="330"/>
      <c r="AA170" s="314"/>
      <c r="AB170" s="314"/>
      <c r="AC170" s="314"/>
    </row>
    <row r="171" spans="1:68" ht="27" customHeight="1" x14ac:dyDescent="0.25">
      <c r="A171" s="54" t="s">
        <v>284</v>
      </c>
      <c r="B171" s="54" t="s">
        <v>285</v>
      </c>
      <c r="C171" s="31">
        <v>4301051855</v>
      </c>
      <c r="D171" s="324">
        <v>4680115885875</v>
      </c>
      <c r="E171" s="325"/>
      <c r="F171" s="319">
        <v>1</v>
      </c>
      <c r="G171" s="32">
        <v>9</v>
      </c>
      <c r="H171" s="319">
        <v>9</v>
      </c>
      <c r="I171" s="319">
        <v>9.48</v>
      </c>
      <c r="J171" s="32">
        <v>56</v>
      </c>
      <c r="K171" s="32" t="s">
        <v>286</v>
      </c>
      <c r="L171" s="32" t="s">
        <v>67</v>
      </c>
      <c r="M171" s="33" t="s">
        <v>287</v>
      </c>
      <c r="N171" s="33"/>
      <c r="O171" s="32">
        <v>365</v>
      </c>
      <c r="P171" s="380" t="s">
        <v>288</v>
      </c>
      <c r="Q171" s="334"/>
      <c r="R171" s="334"/>
      <c r="S171" s="334"/>
      <c r="T171" s="335"/>
      <c r="U171" s="34"/>
      <c r="V171" s="34"/>
      <c r="W171" s="35" t="s">
        <v>69</v>
      </c>
      <c r="X171" s="320">
        <v>0</v>
      </c>
      <c r="Y171" s="321">
        <f>IFERROR(IF(X171="","",X171),"")</f>
        <v>0</v>
      </c>
      <c r="Z171" s="36">
        <f>IFERROR(IF(X171="","",X171*0.02175),"")</f>
        <v>0</v>
      </c>
      <c r="AA171" s="56"/>
      <c r="AB171" s="57"/>
      <c r="AC171" s="200" t="s">
        <v>289</v>
      </c>
      <c r="AG171" s="67"/>
      <c r="AJ171" s="71" t="s">
        <v>71</v>
      </c>
      <c r="AK171" s="71">
        <v>1</v>
      </c>
      <c r="BB171" s="201" t="s">
        <v>290</v>
      </c>
      <c r="BM171" s="67">
        <f>IFERROR(X171*I171,"0")</f>
        <v>0</v>
      </c>
      <c r="BN171" s="67">
        <f>IFERROR(Y171*I171,"0")</f>
        <v>0</v>
      </c>
      <c r="BO171" s="67">
        <f>IFERROR(X171/J171,"0")</f>
        <v>0</v>
      </c>
      <c r="BP171" s="67">
        <f>IFERROR(Y171/J171,"0")</f>
        <v>0</v>
      </c>
    </row>
    <row r="172" spans="1:68" ht="27" customHeight="1" x14ac:dyDescent="0.25">
      <c r="A172" s="54" t="s">
        <v>291</v>
      </c>
      <c r="B172" s="54" t="s">
        <v>292</v>
      </c>
      <c r="C172" s="31">
        <v>4301051319</v>
      </c>
      <c r="D172" s="324">
        <v>4680115881204</v>
      </c>
      <c r="E172" s="325"/>
      <c r="F172" s="319">
        <v>0.33</v>
      </c>
      <c r="G172" s="32">
        <v>6</v>
      </c>
      <c r="H172" s="319">
        <v>1.98</v>
      </c>
      <c r="I172" s="319">
        <v>2.246</v>
      </c>
      <c r="J172" s="32">
        <v>156</v>
      </c>
      <c r="K172" s="32" t="s">
        <v>66</v>
      </c>
      <c r="L172" s="32" t="s">
        <v>67</v>
      </c>
      <c r="M172" s="33" t="s">
        <v>287</v>
      </c>
      <c r="N172" s="33"/>
      <c r="O172" s="32">
        <v>365</v>
      </c>
      <c r="P172" s="342" t="str">
        <f>HYPERLINK("https://abi.ru/products/Замороженные/Вязанка/Сливушка/Сосиски замороженные/P003053/","Сосиски «Сливушки #нежнушки» замороженные Фикс.вес 0,33 п/а ТМ «Вязанка»")</f>
        <v>Сосиски «Сливушки #нежнушки» замороженные Фикс.вес 0,33 п/а ТМ «Вязанка»</v>
      </c>
      <c r="Q172" s="334"/>
      <c r="R172" s="334"/>
      <c r="S172" s="334"/>
      <c r="T172" s="335"/>
      <c r="U172" s="34"/>
      <c r="V172" s="34"/>
      <c r="W172" s="35" t="s">
        <v>69</v>
      </c>
      <c r="X172" s="320">
        <v>0</v>
      </c>
      <c r="Y172" s="321">
        <f>IFERROR(IF(X172="","",X172),"")</f>
        <v>0</v>
      </c>
      <c r="Z172" s="36">
        <f>IFERROR(IF(X172="","",X172*0.00753),"")</f>
        <v>0</v>
      </c>
      <c r="AA172" s="56"/>
      <c r="AB172" s="57"/>
      <c r="AC172" s="202" t="s">
        <v>293</v>
      </c>
      <c r="AG172" s="67"/>
      <c r="AJ172" s="71" t="s">
        <v>71</v>
      </c>
      <c r="AK172" s="71">
        <v>1</v>
      </c>
      <c r="BB172" s="203" t="s">
        <v>290</v>
      </c>
      <c r="BM172" s="67">
        <f>IFERROR(X172*I172,"0")</f>
        <v>0</v>
      </c>
      <c r="BN172" s="67">
        <f>IFERROR(Y172*I172,"0")</f>
        <v>0</v>
      </c>
      <c r="BO172" s="67">
        <f>IFERROR(X172/J172,"0")</f>
        <v>0</v>
      </c>
      <c r="BP172" s="67">
        <f>IFERROR(Y172/J172,"0")</f>
        <v>0</v>
      </c>
    </row>
    <row r="173" spans="1:68" x14ac:dyDescent="0.2">
      <c r="A173" s="336"/>
      <c r="B173" s="330"/>
      <c r="C173" s="330"/>
      <c r="D173" s="330"/>
      <c r="E173" s="330"/>
      <c r="F173" s="330"/>
      <c r="G173" s="330"/>
      <c r="H173" s="330"/>
      <c r="I173" s="330"/>
      <c r="J173" s="330"/>
      <c r="K173" s="330"/>
      <c r="L173" s="330"/>
      <c r="M173" s="330"/>
      <c r="N173" s="330"/>
      <c r="O173" s="337"/>
      <c r="P173" s="326" t="s">
        <v>72</v>
      </c>
      <c r="Q173" s="327"/>
      <c r="R173" s="327"/>
      <c r="S173" s="327"/>
      <c r="T173" s="327"/>
      <c r="U173" s="327"/>
      <c r="V173" s="328"/>
      <c r="W173" s="37" t="s">
        <v>69</v>
      </c>
      <c r="X173" s="322">
        <f>IFERROR(SUM(X171:X172),"0")</f>
        <v>0</v>
      </c>
      <c r="Y173" s="322">
        <f>IFERROR(SUM(Y171:Y172),"0")</f>
        <v>0</v>
      </c>
      <c r="Z173" s="322">
        <f>IFERROR(IF(Z171="",0,Z171),"0")+IFERROR(IF(Z172="",0,Z172),"0")</f>
        <v>0</v>
      </c>
      <c r="AA173" s="323"/>
      <c r="AB173" s="323"/>
      <c r="AC173" s="323"/>
    </row>
    <row r="174" spans="1:68" x14ac:dyDescent="0.2">
      <c r="A174" s="330"/>
      <c r="B174" s="330"/>
      <c r="C174" s="330"/>
      <c r="D174" s="330"/>
      <c r="E174" s="330"/>
      <c r="F174" s="330"/>
      <c r="G174" s="330"/>
      <c r="H174" s="330"/>
      <c r="I174" s="330"/>
      <c r="J174" s="330"/>
      <c r="K174" s="330"/>
      <c r="L174" s="330"/>
      <c r="M174" s="330"/>
      <c r="N174" s="330"/>
      <c r="O174" s="337"/>
      <c r="P174" s="326" t="s">
        <v>72</v>
      </c>
      <c r="Q174" s="327"/>
      <c r="R174" s="327"/>
      <c r="S174" s="327"/>
      <c r="T174" s="327"/>
      <c r="U174" s="327"/>
      <c r="V174" s="328"/>
      <c r="W174" s="37" t="s">
        <v>73</v>
      </c>
      <c r="X174" s="322">
        <f>IFERROR(SUMPRODUCT(X171:X172*H171:H172),"0")</f>
        <v>0</v>
      </c>
      <c r="Y174" s="322">
        <f>IFERROR(SUMPRODUCT(Y171:Y172*H171:H172),"0")</f>
        <v>0</v>
      </c>
      <c r="Z174" s="37"/>
      <c r="AA174" s="323"/>
      <c r="AB174" s="323"/>
      <c r="AC174" s="323"/>
    </row>
    <row r="175" spans="1:68" ht="27.75" customHeight="1" x14ac:dyDescent="0.2">
      <c r="A175" s="390" t="s">
        <v>294</v>
      </c>
      <c r="B175" s="391"/>
      <c r="C175" s="391"/>
      <c r="D175" s="391"/>
      <c r="E175" s="391"/>
      <c r="F175" s="391"/>
      <c r="G175" s="391"/>
      <c r="H175" s="391"/>
      <c r="I175" s="391"/>
      <c r="J175" s="391"/>
      <c r="K175" s="391"/>
      <c r="L175" s="391"/>
      <c r="M175" s="391"/>
      <c r="N175" s="391"/>
      <c r="O175" s="391"/>
      <c r="P175" s="391"/>
      <c r="Q175" s="391"/>
      <c r="R175" s="391"/>
      <c r="S175" s="391"/>
      <c r="T175" s="391"/>
      <c r="U175" s="391"/>
      <c r="V175" s="391"/>
      <c r="W175" s="391"/>
      <c r="X175" s="391"/>
      <c r="Y175" s="391"/>
      <c r="Z175" s="391"/>
      <c r="AA175" s="48"/>
      <c r="AB175" s="48"/>
      <c r="AC175" s="48"/>
    </row>
    <row r="176" spans="1:68" ht="16.5" customHeight="1" x14ac:dyDescent="0.25">
      <c r="A176" s="329" t="s">
        <v>295</v>
      </c>
      <c r="B176" s="330"/>
      <c r="C176" s="330"/>
      <c r="D176" s="330"/>
      <c r="E176" s="330"/>
      <c r="F176" s="330"/>
      <c r="G176" s="330"/>
      <c r="H176" s="330"/>
      <c r="I176" s="330"/>
      <c r="J176" s="330"/>
      <c r="K176" s="330"/>
      <c r="L176" s="330"/>
      <c r="M176" s="330"/>
      <c r="N176" s="330"/>
      <c r="O176" s="330"/>
      <c r="P176" s="330"/>
      <c r="Q176" s="330"/>
      <c r="R176" s="330"/>
      <c r="S176" s="330"/>
      <c r="T176" s="330"/>
      <c r="U176" s="330"/>
      <c r="V176" s="330"/>
      <c r="W176" s="330"/>
      <c r="X176" s="330"/>
      <c r="Y176" s="330"/>
      <c r="Z176" s="330"/>
      <c r="AA176" s="315"/>
      <c r="AB176" s="315"/>
      <c r="AC176" s="315"/>
    </row>
    <row r="177" spans="1:68" ht="14.25" customHeight="1" x14ac:dyDescent="0.25">
      <c r="A177" s="354" t="s">
        <v>141</v>
      </c>
      <c r="B177" s="330"/>
      <c r="C177" s="330"/>
      <c r="D177" s="330"/>
      <c r="E177" s="330"/>
      <c r="F177" s="330"/>
      <c r="G177" s="330"/>
      <c r="H177" s="330"/>
      <c r="I177" s="330"/>
      <c r="J177" s="330"/>
      <c r="K177" s="330"/>
      <c r="L177" s="330"/>
      <c r="M177" s="330"/>
      <c r="N177" s="330"/>
      <c r="O177" s="330"/>
      <c r="P177" s="330"/>
      <c r="Q177" s="330"/>
      <c r="R177" s="330"/>
      <c r="S177" s="330"/>
      <c r="T177" s="330"/>
      <c r="U177" s="330"/>
      <c r="V177" s="330"/>
      <c r="W177" s="330"/>
      <c r="X177" s="330"/>
      <c r="Y177" s="330"/>
      <c r="Z177" s="330"/>
      <c r="AA177" s="314"/>
      <c r="AB177" s="314"/>
      <c r="AC177" s="314"/>
    </row>
    <row r="178" spans="1:68" ht="27" customHeight="1" x14ac:dyDescent="0.25">
      <c r="A178" s="54" t="s">
        <v>296</v>
      </c>
      <c r="B178" s="54" t="s">
        <v>297</v>
      </c>
      <c r="C178" s="31">
        <v>4301135707</v>
      </c>
      <c r="D178" s="324">
        <v>4620207490198</v>
      </c>
      <c r="E178" s="325"/>
      <c r="F178" s="319">
        <v>0.2</v>
      </c>
      <c r="G178" s="32">
        <v>12</v>
      </c>
      <c r="H178" s="319">
        <v>2.4</v>
      </c>
      <c r="I178" s="319">
        <v>3.1036000000000001</v>
      </c>
      <c r="J178" s="32">
        <v>70</v>
      </c>
      <c r="K178" s="32" t="s">
        <v>79</v>
      </c>
      <c r="L178" s="32" t="s">
        <v>67</v>
      </c>
      <c r="M178" s="33" t="s">
        <v>68</v>
      </c>
      <c r="N178" s="33"/>
      <c r="O178" s="32">
        <v>180</v>
      </c>
      <c r="P178" s="494" t="s">
        <v>298</v>
      </c>
      <c r="Q178" s="334"/>
      <c r="R178" s="334"/>
      <c r="S178" s="334"/>
      <c r="T178" s="335"/>
      <c r="U178" s="34"/>
      <c r="V178" s="34"/>
      <c r="W178" s="35" t="s">
        <v>69</v>
      </c>
      <c r="X178" s="320">
        <v>0</v>
      </c>
      <c r="Y178" s="321">
        <f>IFERROR(IF(X178="","",X178),"")</f>
        <v>0</v>
      </c>
      <c r="Z178" s="36">
        <f>IFERROR(IF(X178="","",X178*0.01788),"")</f>
        <v>0</v>
      </c>
      <c r="AA178" s="56"/>
      <c r="AB178" s="57" t="s">
        <v>299</v>
      </c>
      <c r="AC178" s="204" t="s">
        <v>300</v>
      </c>
      <c r="AG178" s="67"/>
      <c r="AJ178" s="71" t="s">
        <v>71</v>
      </c>
      <c r="AK178" s="71">
        <v>1</v>
      </c>
      <c r="BB178" s="205" t="s">
        <v>83</v>
      </c>
      <c r="BM178" s="67">
        <f>IFERROR(X178*I178,"0")</f>
        <v>0</v>
      </c>
      <c r="BN178" s="67">
        <f>IFERROR(Y178*I178,"0")</f>
        <v>0</v>
      </c>
      <c r="BO178" s="67">
        <f>IFERROR(X178/J178,"0")</f>
        <v>0</v>
      </c>
      <c r="BP178" s="67">
        <f>IFERROR(Y178/J178,"0")</f>
        <v>0</v>
      </c>
    </row>
    <row r="179" spans="1:68" ht="27" customHeight="1" x14ac:dyDescent="0.25">
      <c r="A179" s="54" t="s">
        <v>301</v>
      </c>
      <c r="B179" s="54" t="s">
        <v>302</v>
      </c>
      <c r="C179" s="31">
        <v>4301135697</v>
      </c>
      <c r="D179" s="324">
        <v>4620207490259</v>
      </c>
      <c r="E179" s="325"/>
      <c r="F179" s="319">
        <v>0.2</v>
      </c>
      <c r="G179" s="32">
        <v>12</v>
      </c>
      <c r="H179" s="319">
        <v>2.4</v>
      </c>
      <c r="I179" s="319">
        <v>3.1036000000000001</v>
      </c>
      <c r="J179" s="32">
        <v>70</v>
      </c>
      <c r="K179" s="32" t="s">
        <v>79</v>
      </c>
      <c r="L179" s="32" t="s">
        <v>67</v>
      </c>
      <c r="M179" s="33" t="s">
        <v>68</v>
      </c>
      <c r="N179" s="33"/>
      <c r="O179" s="32">
        <v>180</v>
      </c>
      <c r="P179" s="457" t="s">
        <v>303</v>
      </c>
      <c r="Q179" s="334"/>
      <c r="R179" s="334"/>
      <c r="S179" s="334"/>
      <c r="T179" s="335"/>
      <c r="U179" s="34"/>
      <c r="V179" s="34"/>
      <c r="W179" s="35" t="s">
        <v>69</v>
      </c>
      <c r="X179" s="320">
        <v>0</v>
      </c>
      <c r="Y179" s="321">
        <f>IFERROR(IF(X179="","",X179),"")</f>
        <v>0</v>
      </c>
      <c r="Z179" s="36">
        <f>IFERROR(IF(X179="","",X179*0.01788),"")</f>
        <v>0</v>
      </c>
      <c r="AA179" s="56"/>
      <c r="AB179" s="57" t="s">
        <v>299</v>
      </c>
      <c r="AC179" s="206" t="s">
        <v>300</v>
      </c>
      <c r="AG179" s="67"/>
      <c r="AJ179" s="71" t="s">
        <v>71</v>
      </c>
      <c r="AK179" s="71">
        <v>1</v>
      </c>
      <c r="BB179" s="207" t="s">
        <v>83</v>
      </c>
      <c r="BM179" s="67">
        <f>IFERROR(X179*I179,"0")</f>
        <v>0</v>
      </c>
      <c r="BN179" s="67">
        <f>IFERROR(Y179*I179,"0")</f>
        <v>0</v>
      </c>
      <c r="BO179" s="67">
        <f>IFERROR(X179/J179,"0")</f>
        <v>0</v>
      </c>
      <c r="BP179" s="67">
        <f>IFERROR(Y179/J179,"0")</f>
        <v>0</v>
      </c>
    </row>
    <row r="180" spans="1:68" ht="27" customHeight="1" x14ac:dyDescent="0.25">
      <c r="A180" s="54" t="s">
        <v>304</v>
      </c>
      <c r="B180" s="54" t="s">
        <v>305</v>
      </c>
      <c r="C180" s="31">
        <v>4301135719</v>
      </c>
      <c r="D180" s="324">
        <v>4620207490235</v>
      </c>
      <c r="E180" s="325"/>
      <c r="F180" s="319">
        <v>0.2</v>
      </c>
      <c r="G180" s="32">
        <v>12</v>
      </c>
      <c r="H180" s="319">
        <v>2.4</v>
      </c>
      <c r="I180" s="319">
        <v>3.1036000000000001</v>
      </c>
      <c r="J180" s="32">
        <v>70</v>
      </c>
      <c r="K180" s="32" t="s">
        <v>79</v>
      </c>
      <c r="L180" s="32" t="s">
        <v>67</v>
      </c>
      <c r="M180" s="33" t="s">
        <v>68</v>
      </c>
      <c r="N180" s="33"/>
      <c r="O180" s="32">
        <v>180</v>
      </c>
      <c r="P180" s="415" t="s">
        <v>306</v>
      </c>
      <c r="Q180" s="334"/>
      <c r="R180" s="334"/>
      <c r="S180" s="334"/>
      <c r="T180" s="335"/>
      <c r="U180" s="34"/>
      <c r="V180" s="34"/>
      <c r="W180" s="35" t="s">
        <v>69</v>
      </c>
      <c r="X180" s="320">
        <v>0</v>
      </c>
      <c r="Y180" s="321">
        <f>IFERROR(IF(X180="","",X180),"")</f>
        <v>0</v>
      </c>
      <c r="Z180" s="36">
        <f>IFERROR(IF(X180="","",X180*0.01788),"")</f>
        <v>0</v>
      </c>
      <c r="AA180" s="56"/>
      <c r="AB180" s="57"/>
      <c r="AC180" s="208" t="s">
        <v>307</v>
      </c>
      <c r="AG180" s="67"/>
      <c r="AJ180" s="71" t="s">
        <v>71</v>
      </c>
      <c r="AK180" s="71">
        <v>1</v>
      </c>
      <c r="BB180" s="209" t="s">
        <v>83</v>
      </c>
      <c r="BM180" s="67">
        <f>IFERROR(X180*I180,"0")</f>
        <v>0</v>
      </c>
      <c r="BN180" s="67">
        <f>IFERROR(Y180*I180,"0")</f>
        <v>0</v>
      </c>
      <c r="BO180" s="67">
        <f>IFERROR(X180/J180,"0")</f>
        <v>0</v>
      </c>
      <c r="BP180" s="67">
        <f>IFERROR(Y180/J180,"0")</f>
        <v>0</v>
      </c>
    </row>
    <row r="181" spans="1:68" x14ac:dyDescent="0.2">
      <c r="A181" s="336"/>
      <c r="B181" s="330"/>
      <c r="C181" s="330"/>
      <c r="D181" s="330"/>
      <c r="E181" s="330"/>
      <c r="F181" s="330"/>
      <c r="G181" s="330"/>
      <c r="H181" s="330"/>
      <c r="I181" s="330"/>
      <c r="J181" s="330"/>
      <c r="K181" s="330"/>
      <c r="L181" s="330"/>
      <c r="M181" s="330"/>
      <c r="N181" s="330"/>
      <c r="O181" s="337"/>
      <c r="P181" s="326" t="s">
        <v>72</v>
      </c>
      <c r="Q181" s="327"/>
      <c r="R181" s="327"/>
      <c r="S181" s="327"/>
      <c r="T181" s="327"/>
      <c r="U181" s="327"/>
      <c r="V181" s="328"/>
      <c r="W181" s="37" t="s">
        <v>69</v>
      </c>
      <c r="X181" s="322">
        <f>IFERROR(SUM(X178:X180),"0")</f>
        <v>0</v>
      </c>
      <c r="Y181" s="322">
        <f>IFERROR(SUM(Y178:Y180),"0")</f>
        <v>0</v>
      </c>
      <c r="Z181" s="322">
        <f>IFERROR(IF(Z178="",0,Z178),"0")+IFERROR(IF(Z179="",0,Z179),"0")+IFERROR(IF(Z180="",0,Z180),"0")</f>
        <v>0</v>
      </c>
      <c r="AA181" s="323"/>
      <c r="AB181" s="323"/>
      <c r="AC181" s="323"/>
    </row>
    <row r="182" spans="1:68" x14ac:dyDescent="0.2">
      <c r="A182" s="330"/>
      <c r="B182" s="330"/>
      <c r="C182" s="330"/>
      <c r="D182" s="330"/>
      <c r="E182" s="330"/>
      <c r="F182" s="330"/>
      <c r="G182" s="330"/>
      <c r="H182" s="330"/>
      <c r="I182" s="330"/>
      <c r="J182" s="330"/>
      <c r="K182" s="330"/>
      <c r="L182" s="330"/>
      <c r="M182" s="330"/>
      <c r="N182" s="330"/>
      <c r="O182" s="337"/>
      <c r="P182" s="326" t="s">
        <v>72</v>
      </c>
      <c r="Q182" s="327"/>
      <c r="R182" s="327"/>
      <c r="S182" s="327"/>
      <c r="T182" s="327"/>
      <c r="U182" s="327"/>
      <c r="V182" s="328"/>
      <c r="W182" s="37" t="s">
        <v>73</v>
      </c>
      <c r="X182" s="322">
        <f>IFERROR(SUMPRODUCT(X178:X180*H178:H180),"0")</f>
        <v>0</v>
      </c>
      <c r="Y182" s="322">
        <f>IFERROR(SUMPRODUCT(Y178:Y180*H178:H180),"0")</f>
        <v>0</v>
      </c>
      <c r="Z182" s="37"/>
      <c r="AA182" s="323"/>
      <c r="AB182" s="323"/>
      <c r="AC182" s="323"/>
    </row>
    <row r="183" spans="1:68" ht="16.5" customHeight="1" x14ac:dyDescent="0.25">
      <c r="A183" s="329" t="s">
        <v>308</v>
      </c>
      <c r="B183" s="330"/>
      <c r="C183" s="330"/>
      <c r="D183" s="330"/>
      <c r="E183" s="330"/>
      <c r="F183" s="330"/>
      <c r="G183" s="330"/>
      <c r="H183" s="330"/>
      <c r="I183" s="330"/>
      <c r="J183" s="330"/>
      <c r="K183" s="330"/>
      <c r="L183" s="330"/>
      <c r="M183" s="330"/>
      <c r="N183" s="330"/>
      <c r="O183" s="330"/>
      <c r="P183" s="330"/>
      <c r="Q183" s="330"/>
      <c r="R183" s="330"/>
      <c r="S183" s="330"/>
      <c r="T183" s="330"/>
      <c r="U183" s="330"/>
      <c r="V183" s="330"/>
      <c r="W183" s="330"/>
      <c r="X183" s="330"/>
      <c r="Y183" s="330"/>
      <c r="Z183" s="330"/>
      <c r="AA183" s="315"/>
      <c r="AB183" s="315"/>
      <c r="AC183" s="315"/>
    </row>
    <row r="184" spans="1:68" ht="14.25" customHeight="1" x14ac:dyDescent="0.25">
      <c r="A184" s="354" t="s">
        <v>63</v>
      </c>
      <c r="B184" s="330"/>
      <c r="C184" s="330"/>
      <c r="D184" s="330"/>
      <c r="E184" s="330"/>
      <c r="F184" s="330"/>
      <c r="G184" s="330"/>
      <c r="H184" s="330"/>
      <c r="I184" s="330"/>
      <c r="J184" s="330"/>
      <c r="K184" s="330"/>
      <c r="L184" s="330"/>
      <c r="M184" s="330"/>
      <c r="N184" s="330"/>
      <c r="O184" s="330"/>
      <c r="P184" s="330"/>
      <c r="Q184" s="330"/>
      <c r="R184" s="330"/>
      <c r="S184" s="330"/>
      <c r="T184" s="330"/>
      <c r="U184" s="330"/>
      <c r="V184" s="330"/>
      <c r="W184" s="330"/>
      <c r="X184" s="330"/>
      <c r="Y184" s="330"/>
      <c r="Z184" s="330"/>
      <c r="AA184" s="314"/>
      <c r="AB184" s="314"/>
      <c r="AC184" s="314"/>
    </row>
    <row r="185" spans="1:68" ht="16.5" customHeight="1" x14ac:dyDescent="0.25">
      <c r="A185" s="54" t="s">
        <v>309</v>
      </c>
      <c r="B185" s="54" t="s">
        <v>310</v>
      </c>
      <c r="C185" s="31">
        <v>4301070948</v>
      </c>
      <c r="D185" s="324">
        <v>4607111037022</v>
      </c>
      <c r="E185" s="325"/>
      <c r="F185" s="319">
        <v>0.7</v>
      </c>
      <c r="G185" s="32">
        <v>8</v>
      </c>
      <c r="H185" s="319">
        <v>5.6</v>
      </c>
      <c r="I185" s="319">
        <v>5.87</v>
      </c>
      <c r="J185" s="32">
        <v>84</v>
      </c>
      <c r="K185" s="32" t="s">
        <v>66</v>
      </c>
      <c r="L185" s="32" t="s">
        <v>80</v>
      </c>
      <c r="M185" s="33" t="s">
        <v>68</v>
      </c>
      <c r="N185" s="33"/>
      <c r="O185" s="32">
        <v>180</v>
      </c>
      <c r="P185" s="435" t="str">
        <f>HYPERLINK("https://abi.ru/products/Замороженные/Стародворье/Мясорубская/Пельмени/P003355/","Пельмени Мясорубские Стародворье ЗПФ 0,7 Равиоли Стародворье")</f>
        <v>Пельмени Мясорубские Стародворье ЗПФ 0,7 Равиоли Стародворье</v>
      </c>
      <c r="Q185" s="334"/>
      <c r="R185" s="334"/>
      <c r="S185" s="334"/>
      <c r="T185" s="335"/>
      <c r="U185" s="34"/>
      <c r="V185" s="34"/>
      <c r="W185" s="35" t="s">
        <v>69</v>
      </c>
      <c r="X185" s="320">
        <v>0</v>
      </c>
      <c r="Y185" s="321">
        <f>IFERROR(IF(X185="","",X185),"")</f>
        <v>0</v>
      </c>
      <c r="Z185" s="36">
        <f>IFERROR(IF(X185="","",X185*0.0155),"")</f>
        <v>0</v>
      </c>
      <c r="AA185" s="56"/>
      <c r="AB185" s="57"/>
      <c r="AC185" s="210" t="s">
        <v>311</v>
      </c>
      <c r="AG185" s="67"/>
      <c r="AJ185" s="71" t="s">
        <v>82</v>
      </c>
      <c r="AK185" s="71">
        <v>12</v>
      </c>
      <c r="BB185" s="211" t="s">
        <v>1</v>
      </c>
      <c r="BM185" s="67">
        <f>IFERROR(X185*I185,"0")</f>
        <v>0</v>
      </c>
      <c r="BN185" s="67">
        <f>IFERROR(Y185*I185,"0")</f>
        <v>0</v>
      </c>
      <c r="BO185" s="67">
        <f>IFERROR(X185/J185,"0")</f>
        <v>0</v>
      </c>
      <c r="BP185" s="67">
        <f>IFERROR(Y185/J185,"0")</f>
        <v>0</v>
      </c>
    </row>
    <row r="186" spans="1:68" ht="27" customHeight="1" x14ac:dyDescent="0.25">
      <c r="A186" s="54" t="s">
        <v>312</v>
      </c>
      <c r="B186" s="54" t="s">
        <v>313</v>
      </c>
      <c r="C186" s="31">
        <v>4301070990</v>
      </c>
      <c r="D186" s="324">
        <v>4607111038494</v>
      </c>
      <c r="E186" s="325"/>
      <c r="F186" s="319">
        <v>0.7</v>
      </c>
      <c r="G186" s="32">
        <v>8</v>
      </c>
      <c r="H186" s="319">
        <v>5.6</v>
      </c>
      <c r="I186" s="319">
        <v>5.87</v>
      </c>
      <c r="J186" s="32">
        <v>84</v>
      </c>
      <c r="K186" s="32" t="s">
        <v>66</v>
      </c>
      <c r="L186" s="32" t="s">
        <v>67</v>
      </c>
      <c r="M186" s="33" t="s">
        <v>68</v>
      </c>
      <c r="N186" s="33"/>
      <c r="O186" s="32">
        <v>180</v>
      </c>
      <c r="P186" s="512" t="str">
        <f>HYPERLINK("https://abi.ru/products/Замороженные/Стародворье/Мясорубская/Пельмени/P003731/","Пельмени «Мясорубские с рубленой говядиной» 0,7 сфера ТМ «Стародворье»")</f>
        <v>Пельмени «Мясорубские с рубленой говядиной» 0,7 сфера ТМ «Стародворье»</v>
      </c>
      <c r="Q186" s="334"/>
      <c r="R186" s="334"/>
      <c r="S186" s="334"/>
      <c r="T186" s="335"/>
      <c r="U186" s="34"/>
      <c r="V186" s="34"/>
      <c r="W186" s="35" t="s">
        <v>69</v>
      </c>
      <c r="X186" s="320">
        <v>0</v>
      </c>
      <c r="Y186" s="321">
        <f>IFERROR(IF(X186="","",X186),"")</f>
        <v>0</v>
      </c>
      <c r="Z186" s="36">
        <f>IFERROR(IF(X186="","",X186*0.0155),"")</f>
        <v>0</v>
      </c>
      <c r="AA186" s="56"/>
      <c r="AB186" s="57"/>
      <c r="AC186" s="212" t="s">
        <v>314</v>
      </c>
      <c r="AG186" s="67"/>
      <c r="AJ186" s="71" t="s">
        <v>71</v>
      </c>
      <c r="AK186" s="71">
        <v>1</v>
      </c>
      <c r="BB186" s="213" t="s">
        <v>1</v>
      </c>
      <c r="BM186" s="67">
        <f>IFERROR(X186*I186,"0")</f>
        <v>0</v>
      </c>
      <c r="BN186" s="67">
        <f>IFERROR(Y186*I186,"0")</f>
        <v>0</v>
      </c>
      <c r="BO186" s="67">
        <f>IFERROR(X186/J186,"0")</f>
        <v>0</v>
      </c>
      <c r="BP186" s="67">
        <f>IFERROR(Y186/J186,"0")</f>
        <v>0</v>
      </c>
    </row>
    <row r="187" spans="1:68" ht="27" customHeight="1" x14ac:dyDescent="0.25">
      <c r="A187" s="54" t="s">
        <v>315</v>
      </c>
      <c r="B187" s="54" t="s">
        <v>316</v>
      </c>
      <c r="C187" s="31">
        <v>4301070966</v>
      </c>
      <c r="D187" s="324">
        <v>4607111038135</v>
      </c>
      <c r="E187" s="325"/>
      <c r="F187" s="319">
        <v>0.7</v>
      </c>
      <c r="G187" s="32">
        <v>8</v>
      </c>
      <c r="H187" s="319">
        <v>5.6</v>
      </c>
      <c r="I187" s="319">
        <v>5.87</v>
      </c>
      <c r="J187" s="32">
        <v>84</v>
      </c>
      <c r="K187" s="32" t="s">
        <v>66</v>
      </c>
      <c r="L187" s="32" t="s">
        <v>67</v>
      </c>
      <c r="M187" s="33" t="s">
        <v>68</v>
      </c>
      <c r="N187" s="33"/>
      <c r="O187" s="32">
        <v>180</v>
      </c>
      <c r="P187" s="405" t="str">
        <f>HYPERLINK("https://abi.ru/products/Замороженные/Стародворье/Мясорубская/Пельмени/P003648/","Пельмени «Мясорубские с рубленой грудинкой» 0,7 Классическая форма ТМ «Стародворье»")</f>
        <v>Пельмени «Мясорубские с рубленой грудинкой» 0,7 Классическая форма ТМ «Стародворье»</v>
      </c>
      <c r="Q187" s="334"/>
      <c r="R187" s="334"/>
      <c r="S187" s="334"/>
      <c r="T187" s="335"/>
      <c r="U187" s="34"/>
      <c r="V187" s="34"/>
      <c r="W187" s="35" t="s">
        <v>69</v>
      </c>
      <c r="X187" s="320">
        <v>0</v>
      </c>
      <c r="Y187" s="321">
        <f>IFERROR(IF(X187="","",X187),"")</f>
        <v>0</v>
      </c>
      <c r="Z187" s="36">
        <f>IFERROR(IF(X187="","",X187*0.0155),"")</f>
        <v>0</v>
      </c>
      <c r="AA187" s="56"/>
      <c r="AB187" s="57"/>
      <c r="AC187" s="214" t="s">
        <v>317</v>
      </c>
      <c r="AG187" s="67"/>
      <c r="AJ187" s="71" t="s">
        <v>71</v>
      </c>
      <c r="AK187" s="71">
        <v>1</v>
      </c>
      <c r="BB187" s="215" t="s">
        <v>1</v>
      </c>
      <c r="BM187" s="67">
        <f>IFERROR(X187*I187,"0")</f>
        <v>0</v>
      </c>
      <c r="BN187" s="67">
        <f>IFERROR(Y187*I187,"0")</f>
        <v>0</v>
      </c>
      <c r="BO187" s="67">
        <f>IFERROR(X187/J187,"0")</f>
        <v>0</v>
      </c>
      <c r="BP187" s="67">
        <f>IFERROR(Y187/J187,"0")</f>
        <v>0</v>
      </c>
    </row>
    <row r="188" spans="1:68" x14ac:dyDescent="0.2">
      <c r="A188" s="336"/>
      <c r="B188" s="330"/>
      <c r="C188" s="330"/>
      <c r="D188" s="330"/>
      <c r="E188" s="330"/>
      <c r="F188" s="330"/>
      <c r="G188" s="330"/>
      <c r="H188" s="330"/>
      <c r="I188" s="330"/>
      <c r="J188" s="330"/>
      <c r="K188" s="330"/>
      <c r="L188" s="330"/>
      <c r="M188" s="330"/>
      <c r="N188" s="330"/>
      <c r="O188" s="337"/>
      <c r="P188" s="326" t="s">
        <v>72</v>
      </c>
      <c r="Q188" s="327"/>
      <c r="R188" s="327"/>
      <c r="S188" s="327"/>
      <c r="T188" s="327"/>
      <c r="U188" s="327"/>
      <c r="V188" s="328"/>
      <c r="W188" s="37" t="s">
        <v>69</v>
      </c>
      <c r="X188" s="322">
        <f>IFERROR(SUM(X185:X187),"0")</f>
        <v>0</v>
      </c>
      <c r="Y188" s="322">
        <f>IFERROR(SUM(Y185:Y187),"0")</f>
        <v>0</v>
      </c>
      <c r="Z188" s="322">
        <f>IFERROR(IF(Z185="",0,Z185),"0")+IFERROR(IF(Z186="",0,Z186),"0")+IFERROR(IF(Z187="",0,Z187),"0")</f>
        <v>0</v>
      </c>
      <c r="AA188" s="323"/>
      <c r="AB188" s="323"/>
      <c r="AC188" s="323"/>
    </row>
    <row r="189" spans="1:68" x14ac:dyDescent="0.2">
      <c r="A189" s="330"/>
      <c r="B189" s="330"/>
      <c r="C189" s="330"/>
      <c r="D189" s="330"/>
      <c r="E189" s="330"/>
      <c r="F189" s="330"/>
      <c r="G189" s="330"/>
      <c r="H189" s="330"/>
      <c r="I189" s="330"/>
      <c r="J189" s="330"/>
      <c r="K189" s="330"/>
      <c r="L189" s="330"/>
      <c r="M189" s="330"/>
      <c r="N189" s="330"/>
      <c r="O189" s="337"/>
      <c r="P189" s="326" t="s">
        <v>72</v>
      </c>
      <c r="Q189" s="327"/>
      <c r="R189" s="327"/>
      <c r="S189" s="327"/>
      <c r="T189" s="327"/>
      <c r="U189" s="327"/>
      <c r="V189" s="328"/>
      <c r="W189" s="37" t="s">
        <v>73</v>
      </c>
      <c r="X189" s="322">
        <f>IFERROR(SUMPRODUCT(X185:X187*H185:H187),"0")</f>
        <v>0</v>
      </c>
      <c r="Y189" s="322">
        <f>IFERROR(SUMPRODUCT(Y185:Y187*H185:H187),"0")</f>
        <v>0</v>
      </c>
      <c r="Z189" s="37"/>
      <c r="AA189" s="323"/>
      <c r="AB189" s="323"/>
      <c r="AC189" s="323"/>
    </row>
    <row r="190" spans="1:68" ht="16.5" customHeight="1" x14ac:dyDescent="0.25">
      <c r="A190" s="329" t="s">
        <v>318</v>
      </c>
      <c r="B190" s="330"/>
      <c r="C190" s="330"/>
      <c r="D190" s="330"/>
      <c r="E190" s="330"/>
      <c r="F190" s="330"/>
      <c r="G190" s="330"/>
      <c r="H190" s="330"/>
      <c r="I190" s="330"/>
      <c r="J190" s="330"/>
      <c r="K190" s="330"/>
      <c r="L190" s="330"/>
      <c r="M190" s="330"/>
      <c r="N190" s="330"/>
      <c r="O190" s="330"/>
      <c r="P190" s="330"/>
      <c r="Q190" s="330"/>
      <c r="R190" s="330"/>
      <c r="S190" s="330"/>
      <c r="T190" s="330"/>
      <c r="U190" s="330"/>
      <c r="V190" s="330"/>
      <c r="W190" s="330"/>
      <c r="X190" s="330"/>
      <c r="Y190" s="330"/>
      <c r="Z190" s="330"/>
      <c r="AA190" s="315"/>
      <c r="AB190" s="315"/>
      <c r="AC190" s="315"/>
    </row>
    <row r="191" spans="1:68" ht="14.25" customHeight="1" x14ac:dyDescent="0.25">
      <c r="A191" s="354" t="s">
        <v>63</v>
      </c>
      <c r="B191" s="330"/>
      <c r="C191" s="330"/>
      <c r="D191" s="330"/>
      <c r="E191" s="330"/>
      <c r="F191" s="330"/>
      <c r="G191" s="330"/>
      <c r="H191" s="330"/>
      <c r="I191" s="330"/>
      <c r="J191" s="330"/>
      <c r="K191" s="330"/>
      <c r="L191" s="330"/>
      <c r="M191" s="330"/>
      <c r="N191" s="330"/>
      <c r="O191" s="330"/>
      <c r="P191" s="330"/>
      <c r="Q191" s="330"/>
      <c r="R191" s="330"/>
      <c r="S191" s="330"/>
      <c r="T191" s="330"/>
      <c r="U191" s="330"/>
      <c r="V191" s="330"/>
      <c r="W191" s="330"/>
      <c r="X191" s="330"/>
      <c r="Y191" s="330"/>
      <c r="Z191" s="330"/>
      <c r="AA191" s="314"/>
      <c r="AB191" s="314"/>
      <c r="AC191" s="314"/>
    </row>
    <row r="192" spans="1:68" ht="27" customHeight="1" x14ac:dyDescent="0.25">
      <c r="A192" s="54" t="s">
        <v>319</v>
      </c>
      <c r="B192" s="54" t="s">
        <v>320</v>
      </c>
      <c r="C192" s="31">
        <v>4301070996</v>
      </c>
      <c r="D192" s="324">
        <v>4607111038654</v>
      </c>
      <c r="E192" s="325"/>
      <c r="F192" s="319">
        <v>0.4</v>
      </c>
      <c r="G192" s="32">
        <v>16</v>
      </c>
      <c r="H192" s="319">
        <v>6.4</v>
      </c>
      <c r="I192" s="319">
        <v>6.63</v>
      </c>
      <c r="J192" s="32">
        <v>84</v>
      </c>
      <c r="K192" s="32" t="s">
        <v>66</v>
      </c>
      <c r="L192" s="32" t="s">
        <v>67</v>
      </c>
      <c r="M192" s="33" t="s">
        <v>68</v>
      </c>
      <c r="N192" s="33"/>
      <c r="O192" s="32">
        <v>180</v>
      </c>
      <c r="P192" s="393" t="str">
        <f>HYPERLINK("https://abi.ru/products/Замороженные/Стародворье/Медвежьи ушки/Пельмени/P003918/","Пельмени «Медвежьи ушки с фермерскими сливками» 0,4 Классическая форма ТМ «Стародворье»")</f>
        <v>Пельмени «Медвежьи ушки с фермерскими сливками» 0,4 Классическая форма ТМ «Стародворье»</v>
      </c>
      <c r="Q192" s="334"/>
      <c r="R192" s="334"/>
      <c r="S192" s="334"/>
      <c r="T192" s="335"/>
      <c r="U192" s="34"/>
      <c r="V192" s="34"/>
      <c r="W192" s="35" t="s">
        <v>69</v>
      </c>
      <c r="X192" s="320">
        <v>0</v>
      </c>
      <c r="Y192" s="321">
        <f t="shared" ref="Y192:Y197" si="18">IFERROR(IF(X192="","",X192),"")</f>
        <v>0</v>
      </c>
      <c r="Z192" s="36">
        <f t="shared" ref="Z192:Z197" si="19">IFERROR(IF(X192="","",X192*0.0155),"")</f>
        <v>0</v>
      </c>
      <c r="AA192" s="56"/>
      <c r="AB192" s="57"/>
      <c r="AC192" s="216" t="s">
        <v>321</v>
      </c>
      <c r="AG192" s="67"/>
      <c r="AJ192" s="71" t="s">
        <v>71</v>
      </c>
      <c r="AK192" s="71">
        <v>1</v>
      </c>
      <c r="BB192" s="217" t="s">
        <v>1</v>
      </c>
      <c r="BM192" s="67">
        <f t="shared" ref="BM192:BM197" si="20">IFERROR(X192*I192,"0")</f>
        <v>0</v>
      </c>
      <c r="BN192" s="67">
        <f t="shared" ref="BN192:BN197" si="21">IFERROR(Y192*I192,"0")</f>
        <v>0</v>
      </c>
      <c r="BO192" s="67">
        <f t="shared" ref="BO192:BO197" si="22">IFERROR(X192/J192,"0")</f>
        <v>0</v>
      </c>
      <c r="BP192" s="67">
        <f t="shared" ref="BP192:BP197" si="23">IFERROR(Y192/J192,"0")</f>
        <v>0</v>
      </c>
    </row>
    <row r="193" spans="1:68" ht="27" customHeight="1" x14ac:dyDescent="0.25">
      <c r="A193" s="54" t="s">
        <v>322</v>
      </c>
      <c r="B193" s="54" t="s">
        <v>323</v>
      </c>
      <c r="C193" s="31">
        <v>4301070997</v>
      </c>
      <c r="D193" s="324">
        <v>4607111038586</v>
      </c>
      <c r="E193" s="325"/>
      <c r="F193" s="319">
        <v>0.7</v>
      </c>
      <c r="G193" s="32">
        <v>8</v>
      </c>
      <c r="H193" s="319">
        <v>5.6</v>
      </c>
      <c r="I193" s="319">
        <v>5.83</v>
      </c>
      <c r="J193" s="32">
        <v>84</v>
      </c>
      <c r="K193" s="32" t="s">
        <v>66</v>
      </c>
      <c r="L193" s="32" t="s">
        <v>80</v>
      </c>
      <c r="M193" s="33" t="s">
        <v>68</v>
      </c>
      <c r="N193" s="33"/>
      <c r="O193" s="32">
        <v>180</v>
      </c>
      <c r="P193" s="481" t="str">
        <f>HYPERLINK("https://abi.ru/products/Замороженные/Стародворье/Медвежьи ушки/Пельмени/P003920/","Пельмени «Медвежьи ушки с фермерскими сливками» 0,7 Классическая форма ТМ «Стародворье»")</f>
        <v>Пельмени «Медвежьи ушки с фермерскими сливками» 0,7 Классическая форма ТМ «Стародворье»</v>
      </c>
      <c r="Q193" s="334"/>
      <c r="R193" s="334"/>
      <c r="S193" s="334"/>
      <c r="T193" s="335"/>
      <c r="U193" s="34"/>
      <c r="V193" s="34"/>
      <c r="W193" s="35" t="s">
        <v>69</v>
      </c>
      <c r="X193" s="320">
        <v>0</v>
      </c>
      <c r="Y193" s="321">
        <f t="shared" si="18"/>
        <v>0</v>
      </c>
      <c r="Z193" s="36">
        <f t="shared" si="19"/>
        <v>0</v>
      </c>
      <c r="AA193" s="56"/>
      <c r="AB193" s="57"/>
      <c r="AC193" s="218" t="s">
        <v>321</v>
      </c>
      <c r="AG193" s="67"/>
      <c r="AJ193" s="71" t="s">
        <v>82</v>
      </c>
      <c r="AK193" s="71">
        <v>12</v>
      </c>
      <c r="BB193" s="219" t="s">
        <v>1</v>
      </c>
      <c r="BM193" s="67">
        <f t="shared" si="20"/>
        <v>0</v>
      </c>
      <c r="BN193" s="67">
        <f t="shared" si="21"/>
        <v>0</v>
      </c>
      <c r="BO193" s="67">
        <f t="shared" si="22"/>
        <v>0</v>
      </c>
      <c r="BP193" s="67">
        <f t="shared" si="23"/>
        <v>0</v>
      </c>
    </row>
    <row r="194" spans="1:68" ht="27" customHeight="1" x14ac:dyDescent="0.25">
      <c r="A194" s="54" t="s">
        <v>324</v>
      </c>
      <c r="B194" s="54" t="s">
        <v>325</v>
      </c>
      <c r="C194" s="31">
        <v>4301070962</v>
      </c>
      <c r="D194" s="324">
        <v>4607111038609</v>
      </c>
      <c r="E194" s="325"/>
      <c r="F194" s="319">
        <v>0.4</v>
      </c>
      <c r="G194" s="32">
        <v>16</v>
      </c>
      <c r="H194" s="319">
        <v>6.4</v>
      </c>
      <c r="I194" s="319">
        <v>6.71</v>
      </c>
      <c r="J194" s="32">
        <v>84</v>
      </c>
      <c r="K194" s="32" t="s">
        <v>66</v>
      </c>
      <c r="L194" s="32" t="s">
        <v>67</v>
      </c>
      <c r="M194" s="33" t="s">
        <v>68</v>
      </c>
      <c r="N194" s="33"/>
      <c r="O194" s="32">
        <v>180</v>
      </c>
      <c r="P194" s="402" t="str">
        <f>HYPERLINK("https://abi.ru/products/Замороженные/Стародворье/Медвежьи ушки/Пельмени/P003639/","Пельмени «Медвежьи ушки с фермерской свининой и говядиной Большие» 0,4 Классическая форма ТМ «Стародворье»")</f>
        <v>Пельмени «Медвежьи ушки с фермерской свининой и говядиной Большие» 0,4 Классическая форма ТМ «Стародворье»</v>
      </c>
      <c r="Q194" s="334"/>
      <c r="R194" s="334"/>
      <c r="S194" s="334"/>
      <c r="T194" s="335"/>
      <c r="U194" s="34"/>
      <c r="V194" s="34"/>
      <c r="W194" s="35" t="s">
        <v>69</v>
      </c>
      <c r="X194" s="320">
        <v>0</v>
      </c>
      <c r="Y194" s="321">
        <f t="shared" si="18"/>
        <v>0</v>
      </c>
      <c r="Z194" s="36">
        <f t="shared" si="19"/>
        <v>0</v>
      </c>
      <c r="AA194" s="56"/>
      <c r="AB194" s="57"/>
      <c r="AC194" s="220" t="s">
        <v>326</v>
      </c>
      <c r="AG194" s="67"/>
      <c r="AJ194" s="71" t="s">
        <v>71</v>
      </c>
      <c r="AK194" s="71">
        <v>1</v>
      </c>
      <c r="BB194" s="221" t="s">
        <v>1</v>
      </c>
      <c r="BM194" s="67">
        <f t="shared" si="20"/>
        <v>0</v>
      </c>
      <c r="BN194" s="67">
        <f t="shared" si="21"/>
        <v>0</v>
      </c>
      <c r="BO194" s="67">
        <f t="shared" si="22"/>
        <v>0</v>
      </c>
      <c r="BP194" s="67">
        <f t="shared" si="23"/>
        <v>0</v>
      </c>
    </row>
    <row r="195" spans="1:68" ht="27" customHeight="1" x14ac:dyDescent="0.25">
      <c r="A195" s="54" t="s">
        <v>327</v>
      </c>
      <c r="B195" s="54" t="s">
        <v>328</v>
      </c>
      <c r="C195" s="31">
        <v>4301070963</v>
      </c>
      <c r="D195" s="324">
        <v>4607111038630</v>
      </c>
      <c r="E195" s="325"/>
      <c r="F195" s="319">
        <v>0.7</v>
      </c>
      <c r="G195" s="32">
        <v>8</v>
      </c>
      <c r="H195" s="319">
        <v>5.6</v>
      </c>
      <c r="I195" s="319">
        <v>5.87</v>
      </c>
      <c r="J195" s="32">
        <v>84</v>
      </c>
      <c r="K195" s="32" t="s">
        <v>66</v>
      </c>
      <c r="L195" s="32" t="s">
        <v>80</v>
      </c>
      <c r="M195" s="33" t="s">
        <v>68</v>
      </c>
      <c r="N195" s="33"/>
      <c r="O195" s="32">
        <v>180</v>
      </c>
      <c r="P195" s="423" t="str">
        <f>HYPERLINK("https://abi.ru/products/Замороженные/Стародворье/Медвежьи ушки/Пельмени/P003641/","Пельмени «с фермерской свининой и говядиной Большие» 0,7 классическая форма ТМ «Стародворье»")</f>
        <v>Пельмени «с фермерской свининой и говядиной Большие» 0,7 классическая форма ТМ «Стародворье»</v>
      </c>
      <c r="Q195" s="334"/>
      <c r="R195" s="334"/>
      <c r="S195" s="334"/>
      <c r="T195" s="335"/>
      <c r="U195" s="34"/>
      <c r="V195" s="34"/>
      <c r="W195" s="35" t="s">
        <v>69</v>
      </c>
      <c r="X195" s="320">
        <v>0</v>
      </c>
      <c r="Y195" s="321">
        <f t="shared" si="18"/>
        <v>0</v>
      </c>
      <c r="Z195" s="36">
        <f t="shared" si="19"/>
        <v>0</v>
      </c>
      <c r="AA195" s="56"/>
      <c r="AB195" s="57"/>
      <c r="AC195" s="222" t="s">
        <v>326</v>
      </c>
      <c r="AG195" s="67"/>
      <c r="AJ195" s="71" t="s">
        <v>82</v>
      </c>
      <c r="AK195" s="71">
        <v>12</v>
      </c>
      <c r="BB195" s="223" t="s">
        <v>1</v>
      </c>
      <c r="BM195" s="67">
        <f t="shared" si="20"/>
        <v>0</v>
      </c>
      <c r="BN195" s="67">
        <f t="shared" si="21"/>
        <v>0</v>
      </c>
      <c r="BO195" s="67">
        <f t="shared" si="22"/>
        <v>0</v>
      </c>
      <c r="BP195" s="67">
        <f t="shared" si="23"/>
        <v>0</v>
      </c>
    </row>
    <row r="196" spans="1:68" ht="27" customHeight="1" x14ac:dyDescent="0.25">
      <c r="A196" s="54" t="s">
        <v>329</v>
      </c>
      <c r="B196" s="54" t="s">
        <v>330</v>
      </c>
      <c r="C196" s="31">
        <v>4301070959</v>
      </c>
      <c r="D196" s="324">
        <v>4607111038616</v>
      </c>
      <c r="E196" s="325"/>
      <c r="F196" s="319">
        <v>0.4</v>
      </c>
      <c r="G196" s="32">
        <v>16</v>
      </c>
      <c r="H196" s="319">
        <v>6.4</v>
      </c>
      <c r="I196" s="319">
        <v>6.71</v>
      </c>
      <c r="J196" s="32">
        <v>84</v>
      </c>
      <c r="K196" s="32" t="s">
        <v>66</v>
      </c>
      <c r="L196" s="32" t="s">
        <v>67</v>
      </c>
      <c r="M196" s="33" t="s">
        <v>68</v>
      </c>
      <c r="N196" s="33"/>
      <c r="O196" s="32">
        <v>180</v>
      </c>
      <c r="P196" s="501" t="str">
        <f>HYPERLINK("https://abi.ru/products/Замороженные/Стародворье/Медвежьи ушки/Пельмени/P003630/","Пельмени «Медвежьи ушки с фермерской свининой и говядиной Малые» 0,4 Классическая форма ТМ «Стародворье»")</f>
        <v>Пельмени «Медвежьи ушки с фермерской свининой и говядиной Малые» 0,4 Классическая форма ТМ «Стародворье»</v>
      </c>
      <c r="Q196" s="334"/>
      <c r="R196" s="334"/>
      <c r="S196" s="334"/>
      <c r="T196" s="335"/>
      <c r="U196" s="34"/>
      <c r="V196" s="34"/>
      <c r="W196" s="35" t="s">
        <v>69</v>
      </c>
      <c r="X196" s="320">
        <v>0</v>
      </c>
      <c r="Y196" s="321">
        <f t="shared" si="18"/>
        <v>0</v>
      </c>
      <c r="Z196" s="36">
        <f t="shared" si="19"/>
        <v>0</v>
      </c>
      <c r="AA196" s="56"/>
      <c r="AB196" s="57"/>
      <c r="AC196" s="224" t="s">
        <v>321</v>
      </c>
      <c r="AG196" s="67"/>
      <c r="AJ196" s="71" t="s">
        <v>71</v>
      </c>
      <c r="AK196" s="71">
        <v>1</v>
      </c>
      <c r="BB196" s="225" t="s">
        <v>1</v>
      </c>
      <c r="BM196" s="67">
        <f t="shared" si="20"/>
        <v>0</v>
      </c>
      <c r="BN196" s="67">
        <f t="shared" si="21"/>
        <v>0</v>
      </c>
      <c r="BO196" s="67">
        <f t="shared" si="22"/>
        <v>0</v>
      </c>
      <c r="BP196" s="67">
        <f t="shared" si="23"/>
        <v>0</v>
      </c>
    </row>
    <row r="197" spans="1:68" ht="27" customHeight="1" x14ac:dyDescent="0.25">
      <c r="A197" s="54" t="s">
        <v>331</v>
      </c>
      <c r="B197" s="54" t="s">
        <v>332</v>
      </c>
      <c r="C197" s="31">
        <v>4301070960</v>
      </c>
      <c r="D197" s="324">
        <v>4607111038623</v>
      </c>
      <c r="E197" s="325"/>
      <c r="F197" s="319">
        <v>0.7</v>
      </c>
      <c r="G197" s="32">
        <v>8</v>
      </c>
      <c r="H197" s="319">
        <v>5.6</v>
      </c>
      <c r="I197" s="319">
        <v>5.87</v>
      </c>
      <c r="J197" s="32">
        <v>84</v>
      </c>
      <c r="K197" s="32" t="s">
        <v>66</v>
      </c>
      <c r="L197" s="32" t="s">
        <v>80</v>
      </c>
      <c r="M197" s="33" t="s">
        <v>68</v>
      </c>
      <c r="N197" s="33"/>
      <c r="O197" s="32">
        <v>180</v>
      </c>
      <c r="P197" s="426" t="str">
        <f>HYPERLINK("https://abi.ru/products/Замороженные/Стародворье/Медвежьи ушки/Пельмени/P003631/","Пельмени «Медвежьи ушки с фермерской свининой и говядиной Малые» 0,7 Классическая форма ТМ «Стародворье»")</f>
        <v>Пельмени «Медвежьи ушки с фермерской свининой и говядиной Малые» 0,7 Классическая форма ТМ «Стародворье»</v>
      </c>
      <c r="Q197" s="334"/>
      <c r="R197" s="334"/>
      <c r="S197" s="334"/>
      <c r="T197" s="335"/>
      <c r="U197" s="34"/>
      <c r="V197" s="34"/>
      <c r="W197" s="35" t="s">
        <v>69</v>
      </c>
      <c r="X197" s="320">
        <v>12</v>
      </c>
      <c r="Y197" s="321">
        <f t="shared" si="18"/>
        <v>12</v>
      </c>
      <c r="Z197" s="36">
        <f t="shared" si="19"/>
        <v>0.186</v>
      </c>
      <c r="AA197" s="56"/>
      <c r="AB197" s="57"/>
      <c r="AC197" s="226" t="s">
        <v>321</v>
      </c>
      <c r="AG197" s="67"/>
      <c r="AJ197" s="71" t="s">
        <v>82</v>
      </c>
      <c r="AK197" s="71">
        <v>12</v>
      </c>
      <c r="BB197" s="227" t="s">
        <v>1</v>
      </c>
      <c r="BM197" s="67">
        <f t="shared" si="20"/>
        <v>70.44</v>
      </c>
      <c r="BN197" s="67">
        <f t="shared" si="21"/>
        <v>70.44</v>
      </c>
      <c r="BO197" s="67">
        <f t="shared" si="22"/>
        <v>0.14285714285714285</v>
      </c>
      <c r="BP197" s="67">
        <f t="shared" si="23"/>
        <v>0.14285714285714285</v>
      </c>
    </row>
    <row r="198" spans="1:68" x14ac:dyDescent="0.2">
      <c r="A198" s="336"/>
      <c r="B198" s="330"/>
      <c r="C198" s="330"/>
      <c r="D198" s="330"/>
      <c r="E198" s="330"/>
      <c r="F198" s="330"/>
      <c r="G198" s="330"/>
      <c r="H198" s="330"/>
      <c r="I198" s="330"/>
      <c r="J198" s="330"/>
      <c r="K198" s="330"/>
      <c r="L198" s="330"/>
      <c r="M198" s="330"/>
      <c r="N198" s="330"/>
      <c r="O198" s="337"/>
      <c r="P198" s="326" t="s">
        <v>72</v>
      </c>
      <c r="Q198" s="327"/>
      <c r="R198" s="327"/>
      <c r="S198" s="327"/>
      <c r="T198" s="327"/>
      <c r="U198" s="327"/>
      <c r="V198" s="328"/>
      <c r="W198" s="37" t="s">
        <v>69</v>
      </c>
      <c r="X198" s="322">
        <f>IFERROR(SUM(X192:X197),"0")</f>
        <v>12</v>
      </c>
      <c r="Y198" s="322">
        <f>IFERROR(SUM(Y192:Y197),"0")</f>
        <v>12</v>
      </c>
      <c r="Z198" s="322">
        <f>IFERROR(IF(Z192="",0,Z192),"0")+IFERROR(IF(Z193="",0,Z193),"0")+IFERROR(IF(Z194="",0,Z194),"0")+IFERROR(IF(Z195="",0,Z195),"0")+IFERROR(IF(Z196="",0,Z196),"0")+IFERROR(IF(Z197="",0,Z197),"0")</f>
        <v>0.186</v>
      </c>
      <c r="AA198" s="323"/>
      <c r="AB198" s="323"/>
      <c r="AC198" s="323"/>
    </row>
    <row r="199" spans="1:68" x14ac:dyDescent="0.2">
      <c r="A199" s="330"/>
      <c r="B199" s="330"/>
      <c r="C199" s="330"/>
      <c r="D199" s="330"/>
      <c r="E199" s="330"/>
      <c r="F199" s="330"/>
      <c r="G199" s="330"/>
      <c r="H199" s="330"/>
      <c r="I199" s="330"/>
      <c r="J199" s="330"/>
      <c r="K199" s="330"/>
      <c r="L199" s="330"/>
      <c r="M199" s="330"/>
      <c r="N199" s="330"/>
      <c r="O199" s="337"/>
      <c r="P199" s="326" t="s">
        <v>72</v>
      </c>
      <c r="Q199" s="327"/>
      <c r="R199" s="327"/>
      <c r="S199" s="327"/>
      <c r="T199" s="327"/>
      <c r="U199" s="327"/>
      <c r="V199" s="328"/>
      <c r="W199" s="37" t="s">
        <v>73</v>
      </c>
      <c r="X199" s="322">
        <f>IFERROR(SUMPRODUCT(X192:X197*H192:H197),"0")</f>
        <v>67.199999999999989</v>
      </c>
      <c r="Y199" s="322">
        <f>IFERROR(SUMPRODUCT(Y192:Y197*H192:H197),"0")</f>
        <v>67.199999999999989</v>
      </c>
      <c r="Z199" s="37"/>
      <c r="AA199" s="323"/>
      <c r="AB199" s="323"/>
      <c r="AC199" s="323"/>
    </row>
    <row r="200" spans="1:68" ht="16.5" customHeight="1" x14ac:dyDescent="0.25">
      <c r="A200" s="329" t="s">
        <v>333</v>
      </c>
      <c r="B200" s="330"/>
      <c r="C200" s="330"/>
      <c r="D200" s="330"/>
      <c r="E200" s="330"/>
      <c r="F200" s="330"/>
      <c r="G200" s="330"/>
      <c r="H200" s="330"/>
      <c r="I200" s="330"/>
      <c r="J200" s="330"/>
      <c r="K200" s="330"/>
      <c r="L200" s="330"/>
      <c r="M200" s="330"/>
      <c r="N200" s="330"/>
      <c r="O200" s="330"/>
      <c r="P200" s="330"/>
      <c r="Q200" s="330"/>
      <c r="R200" s="330"/>
      <c r="S200" s="330"/>
      <c r="T200" s="330"/>
      <c r="U200" s="330"/>
      <c r="V200" s="330"/>
      <c r="W200" s="330"/>
      <c r="X200" s="330"/>
      <c r="Y200" s="330"/>
      <c r="Z200" s="330"/>
      <c r="AA200" s="315"/>
      <c r="AB200" s="315"/>
      <c r="AC200" s="315"/>
    </row>
    <row r="201" spans="1:68" ht="14.25" customHeight="1" x14ac:dyDescent="0.25">
      <c r="A201" s="354" t="s">
        <v>63</v>
      </c>
      <c r="B201" s="330"/>
      <c r="C201" s="330"/>
      <c r="D201" s="330"/>
      <c r="E201" s="330"/>
      <c r="F201" s="330"/>
      <c r="G201" s="330"/>
      <c r="H201" s="330"/>
      <c r="I201" s="330"/>
      <c r="J201" s="330"/>
      <c r="K201" s="330"/>
      <c r="L201" s="330"/>
      <c r="M201" s="330"/>
      <c r="N201" s="330"/>
      <c r="O201" s="330"/>
      <c r="P201" s="330"/>
      <c r="Q201" s="330"/>
      <c r="R201" s="330"/>
      <c r="S201" s="330"/>
      <c r="T201" s="330"/>
      <c r="U201" s="330"/>
      <c r="V201" s="330"/>
      <c r="W201" s="330"/>
      <c r="X201" s="330"/>
      <c r="Y201" s="330"/>
      <c r="Z201" s="330"/>
      <c r="AA201" s="314"/>
      <c r="AB201" s="314"/>
      <c r="AC201" s="314"/>
    </row>
    <row r="202" spans="1:68" ht="27" customHeight="1" x14ac:dyDescent="0.25">
      <c r="A202" s="54" t="s">
        <v>334</v>
      </c>
      <c r="B202" s="54" t="s">
        <v>335</v>
      </c>
      <c r="C202" s="31">
        <v>4301070915</v>
      </c>
      <c r="D202" s="324">
        <v>4607111035882</v>
      </c>
      <c r="E202" s="325"/>
      <c r="F202" s="319">
        <v>0.43</v>
      </c>
      <c r="G202" s="32">
        <v>16</v>
      </c>
      <c r="H202" s="319">
        <v>6.88</v>
      </c>
      <c r="I202" s="319">
        <v>7.19</v>
      </c>
      <c r="J202" s="32">
        <v>84</v>
      </c>
      <c r="K202" s="32" t="s">
        <v>66</v>
      </c>
      <c r="L202" s="32" t="s">
        <v>67</v>
      </c>
      <c r="M202" s="33" t="s">
        <v>68</v>
      </c>
      <c r="N202" s="33"/>
      <c r="O202" s="32">
        <v>180</v>
      </c>
      <c r="P202" s="535" t="str">
        <f>HYPERLINK("https://abi.ru/products/Замороженные/Стародворье/Медвежье ушко/Пельмени/P002999/","Пельмени Отборные из говядины Медвежье ушко 0,43 Псевдозащип Стародворье")</f>
        <v>Пельмени Отборные из говядины Медвежье ушко 0,43 Псевдозащип Стародворье</v>
      </c>
      <c r="Q202" s="334"/>
      <c r="R202" s="334"/>
      <c r="S202" s="334"/>
      <c r="T202" s="335"/>
      <c r="U202" s="34"/>
      <c r="V202" s="34"/>
      <c r="W202" s="35" t="s">
        <v>69</v>
      </c>
      <c r="X202" s="320">
        <v>0</v>
      </c>
      <c r="Y202" s="321">
        <f>IFERROR(IF(X202="","",X202),"")</f>
        <v>0</v>
      </c>
      <c r="Z202" s="36">
        <f>IFERROR(IF(X202="","",X202*0.0155),"")</f>
        <v>0</v>
      </c>
      <c r="AA202" s="56"/>
      <c r="AB202" s="57"/>
      <c r="AC202" s="228" t="s">
        <v>336</v>
      </c>
      <c r="AG202" s="67"/>
      <c r="AJ202" s="71" t="s">
        <v>71</v>
      </c>
      <c r="AK202" s="71">
        <v>1</v>
      </c>
      <c r="BB202" s="229" t="s">
        <v>1</v>
      </c>
      <c r="BM202" s="67">
        <f>IFERROR(X202*I202,"0")</f>
        <v>0</v>
      </c>
      <c r="BN202" s="67">
        <f>IFERROR(Y202*I202,"0")</f>
        <v>0</v>
      </c>
      <c r="BO202" s="67">
        <f>IFERROR(X202/J202,"0")</f>
        <v>0</v>
      </c>
      <c r="BP202" s="67">
        <f>IFERROR(Y202/J202,"0")</f>
        <v>0</v>
      </c>
    </row>
    <row r="203" spans="1:68" ht="27" customHeight="1" x14ac:dyDescent="0.25">
      <c r="A203" s="54" t="s">
        <v>337</v>
      </c>
      <c r="B203" s="54" t="s">
        <v>338</v>
      </c>
      <c r="C203" s="31">
        <v>4301070921</v>
      </c>
      <c r="D203" s="324">
        <v>4607111035905</v>
      </c>
      <c r="E203" s="325"/>
      <c r="F203" s="319">
        <v>0.9</v>
      </c>
      <c r="G203" s="32">
        <v>8</v>
      </c>
      <c r="H203" s="319">
        <v>7.2</v>
      </c>
      <c r="I203" s="319">
        <v>7.47</v>
      </c>
      <c r="J203" s="32">
        <v>84</v>
      </c>
      <c r="K203" s="32" t="s">
        <v>66</v>
      </c>
      <c r="L203" s="32" t="s">
        <v>80</v>
      </c>
      <c r="M203" s="33" t="s">
        <v>68</v>
      </c>
      <c r="N203" s="33"/>
      <c r="O203" s="32">
        <v>180</v>
      </c>
      <c r="P203" s="444" t="str">
        <f>HYPERLINK("https://abi.ru/products/Замороженные/Стародворье/Медвежье ушко/Пельмени/P003005/","Пельмени Отборные из говядины Медвежье ушко 0,9 Псевдозащип Стародворье")</f>
        <v>Пельмени Отборные из говядины Медвежье ушко 0,9 Псевдозащип Стародворье</v>
      </c>
      <c r="Q203" s="334"/>
      <c r="R203" s="334"/>
      <c r="S203" s="334"/>
      <c r="T203" s="335"/>
      <c r="U203" s="34"/>
      <c r="V203" s="34"/>
      <c r="W203" s="35" t="s">
        <v>69</v>
      </c>
      <c r="X203" s="320">
        <v>12</v>
      </c>
      <c r="Y203" s="321">
        <f>IFERROR(IF(X203="","",X203),"")</f>
        <v>12</v>
      </c>
      <c r="Z203" s="36">
        <f>IFERROR(IF(X203="","",X203*0.0155),"")</f>
        <v>0.186</v>
      </c>
      <c r="AA203" s="56"/>
      <c r="AB203" s="57"/>
      <c r="AC203" s="230" t="s">
        <v>336</v>
      </c>
      <c r="AG203" s="67"/>
      <c r="AJ203" s="71" t="s">
        <v>82</v>
      </c>
      <c r="AK203" s="71">
        <v>12</v>
      </c>
      <c r="BB203" s="231" t="s">
        <v>1</v>
      </c>
      <c r="BM203" s="67">
        <f>IFERROR(X203*I203,"0")</f>
        <v>89.64</v>
      </c>
      <c r="BN203" s="67">
        <f>IFERROR(Y203*I203,"0")</f>
        <v>89.64</v>
      </c>
      <c r="BO203" s="67">
        <f>IFERROR(X203/J203,"0")</f>
        <v>0.14285714285714285</v>
      </c>
      <c r="BP203" s="67">
        <f>IFERROR(Y203/J203,"0")</f>
        <v>0.14285714285714285</v>
      </c>
    </row>
    <row r="204" spans="1:68" ht="27" customHeight="1" x14ac:dyDescent="0.25">
      <c r="A204" s="54" t="s">
        <v>339</v>
      </c>
      <c r="B204" s="54" t="s">
        <v>340</v>
      </c>
      <c r="C204" s="31">
        <v>4301070917</v>
      </c>
      <c r="D204" s="324">
        <v>4607111035912</v>
      </c>
      <c r="E204" s="325"/>
      <c r="F204" s="319">
        <v>0.43</v>
      </c>
      <c r="G204" s="32">
        <v>16</v>
      </c>
      <c r="H204" s="319">
        <v>6.88</v>
      </c>
      <c r="I204" s="319">
        <v>7.19</v>
      </c>
      <c r="J204" s="32">
        <v>84</v>
      </c>
      <c r="K204" s="32" t="s">
        <v>66</v>
      </c>
      <c r="L204" s="32" t="s">
        <v>67</v>
      </c>
      <c r="M204" s="33" t="s">
        <v>68</v>
      </c>
      <c r="N204" s="33"/>
      <c r="O204" s="32">
        <v>180</v>
      </c>
      <c r="P204" s="456" t="str">
        <f>HYPERLINK("https://abi.ru/products/Замороженные/Стародворье/Медвежье ушко/Пельмени/P003001/","Пельмени Отборные из свинины и говядины Медвежье ушко 0,43 Псевдозащип Стародворье")</f>
        <v>Пельмени Отборные из свинины и говядины Медвежье ушко 0,43 Псевдозащип Стародворье</v>
      </c>
      <c r="Q204" s="334"/>
      <c r="R204" s="334"/>
      <c r="S204" s="334"/>
      <c r="T204" s="335"/>
      <c r="U204" s="34"/>
      <c r="V204" s="34"/>
      <c r="W204" s="35" t="s">
        <v>69</v>
      </c>
      <c r="X204" s="320">
        <v>0</v>
      </c>
      <c r="Y204" s="321">
        <f>IFERROR(IF(X204="","",X204),"")</f>
        <v>0</v>
      </c>
      <c r="Z204" s="36">
        <f>IFERROR(IF(X204="","",X204*0.0155),"")</f>
        <v>0</v>
      </c>
      <c r="AA204" s="56"/>
      <c r="AB204" s="57"/>
      <c r="AC204" s="232" t="s">
        <v>341</v>
      </c>
      <c r="AG204" s="67"/>
      <c r="AJ204" s="71" t="s">
        <v>71</v>
      </c>
      <c r="AK204" s="71">
        <v>1</v>
      </c>
      <c r="BB204" s="233" t="s">
        <v>1</v>
      </c>
      <c r="BM204" s="67">
        <f>IFERROR(X204*I204,"0")</f>
        <v>0</v>
      </c>
      <c r="BN204" s="67">
        <f>IFERROR(Y204*I204,"0")</f>
        <v>0</v>
      </c>
      <c r="BO204" s="67">
        <f>IFERROR(X204/J204,"0")</f>
        <v>0</v>
      </c>
      <c r="BP204" s="67">
        <f>IFERROR(Y204/J204,"0")</f>
        <v>0</v>
      </c>
    </row>
    <row r="205" spans="1:68" ht="27" customHeight="1" x14ac:dyDescent="0.25">
      <c r="A205" s="54" t="s">
        <v>342</v>
      </c>
      <c r="B205" s="54" t="s">
        <v>343</v>
      </c>
      <c r="C205" s="31">
        <v>4301070920</v>
      </c>
      <c r="D205" s="324">
        <v>4607111035929</v>
      </c>
      <c r="E205" s="325"/>
      <c r="F205" s="319">
        <v>0.9</v>
      </c>
      <c r="G205" s="32">
        <v>8</v>
      </c>
      <c r="H205" s="319">
        <v>7.2</v>
      </c>
      <c r="I205" s="319">
        <v>7.47</v>
      </c>
      <c r="J205" s="32">
        <v>84</v>
      </c>
      <c r="K205" s="32" t="s">
        <v>66</v>
      </c>
      <c r="L205" s="32" t="s">
        <v>80</v>
      </c>
      <c r="M205" s="33" t="s">
        <v>68</v>
      </c>
      <c r="N205" s="33"/>
      <c r="O205" s="32">
        <v>180</v>
      </c>
      <c r="P205" s="413" t="str">
        <f>HYPERLINK("https://abi.ru/products/Замороженные/Стародворье/Медвежье ушко/Пельмени/P003004/","Пельмени Отборные из свинины и говядины Медвежье ушко 0,9 Псевдозащип Стародворье")</f>
        <v>Пельмени Отборные из свинины и говядины Медвежье ушко 0,9 Псевдозащип Стародворье</v>
      </c>
      <c r="Q205" s="334"/>
      <c r="R205" s="334"/>
      <c r="S205" s="334"/>
      <c r="T205" s="335"/>
      <c r="U205" s="34"/>
      <c r="V205" s="34"/>
      <c r="W205" s="35" t="s">
        <v>69</v>
      </c>
      <c r="X205" s="320">
        <v>0</v>
      </c>
      <c r="Y205" s="321">
        <f>IFERROR(IF(X205="","",X205),"")</f>
        <v>0</v>
      </c>
      <c r="Z205" s="36">
        <f>IFERROR(IF(X205="","",X205*0.0155),"")</f>
        <v>0</v>
      </c>
      <c r="AA205" s="56"/>
      <c r="AB205" s="57"/>
      <c r="AC205" s="234" t="s">
        <v>341</v>
      </c>
      <c r="AG205" s="67"/>
      <c r="AJ205" s="71" t="s">
        <v>82</v>
      </c>
      <c r="AK205" s="71">
        <v>12</v>
      </c>
      <c r="BB205" s="235" t="s">
        <v>1</v>
      </c>
      <c r="BM205" s="67">
        <f>IFERROR(X205*I205,"0")</f>
        <v>0</v>
      </c>
      <c r="BN205" s="67">
        <f>IFERROR(Y205*I205,"0")</f>
        <v>0</v>
      </c>
      <c r="BO205" s="67">
        <f>IFERROR(X205/J205,"0")</f>
        <v>0</v>
      </c>
      <c r="BP205" s="67">
        <f>IFERROR(Y205/J205,"0")</f>
        <v>0</v>
      </c>
    </row>
    <row r="206" spans="1:68" x14ac:dyDescent="0.2">
      <c r="A206" s="336"/>
      <c r="B206" s="330"/>
      <c r="C206" s="330"/>
      <c r="D206" s="330"/>
      <c r="E206" s="330"/>
      <c r="F206" s="330"/>
      <c r="G206" s="330"/>
      <c r="H206" s="330"/>
      <c r="I206" s="330"/>
      <c r="J206" s="330"/>
      <c r="K206" s="330"/>
      <c r="L206" s="330"/>
      <c r="M206" s="330"/>
      <c r="N206" s="330"/>
      <c r="O206" s="337"/>
      <c r="P206" s="326" t="s">
        <v>72</v>
      </c>
      <c r="Q206" s="327"/>
      <c r="R206" s="327"/>
      <c r="S206" s="327"/>
      <c r="T206" s="327"/>
      <c r="U206" s="327"/>
      <c r="V206" s="328"/>
      <c r="W206" s="37" t="s">
        <v>69</v>
      </c>
      <c r="X206" s="322">
        <f>IFERROR(SUM(X202:X205),"0")</f>
        <v>12</v>
      </c>
      <c r="Y206" s="322">
        <f>IFERROR(SUM(Y202:Y205),"0")</f>
        <v>12</v>
      </c>
      <c r="Z206" s="322">
        <f>IFERROR(IF(Z202="",0,Z202),"0")+IFERROR(IF(Z203="",0,Z203),"0")+IFERROR(IF(Z204="",0,Z204),"0")+IFERROR(IF(Z205="",0,Z205),"0")</f>
        <v>0.186</v>
      </c>
      <c r="AA206" s="323"/>
      <c r="AB206" s="323"/>
      <c r="AC206" s="323"/>
    </row>
    <row r="207" spans="1:68" x14ac:dyDescent="0.2">
      <c r="A207" s="330"/>
      <c r="B207" s="330"/>
      <c r="C207" s="330"/>
      <c r="D207" s="330"/>
      <c r="E207" s="330"/>
      <c r="F207" s="330"/>
      <c r="G207" s="330"/>
      <c r="H207" s="330"/>
      <c r="I207" s="330"/>
      <c r="J207" s="330"/>
      <c r="K207" s="330"/>
      <c r="L207" s="330"/>
      <c r="M207" s="330"/>
      <c r="N207" s="330"/>
      <c r="O207" s="337"/>
      <c r="P207" s="326" t="s">
        <v>72</v>
      </c>
      <c r="Q207" s="327"/>
      <c r="R207" s="327"/>
      <c r="S207" s="327"/>
      <c r="T207" s="327"/>
      <c r="U207" s="327"/>
      <c r="V207" s="328"/>
      <c r="W207" s="37" t="s">
        <v>73</v>
      </c>
      <c r="X207" s="322">
        <f>IFERROR(SUMPRODUCT(X202:X205*H202:H205),"0")</f>
        <v>86.4</v>
      </c>
      <c r="Y207" s="322">
        <f>IFERROR(SUMPRODUCT(Y202:Y205*H202:H205),"0")</f>
        <v>86.4</v>
      </c>
      <c r="Z207" s="37"/>
      <c r="AA207" s="323"/>
      <c r="AB207" s="323"/>
      <c r="AC207" s="323"/>
    </row>
    <row r="208" spans="1:68" ht="16.5" customHeight="1" x14ac:dyDescent="0.25">
      <c r="A208" s="329" t="s">
        <v>344</v>
      </c>
      <c r="B208" s="330"/>
      <c r="C208" s="330"/>
      <c r="D208" s="330"/>
      <c r="E208" s="330"/>
      <c r="F208" s="330"/>
      <c r="G208" s="330"/>
      <c r="H208" s="330"/>
      <c r="I208" s="330"/>
      <c r="J208" s="330"/>
      <c r="K208" s="330"/>
      <c r="L208" s="330"/>
      <c r="M208" s="330"/>
      <c r="N208" s="330"/>
      <c r="O208" s="330"/>
      <c r="P208" s="330"/>
      <c r="Q208" s="330"/>
      <c r="R208" s="330"/>
      <c r="S208" s="330"/>
      <c r="T208" s="330"/>
      <c r="U208" s="330"/>
      <c r="V208" s="330"/>
      <c r="W208" s="330"/>
      <c r="X208" s="330"/>
      <c r="Y208" s="330"/>
      <c r="Z208" s="330"/>
      <c r="AA208" s="315"/>
      <c r="AB208" s="315"/>
      <c r="AC208" s="315"/>
    </row>
    <row r="209" spans="1:68" ht="14.25" customHeight="1" x14ac:dyDescent="0.25">
      <c r="A209" s="354" t="s">
        <v>63</v>
      </c>
      <c r="B209" s="330"/>
      <c r="C209" s="330"/>
      <c r="D209" s="330"/>
      <c r="E209" s="330"/>
      <c r="F209" s="330"/>
      <c r="G209" s="330"/>
      <c r="H209" s="330"/>
      <c r="I209" s="330"/>
      <c r="J209" s="330"/>
      <c r="K209" s="330"/>
      <c r="L209" s="330"/>
      <c r="M209" s="330"/>
      <c r="N209" s="330"/>
      <c r="O209" s="330"/>
      <c r="P209" s="330"/>
      <c r="Q209" s="330"/>
      <c r="R209" s="330"/>
      <c r="S209" s="330"/>
      <c r="T209" s="330"/>
      <c r="U209" s="330"/>
      <c r="V209" s="330"/>
      <c r="W209" s="330"/>
      <c r="X209" s="330"/>
      <c r="Y209" s="330"/>
      <c r="Z209" s="330"/>
      <c r="AA209" s="314"/>
      <c r="AB209" s="314"/>
      <c r="AC209" s="314"/>
    </row>
    <row r="210" spans="1:68" ht="16.5" customHeight="1" x14ac:dyDescent="0.25">
      <c r="A210" s="54" t="s">
        <v>345</v>
      </c>
      <c r="B210" s="54" t="s">
        <v>346</v>
      </c>
      <c r="C210" s="31">
        <v>4301070912</v>
      </c>
      <c r="D210" s="324">
        <v>4607111037213</v>
      </c>
      <c r="E210" s="325"/>
      <c r="F210" s="319">
        <v>0.4</v>
      </c>
      <c r="G210" s="32">
        <v>8</v>
      </c>
      <c r="H210" s="319">
        <v>3.2</v>
      </c>
      <c r="I210" s="319">
        <v>3.44</v>
      </c>
      <c r="J210" s="32">
        <v>144</v>
      </c>
      <c r="K210" s="32" t="s">
        <v>66</v>
      </c>
      <c r="L210" s="32" t="s">
        <v>67</v>
      </c>
      <c r="M210" s="33" t="s">
        <v>68</v>
      </c>
      <c r="N210" s="33"/>
      <c r="O210" s="32">
        <v>180</v>
      </c>
      <c r="P210" s="434" t="str">
        <f>HYPERLINK("https://abi.ru/products/Замороженные/Стародворье/Царедворская EDLP/EDPP/Пельмени/P002986/","Пельмени Царедворские Первая цена 0,4 Равиоли Стародворье")</f>
        <v>Пельмени Царедворские Первая цена 0,4 Равиоли Стародворье</v>
      </c>
      <c r="Q210" s="334"/>
      <c r="R210" s="334"/>
      <c r="S210" s="334"/>
      <c r="T210" s="335"/>
      <c r="U210" s="34"/>
      <c r="V210" s="34"/>
      <c r="W210" s="35" t="s">
        <v>69</v>
      </c>
      <c r="X210" s="320">
        <v>0</v>
      </c>
      <c r="Y210" s="321">
        <f>IFERROR(IF(X210="","",X210),"")</f>
        <v>0</v>
      </c>
      <c r="Z210" s="36">
        <f>IFERROR(IF(X210="","",X210*0.00866),"")</f>
        <v>0</v>
      </c>
      <c r="AA210" s="56"/>
      <c r="AB210" s="57"/>
      <c r="AC210" s="236" t="s">
        <v>347</v>
      </c>
      <c r="AG210" s="67"/>
      <c r="AJ210" s="71" t="s">
        <v>71</v>
      </c>
      <c r="AK210" s="71">
        <v>1</v>
      </c>
      <c r="BB210" s="237" t="s">
        <v>1</v>
      </c>
      <c r="BM210" s="67">
        <f>IFERROR(X210*I210,"0")</f>
        <v>0</v>
      </c>
      <c r="BN210" s="67">
        <f>IFERROR(Y210*I210,"0")</f>
        <v>0</v>
      </c>
      <c r="BO210" s="67">
        <f>IFERROR(X210/J210,"0")</f>
        <v>0</v>
      </c>
      <c r="BP210" s="67">
        <f>IFERROR(Y210/J210,"0")</f>
        <v>0</v>
      </c>
    </row>
    <row r="211" spans="1:68" x14ac:dyDescent="0.2">
      <c r="A211" s="336"/>
      <c r="B211" s="330"/>
      <c r="C211" s="330"/>
      <c r="D211" s="330"/>
      <c r="E211" s="330"/>
      <c r="F211" s="330"/>
      <c r="G211" s="330"/>
      <c r="H211" s="330"/>
      <c r="I211" s="330"/>
      <c r="J211" s="330"/>
      <c r="K211" s="330"/>
      <c r="L211" s="330"/>
      <c r="M211" s="330"/>
      <c r="N211" s="330"/>
      <c r="O211" s="337"/>
      <c r="P211" s="326" t="s">
        <v>72</v>
      </c>
      <c r="Q211" s="327"/>
      <c r="R211" s="327"/>
      <c r="S211" s="327"/>
      <c r="T211" s="327"/>
      <c r="U211" s="327"/>
      <c r="V211" s="328"/>
      <c r="W211" s="37" t="s">
        <v>69</v>
      </c>
      <c r="X211" s="322">
        <f>IFERROR(SUM(X210:X210),"0")</f>
        <v>0</v>
      </c>
      <c r="Y211" s="322">
        <f>IFERROR(SUM(Y210:Y210),"0")</f>
        <v>0</v>
      </c>
      <c r="Z211" s="322">
        <f>IFERROR(IF(Z210="",0,Z210),"0")</f>
        <v>0</v>
      </c>
      <c r="AA211" s="323"/>
      <c r="AB211" s="323"/>
      <c r="AC211" s="323"/>
    </row>
    <row r="212" spans="1:68" x14ac:dyDescent="0.2">
      <c r="A212" s="330"/>
      <c r="B212" s="330"/>
      <c r="C212" s="330"/>
      <c r="D212" s="330"/>
      <c r="E212" s="330"/>
      <c r="F212" s="330"/>
      <c r="G212" s="330"/>
      <c r="H212" s="330"/>
      <c r="I212" s="330"/>
      <c r="J212" s="330"/>
      <c r="K212" s="330"/>
      <c r="L212" s="330"/>
      <c r="M212" s="330"/>
      <c r="N212" s="330"/>
      <c r="O212" s="337"/>
      <c r="P212" s="326" t="s">
        <v>72</v>
      </c>
      <c r="Q212" s="327"/>
      <c r="R212" s="327"/>
      <c r="S212" s="327"/>
      <c r="T212" s="327"/>
      <c r="U212" s="327"/>
      <c r="V212" s="328"/>
      <c r="W212" s="37" t="s">
        <v>73</v>
      </c>
      <c r="X212" s="322">
        <f>IFERROR(SUMPRODUCT(X210:X210*H210:H210),"0")</f>
        <v>0</v>
      </c>
      <c r="Y212" s="322">
        <f>IFERROR(SUMPRODUCT(Y210:Y210*H210:H210),"0")</f>
        <v>0</v>
      </c>
      <c r="Z212" s="37"/>
      <c r="AA212" s="323"/>
      <c r="AB212" s="323"/>
      <c r="AC212" s="323"/>
    </row>
    <row r="213" spans="1:68" ht="16.5" customHeight="1" x14ac:dyDescent="0.25">
      <c r="A213" s="329" t="s">
        <v>348</v>
      </c>
      <c r="B213" s="330"/>
      <c r="C213" s="330"/>
      <c r="D213" s="330"/>
      <c r="E213" s="330"/>
      <c r="F213" s="330"/>
      <c r="G213" s="330"/>
      <c r="H213" s="330"/>
      <c r="I213" s="330"/>
      <c r="J213" s="330"/>
      <c r="K213" s="330"/>
      <c r="L213" s="330"/>
      <c r="M213" s="330"/>
      <c r="N213" s="330"/>
      <c r="O213" s="330"/>
      <c r="P213" s="330"/>
      <c r="Q213" s="330"/>
      <c r="R213" s="330"/>
      <c r="S213" s="330"/>
      <c r="T213" s="330"/>
      <c r="U213" s="330"/>
      <c r="V213" s="330"/>
      <c r="W213" s="330"/>
      <c r="X213" s="330"/>
      <c r="Y213" s="330"/>
      <c r="Z213" s="330"/>
      <c r="AA213" s="315"/>
      <c r="AB213" s="315"/>
      <c r="AC213" s="315"/>
    </row>
    <row r="214" spans="1:68" ht="14.25" customHeight="1" x14ac:dyDescent="0.25">
      <c r="A214" s="354" t="s">
        <v>283</v>
      </c>
      <c r="B214" s="330"/>
      <c r="C214" s="330"/>
      <c r="D214" s="330"/>
      <c r="E214" s="330"/>
      <c r="F214" s="330"/>
      <c r="G214" s="330"/>
      <c r="H214" s="330"/>
      <c r="I214" s="330"/>
      <c r="J214" s="330"/>
      <c r="K214" s="330"/>
      <c r="L214" s="330"/>
      <c r="M214" s="330"/>
      <c r="N214" s="330"/>
      <c r="O214" s="330"/>
      <c r="P214" s="330"/>
      <c r="Q214" s="330"/>
      <c r="R214" s="330"/>
      <c r="S214" s="330"/>
      <c r="T214" s="330"/>
      <c r="U214" s="330"/>
      <c r="V214" s="330"/>
      <c r="W214" s="330"/>
      <c r="X214" s="330"/>
      <c r="Y214" s="330"/>
      <c r="Z214" s="330"/>
      <c r="AA214" s="314"/>
      <c r="AB214" s="314"/>
      <c r="AC214" s="314"/>
    </row>
    <row r="215" spans="1:68" ht="27" customHeight="1" x14ac:dyDescent="0.25">
      <c r="A215" s="54" t="s">
        <v>349</v>
      </c>
      <c r="B215" s="54" t="s">
        <v>350</v>
      </c>
      <c r="C215" s="31">
        <v>4301051320</v>
      </c>
      <c r="D215" s="324">
        <v>4680115881334</v>
      </c>
      <c r="E215" s="325"/>
      <c r="F215" s="319">
        <v>0.33</v>
      </c>
      <c r="G215" s="32">
        <v>6</v>
      </c>
      <c r="H215" s="319">
        <v>1.98</v>
      </c>
      <c r="I215" s="319">
        <v>2.27</v>
      </c>
      <c r="J215" s="32">
        <v>156</v>
      </c>
      <c r="K215" s="32" t="s">
        <v>66</v>
      </c>
      <c r="L215" s="32" t="s">
        <v>67</v>
      </c>
      <c r="M215" s="33" t="s">
        <v>287</v>
      </c>
      <c r="N215" s="33"/>
      <c r="O215" s="32">
        <v>365</v>
      </c>
      <c r="P215" s="345" t="str">
        <f>HYPERLINK("https://abi.ru/products/Замороженные/Стародворье/Бордо/Сосиски замороженные/P003054/","Сосиски «Оригинальные» замороженные Фикс.вес 0,33 п/а ТМ «Стародворье»")</f>
        <v>Сосиски «Оригинальные» замороженные Фикс.вес 0,33 п/а ТМ «Стародворье»</v>
      </c>
      <c r="Q215" s="334"/>
      <c r="R215" s="334"/>
      <c r="S215" s="334"/>
      <c r="T215" s="335"/>
      <c r="U215" s="34"/>
      <c r="V215" s="34"/>
      <c r="W215" s="35" t="s">
        <v>69</v>
      </c>
      <c r="X215" s="320">
        <v>0</v>
      </c>
      <c r="Y215" s="321">
        <f>IFERROR(IF(X215="","",X215),"")</f>
        <v>0</v>
      </c>
      <c r="Z215" s="36">
        <f>IFERROR(IF(X215="","",X215*0.00753),"")</f>
        <v>0</v>
      </c>
      <c r="AA215" s="56"/>
      <c r="AB215" s="57"/>
      <c r="AC215" s="238" t="s">
        <v>351</v>
      </c>
      <c r="AG215" s="67"/>
      <c r="AJ215" s="71" t="s">
        <v>71</v>
      </c>
      <c r="AK215" s="71">
        <v>1</v>
      </c>
      <c r="BB215" s="239" t="s">
        <v>290</v>
      </c>
      <c r="BM215" s="67">
        <f>IFERROR(X215*I215,"0")</f>
        <v>0</v>
      </c>
      <c r="BN215" s="67">
        <f>IFERROR(Y215*I215,"0")</f>
        <v>0</v>
      </c>
      <c r="BO215" s="67">
        <f>IFERROR(X215/J215,"0")</f>
        <v>0</v>
      </c>
      <c r="BP215" s="67">
        <f>IFERROR(Y215/J215,"0")</f>
        <v>0</v>
      </c>
    </row>
    <row r="216" spans="1:68" x14ac:dyDescent="0.2">
      <c r="A216" s="336"/>
      <c r="B216" s="330"/>
      <c r="C216" s="330"/>
      <c r="D216" s="330"/>
      <c r="E216" s="330"/>
      <c r="F216" s="330"/>
      <c r="G216" s="330"/>
      <c r="H216" s="330"/>
      <c r="I216" s="330"/>
      <c r="J216" s="330"/>
      <c r="K216" s="330"/>
      <c r="L216" s="330"/>
      <c r="M216" s="330"/>
      <c r="N216" s="330"/>
      <c r="O216" s="337"/>
      <c r="P216" s="326" t="s">
        <v>72</v>
      </c>
      <c r="Q216" s="327"/>
      <c r="R216" s="327"/>
      <c r="S216" s="327"/>
      <c r="T216" s="327"/>
      <c r="U216" s="327"/>
      <c r="V216" s="328"/>
      <c r="W216" s="37" t="s">
        <v>69</v>
      </c>
      <c r="X216" s="322">
        <f>IFERROR(SUM(X215:X215),"0")</f>
        <v>0</v>
      </c>
      <c r="Y216" s="322">
        <f>IFERROR(SUM(Y215:Y215),"0")</f>
        <v>0</v>
      </c>
      <c r="Z216" s="322">
        <f>IFERROR(IF(Z215="",0,Z215),"0")</f>
        <v>0</v>
      </c>
      <c r="AA216" s="323"/>
      <c r="AB216" s="323"/>
      <c r="AC216" s="323"/>
    </row>
    <row r="217" spans="1:68" x14ac:dyDescent="0.2">
      <c r="A217" s="330"/>
      <c r="B217" s="330"/>
      <c r="C217" s="330"/>
      <c r="D217" s="330"/>
      <c r="E217" s="330"/>
      <c r="F217" s="330"/>
      <c r="G217" s="330"/>
      <c r="H217" s="330"/>
      <c r="I217" s="330"/>
      <c r="J217" s="330"/>
      <c r="K217" s="330"/>
      <c r="L217" s="330"/>
      <c r="M217" s="330"/>
      <c r="N217" s="330"/>
      <c r="O217" s="337"/>
      <c r="P217" s="326" t="s">
        <v>72</v>
      </c>
      <c r="Q217" s="327"/>
      <c r="R217" s="327"/>
      <c r="S217" s="327"/>
      <c r="T217" s="327"/>
      <c r="U217" s="327"/>
      <c r="V217" s="328"/>
      <c r="W217" s="37" t="s">
        <v>73</v>
      </c>
      <c r="X217" s="322">
        <f>IFERROR(SUMPRODUCT(X215:X215*H215:H215),"0")</f>
        <v>0</v>
      </c>
      <c r="Y217" s="322">
        <f>IFERROR(SUMPRODUCT(Y215:Y215*H215:H215),"0")</f>
        <v>0</v>
      </c>
      <c r="Z217" s="37"/>
      <c r="AA217" s="323"/>
      <c r="AB217" s="323"/>
      <c r="AC217" s="323"/>
    </row>
    <row r="218" spans="1:68" ht="16.5" customHeight="1" x14ac:dyDescent="0.25">
      <c r="A218" s="329" t="s">
        <v>352</v>
      </c>
      <c r="B218" s="330"/>
      <c r="C218" s="330"/>
      <c r="D218" s="330"/>
      <c r="E218" s="330"/>
      <c r="F218" s="330"/>
      <c r="G218" s="330"/>
      <c r="H218" s="330"/>
      <c r="I218" s="330"/>
      <c r="J218" s="330"/>
      <c r="K218" s="330"/>
      <c r="L218" s="330"/>
      <c r="M218" s="330"/>
      <c r="N218" s="330"/>
      <c r="O218" s="330"/>
      <c r="P218" s="330"/>
      <c r="Q218" s="330"/>
      <c r="R218" s="330"/>
      <c r="S218" s="330"/>
      <c r="T218" s="330"/>
      <c r="U218" s="330"/>
      <c r="V218" s="330"/>
      <c r="W218" s="330"/>
      <c r="X218" s="330"/>
      <c r="Y218" s="330"/>
      <c r="Z218" s="330"/>
      <c r="AA218" s="315"/>
      <c r="AB218" s="315"/>
      <c r="AC218" s="315"/>
    </row>
    <row r="219" spans="1:68" ht="14.25" customHeight="1" x14ac:dyDescent="0.25">
      <c r="A219" s="354" t="s">
        <v>63</v>
      </c>
      <c r="B219" s="330"/>
      <c r="C219" s="330"/>
      <c r="D219" s="330"/>
      <c r="E219" s="330"/>
      <c r="F219" s="330"/>
      <c r="G219" s="330"/>
      <c r="H219" s="330"/>
      <c r="I219" s="330"/>
      <c r="J219" s="330"/>
      <c r="K219" s="330"/>
      <c r="L219" s="330"/>
      <c r="M219" s="330"/>
      <c r="N219" s="330"/>
      <c r="O219" s="330"/>
      <c r="P219" s="330"/>
      <c r="Q219" s="330"/>
      <c r="R219" s="330"/>
      <c r="S219" s="330"/>
      <c r="T219" s="330"/>
      <c r="U219" s="330"/>
      <c r="V219" s="330"/>
      <c r="W219" s="330"/>
      <c r="X219" s="330"/>
      <c r="Y219" s="330"/>
      <c r="Z219" s="330"/>
      <c r="AA219" s="314"/>
      <c r="AB219" s="314"/>
      <c r="AC219" s="314"/>
    </row>
    <row r="220" spans="1:68" ht="16.5" customHeight="1" x14ac:dyDescent="0.25">
      <c r="A220" s="54" t="s">
        <v>353</v>
      </c>
      <c r="B220" s="54" t="s">
        <v>354</v>
      </c>
      <c r="C220" s="31">
        <v>4301071063</v>
      </c>
      <c r="D220" s="324">
        <v>4607111039019</v>
      </c>
      <c r="E220" s="325"/>
      <c r="F220" s="319">
        <v>0.43</v>
      </c>
      <c r="G220" s="32">
        <v>16</v>
      </c>
      <c r="H220" s="319">
        <v>6.88</v>
      </c>
      <c r="I220" s="319">
        <v>7.2060000000000004</v>
      </c>
      <c r="J220" s="32">
        <v>84</v>
      </c>
      <c r="K220" s="32" t="s">
        <v>66</v>
      </c>
      <c r="L220" s="32" t="s">
        <v>67</v>
      </c>
      <c r="M220" s="33" t="s">
        <v>68</v>
      </c>
      <c r="N220" s="33"/>
      <c r="O220" s="32">
        <v>180</v>
      </c>
      <c r="P220" s="333" t="s">
        <v>355</v>
      </c>
      <c r="Q220" s="334"/>
      <c r="R220" s="334"/>
      <c r="S220" s="334"/>
      <c r="T220" s="335"/>
      <c r="U220" s="34"/>
      <c r="V220" s="34"/>
      <c r="W220" s="35" t="s">
        <v>69</v>
      </c>
      <c r="X220" s="320">
        <v>0</v>
      </c>
      <c r="Y220" s="321">
        <f>IFERROR(IF(X220="","",X220),"")</f>
        <v>0</v>
      </c>
      <c r="Z220" s="36">
        <f>IFERROR(IF(X220="","",X220*0.0155),"")</f>
        <v>0</v>
      </c>
      <c r="AA220" s="56"/>
      <c r="AB220" s="57"/>
      <c r="AC220" s="240" t="s">
        <v>356</v>
      </c>
      <c r="AG220" s="67"/>
      <c r="AJ220" s="71" t="s">
        <v>71</v>
      </c>
      <c r="AK220" s="71">
        <v>1</v>
      </c>
      <c r="BB220" s="241" t="s">
        <v>1</v>
      </c>
      <c r="BM220" s="67">
        <f>IFERROR(X220*I220,"0")</f>
        <v>0</v>
      </c>
      <c r="BN220" s="67">
        <f>IFERROR(Y220*I220,"0")</f>
        <v>0</v>
      </c>
      <c r="BO220" s="67">
        <f>IFERROR(X220/J220,"0")</f>
        <v>0</v>
      </c>
      <c r="BP220" s="67">
        <f>IFERROR(Y220/J220,"0")</f>
        <v>0</v>
      </c>
    </row>
    <row r="221" spans="1:68" ht="16.5" customHeight="1" x14ac:dyDescent="0.25">
      <c r="A221" s="54" t="s">
        <v>357</v>
      </c>
      <c r="B221" s="54" t="s">
        <v>358</v>
      </c>
      <c r="C221" s="31">
        <v>4301071000</v>
      </c>
      <c r="D221" s="324">
        <v>4607111038708</v>
      </c>
      <c r="E221" s="325"/>
      <c r="F221" s="319">
        <v>0.8</v>
      </c>
      <c r="G221" s="32">
        <v>8</v>
      </c>
      <c r="H221" s="319">
        <v>6.4</v>
      </c>
      <c r="I221" s="319">
        <v>6.67</v>
      </c>
      <c r="J221" s="32">
        <v>84</v>
      </c>
      <c r="K221" s="32" t="s">
        <v>66</v>
      </c>
      <c r="L221" s="32" t="s">
        <v>67</v>
      </c>
      <c r="M221" s="33" t="s">
        <v>68</v>
      </c>
      <c r="N221" s="33"/>
      <c r="O221" s="32">
        <v>180</v>
      </c>
      <c r="P221" s="344" t="str">
        <f>HYPERLINK("https://abi.ru/products/Замороженные/Стародворье/Сочные/Пельмени/P004009/","Пельмени Сочные Сочные 0,8 Сфера Стародворье")</f>
        <v>Пельмени Сочные Сочные 0,8 Сфера Стародворье</v>
      </c>
      <c r="Q221" s="334"/>
      <c r="R221" s="334"/>
      <c r="S221" s="334"/>
      <c r="T221" s="335"/>
      <c r="U221" s="34"/>
      <c r="V221" s="34"/>
      <c r="W221" s="35" t="s">
        <v>69</v>
      </c>
      <c r="X221" s="320">
        <v>0</v>
      </c>
      <c r="Y221" s="321">
        <f>IFERROR(IF(X221="","",X221),"")</f>
        <v>0</v>
      </c>
      <c r="Z221" s="36">
        <f>IFERROR(IF(X221="","",X221*0.0155),"")</f>
        <v>0</v>
      </c>
      <c r="AA221" s="56"/>
      <c r="AB221" s="57"/>
      <c r="AC221" s="242" t="s">
        <v>356</v>
      </c>
      <c r="AG221" s="67"/>
      <c r="AJ221" s="71" t="s">
        <v>71</v>
      </c>
      <c r="AK221" s="71">
        <v>1</v>
      </c>
      <c r="BB221" s="243" t="s">
        <v>1</v>
      </c>
      <c r="BM221" s="67">
        <f>IFERROR(X221*I221,"0")</f>
        <v>0</v>
      </c>
      <c r="BN221" s="67">
        <f>IFERROR(Y221*I221,"0")</f>
        <v>0</v>
      </c>
      <c r="BO221" s="67">
        <f>IFERROR(X221/J221,"0")</f>
        <v>0</v>
      </c>
      <c r="BP221" s="67">
        <f>IFERROR(Y221/J221,"0")</f>
        <v>0</v>
      </c>
    </row>
    <row r="222" spans="1:68" x14ac:dyDescent="0.2">
      <c r="A222" s="336"/>
      <c r="B222" s="330"/>
      <c r="C222" s="330"/>
      <c r="D222" s="330"/>
      <c r="E222" s="330"/>
      <c r="F222" s="330"/>
      <c r="G222" s="330"/>
      <c r="H222" s="330"/>
      <c r="I222" s="330"/>
      <c r="J222" s="330"/>
      <c r="K222" s="330"/>
      <c r="L222" s="330"/>
      <c r="M222" s="330"/>
      <c r="N222" s="330"/>
      <c r="O222" s="337"/>
      <c r="P222" s="326" t="s">
        <v>72</v>
      </c>
      <c r="Q222" s="327"/>
      <c r="R222" s="327"/>
      <c r="S222" s="327"/>
      <c r="T222" s="327"/>
      <c r="U222" s="327"/>
      <c r="V222" s="328"/>
      <c r="W222" s="37" t="s">
        <v>69</v>
      </c>
      <c r="X222" s="322">
        <f>IFERROR(SUM(X220:X221),"0")</f>
        <v>0</v>
      </c>
      <c r="Y222" s="322">
        <f>IFERROR(SUM(Y220:Y221),"0")</f>
        <v>0</v>
      </c>
      <c r="Z222" s="322">
        <f>IFERROR(IF(Z220="",0,Z220),"0")+IFERROR(IF(Z221="",0,Z221),"0")</f>
        <v>0</v>
      </c>
      <c r="AA222" s="323"/>
      <c r="AB222" s="323"/>
      <c r="AC222" s="323"/>
    </row>
    <row r="223" spans="1:68" x14ac:dyDescent="0.2">
      <c r="A223" s="330"/>
      <c r="B223" s="330"/>
      <c r="C223" s="330"/>
      <c r="D223" s="330"/>
      <c r="E223" s="330"/>
      <c r="F223" s="330"/>
      <c r="G223" s="330"/>
      <c r="H223" s="330"/>
      <c r="I223" s="330"/>
      <c r="J223" s="330"/>
      <c r="K223" s="330"/>
      <c r="L223" s="330"/>
      <c r="M223" s="330"/>
      <c r="N223" s="330"/>
      <c r="O223" s="337"/>
      <c r="P223" s="326" t="s">
        <v>72</v>
      </c>
      <c r="Q223" s="327"/>
      <c r="R223" s="327"/>
      <c r="S223" s="327"/>
      <c r="T223" s="327"/>
      <c r="U223" s="327"/>
      <c r="V223" s="328"/>
      <c r="W223" s="37" t="s">
        <v>73</v>
      </c>
      <c r="X223" s="322">
        <f>IFERROR(SUMPRODUCT(X220:X221*H220:H221),"0")</f>
        <v>0</v>
      </c>
      <c r="Y223" s="322">
        <f>IFERROR(SUMPRODUCT(Y220:Y221*H220:H221),"0")</f>
        <v>0</v>
      </c>
      <c r="Z223" s="37"/>
      <c r="AA223" s="323"/>
      <c r="AB223" s="323"/>
      <c r="AC223" s="323"/>
    </row>
    <row r="224" spans="1:68" ht="27.75" customHeight="1" x14ac:dyDescent="0.2">
      <c r="A224" s="390" t="s">
        <v>359</v>
      </c>
      <c r="B224" s="391"/>
      <c r="C224" s="391"/>
      <c r="D224" s="391"/>
      <c r="E224" s="391"/>
      <c r="F224" s="391"/>
      <c r="G224" s="391"/>
      <c r="H224" s="391"/>
      <c r="I224" s="391"/>
      <c r="J224" s="391"/>
      <c r="K224" s="391"/>
      <c r="L224" s="391"/>
      <c r="M224" s="391"/>
      <c r="N224" s="391"/>
      <c r="O224" s="391"/>
      <c r="P224" s="391"/>
      <c r="Q224" s="391"/>
      <c r="R224" s="391"/>
      <c r="S224" s="391"/>
      <c r="T224" s="391"/>
      <c r="U224" s="391"/>
      <c r="V224" s="391"/>
      <c r="W224" s="391"/>
      <c r="X224" s="391"/>
      <c r="Y224" s="391"/>
      <c r="Z224" s="391"/>
      <c r="AA224" s="48"/>
      <c r="AB224" s="48"/>
      <c r="AC224" s="48"/>
    </row>
    <row r="225" spans="1:68" ht="16.5" customHeight="1" x14ac:dyDescent="0.25">
      <c r="A225" s="329" t="s">
        <v>360</v>
      </c>
      <c r="B225" s="330"/>
      <c r="C225" s="330"/>
      <c r="D225" s="330"/>
      <c r="E225" s="330"/>
      <c r="F225" s="330"/>
      <c r="G225" s="330"/>
      <c r="H225" s="330"/>
      <c r="I225" s="330"/>
      <c r="J225" s="330"/>
      <c r="K225" s="330"/>
      <c r="L225" s="330"/>
      <c r="M225" s="330"/>
      <c r="N225" s="330"/>
      <c r="O225" s="330"/>
      <c r="P225" s="330"/>
      <c r="Q225" s="330"/>
      <c r="R225" s="330"/>
      <c r="S225" s="330"/>
      <c r="T225" s="330"/>
      <c r="U225" s="330"/>
      <c r="V225" s="330"/>
      <c r="W225" s="330"/>
      <c r="X225" s="330"/>
      <c r="Y225" s="330"/>
      <c r="Z225" s="330"/>
      <c r="AA225" s="315"/>
      <c r="AB225" s="315"/>
      <c r="AC225" s="315"/>
    </row>
    <row r="226" spans="1:68" ht="14.25" customHeight="1" x14ac:dyDescent="0.25">
      <c r="A226" s="354" t="s">
        <v>63</v>
      </c>
      <c r="B226" s="330"/>
      <c r="C226" s="330"/>
      <c r="D226" s="330"/>
      <c r="E226" s="330"/>
      <c r="F226" s="330"/>
      <c r="G226" s="330"/>
      <c r="H226" s="330"/>
      <c r="I226" s="330"/>
      <c r="J226" s="330"/>
      <c r="K226" s="330"/>
      <c r="L226" s="330"/>
      <c r="M226" s="330"/>
      <c r="N226" s="330"/>
      <c r="O226" s="330"/>
      <c r="P226" s="330"/>
      <c r="Q226" s="330"/>
      <c r="R226" s="330"/>
      <c r="S226" s="330"/>
      <c r="T226" s="330"/>
      <c r="U226" s="330"/>
      <c r="V226" s="330"/>
      <c r="W226" s="330"/>
      <c r="X226" s="330"/>
      <c r="Y226" s="330"/>
      <c r="Z226" s="330"/>
      <c r="AA226" s="314"/>
      <c r="AB226" s="314"/>
      <c r="AC226" s="314"/>
    </row>
    <row r="227" spans="1:68" ht="27" customHeight="1" x14ac:dyDescent="0.25">
      <c r="A227" s="54" t="s">
        <v>361</v>
      </c>
      <c r="B227" s="54" t="s">
        <v>362</v>
      </c>
      <c r="C227" s="31">
        <v>4301071036</v>
      </c>
      <c r="D227" s="324">
        <v>4607111036162</v>
      </c>
      <c r="E227" s="325"/>
      <c r="F227" s="319">
        <v>0.8</v>
      </c>
      <c r="G227" s="32">
        <v>8</v>
      </c>
      <c r="H227" s="319">
        <v>6.4</v>
      </c>
      <c r="I227" s="319">
        <v>6.6811999999999996</v>
      </c>
      <c r="J227" s="32">
        <v>84</v>
      </c>
      <c r="K227" s="32" t="s">
        <v>66</v>
      </c>
      <c r="L227" s="32" t="s">
        <v>67</v>
      </c>
      <c r="M227" s="33" t="s">
        <v>68</v>
      </c>
      <c r="N227" s="33"/>
      <c r="O227" s="32">
        <v>90</v>
      </c>
      <c r="P227" s="490" t="s">
        <v>363</v>
      </c>
      <c r="Q227" s="334"/>
      <c r="R227" s="334"/>
      <c r="S227" s="334"/>
      <c r="T227" s="335"/>
      <c r="U227" s="34"/>
      <c r="V227" s="34"/>
      <c r="W227" s="35" t="s">
        <v>69</v>
      </c>
      <c r="X227" s="320">
        <v>0</v>
      </c>
      <c r="Y227" s="321">
        <f>IFERROR(IF(X227="","",X227),"")</f>
        <v>0</v>
      </c>
      <c r="Z227" s="36">
        <f>IFERROR(IF(X227="","",X227*0.0155),"")</f>
        <v>0</v>
      </c>
      <c r="AA227" s="56"/>
      <c r="AB227" s="57"/>
      <c r="AC227" s="244" t="s">
        <v>364</v>
      </c>
      <c r="AG227" s="67"/>
      <c r="AJ227" s="71" t="s">
        <v>71</v>
      </c>
      <c r="AK227" s="71">
        <v>1</v>
      </c>
      <c r="BB227" s="245" t="s">
        <v>1</v>
      </c>
      <c r="BM227" s="67">
        <f>IFERROR(X227*I227,"0")</f>
        <v>0</v>
      </c>
      <c r="BN227" s="67">
        <f>IFERROR(Y227*I227,"0")</f>
        <v>0</v>
      </c>
      <c r="BO227" s="67">
        <f>IFERROR(X227/J227,"0")</f>
        <v>0</v>
      </c>
      <c r="BP227" s="67">
        <f>IFERROR(Y227/J227,"0")</f>
        <v>0</v>
      </c>
    </row>
    <row r="228" spans="1:68" x14ac:dyDescent="0.2">
      <c r="A228" s="336"/>
      <c r="B228" s="330"/>
      <c r="C228" s="330"/>
      <c r="D228" s="330"/>
      <c r="E228" s="330"/>
      <c r="F228" s="330"/>
      <c r="G228" s="330"/>
      <c r="H228" s="330"/>
      <c r="I228" s="330"/>
      <c r="J228" s="330"/>
      <c r="K228" s="330"/>
      <c r="L228" s="330"/>
      <c r="M228" s="330"/>
      <c r="N228" s="330"/>
      <c r="O228" s="337"/>
      <c r="P228" s="326" t="s">
        <v>72</v>
      </c>
      <c r="Q228" s="327"/>
      <c r="R228" s="327"/>
      <c r="S228" s="327"/>
      <c r="T228" s="327"/>
      <c r="U228" s="327"/>
      <c r="V228" s="328"/>
      <c r="W228" s="37" t="s">
        <v>69</v>
      </c>
      <c r="X228" s="322">
        <f>IFERROR(SUM(X227:X227),"0")</f>
        <v>0</v>
      </c>
      <c r="Y228" s="322">
        <f>IFERROR(SUM(Y227:Y227),"0")</f>
        <v>0</v>
      </c>
      <c r="Z228" s="322">
        <f>IFERROR(IF(Z227="",0,Z227),"0")</f>
        <v>0</v>
      </c>
      <c r="AA228" s="323"/>
      <c r="AB228" s="323"/>
      <c r="AC228" s="323"/>
    </row>
    <row r="229" spans="1:68" x14ac:dyDescent="0.2">
      <c r="A229" s="330"/>
      <c r="B229" s="330"/>
      <c r="C229" s="330"/>
      <c r="D229" s="330"/>
      <c r="E229" s="330"/>
      <c r="F229" s="330"/>
      <c r="G229" s="330"/>
      <c r="H229" s="330"/>
      <c r="I229" s="330"/>
      <c r="J229" s="330"/>
      <c r="K229" s="330"/>
      <c r="L229" s="330"/>
      <c r="M229" s="330"/>
      <c r="N229" s="330"/>
      <c r="O229" s="337"/>
      <c r="P229" s="326" t="s">
        <v>72</v>
      </c>
      <c r="Q229" s="327"/>
      <c r="R229" s="327"/>
      <c r="S229" s="327"/>
      <c r="T229" s="327"/>
      <c r="U229" s="327"/>
      <c r="V229" s="328"/>
      <c r="W229" s="37" t="s">
        <v>73</v>
      </c>
      <c r="X229" s="322">
        <f>IFERROR(SUMPRODUCT(X227:X227*H227:H227),"0")</f>
        <v>0</v>
      </c>
      <c r="Y229" s="322">
        <f>IFERROR(SUMPRODUCT(Y227:Y227*H227:H227),"0")</f>
        <v>0</v>
      </c>
      <c r="Z229" s="37"/>
      <c r="AA229" s="323"/>
      <c r="AB229" s="323"/>
      <c r="AC229" s="323"/>
    </row>
    <row r="230" spans="1:68" ht="27.75" customHeight="1" x14ac:dyDescent="0.2">
      <c r="A230" s="390" t="s">
        <v>365</v>
      </c>
      <c r="B230" s="391"/>
      <c r="C230" s="391"/>
      <c r="D230" s="391"/>
      <c r="E230" s="391"/>
      <c r="F230" s="391"/>
      <c r="G230" s="391"/>
      <c r="H230" s="391"/>
      <c r="I230" s="391"/>
      <c r="J230" s="391"/>
      <c r="K230" s="391"/>
      <c r="L230" s="391"/>
      <c r="M230" s="391"/>
      <c r="N230" s="391"/>
      <c r="O230" s="391"/>
      <c r="P230" s="391"/>
      <c r="Q230" s="391"/>
      <c r="R230" s="391"/>
      <c r="S230" s="391"/>
      <c r="T230" s="391"/>
      <c r="U230" s="391"/>
      <c r="V230" s="391"/>
      <c r="W230" s="391"/>
      <c r="X230" s="391"/>
      <c r="Y230" s="391"/>
      <c r="Z230" s="391"/>
      <c r="AA230" s="48"/>
      <c r="AB230" s="48"/>
      <c r="AC230" s="48"/>
    </row>
    <row r="231" spans="1:68" ht="16.5" customHeight="1" x14ac:dyDescent="0.25">
      <c r="A231" s="329" t="s">
        <v>366</v>
      </c>
      <c r="B231" s="330"/>
      <c r="C231" s="330"/>
      <c r="D231" s="330"/>
      <c r="E231" s="330"/>
      <c r="F231" s="330"/>
      <c r="G231" s="330"/>
      <c r="H231" s="330"/>
      <c r="I231" s="330"/>
      <c r="J231" s="330"/>
      <c r="K231" s="330"/>
      <c r="L231" s="330"/>
      <c r="M231" s="330"/>
      <c r="N231" s="330"/>
      <c r="O231" s="330"/>
      <c r="P231" s="330"/>
      <c r="Q231" s="330"/>
      <c r="R231" s="330"/>
      <c r="S231" s="330"/>
      <c r="T231" s="330"/>
      <c r="U231" s="330"/>
      <c r="V231" s="330"/>
      <c r="W231" s="330"/>
      <c r="X231" s="330"/>
      <c r="Y231" s="330"/>
      <c r="Z231" s="330"/>
      <c r="AA231" s="315"/>
      <c r="AB231" s="315"/>
      <c r="AC231" s="315"/>
    </row>
    <row r="232" spans="1:68" ht="14.25" customHeight="1" x14ac:dyDescent="0.25">
      <c r="A232" s="354" t="s">
        <v>63</v>
      </c>
      <c r="B232" s="330"/>
      <c r="C232" s="330"/>
      <c r="D232" s="330"/>
      <c r="E232" s="330"/>
      <c r="F232" s="330"/>
      <c r="G232" s="330"/>
      <c r="H232" s="330"/>
      <c r="I232" s="330"/>
      <c r="J232" s="330"/>
      <c r="K232" s="330"/>
      <c r="L232" s="330"/>
      <c r="M232" s="330"/>
      <c r="N232" s="330"/>
      <c r="O232" s="330"/>
      <c r="P232" s="330"/>
      <c r="Q232" s="330"/>
      <c r="R232" s="330"/>
      <c r="S232" s="330"/>
      <c r="T232" s="330"/>
      <c r="U232" s="330"/>
      <c r="V232" s="330"/>
      <c r="W232" s="330"/>
      <c r="X232" s="330"/>
      <c r="Y232" s="330"/>
      <c r="Z232" s="330"/>
      <c r="AA232" s="314"/>
      <c r="AB232" s="314"/>
      <c r="AC232" s="314"/>
    </row>
    <row r="233" spans="1:68" ht="27" customHeight="1" x14ac:dyDescent="0.25">
      <c r="A233" s="54" t="s">
        <v>367</v>
      </c>
      <c r="B233" s="54" t="s">
        <v>368</v>
      </c>
      <c r="C233" s="31">
        <v>4301071029</v>
      </c>
      <c r="D233" s="324">
        <v>4607111035899</v>
      </c>
      <c r="E233" s="325"/>
      <c r="F233" s="319">
        <v>1</v>
      </c>
      <c r="G233" s="32">
        <v>5</v>
      </c>
      <c r="H233" s="319">
        <v>5</v>
      </c>
      <c r="I233" s="319">
        <v>5.2619999999999996</v>
      </c>
      <c r="J233" s="32">
        <v>84</v>
      </c>
      <c r="K233" s="32" t="s">
        <v>66</v>
      </c>
      <c r="L233" s="32" t="s">
        <v>88</v>
      </c>
      <c r="M233" s="33" t="s">
        <v>68</v>
      </c>
      <c r="N233" s="33"/>
      <c r="O233" s="32">
        <v>180</v>
      </c>
      <c r="P233" s="458" t="str">
        <f>HYPERLINK("https://abi.ru/products/Замороженные/Особый рецепт/Любимая ложка/Пельмени/P004081/","Пельмени Со свининой и говядиной Любимая ложка 1,0 Равиоли Особый рецепт")</f>
        <v>Пельмени Со свининой и говядиной Любимая ложка 1,0 Равиоли Особый рецепт</v>
      </c>
      <c r="Q233" s="334"/>
      <c r="R233" s="334"/>
      <c r="S233" s="334"/>
      <c r="T233" s="335"/>
      <c r="U233" s="34"/>
      <c r="V233" s="34"/>
      <c r="W233" s="35" t="s">
        <v>69</v>
      </c>
      <c r="X233" s="320">
        <v>0</v>
      </c>
      <c r="Y233" s="321">
        <f>IFERROR(IF(X233="","",X233),"")</f>
        <v>0</v>
      </c>
      <c r="Z233" s="36">
        <f>IFERROR(IF(X233="","",X233*0.0155),"")</f>
        <v>0</v>
      </c>
      <c r="AA233" s="56"/>
      <c r="AB233" s="57"/>
      <c r="AC233" s="246" t="s">
        <v>261</v>
      </c>
      <c r="AG233" s="67"/>
      <c r="AJ233" s="71" t="s">
        <v>89</v>
      </c>
      <c r="AK233" s="71">
        <v>84</v>
      </c>
      <c r="BB233" s="247" t="s">
        <v>1</v>
      </c>
      <c r="BM233" s="67">
        <f>IFERROR(X233*I233,"0")</f>
        <v>0</v>
      </c>
      <c r="BN233" s="67">
        <f>IFERROR(Y233*I233,"0")</f>
        <v>0</v>
      </c>
      <c r="BO233" s="67">
        <f>IFERROR(X233/J233,"0")</f>
        <v>0</v>
      </c>
      <c r="BP233" s="67">
        <f>IFERROR(Y233/J233,"0")</f>
        <v>0</v>
      </c>
    </row>
    <row r="234" spans="1:68" ht="27" customHeight="1" x14ac:dyDescent="0.25">
      <c r="A234" s="54" t="s">
        <v>369</v>
      </c>
      <c r="B234" s="54" t="s">
        <v>370</v>
      </c>
      <c r="C234" s="31">
        <v>4301070991</v>
      </c>
      <c r="D234" s="324">
        <v>4607111038180</v>
      </c>
      <c r="E234" s="325"/>
      <c r="F234" s="319">
        <v>0.4</v>
      </c>
      <c r="G234" s="32">
        <v>16</v>
      </c>
      <c r="H234" s="319">
        <v>6.4</v>
      </c>
      <c r="I234" s="319">
        <v>6.71</v>
      </c>
      <c r="J234" s="32">
        <v>84</v>
      </c>
      <c r="K234" s="32" t="s">
        <v>66</v>
      </c>
      <c r="L234" s="32" t="s">
        <v>67</v>
      </c>
      <c r="M234" s="33" t="s">
        <v>68</v>
      </c>
      <c r="N234" s="33"/>
      <c r="O234" s="32">
        <v>180</v>
      </c>
      <c r="P234" s="364" t="str">
        <f>HYPERLINK("https://abi.ru/products/Замороженные/Особый рецепт/Любимая ложка/Пельмени/P003732/","Пельмени «Татарские» Фикс.вес 0,4 Классическая форма ТМ «Особый рецепт»")</f>
        <v>Пельмени «Татарские» Фикс.вес 0,4 Классическая форма ТМ «Особый рецепт»</v>
      </c>
      <c r="Q234" s="334"/>
      <c r="R234" s="334"/>
      <c r="S234" s="334"/>
      <c r="T234" s="335"/>
      <c r="U234" s="34"/>
      <c r="V234" s="34"/>
      <c r="W234" s="35" t="s">
        <v>69</v>
      </c>
      <c r="X234" s="320">
        <v>0</v>
      </c>
      <c r="Y234" s="321">
        <f>IFERROR(IF(X234="","",X234),"")</f>
        <v>0</v>
      </c>
      <c r="Z234" s="36">
        <f>IFERROR(IF(X234="","",X234*0.0155),"")</f>
        <v>0</v>
      </c>
      <c r="AA234" s="56"/>
      <c r="AB234" s="57"/>
      <c r="AC234" s="248" t="s">
        <v>371</v>
      </c>
      <c r="AG234" s="67"/>
      <c r="AJ234" s="71" t="s">
        <v>71</v>
      </c>
      <c r="AK234" s="71">
        <v>1</v>
      </c>
      <c r="BB234" s="249" t="s">
        <v>1</v>
      </c>
      <c r="BM234" s="67">
        <f>IFERROR(X234*I234,"0")</f>
        <v>0</v>
      </c>
      <c r="BN234" s="67">
        <f>IFERROR(Y234*I234,"0")</f>
        <v>0</v>
      </c>
      <c r="BO234" s="67">
        <f>IFERROR(X234/J234,"0")</f>
        <v>0</v>
      </c>
      <c r="BP234" s="67">
        <f>IFERROR(Y234/J234,"0")</f>
        <v>0</v>
      </c>
    </row>
    <row r="235" spans="1:68" x14ac:dyDescent="0.2">
      <c r="A235" s="336"/>
      <c r="B235" s="330"/>
      <c r="C235" s="330"/>
      <c r="D235" s="330"/>
      <c r="E235" s="330"/>
      <c r="F235" s="330"/>
      <c r="G235" s="330"/>
      <c r="H235" s="330"/>
      <c r="I235" s="330"/>
      <c r="J235" s="330"/>
      <c r="K235" s="330"/>
      <c r="L235" s="330"/>
      <c r="M235" s="330"/>
      <c r="N235" s="330"/>
      <c r="O235" s="337"/>
      <c r="P235" s="326" t="s">
        <v>72</v>
      </c>
      <c r="Q235" s="327"/>
      <c r="R235" s="327"/>
      <c r="S235" s="327"/>
      <c r="T235" s="327"/>
      <c r="U235" s="327"/>
      <c r="V235" s="328"/>
      <c r="W235" s="37" t="s">
        <v>69</v>
      </c>
      <c r="X235" s="322">
        <f>IFERROR(SUM(X233:X234),"0")</f>
        <v>0</v>
      </c>
      <c r="Y235" s="322">
        <f>IFERROR(SUM(Y233:Y234),"0")</f>
        <v>0</v>
      </c>
      <c r="Z235" s="322">
        <f>IFERROR(IF(Z233="",0,Z233),"0")+IFERROR(IF(Z234="",0,Z234),"0")</f>
        <v>0</v>
      </c>
      <c r="AA235" s="323"/>
      <c r="AB235" s="323"/>
      <c r="AC235" s="323"/>
    </row>
    <row r="236" spans="1:68" x14ac:dyDescent="0.2">
      <c r="A236" s="330"/>
      <c r="B236" s="330"/>
      <c r="C236" s="330"/>
      <c r="D236" s="330"/>
      <c r="E236" s="330"/>
      <c r="F236" s="330"/>
      <c r="G236" s="330"/>
      <c r="H236" s="330"/>
      <c r="I236" s="330"/>
      <c r="J236" s="330"/>
      <c r="K236" s="330"/>
      <c r="L236" s="330"/>
      <c r="M236" s="330"/>
      <c r="N236" s="330"/>
      <c r="O236" s="337"/>
      <c r="P236" s="326" t="s">
        <v>72</v>
      </c>
      <c r="Q236" s="327"/>
      <c r="R236" s="327"/>
      <c r="S236" s="327"/>
      <c r="T236" s="327"/>
      <c r="U236" s="327"/>
      <c r="V236" s="328"/>
      <c r="W236" s="37" t="s">
        <v>73</v>
      </c>
      <c r="X236" s="322">
        <f>IFERROR(SUMPRODUCT(X233:X234*H233:H234),"0")</f>
        <v>0</v>
      </c>
      <c r="Y236" s="322">
        <f>IFERROR(SUMPRODUCT(Y233:Y234*H233:H234),"0")</f>
        <v>0</v>
      </c>
      <c r="Z236" s="37"/>
      <c r="AA236" s="323"/>
      <c r="AB236" s="323"/>
      <c r="AC236" s="323"/>
    </row>
    <row r="237" spans="1:68" ht="16.5" customHeight="1" x14ac:dyDescent="0.25">
      <c r="A237" s="329" t="s">
        <v>372</v>
      </c>
      <c r="B237" s="330"/>
      <c r="C237" s="330"/>
      <c r="D237" s="330"/>
      <c r="E237" s="330"/>
      <c r="F237" s="330"/>
      <c r="G237" s="330"/>
      <c r="H237" s="330"/>
      <c r="I237" s="330"/>
      <c r="J237" s="330"/>
      <c r="K237" s="330"/>
      <c r="L237" s="330"/>
      <c r="M237" s="330"/>
      <c r="N237" s="330"/>
      <c r="O237" s="330"/>
      <c r="P237" s="330"/>
      <c r="Q237" s="330"/>
      <c r="R237" s="330"/>
      <c r="S237" s="330"/>
      <c r="T237" s="330"/>
      <c r="U237" s="330"/>
      <c r="V237" s="330"/>
      <c r="W237" s="330"/>
      <c r="X237" s="330"/>
      <c r="Y237" s="330"/>
      <c r="Z237" s="330"/>
      <c r="AA237" s="315"/>
      <c r="AB237" s="315"/>
      <c r="AC237" s="315"/>
    </row>
    <row r="238" spans="1:68" ht="14.25" customHeight="1" x14ac:dyDescent="0.25">
      <c r="A238" s="354" t="s">
        <v>63</v>
      </c>
      <c r="B238" s="330"/>
      <c r="C238" s="330"/>
      <c r="D238" s="330"/>
      <c r="E238" s="330"/>
      <c r="F238" s="330"/>
      <c r="G238" s="330"/>
      <c r="H238" s="330"/>
      <c r="I238" s="330"/>
      <c r="J238" s="330"/>
      <c r="K238" s="330"/>
      <c r="L238" s="330"/>
      <c r="M238" s="330"/>
      <c r="N238" s="330"/>
      <c r="O238" s="330"/>
      <c r="P238" s="330"/>
      <c r="Q238" s="330"/>
      <c r="R238" s="330"/>
      <c r="S238" s="330"/>
      <c r="T238" s="330"/>
      <c r="U238" s="330"/>
      <c r="V238" s="330"/>
      <c r="W238" s="330"/>
      <c r="X238" s="330"/>
      <c r="Y238" s="330"/>
      <c r="Z238" s="330"/>
      <c r="AA238" s="314"/>
      <c r="AB238" s="314"/>
      <c r="AC238" s="314"/>
    </row>
    <row r="239" spans="1:68" ht="27" customHeight="1" x14ac:dyDescent="0.25">
      <c r="A239" s="54" t="s">
        <v>373</v>
      </c>
      <c r="B239" s="54" t="s">
        <v>374</v>
      </c>
      <c r="C239" s="31">
        <v>4301070870</v>
      </c>
      <c r="D239" s="324">
        <v>4607111036711</v>
      </c>
      <c r="E239" s="325"/>
      <c r="F239" s="319">
        <v>0.8</v>
      </c>
      <c r="G239" s="32">
        <v>8</v>
      </c>
      <c r="H239" s="319">
        <v>6.4</v>
      </c>
      <c r="I239" s="319">
        <v>6.67</v>
      </c>
      <c r="J239" s="32">
        <v>84</v>
      </c>
      <c r="K239" s="32" t="s">
        <v>66</v>
      </c>
      <c r="L239" s="32" t="s">
        <v>67</v>
      </c>
      <c r="M239" s="33" t="s">
        <v>68</v>
      </c>
      <c r="N239" s="33"/>
      <c r="O239" s="32">
        <v>90</v>
      </c>
      <c r="P239" s="430" t="str">
        <f>HYPERLINK("https://abi.ru/products/Замороженные/Особый рецепт/Особая Без свинины/Пельмени/P002686/","Пельмени Левантские Особая без свинины 0,8 Сфера Особый рецепт")</f>
        <v>Пельмени Левантские Особая без свинины 0,8 Сфера Особый рецепт</v>
      </c>
      <c r="Q239" s="334"/>
      <c r="R239" s="334"/>
      <c r="S239" s="334"/>
      <c r="T239" s="335"/>
      <c r="U239" s="34"/>
      <c r="V239" s="34"/>
      <c r="W239" s="35" t="s">
        <v>69</v>
      </c>
      <c r="X239" s="320">
        <v>0</v>
      </c>
      <c r="Y239" s="321">
        <f>IFERROR(IF(X239="","",X239),"")</f>
        <v>0</v>
      </c>
      <c r="Z239" s="36">
        <f>IFERROR(IF(X239="","",X239*0.0155),"")</f>
        <v>0</v>
      </c>
      <c r="AA239" s="56"/>
      <c r="AB239" s="57"/>
      <c r="AC239" s="250" t="s">
        <v>347</v>
      </c>
      <c r="AG239" s="67"/>
      <c r="AJ239" s="71" t="s">
        <v>71</v>
      </c>
      <c r="AK239" s="71">
        <v>1</v>
      </c>
      <c r="BB239" s="251" t="s">
        <v>1</v>
      </c>
      <c r="BM239" s="67">
        <f>IFERROR(X239*I239,"0")</f>
        <v>0</v>
      </c>
      <c r="BN239" s="67">
        <f>IFERROR(Y239*I239,"0")</f>
        <v>0</v>
      </c>
      <c r="BO239" s="67">
        <f>IFERROR(X239/J239,"0")</f>
        <v>0</v>
      </c>
      <c r="BP239" s="67">
        <f>IFERROR(Y239/J239,"0")</f>
        <v>0</v>
      </c>
    </row>
    <row r="240" spans="1:68" x14ac:dyDescent="0.2">
      <c r="A240" s="336"/>
      <c r="B240" s="330"/>
      <c r="C240" s="330"/>
      <c r="D240" s="330"/>
      <c r="E240" s="330"/>
      <c r="F240" s="330"/>
      <c r="G240" s="330"/>
      <c r="H240" s="330"/>
      <c r="I240" s="330"/>
      <c r="J240" s="330"/>
      <c r="K240" s="330"/>
      <c r="L240" s="330"/>
      <c r="M240" s="330"/>
      <c r="N240" s="330"/>
      <c r="O240" s="337"/>
      <c r="P240" s="326" t="s">
        <v>72</v>
      </c>
      <c r="Q240" s="327"/>
      <c r="R240" s="327"/>
      <c r="S240" s="327"/>
      <c r="T240" s="327"/>
      <c r="U240" s="327"/>
      <c r="V240" s="328"/>
      <c r="W240" s="37" t="s">
        <v>69</v>
      </c>
      <c r="X240" s="322">
        <f>IFERROR(SUM(X239:X239),"0")</f>
        <v>0</v>
      </c>
      <c r="Y240" s="322">
        <f>IFERROR(SUM(Y239:Y239),"0")</f>
        <v>0</v>
      </c>
      <c r="Z240" s="322">
        <f>IFERROR(IF(Z239="",0,Z239),"0")</f>
        <v>0</v>
      </c>
      <c r="AA240" s="323"/>
      <c r="AB240" s="323"/>
      <c r="AC240" s="323"/>
    </row>
    <row r="241" spans="1:68" x14ac:dyDescent="0.2">
      <c r="A241" s="330"/>
      <c r="B241" s="330"/>
      <c r="C241" s="330"/>
      <c r="D241" s="330"/>
      <c r="E241" s="330"/>
      <c r="F241" s="330"/>
      <c r="G241" s="330"/>
      <c r="H241" s="330"/>
      <c r="I241" s="330"/>
      <c r="J241" s="330"/>
      <c r="K241" s="330"/>
      <c r="L241" s="330"/>
      <c r="M241" s="330"/>
      <c r="N241" s="330"/>
      <c r="O241" s="337"/>
      <c r="P241" s="326" t="s">
        <v>72</v>
      </c>
      <c r="Q241" s="327"/>
      <c r="R241" s="327"/>
      <c r="S241" s="327"/>
      <c r="T241" s="327"/>
      <c r="U241" s="327"/>
      <c r="V241" s="328"/>
      <c r="W241" s="37" t="s">
        <v>73</v>
      </c>
      <c r="X241" s="322">
        <f>IFERROR(SUMPRODUCT(X239:X239*H239:H239),"0")</f>
        <v>0</v>
      </c>
      <c r="Y241" s="322">
        <f>IFERROR(SUMPRODUCT(Y239:Y239*H239:H239),"0")</f>
        <v>0</v>
      </c>
      <c r="Z241" s="37"/>
      <c r="AA241" s="323"/>
      <c r="AB241" s="323"/>
      <c r="AC241" s="323"/>
    </row>
    <row r="242" spans="1:68" ht="27.75" customHeight="1" x14ac:dyDescent="0.2">
      <c r="A242" s="390" t="s">
        <v>375</v>
      </c>
      <c r="B242" s="391"/>
      <c r="C242" s="391"/>
      <c r="D242" s="391"/>
      <c r="E242" s="391"/>
      <c r="F242" s="391"/>
      <c r="G242" s="391"/>
      <c r="H242" s="391"/>
      <c r="I242" s="391"/>
      <c r="J242" s="391"/>
      <c r="K242" s="391"/>
      <c r="L242" s="391"/>
      <c r="M242" s="391"/>
      <c r="N242" s="391"/>
      <c r="O242" s="391"/>
      <c r="P242" s="391"/>
      <c r="Q242" s="391"/>
      <c r="R242" s="391"/>
      <c r="S242" s="391"/>
      <c r="T242" s="391"/>
      <c r="U242" s="391"/>
      <c r="V242" s="391"/>
      <c r="W242" s="391"/>
      <c r="X242" s="391"/>
      <c r="Y242" s="391"/>
      <c r="Z242" s="391"/>
      <c r="AA242" s="48"/>
      <c r="AB242" s="48"/>
      <c r="AC242" s="48"/>
    </row>
    <row r="243" spans="1:68" ht="16.5" customHeight="1" x14ac:dyDescent="0.25">
      <c r="A243" s="329" t="s">
        <v>376</v>
      </c>
      <c r="B243" s="330"/>
      <c r="C243" s="330"/>
      <c r="D243" s="330"/>
      <c r="E243" s="330"/>
      <c r="F243" s="330"/>
      <c r="G243" s="330"/>
      <c r="H243" s="330"/>
      <c r="I243" s="330"/>
      <c r="J243" s="330"/>
      <c r="K243" s="330"/>
      <c r="L243" s="330"/>
      <c r="M243" s="330"/>
      <c r="N243" s="330"/>
      <c r="O243" s="330"/>
      <c r="P243" s="330"/>
      <c r="Q243" s="330"/>
      <c r="R243" s="330"/>
      <c r="S243" s="330"/>
      <c r="T243" s="330"/>
      <c r="U243" s="330"/>
      <c r="V243" s="330"/>
      <c r="W243" s="330"/>
      <c r="X243" s="330"/>
      <c r="Y243" s="330"/>
      <c r="Z243" s="330"/>
      <c r="AA243" s="315"/>
      <c r="AB243" s="315"/>
      <c r="AC243" s="315"/>
    </row>
    <row r="244" spans="1:68" ht="14.25" customHeight="1" x14ac:dyDescent="0.25">
      <c r="A244" s="354" t="s">
        <v>141</v>
      </c>
      <c r="B244" s="330"/>
      <c r="C244" s="330"/>
      <c r="D244" s="330"/>
      <c r="E244" s="330"/>
      <c r="F244" s="330"/>
      <c r="G244" s="330"/>
      <c r="H244" s="330"/>
      <c r="I244" s="330"/>
      <c r="J244" s="330"/>
      <c r="K244" s="330"/>
      <c r="L244" s="330"/>
      <c r="M244" s="330"/>
      <c r="N244" s="330"/>
      <c r="O244" s="330"/>
      <c r="P244" s="330"/>
      <c r="Q244" s="330"/>
      <c r="R244" s="330"/>
      <c r="S244" s="330"/>
      <c r="T244" s="330"/>
      <c r="U244" s="330"/>
      <c r="V244" s="330"/>
      <c r="W244" s="330"/>
      <c r="X244" s="330"/>
      <c r="Y244" s="330"/>
      <c r="Z244" s="330"/>
      <c r="AA244" s="314"/>
      <c r="AB244" s="314"/>
      <c r="AC244" s="314"/>
    </row>
    <row r="245" spans="1:68" ht="37.5" customHeight="1" x14ac:dyDescent="0.25">
      <c r="A245" s="54" t="s">
        <v>377</v>
      </c>
      <c r="B245" s="54" t="s">
        <v>378</v>
      </c>
      <c r="C245" s="31">
        <v>4301135400</v>
      </c>
      <c r="D245" s="324">
        <v>4607111039361</v>
      </c>
      <c r="E245" s="325"/>
      <c r="F245" s="319">
        <v>0.25</v>
      </c>
      <c r="G245" s="32">
        <v>12</v>
      </c>
      <c r="H245" s="319">
        <v>3</v>
      </c>
      <c r="I245" s="319">
        <v>3.7035999999999998</v>
      </c>
      <c r="J245" s="32">
        <v>70</v>
      </c>
      <c r="K245" s="32" t="s">
        <v>79</v>
      </c>
      <c r="L245" s="32" t="s">
        <v>67</v>
      </c>
      <c r="M245" s="33" t="s">
        <v>68</v>
      </c>
      <c r="N245" s="33"/>
      <c r="O245" s="32">
        <v>180</v>
      </c>
      <c r="P245" s="451" t="s">
        <v>379</v>
      </c>
      <c r="Q245" s="334"/>
      <c r="R245" s="334"/>
      <c r="S245" s="334"/>
      <c r="T245" s="335"/>
      <c r="U245" s="34"/>
      <c r="V245" s="34"/>
      <c r="W245" s="35" t="s">
        <v>69</v>
      </c>
      <c r="X245" s="320">
        <v>0</v>
      </c>
      <c r="Y245" s="321">
        <f>IFERROR(IF(X245="","",X245),"")</f>
        <v>0</v>
      </c>
      <c r="Z245" s="36">
        <f>IFERROR(IF(X245="","",X245*0.01788),"")</f>
        <v>0</v>
      </c>
      <c r="AA245" s="56"/>
      <c r="AB245" s="57"/>
      <c r="AC245" s="252" t="s">
        <v>380</v>
      </c>
      <c r="AG245" s="67"/>
      <c r="AJ245" s="71" t="s">
        <v>71</v>
      </c>
      <c r="AK245" s="71">
        <v>1</v>
      </c>
      <c r="BB245" s="253" t="s">
        <v>83</v>
      </c>
      <c r="BM245" s="67">
        <f>IFERROR(X245*I245,"0")</f>
        <v>0</v>
      </c>
      <c r="BN245" s="67">
        <f>IFERROR(Y245*I245,"0")</f>
        <v>0</v>
      </c>
      <c r="BO245" s="67">
        <f>IFERROR(X245/J245,"0")</f>
        <v>0</v>
      </c>
      <c r="BP245" s="67">
        <f>IFERROR(Y245/J245,"0")</f>
        <v>0</v>
      </c>
    </row>
    <row r="246" spans="1:68" x14ac:dyDescent="0.2">
      <c r="A246" s="336"/>
      <c r="B246" s="330"/>
      <c r="C246" s="330"/>
      <c r="D246" s="330"/>
      <c r="E246" s="330"/>
      <c r="F246" s="330"/>
      <c r="G246" s="330"/>
      <c r="H246" s="330"/>
      <c r="I246" s="330"/>
      <c r="J246" s="330"/>
      <c r="K246" s="330"/>
      <c r="L246" s="330"/>
      <c r="M246" s="330"/>
      <c r="N246" s="330"/>
      <c r="O246" s="337"/>
      <c r="P246" s="326" t="s">
        <v>72</v>
      </c>
      <c r="Q246" s="327"/>
      <c r="R246" s="327"/>
      <c r="S246" s="327"/>
      <c r="T246" s="327"/>
      <c r="U246" s="327"/>
      <c r="V246" s="328"/>
      <c r="W246" s="37" t="s">
        <v>69</v>
      </c>
      <c r="X246" s="322">
        <f>IFERROR(SUM(X245:X245),"0")</f>
        <v>0</v>
      </c>
      <c r="Y246" s="322">
        <f>IFERROR(SUM(Y245:Y245),"0")</f>
        <v>0</v>
      </c>
      <c r="Z246" s="322">
        <f>IFERROR(IF(Z245="",0,Z245),"0")</f>
        <v>0</v>
      </c>
      <c r="AA246" s="323"/>
      <c r="AB246" s="323"/>
      <c r="AC246" s="323"/>
    </row>
    <row r="247" spans="1:68" x14ac:dyDescent="0.2">
      <c r="A247" s="330"/>
      <c r="B247" s="330"/>
      <c r="C247" s="330"/>
      <c r="D247" s="330"/>
      <c r="E247" s="330"/>
      <c r="F247" s="330"/>
      <c r="G247" s="330"/>
      <c r="H247" s="330"/>
      <c r="I247" s="330"/>
      <c r="J247" s="330"/>
      <c r="K247" s="330"/>
      <c r="L247" s="330"/>
      <c r="M247" s="330"/>
      <c r="N247" s="330"/>
      <c r="O247" s="337"/>
      <c r="P247" s="326" t="s">
        <v>72</v>
      </c>
      <c r="Q247" s="327"/>
      <c r="R247" s="327"/>
      <c r="S247" s="327"/>
      <c r="T247" s="327"/>
      <c r="U247" s="327"/>
      <c r="V247" s="328"/>
      <c r="W247" s="37" t="s">
        <v>73</v>
      </c>
      <c r="X247" s="322">
        <f>IFERROR(SUMPRODUCT(X245:X245*H245:H245),"0")</f>
        <v>0</v>
      </c>
      <c r="Y247" s="322">
        <f>IFERROR(SUMPRODUCT(Y245:Y245*H245:H245),"0")</f>
        <v>0</v>
      </c>
      <c r="Z247" s="37"/>
      <c r="AA247" s="323"/>
      <c r="AB247" s="323"/>
      <c r="AC247" s="323"/>
    </row>
    <row r="248" spans="1:68" ht="27.75" customHeight="1" x14ac:dyDescent="0.2">
      <c r="A248" s="390" t="s">
        <v>245</v>
      </c>
      <c r="B248" s="391"/>
      <c r="C248" s="391"/>
      <c r="D248" s="391"/>
      <c r="E248" s="391"/>
      <c r="F248" s="391"/>
      <c r="G248" s="391"/>
      <c r="H248" s="391"/>
      <c r="I248" s="391"/>
      <c r="J248" s="391"/>
      <c r="K248" s="391"/>
      <c r="L248" s="391"/>
      <c r="M248" s="391"/>
      <c r="N248" s="391"/>
      <c r="O248" s="391"/>
      <c r="P248" s="391"/>
      <c r="Q248" s="391"/>
      <c r="R248" s="391"/>
      <c r="S248" s="391"/>
      <c r="T248" s="391"/>
      <c r="U248" s="391"/>
      <c r="V248" s="391"/>
      <c r="W248" s="391"/>
      <c r="X248" s="391"/>
      <c r="Y248" s="391"/>
      <c r="Z248" s="391"/>
      <c r="AA248" s="48"/>
      <c r="AB248" s="48"/>
      <c r="AC248" s="48"/>
    </row>
    <row r="249" spans="1:68" ht="16.5" customHeight="1" x14ac:dyDescent="0.25">
      <c r="A249" s="329" t="s">
        <v>245</v>
      </c>
      <c r="B249" s="330"/>
      <c r="C249" s="330"/>
      <c r="D249" s="330"/>
      <c r="E249" s="330"/>
      <c r="F249" s="330"/>
      <c r="G249" s="330"/>
      <c r="H249" s="330"/>
      <c r="I249" s="330"/>
      <c r="J249" s="330"/>
      <c r="K249" s="330"/>
      <c r="L249" s="330"/>
      <c r="M249" s="330"/>
      <c r="N249" s="330"/>
      <c r="O249" s="330"/>
      <c r="P249" s="330"/>
      <c r="Q249" s="330"/>
      <c r="R249" s="330"/>
      <c r="S249" s="330"/>
      <c r="T249" s="330"/>
      <c r="U249" s="330"/>
      <c r="V249" s="330"/>
      <c r="W249" s="330"/>
      <c r="X249" s="330"/>
      <c r="Y249" s="330"/>
      <c r="Z249" s="330"/>
      <c r="AA249" s="315"/>
      <c r="AB249" s="315"/>
      <c r="AC249" s="315"/>
    </row>
    <row r="250" spans="1:68" ht="14.25" customHeight="1" x14ac:dyDescent="0.25">
      <c r="A250" s="354" t="s">
        <v>63</v>
      </c>
      <c r="B250" s="330"/>
      <c r="C250" s="330"/>
      <c r="D250" s="330"/>
      <c r="E250" s="330"/>
      <c r="F250" s="330"/>
      <c r="G250" s="330"/>
      <c r="H250" s="330"/>
      <c r="I250" s="330"/>
      <c r="J250" s="330"/>
      <c r="K250" s="330"/>
      <c r="L250" s="330"/>
      <c r="M250" s="330"/>
      <c r="N250" s="330"/>
      <c r="O250" s="330"/>
      <c r="P250" s="330"/>
      <c r="Q250" s="330"/>
      <c r="R250" s="330"/>
      <c r="S250" s="330"/>
      <c r="T250" s="330"/>
      <c r="U250" s="330"/>
      <c r="V250" s="330"/>
      <c r="W250" s="330"/>
      <c r="X250" s="330"/>
      <c r="Y250" s="330"/>
      <c r="Z250" s="330"/>
      <c r="AA250" s="314"/>
      <c r="AB250" s="314"/>
      <c r="AC250" s="314"/>
    </row>
    <row r="251" spans="1:68" ht="27" customHeight="1" x14ac:dyDescent="0.25">
      <c r="A251" s="54" t="s">
        <v>381</v>
      </c>
      <c r="B251" s="54" t="s">
        <v>382</v>
      </c>
      <c r="C251" s="31">
        <v>4301071014</v>
      </c>
      <c r="D251" s="324">
        <v>4640242181264</v>
      </c>
      <c r="E251" s="325"/>
      <c r="F251" s="319">
        <v>0.7</v>
      </c>
      <c r="G251" s="32">
        <v>10</v>
      </c>
      <c r="H251" s="319">
        <v>7</v>
      </c>
      <c r="I251" s="319">
        <v>7.28</v>
      </c>
      <c r="J251" s="32">
        <v>84</v>
      </c>
      <c r="K251" s="32" t="s">
        <v>66</v>
      </c>
      <c r="L251" s="32" t="s">
        <v>80</v>
      </c>
      <c r="M251" s="33" t="s">
        <v>68</v>
      </c>
      <c r="N251" s="33"/>
      <c r="O251" s="32">
        <v>180</v>
      </c>
      <c r="P251" s="471" t="s">
        <v>383</v>
      </c>
      <c r="Q251" s="334"/>
      <c r="R251" s="334"/>
      <c r="S251" s="334"/>
      <c r="T251" s="335"/>
      <c r="U251" s="34"/>
      <c r="V251" s="34"/>
      <c r="W251" s="35" t="s">
        <v>69</v>
      </c>
      <c r="X251" s="320">
        <v>0</v>
      </c>
      <c r="Y251" s="321">
        <f>IFERROR(IF(X251="","",X251),"")</f>
        <v>0</v>
      </c>
      <c r="Z251" s="36">
        <f>IFERROR(IF(X251="","",X251*0.0155),"")</f>
        <v>0</v>
      </c>
      <c r="AA251" s="56"/>
      <c r="AB251" s="57"/>
      <c r="AC251" s="254" t="s">
        <v>384</v>
      </c>
      <c r="AG251" s="67"/>
      <c r="AJ251" s="71" t="s">
        <v>82</v>
      </c>
      <c r="AK251" s="71">
        <v>12</v>
      </c>
      <c r="BB251" s="255" t="s">
        <v>1</v>
      </c>
      <c r="BM251" s="67">
        <f>IFERROR(X251*I251,"0")</f>
        <v>0</v>
      </c>
      <c r="BN251" s="67">
        <f>IFERROR(Y251*I251,"0")</f>
        <v>0</v>
      </c>
      <c r="BO251" s="67">
        <f>IFERROR(X251/J251,"0")</f>
        <v>0</v>
      </c>
      <c r="BP251" s="67">
        <f>IFERROR(Y251/J251,"0")</f>
        <v>0</v>
      </c>
    </row>
    <row r="252" spans="1:68" ht="27" customHeight="1" x14ac:dyDescent="0.25">
      <c r="A252" s="54" t="s">
        <v>385</v>
      </c>
      <c r="B252" s="54" t="s">
        <v>386</v>
      </c>
      <c r="C252" s="31">
        <v>4301071021</v>
      </c>
      <c r="D252" s="324">
        <v>4640242181325</v>
      </c>
      <c r="E252" s="325"/>
      <c r="F252" s="319">
        <v>0.7</v>
      </c>
      <c r="G252" s="32">
        <v>10</v>
      </c>
      <c r="H252" s="319">
        <v>7</v>
      </c>
      <c r="I252" s="319">
        <v>7.28</v>
      </c>
      <c r="J252" s="32">
        <v>84</v>
      </c>
      <c r="K252" s="32" t="s">
        <v>66</v>
      </c>
      <c r="L252" s="32" t="s">
        <v>80</v>
      </c>
      <c r="M252" s="33" t="s">
        <v>68</v>
      </c>
      <c r="N252" s="33"/>
      <c r="O252" s="32">
        <v>180</v>
      </c>
      <c r="P252" s="359" t="s">
        <v>387</v>
      </c>
      <c r="Q252" s="334"/>
      <c r="R252" s="334"/>
      <c r="S252" s="334"/>
      <c r="T252" s="335"/>
      <c r="U252" s="34"/>
      <c r="V252" s="34"/>
      <c r="W252" s="35" t="s">
        <v>69</v>
      </c>
      <c r="X252" s="320">
        <v>12</v>
      </c>
      <c r="Y252" s="321">
        <f>IFERROR(IF(X252="","",X252),"")</f>
        <v>12</v>
      </c>
      <c r="Z252" s="36">
        <f>IFERROR(IF(X252="","",X252*0.0155),"")</f>
        <v>0.186</v>
      </c>
      <c r="AA252" s="56"/>
      <c r="AB252" s="57"/>
      <c r="AC252" s="256" t="s">
        <v>384</v>
      </c>
      <c r="AG252" s="67"/>
      <c r="AJ252" s="71" t="s">
        <v>82</v>
      </c>
      <c r="AK252" s="71">
        <v>12</v>
      </c>
      <c r="BB252" s="257" t="s">
        <v>1</v>
      </c>
      <c r="BM252" s="67">
        <f>IFERROR(X252*I252,"0")</f>
        <v>87.36</v>
      </c>
      <c r="BN252" s="67">
        <f>IFERROR(Y252*I252,"0")</f>
        <v>87.36</v>
      </c>
      <c r="BO252" s="67">
        <f>IFERROR(X252/J252,"0")</f>
        <v>0.14285714285714285</v>
      </c>
      <c r="BP252" s="67">
        <f>IFERROR(Y252/J252,"0")</f>
        <v>0.14285714285714285</v>
      </c>
    </row>
    <row r="253" spans="1:68" ht="27" customHeight="1" x14ac:dyDescent="0.25">
      <c r="A253" s="54" t="s">
        <v>388</v>
      </c>
      <c r="B253" s="54" t="s">
        <v>389</v>
      </c>
      <c r="C253" s="31">
        <v>4301070993</v>
      </c>
      <c r="D253" s="324">
        <v>4640242180670</v>
      </c>
      <c r="E253" s="325"/>
      <c r="F253" s="319">
        <v>1</v>
      </c>
      <c r="G253" s="32">
        <v>6</v>
      </c>
      <c r="H253" s="319">
        <v>6</v>
      </c>
      <c r="I253" s="319">
        <v>6.23</v>
      </c>
      <c r="J253" s="32">
        <v>84</v>
      </c>
      <c r="K253" s="32" t="s">
        <v>66</v>
      </c>
      <c r="L253" s="32" t="s">
        <v>80</v>
      </c>
      <c r="M253" s="33" t="s">
        <v>68</v>
      </c>
      <c r="N253" s="33"/>
      <c r="O253" s="32">
        <v>180</v>
      </c>
      <c r="P253" s="514" t="s">
        <v>390</v>
      </c>
      <c r="Q253" s="334"/>
      <c r="R253" s="334"/>
      <c r="S253" s="334"/>
      <c r="T253" s="335"/>
      <c r="U253" s="34"/>
      <c r="V253" s="34"/>
      <c r="W253" s="35" t="s">
        <v>69</v>
      </c>
      <c r="X253" s="320">
        <v>0</v>
      </c>
      <c r="Y253" s="321">
        <f>IFERROR(IF(X253="","",X253),"")</f>
        <v>0</v>
      </c>
      <c r="Z253" s="36">
        <f>IFERROR(IF(X253="","",X253*0.0155),"")</f>
        <v>0</v>
      </c>
      <c r="AA253" s="56"/>
      <c r="AB253" s="57"/>
      <c r="AC253" s="258" t="s">
        <v>391</v>
      </c>
      <c r="AG253" s="67"/>
      <c r="AJ253" s="71" t="s">
        <v>82</v>
      </c>
      <c r="AK253" s="71">
        <v>12</v>
      </c>
      <c r="BB253" s="259" t="s">
        <v>1</v>
      </c>
      <c r="BM253" s="67">
        <f>IFERROR(X253*I253,"0")</f>
        <v>0</v>
      </c>
      <c r="BN253" s="67">
        <f>IFERROR(Y253*I253,"0")</f>
        <v>0</v>
      </c>
      <c r="BO253" s="67">
        <f>IFERROR(X253/J253,"0")</f>
        <v>0</v>
      </c>
      <c r="BP253" s="67">
        <f>IFERROR(Y253/J253,"0")</f>
        <v>0</v>
      </c>
    </row>
    <row r="254" spans="1:68" x14ac:dyDescent="0.2">
      <c r="A254" s="336"/>
      <c r="B254" s="330"/>
      <c r="C254" s="330"/>
      <c r="D254" s="330"/>
      <c r="E254" s="330"/>
      <c r="F254" s="330"/>
      <c r="G254" s="330"/>
      <c r="H254" s="330"/>
      <c r="I254" s="330"/>
      <c r="J254" s="330"/>
      <c r="K254" s="330"/>
      <c r="L254" s="330"/>
      <c r="M254" s="330"/>
      <c r="N254" s="330"/>
      <c r="O254" s="337"/>
      <c r="P254" s="326" t="s">
        <v>72</v>
      </c>
      <c r="Q254" s="327"/>
      <c r="R254" s="327"/>
      <c r="S254" s="327"/>
      <c r="T254" s="327"/>
      <c r="U254" s="327"/>
      <c r="V254" s="328"/>
      <c r="W254" s="37" t="s">
        <v>69</v>
      </c>
      <c r="X254" s="322">
        <f>IFERROR(SUM(X251:X253),"0")</f>
        <v>12</v>
      </c>
      <c r="Y254" s="322">
        <f>IFERROR(SUM(Y251:Y253),"0")</f>
        <v>12</v>
      </c>
      <c r="Z254" s="322">
        <f>IFERROR(IF(Z251="",0,Z251),"0")+IFERROR(IF(Z252="",0,Z252),"0")+IFERROR(IF(Z253="",0,Z253),"0")</f>
        <v>0.186</v>
      </c>
      <c r="AA254" s="323"/>
      <c r="AB254" s="323"/>
      <c r="AC254" s="323"/>
    </row>
    <row r="255" spans="1:68" x14ac:dyDescent="0.2">
      <c r="A255" s="330"/>
      <c r="B255" s="330"/>
      <c r="C255" s="330"/>
      <c r="D255" s="330"/>
      <c r="E255" s="330"/>
      <c r="F255" s="330"/>
      <c r="G255" s="330"/>
      <c r="H255" s="330"/>
      <c r="I255" s="330"/>
      <c r="J255" s="330"/>
      <c r="K255" s="330"/>
      <c r="L255" s="330"/>
      <c r="M255" s="330"/>
      <c r="N255" s="330"/>
      <c r="O255" s="337"/>
      <c r="P255" s="326" t="s">
        <v>72</v>
      </c>
      <c r="Q255" s="327"/>
      <c r="R255" s="327"/>
      <c r="S255" s="327"/>
      <c r="T255" s="327"/>
      <c r="U255" s="327"/>
      <c r="V255" s="328"/>
      <c r="W255" s="37" t="s">
        <v>73</v>
      </c>
      <c r="X255" s="322">
        <f>IFERROR(SUMPRODUCT(X251:X253*H251:H253),"0")</f>
        <v>84</v>
      </c>
      <c r="Y255" s="322">
        <f>IFERROR(SUMPRODUCT(Y251:Y253*H251:H253),"0")</f>
        <v>84</v>
      </c>
      <c r="Z255" s="37"/>
      <c r="AA255" s="323"/>
      <c r="AB255" s="323"/>
      <c r="AC255" s="323"/>
    </row>
    <row r="256" spans="1:68" ht="14.25" customHeight="1" x14ac:dyDescent="0.25">
      <c r="A256" s="354" t="s">
        <v>146</v>
      </c>
      <c r="B256" s="330"/>
      <c r="C256" s="330"/>
      <c r="D256" s="330"/>
      <c r="E256" s="330"/>
      <c r="F256" s="330"/>
      <c r="G256" s="330"/>
      <c r="H256" s="330"/>
      <c r="I256" s="330"/>
      <c r="J256" s="330"/>
      <c r="K256" s="330"/>
      <c r="L256" s="330"/>
      <c r="M256" s="330"/>
      <c r="N256" s="330"/>
      <c r="O256" s="330"/>
      <c r="P256" s="330"/>
      <c r="Q256" s="330"/>
      <c r="R256" s="330"/>
      <c r="S256" s="330"/>
      <c r="T256" s="330"/>
      <c r="U256" s="330"/>
      <c r="V256" s="330"/>
      <c r="W256" s="330"/>
      <c r="X256" s="330"/>
      <c r="Y256" s="330"/>
      <c r="Z256" s="330"/>
      <c r="AA256" s="314"/>
      <c r="AB256" s="314"/>
      <c r="AC256" s="314"/>
    </row>
    <row r="257" spans="1:68" ht="27" customHeight="1" x14ac:dyDescent="0.25">
      <c r="A257" s="54" t="s">
        <v>392</v>
      </c>
      <c r="B257" s="54" t="s">
        <v>393</v>
      </c>
      <c r="C257" s="31">
        <v>4301131019</v>
      </c>
      <c r="D257" s="324">
        <v>4640242180427</v>
      </c>
      <c r="E257" s="325"/>
      <c r="F257" s="319">
        <v>1.8</v>
      </c>
      <c r="G257" s="32">
        <v>1</v>
      </c>
      <c r="H257" s="319">
        <v>1.8</v>
      </c>
      <c r="I257" s="319">
        <v>1.915</v>
      </c>
      <c r="J257" s="32">
        <v>234</v>
      </c>
      <c r="K257" s="32" t="s">
        <v>136</v>
      </c>
      <c r="L257" s="32" t="s">
        <v>80</v>
      </c>
      <c r="M257" s="33" t="s">
        <v>68</v>
      </c>
      <c r="N257" s="33"/>
      <c r="O257" s="32">
        <v>180</v>
      </c>
      <c r="P257" s="482" t="s">
        <v>394</v>
      </c>
      <c r="Q257" s="334"/>
      <c r="R257" s="334"/>
      <c r="S257" s="334"/>
      <c r="T257" s="335"/>
      <c r="U257" s="34"/>
      <c r="V257" s="34"/>
      <c r="W257" s="35" t="s">
        <v>69</v>
      </c>
      <c r="X257" s="320">
        <v>36</v>
      </c>
      <c r="Y257" s="321">
        <f>IFERROR(IF(X257="","",X257),"")</f>
        <v>36</v>
      </c>
      <c r="Z257" s="36">
        <f>IFERROR(IF(X257="","",X257*0.00502),"")</f>
        <v>0.18071999999999999</v>
      </c>
      <c r="AA257" s="56"/>
      <c r="AB257" s="57"/>
      <c r="AC257" s="260" t="s">
        <v>395</v>
      </c>
      <c r="AG257" s="67"/>
      <c r="AJ257" s="71" t="s">
        <v>82</v>
      </c>
      <c r="AK257" s="71">
        <v>18</v>
      </c>
      <c r="BB257" s="261" t="s">
        <v>83</v>
      </c>
      <c r="BM257" s="67">
        <f>IFERROR(X257*I257,"0")</f>
        <v>68.94</v>
      </c>
      <c r="BN257" s="67">
        <f>IFERROR(Y257*I257,"0")</f>
        <v>68.94</v>
      </c>
      <c r="BO257" s="67">
        <f>IFERROR(X257/J257,"0")</f>
        <v>0.15384615384615385</v>
      </c>
      <c r="BP257" s="67">
        <f>IFERROR(Y257/J257,"0")</f>
        <v>0.15384615384615385</v>
      </c>
    </row>
    <row r="258" spans="1:68" x14ac:dyDescent="0.2">
      <c r="A258" s="336"/>
      <c r="B258" s="330"/>
      <c r="C258" s="330"/>
      <c r="D258" s="330"/>
      <c r="E258" s="330"/>
      <c r="F258" s="330"/>
      <c r="G258" s="330"/>
      <c r="H258" s="330"/>
      <c r="I258" s="330"/>
      <c r="J258" s="330"/>
      <c r="K258" s="330"/>
      <c r="L258" s="330"/>
      <c r="M258" s="330"/>
      <c r="N258" s="330"/>
      <c r="O258" s="337"/>
      <c r="P258" s="326" t="s">
        <v>72</v>
      </c>
      <c r="Q258" s="327"/>
      <c r="R258" s="327"/>
      <c r="S258" s="327"/>
      <c r="T258" s="327"/>
      <c r="U258" s="327"/>
      <c r="V258" s="328"/>
      <c r="W258" s="37" t="s">
        <v>69</v>
      </c>
      <c r="X258" s="322">
        <f>IFERROR(SUM(X257:X257),"0")</f>
        <v>36</v>
      </c>
      <c r="Y258" s="322">
        <f>IFERROR(SUM(Y257:Y257),"0")</f>
        <v>36</v>
      </c>
      <c r="Z258" s="322">
        <f>IFERROR(IF(Z257="",0,Z257),"0")</f>
        <v>0.18071999999999999</v>
      </c>
      <c r="AA258" s="323"/>
      <c r="AB258" s="323"/>
      <c r="AC258" s="323"/>
    </row>
    <row r="259" spans="1:68" x14ac:dyDescent="0.2">
      <c r="A259" s="330"/>
      <c r="B259" s="330"/>
      <c r="C259" s="330"/>
      <c r="D259" s="330"/>
      <c r="E259" s="330"/>
      <c r="F259" s="330"/>
      <c r="G259" s="330"/>
      <c r="H259" s="330"/>
      <c r="I259" s="330"/>
      <c r="J259" s="330"/>
      <c r="K259" s="330"/>
      <c r="L259" s="330"/>
      <c r="M259" s="330"/>
      <c r="N259" s="330"/>
      <c r="O259" s="337"/>
      <c r="P259" s="326" t="s">
        <v>72</v>
      </c>
      <c r="Q259" s="327"/>
      <c r="R259" s="327"/>
      <c r="S259" s="327"/>
      <c r="T259" s="327"/>
      <c r="U259" s="327"/>
      <c r="V259" s="328"/>
      <c r="W259" s="37" t="s">
        <v>73</v>
      </c>
      <c r="X259" s="322">
        <f>IFERROR(SUMPRODUCT(X257:X257*H257:H257),"0")</f>
        <v>64.8</v>
      </c>
      <c r="Y259" s="322">
        <f>IFERROR(SUMPRODUCT(Y257:Y257*H257:H257),"0")</f>
        <v>64.8</v>
      </c>
      <c r="Z259" s="37"/>
      <c r="AA259" s="323"/>
      <c r="AB259" s="323"/>
      <c r="AC259" s="323"/>
    </row>
    <row r="260" spans="1:68" ht="14.25" customHeight="1" x14ac:dyDescent="0.25">
      <c r="A260" s="354" t="s">
        <v>76</v>
      </c>
      <c r="B260" s="330"/>
      <c r="C260" s="330"/>
      <c r="D260" s="330"/>
      <c r="E260" s="330"/>
      <c r="F260" s="330"/>
      <c r="G260" s="330"/>
      <c r="H260" s="330"/>
      <c r="I260" s="330"/>
      <c r="J260" s="330"/>
      <c r="K260" s="330"/>
      <c r="L260" s="330"/>
      <c r="M260" s="330"/>
      <c r="N260" s="330"/>
      <c r="O260" s="330"/>
      <c r="P260" s="330"/>
      <c r="Q260" s="330"/>
      <c r="R260" s="330"/>
      <c r="S260" s="330"/>
      <c r="T260" s="330"/>
      <c r="U260" s="330"/>
      <c r="V260" s="330"/>
      <c r="W260" s="330"/>
      <c r="X260" s="330"/>
      <c r="Y260" s="330"/>
      <c r="Z260" s="330"/>
      <c r="AA260" s="314"/>
      <c r="AB260" s="314"/>
      <c r="AC260" s="314"/>
    </row>
    <row r="261" spans="1:68" ht="27" customHeight="1" x14ac:dyDescent="0.25">
      <c r="A261" s="54" t="s">
        <v>396</v>
      </c>
      <c r="B261" s="54" t="s">
        <v>397</v>
      </c>
      <c r="C261" s="31">
        <v>4301132080</v>
      </c>
      <c r="D261" s="324">
        <v>4640242180397</v>
      </c>
      <c r="E261" s="325"/>
      <c r="F261" s="319">
        <v>1</v>
      </c>
      <c r="G261" s="32">
        <v>6</v>
      </c>
      <c r="H261" s="319">
        <v>6</v>
      </c>
      <c r="I261" s="319">
        <v>6.26</v>
      </c>
      <c r="J261" s="32">
        <v>84</v>
      </c>
      <c r="K261" s="32" t="s">
        <v>66</v>
      </c>
      <c r="L261" s="32" t="s">
        <v>88</v>
      </c>
      <c r="M261" s="33" t="s">
        <v>68</v>
      </c>
      <c r="N261" s="33"/>
      <c r="O261" s="32">
        <v>180</v>
      </c>
      <c r="P261" s="462" t="s">
        <v>398</v>
      </c>
      <c r="Q261" s="334"/>
      <c r="R261" s="334"/>
      <c r="S261" s="334"/>
      <c r="T261" s="335"/>
      <c r="U261" s="34"/>
      <c r="V261" s="34"/>
      <c r="W261" s="35" t="s">
        <v>69</v>
      </c>
      <c r="X261" s="320">
        <v>24</v>
      </c>
      <c r="Y261" s="321">
        <f>IFERROR(IF(X261="","",X261),"")</f>
        <v>24</v>
      </c>
      <c r="Z261" s="36">
        <f>IFERROR(IF(X261="","",X261*0.0155),"")</f>
        <v>0.372</v>
      </c>
      <c r="AA261" s="56"/>
      <c r="AB261" s="57"/>
      <c r="AC261" s="262" t="s">
        <v>399</v>
      </c>
      <c r="AG261" s="67"/>
      <c r="AJ261" s="71" t="s">
        <v>89</v>
      </c>
      <c r="AK261" s="71">
        <v>84</v>
      </c>
      <c r="BB261" s="263" t="s">
        <v>83</v>
      </c>
      <c r="BM261" s="67">
        <f>IFERROR(X261*I261,"0")</f>
        <v>150.24</v>
      </c>
      <c r="BN261" s="67">
        <f>IFERROR(Y261*I261,"0")</f>
        <v>150.24</v>
      </c>
      <c r="BO261" s="67">
        <f>IFERROR(X261/J261,"0")</f>
        <v>0.2857142857142857</v>
      </c>
      <c r="BP261" s="67">
        <f>IFERROR(Y261/J261,"0")</f>
        <v>0.2857142857142857</v>
      </c>
    </row>
    <row r="262" spans="1:68" ht="27" customHeight="1" x14ac:dyDescent="0.25">
      <c r="A262" s="54" t="s">
        <v>400</v>
      </c>
      <c r="B262" s="54" t="s">
        <v>401</v>
      </c>
      <c r="C262" s="31">
        <v>4301132104</v>
      </c>
      <c r="D262" s="324">
        <v>4640242181219</v>
      </c>
      <c r="E262" s="325"/>
      <c r="F262" s="319">
        <v>0.3</v>
      </c>
      <c r="G262" s="32">
        <v>9</v>
      </c>
      <c r="H262" s="319">
        <v>2.7</v>
      </c>
      <c r="I262" s="319">
        <v>2.8450000000000002</v>
      </c>
      <c r="J262" s="32">
        <v>234</v>
      </c>
      <c r="K262" s="32" t="s">
        <v>136</v>
      </c>
      <c r="L262" s="32" t="s">
        <v>67</v>
      </c>
      <c r="M262" s="33" t="s">
        <v>68</v>
      </c>
      <c r="N262" s="33"/>
      <c r="O262" s="32">
        <v>180</v>
      </c>
      <c r="P262" s="520" t="s">
        <v>402</v>
      </c>
      <c r="Q262" s="334"/>
      <c r="R262" s="334"/>
      <c r="S262" s="334"/>
      <c r="T262" s="335"/>
      <c r="U262" s="34"/>
      <c r="V262" s="34"/>
      <c r="W262" s="35" t="s">
        <v>69</v>
      </c>
      <c r="X262" s="320">
        <v>0</v>
      </c>
      <c r="Y262" s="321">
        <f>IFERROR(IF(X262="","",X262),"")</f>
        <v>0</v>
      </c>
      <c r="Z262" s="36">
        <f>IFERROR(IF(X262="","",X262*0.00502),"")</f>
        <v>0</v>
      </c>
      <c r="AA262" s="56"/>
      <c r="AB262" s="57"/>
      <c r="AC262" s="264" t="s">
        <v>399</v>
      </c>
      <c r="AG262" s="67"/>
      <c r="AJ262" s="71" t="s">
        <v>71</v>
      </c>
      <c r="AK262" s="71">
        <v>1</v>
      </c>
      <c r="BB262" s="265" t="s">
        <v>83</v>
      </c>
      <c r="BM262" s="67">
        <f>IFERROR(X262*I262,"0")</f>
        <v>0</v>
      </c>
      <c r="BN262" s="67">
        <f>IFERROR(Y262*I262,"0")</f>
        <v>0</v>
      </c>
      <c r="BO262" s="67">
        <f>IFERROR(X262/J262,"0")</f>
        <v>0</v>
      </c>
      <c r="BP262" s="67">
        <f>IFERROR(Y262/J262,"0")</f>
        <v>0</v>
      </c>
    </row>
    <row r="263" spans="1:68" x14ac:dyDescent="0.2">
      <c r="A263" s="336"/>
      <c r="B263" s="330"/>
      <c r="C263" s="330"/>
      <c r="D263" s="330"/>
      <c r="E263" s="330"/>
      <c r="F263" s="330"/>
      <c r="G263" s="330"/>
      <c r="H263" s="330"/>
      <c r="I263" s="330"/>
      <c r="J263" s="330"/>
      <c r="K263" s="330"/>
      <c r="L263" s="330"/>
      <c r="M263" s="330"/>
      <c r="N263" s="330"/>
      <c r="O263" s="337"/>
      <c r="P263" s="326" t="s">
        <v>72</v>
      </c>
      <c r="Q263" s="327"/>
      <c r="R263" s="327"/>
      <c r="S263" s="327"/>
      <c r="T263" s="327"/>
      <c r="U263" s="327"/>
      <c r="V263" s="328"/>
      <c r="W263" s="37" t="s">
        <v>69</v>
      </c>
      <c r="X263" s="322">
        <f>IFERROR(SUM(X261:X262),"0")</f>
        <v>24</v>
      </c>
      <c r="Y263" s="322">
        <f>IFERROR(SUM(Y261:Y262),"0")</f>
        <v>24</v>
      </c>
      <c r="Z263" s="322">
        <f>IFERROR(IF(Z261="",0,Z261),"0")+IFERROR(IF(Z262="",0,Z262),"0")</f>
        <v>0.372</v>
      </c>
      <c r="AA263" s="323"/>
      <c r="AB263" s="323"/>
      <c r="AC263" s="323"/>
    </row>
    <row r="264" spans="1:68" x14ac:dyDescent="0.2">
      <c r="A264" s="330"/>
      <c r="B264" s="330"/>
      <c r="C264" s="330"/>
      <c r="D264" s="330"/>
      <c r="E264" s="330"/>
      <c r="F264" s="330"/>
      <c r="G264" s="330"/>
      <c r="H264" s="330"/>
      <c r="I264" s="330"/>
      <c r="J264" s="330"/>
      <c r="K264" s="330"/>
      <c r="L264" s="330"/>
      <c r="M264" s="330"/>
      <c r="N264" s="330"/>
      <c r="O264" s="337"/>
      <c r="P264" s="326" t="s">
        <v>72</v>
      </c>
      <c r="Q264" s="327"/>
      <c r="R264" s="327"/>
      <c r="S264" s="327"/>
      <c r="T264" s="327"/>
      <c r="U264" s="327"/>
      <c r="V264" s="328"/>
      <c r="W264" s="37" t="s">
        <v>73</v>
      </c>
      <c r="X264" s="322">
        <f>IFERROR(SUMPRODUCT(X261:X262*H261:H262),"0")</f>
        <v>144</v>
      </c>
      <c r="Y264" s="322">
        <f>IFERROR(SUMPRODUCT(Y261:Y262*H261:H262),"0")</f>
        <v>144</v>
      </c>
      <c r="Z264" s="37"/>
      <c r="AA264" s="323"/>
      <c r="AB264" s="323"/>
      <c r="AC264" s="323"/>
    </row>
    <row r="265" spans="1:68" ht="14.25" customHeight="1" x14ac:dyDescent="0.25">
      <c r="A265" s="354" t="s">
        <v>173</v>
      </c>
      <c r="B265" s="330"/>
      <c r="C265" s="330"/>
      <c r="D265" s="330"/>
      <c r="E265" s="330"/>
      <c r="F265" s="330"/>
      <c r="G265" s="330"/>
      <c r="H265" s="330"/>
      <c r="I265" s="330"/>
      <c r="J265" s="330"/>
      <c r="K265" s="330"/>
      <c r="L265" s="330"/>
      <c r="M265" s="330"/>
      <c r="N265" s="330"/>
      <c r="O265" s="330"/>
      <c r="P265" s="330"/>
      <c r="Q265" s="330"/>
      <c r="R265" s="330"/>
      <c r="S265" s="330"/>
      <c r="T265" s="330"/>
      <c r="U265" s="330"/>
      <c r="V265" s="330"/>
      <c r="W265" s="330"/>
      <c r="X265" s="330"/>
      <c r="Y265" s="330"/>
      <c r="Z265" s="330"/>
      <c r="AA265" s="314"/>
      <c r="AB265" s="314"/>
      <c r="AC265" s="314"/>
    </row>
    <row r="266" spans="1:68" ht="27" customHeight="1" x14ac:dyDescent="0.25">
      <c r="A266" s="54" t="s">
        <v>403</v>
      </c>
      <c r="B266" s="54" t="s">
        <v>404</v>
      </c>
      <c r="C266" s="31">
        <v>4301136028</v>
      </c>
      <c r="D266" s="324">
        <v>4640242180304</v>
      </c>
      <c r="E266" s="325"/>
      <c r="F266" s="319">
        <v>2.7</v>
      </c>
      <c r="G266" s="32">
        <v>1</v>
      </c>
      <c r="H266" s="319">
        <v>2.7</v>
      </c>
      <c r="I266" s="319">
        <v>2.8906000000000001</v>
      </c>
      <c r="J266" s="32">
        <v>126</v>
      </c>
      <c r="K266" s="32" t="s">
        <v>79</v>
      </c>
      <c r="L266" s="32" t="s">
        <v>80</v>
      </c>
      <c r="M266" s="33" t="s">
        <v>68</v>
      </c>
      <c r="N266" s="33"/>
      <c r="O266" s="32">
        <v>180</v>
      </c>
      <c r="P266" s="378" t="s">
        <v>405</v>
      </c>
      <c r="Q266" s="334"/>
      <c r="R266" s="334"/>
      <c r="S266" s="334"/>
      <c r="T266" s="335"/>
      <c r="U266" s="34"/>
      <c r="V266" s="34"/>
      <c r="W266" s="35" t="s">
        <v>69</v>
      </c>
      <c r="X266" s="320">
        <v>42</v>
      </c>
      <c r="Y266" s="321">
        <f>IFERROR(IF(X266="","",X266),"")</f>
        <v>42</v>
      </c>
      <c r="Z266" s="36">
        <f>IFERROR(IF(X266="","",X266*0.00936),"")</f>
        <v>0.39312000000000002</v>
      </c>
      <c r="AA266" s="56"/>
      <c r="AB266" s="57"/>
      <c r="AC266" s="266" t="s">
        <v>406</v>
      </c>
      <c r="AG266" s="67"/>
      <c r="AJ266" s="71" t="s">
        <v>82</v>
      </c>
      <c r="AK266" s="71">
        <v>14</v>
      </c>
      <c r="BB266" s="267" t="s">
        <v>83</v>
      </c>
      <c r="BM266" s="67">
        <f>IFERROR(X266*I266,"0")</f>
        <v>121.40520000000001</v>
      </c>
      <c r="BN266" s="67">
        <f>IFERROR(Y266*I266,"0")</f>
        <v>121.40520000000001</v>
      </c>
      <c r="BO266" s="67">
        <f>IFERROR(X266/J266,"0")</f>
        <v>0.33333333333333331</v>
      </c>
      <c r="BP266" s="67">
        <f>IFERROR(Y266/J266,"0")</f>
        <v>0.33333333333333331</v>
      </c>
    </row>
    <row r="267" spans="1:68" ht="27" customHeight="1" x14ac:dyDescent="0.25">
      <c r="A267" s="54" t="s">
        <v>407</v>
      </c>
      <c r="B267" s="54" t="s">
        <v>408</v>
      </c>
      <c r="C267" s="31">
        <v>4301136026</v>
      </c>
      <c r="D267" s="324">
        <v>4640242180236</v>
      </c>
      <c r="E267" s="325"/>
      <c r="F267" s="319">
        <v>5</v>
      </c>
      <c r="G267" s="32">
        <v>1</v>
      </c>
      <c r="H267" s="319">
        <v>5</v>
      </c>
      <c r="I267" s="319">
        <v>5.2350000000000003</v>
      </c>
      <c r="J267" s="32">
        <v>84</v>
      </c>
      <c r="K267" s="32" t="s">
        <v>66</v>
      </c>
      <c r="L267" s="32" t="s">
        <v>88</v>
      </c>
      <c r="M267" s="33" t="s">
        <v>68</v>
      </c>
      <c r="N267" s="33"/>
      <c r="O267" s="32">
        <v>180</v>
      </c>
      <c r="P267" s="447" t="s">
        <v>409</v>
      </c>
      <c r="Q267" s="334"/>
      <c r="R267" s="334"/>
      <c r="S267" s="334"/>
      <c r="T267" s="335"/>
      <c r="U267" s="34"/>
      <c r="V267" s="34"/>
      <c r="W267" s="35" t="s">
        <v>69</v>
      </c>
      <c r="X267" s="320">
        <v>48</v>
      </c>
      <c r="Y267" s="321">
        <f>IFERROR(IF(X267="","",X267),"")</f>
        <v>48</v>
      </c>
      <c r="Z267" s="36">
        <f>IFERROR(IF(X267="","",X267*0.0155),"")</f>
        <v>0.74399999999999999</v>
      </c>
      <c r="AA267" s="56"/>
      <c r="AB267" s="57"/>
      <c r="AC267" s="268" t="s">
        <v>406</v>
      </c>
      <c r="AG267" s="67"/>
      <c r="AJ267" s="71" t="s">
        <v>89</v>
      </c>
      <c r="AK267" s="71">
        <v>84</v>
      </c>
      <c r="BB267" s="269" t="s">
        <v>83</v>
      </c>
      <c r="BM267" s="67">
        <f>IFERROR(X267*I267,"0")</f>
        <v>251.28000000000003</v>
      </c>
      <c r="BN267" s="67">
        <f>IFERROR(Y267*I267,"0")</f>
        <v>251.28000000000003</v>
      </c>
      <c r="BO267" s="67">
        <f>IFERROR(X267/J267,"0")</f>
        <v>0.5714285714285714</v>
      </c>
      <c r="BP267" s="67">
        <f>IFERROR(Y267/J267,"0")</f>
        <v>0.5714285714285714</v>
      </c>
    </row>
    <row r="268" spans="1:68" ht="27" customHeight="1" x14ac:dyDescent="0.25">
      <c r="A268" s="54" t="s">
        <v>410</v>
      </c>
      <c r="B268" s="54" t="s">
        <v>411</v>
      </c>
      <c r="C268" s="31">
        <v>4301136029</v>
      </c>
      <c r="D268" s="324">
        <v>4640242180410</v>
      </c>
      <c r="E268" s="325"/>
      <c r="F268" s="319">
        <v>2.2400000000000002</v>
      </c>
      <c r="G268" s="32">
        <v>1</v>
      </c>
      <c r="H268" s="319">
        <v>2.2400000000000002</v>
      </c>
      <c r="I268" s="319">
        <v>2.4319999999999999</v>
      </c>
      <c r="J268" s="32">
        <v>126</v>
      </c>
      <c r="K268" s="32" t="s">
        <v>79</v>
      </c>
      <c r="L268" s="32" t="s">
        <v>67</v>
      </c>
      <c r="M268" s="33" t="s">
        <v>68</v>
      </c>
      <c r="N268" s="33"/>
      <c r="O268" s="32">
        <v>180</v>
      </c>
      <c r="P268" s="389" t="str">
        <f>HYPERLINK("https://abi.ru/products/Замороженные/Зареченские продукты/Зареченские продукты/Чебуреки/P003495/","Чебуреки «Сочный мегачебурек» Весовой ТМ «Зареченские» 2,24 кг")</f>
        <v>Чебуреки «Сочный мегачебурек» Весовой ТМ «Зареченские» 2,24 кг</v>
      </c>
      <c r="Q268" s="334"/>
      <c r="R268" s="334"/>
      <c r="S268" s="334"/>
      <c r="T268" s="335"/>
      <c r="U268" s="34"/>
      <c r="V268" s="34"/>
      <c r="W268" s="35" t="s">
        <v>69</v>
      </c>
      <c r="X268" s="320">
        <v>0</v>
      </c>
      <c r="Y268" s="321">
        <f>IFERROR(IF(X268="","",X268),"")</f>
        <v>0</v>
      </c>
      <c r="Z268" s="36">
        <f>IFERROR(IF(X268="","",X268*0.00936),"")</f>
        <v>0</v>
      </c>
      <c r="AA268" s="56"/>
      <c r="AB268" s="57"/>
      <c r="AC268" s="270" t="s">
        <v>406</v>
      </c>
      <c r="AG268" s="67"/>
      <c r="AJ268" s="71" t="s">
        <v>71</v>
      </c>
      <c r="AK268" s="71">
        <v>1</v>
      </c>
      <c r="BB268" s="271" t="s">
        <v>83</v>
      </c>
      <c r="BM268" s="67">
        <f>IFERROR(X268*I268,"0")</f>
        <v>0</v>
      </c>
      <c r="BN268" s="67">
        <f>IFERROR(Y268*I268,"0")</f>
        <v>0</v>
      </c>
      <c r="BO268" s="67">
        <f>IFERROR(X268/J268,"0")</f>
        <v>0</v>
      </c>
      <c r="BP268" s="67">
        <f>IFERROR(Y268/J268,"0")</f>
        <v>0</v>
      </c>
    </row>
    <row r="269" spans="1:68" x14ac:dyDescent="0.2">
      <c r="A269" s="336"/>
      <c r="B269" s="330"/>
      <c r="C269" s="330"/>
      <c r="D269" s="330"/>
      <c r="E269" s="330"/>
      <c r="F269" s="330"/>
      <c r="G269" s="330"/>
      <c r="H269" s="330"/>
      <c r="I269" s="330"/>
      <c r="J269" s="330"/>
      <c r="K269" s="330"/>
      <c r="L269" s="330"/>
      <c r="M269" s="330"/>
      <c r="N269" s="330"/>
      <c r="O269" s="337"/>
      <c r="P269" s="326" t="s">
        <v>72</v>
      </c>
      <c r="Q269" s="327"/>
      <c r="R269" s="327"/>
      <c r="S269" s="327"/>
      <c r="T269" s="327"/>
      <c r="U269" s="327"/>
      <c r="V269" s="328"/>
      <c r="W269" s="37" t="s">
        <v>69</v>
      </c>
      <c r="X269" s="322">
        <f>IFERROR(SUM(X266:X268),"0")</f>
        <v>90</v>
      </c>
      <c r="Y269" s="322">
        <f>IFERROR(SUM(Y266:Y268),"0")</f>
        <v>90</v>
      </c>
      <c r="Z269" s="322">
        <f>IFERROR(IF(Z266="",0,Z266),"0")+IFERROR(IF(Z267="",0,Z267),"0")+IFERROR(IF(Z268="",0,Z268),"0")</f>
        <v>1.1371199999999999</v>
      </c>
      <c r="AA269" s="323"/>
      <c r="AB269" s="323"/>
      <c r="AC269" s="323"/>
    </row>
    <row r="270" spans="1:68" x14ac:dyDescent="0.2">
      <c r="A270" s="330"/>
      <c r="B270" s="330"/>
      <c r="C270" s="330"/>
      <c r="D270" s="330"/>
      <c r="E270" s="330"/>
      <c r="F270" s="330"/>
      <c r="G270" s="330"/>
      <c r="H270" s="330"/>
      <c r="I270" s="330"/>
      <c r="J270" s="330"/>
      <c r="K270" s="330"/>
      <c r="L270" s="330"/>
      <c r="M270" s="330"/>
      <c r="N270" s="330"/>
      <c r="O270" s="337"/>
      <c r="P270" s="326" t="s">
        <v>72</v>
      </c>
      <c r="Q270" s="327"/>
      <c r="R270" s="327"/>
      <c r="S270" s="327"/>
      <c r="T270" s="327"/>
      <c r="U270" s="327"/>
      <c r="V270" s="328"/>
      <c r="W270" s="37" t="s">
        <v>73</v>
      </c>
      <c r="X270" s="322">
        <f>IFERROR(SUMPRODUCT(X266:X268*H266:H268),"0")</f>
        <v>353.4</v>
      </c>
      <c r="Y270" s="322">
        <f>IFERROR(SUMPRODUCT(Y266:Y268*H266:H268),"0")</f>
        <v>353.4</v>
      </c>
      <c r="Z270" s="37"/>
      <c r="AA270" s="323"/>
      <c r="AB270" s="323"/>
      <c r="AC270" s="323"/>
    </row>
    <row r="271" spans="1:68" ht="14.25" customHeight="1" x14ac:dyDescent="0.25">
      <c r="A271" s="354" t="s">
        <v>141</v>
      </c>
      <c r="B271" s="330"/>
      <c r="C271" s="330"/>
      <c r="D271" s="330"/>
      <c r="E271" s="330"/>
      <c r="F271" s="330"/>
      <c r="G271" s="330"/>
      <c r="H271" s="330"/>
      <c r="I271" s="330"/>
      <c r="J271" s="330"/>
      <c r="K271" s="330"/>
      <c r="L271" s="330"/>
      <c r="M271" s="330"/>
      <c r="N271" s="330"/>
      <c r="O271" s="330"/>
      <c r="P271" s="330"/>
      <c r="Q271" s="330"/>
      <c r="R271" s="330"/>
      <c r="S271" s="330"/>
      <c r="T271" s="330"/>
      <c r="U271" s="330"/>
      <c r="V271" s="330"/>
      <c r="W271" s="330"/>
      <c r="X271" s="330"/>
      <c r="Y271" s="330"/>
      <c r="Z271" s="330"/>
      <c r="AA271" s="314"/>
      <c r="AB271" s="314"/>
      <c r="AC271" s="314"/>
    </row>
    <row r="272" spans="1:68" ht="27" customHeight="1" x14ac:dyDescent="0.25">
      <c r="A272" s="54" t="s">
        <v>412</v>
      </c>
      <c r="B272" s="54" t="s">
        <v>413</v>
      </c>
      <c r="C272" s="31">
        <v>4301135504</v>
      </c>
      <c r="D272" s="324">
        <v>4640242181554</v>
      </c>
      <c r="E272" s="325"/>
      <c r="F272" s="319">
        <v>3</v>
      </c>
      <c r="G272" s="32">
        <v>1</v>
      </c>
      <c r="H272" s="319">
        <v>3</v>
      </c>
      <c r="I272" s="319">
        <v>3.1920000000000002</v>
      </c>
      <c r="J272" s="32">
        <v>126</v>
      </c>
      <c r="K272" s="32" t="s">
        <v>79</v>
      </c>
      <c r="L272" s="32" t="s">
        <v>67</v>
      </c>
      <c r="M272" s="33" t="s">
        <v>68</v>
      </c>
      <c r="N272" s="33"/>
      <c r="O272" s="32">
        <v>180</v>
      </c>
      <c r="P272" s="433" t="s">
        <v>414</v>
      </c>
      <c r="Q272" s="334"/>
      <c r="R272" s="334"/>
      <c r="S272" s="334"/>
      <c r="T272" s="335"/>
      <c r="U272" s="34"/>
      <c r="V272" s="34"/>
      <c r="W272" s="35" t="s">
        <v>69</v>
      </c>
      <c r="X272" s="320">
        <v>0</v>
      </c>
      <c r="Y272" s="321">
        <f t="shared" ref="Y272:Y291" si="24">IFERROR(IF(X272="","",X272),"")</f>
        <v>0</v>
      </c>
      <c r="Z272" s="36">
        <f>IFERROR(IF(X272="","",X272*0.00936),"")</f>
        <v>0</v>
      </c>
      <c r="AA272" s="56"/>
      <c r="AB272" s="57"/>
      <c r="AC272" s="272" t="s">
        <v>415</v>
      </c>
      <c r="AG272" s="67"/>
      <c r="AJ272" s="71" t="s">
        <v>71</v>
      </c>
      <c r="AK272" s="71">
        <v>1</v>
      </c>
      <c r="BB272" s="273" t="s">
        <v>83</v>
      </c>
      <c r="BM272" s="67">
        <f t="shared" ref="BM272:BM291" si="25">IFERROR(X272*I272,"0")</f>
        <v>0</v>
      </c>
      <c r="BN272" s="67">
        <f t="shared" ref="BN272:BN291" si="26">IFERROR(Y272*I272,"0")</f>
        <v>0</v>
      </c>
      <c r="BO272" s="67">
        <f t="shared" ref="BO272:BO291" si="27">IFERROR(X272/J272,"0")</f>
        <v>0</v>
      </c>
      <c r="BP272" s="67">
        <f t="shared" ref="BP272:BP291" si="28">IFERROR(Y272/J272,"0")</f>
        <v>0</v>
      </c>
    </row>
    <row r="273" spans="1:68" ht="27" customHeight="1" x14ac:dyDescent="0.25">
      <c r="A273" s="54" t="s">
        <v>416</v>
      </c>
      <c r="B273" s="54" t="s">
        <v>417</v>
      </c>
      <c r="C273" s="31">
        <v>4301135394</v>
      </c>
      <c r="D273" s="324">
        <v>4640242181561</v>
      </c>
      <c r="E273" s="325"/>
      <c r="F273" s="319">
        <v>3.7</v>
      </c>
      <c r="G273" s="32">
        <v>1</v>
      </c>
      <c r="H273" s="319">
        <v>3.7</v>
      </c>
      <c r="I273" s="319">
        <v>3.8919999999999999</v>
      </c>
      <c r="J273" s="32">
        <v>126</v>
      </c>
      <c r="K273" s="32" t="s">
        <v>79</v>
      </c>
      <c r="L273" s="32" t="s">
        <v>80</v>
      </c>
      <c r="M273" s="33" t="s">
        <v>68</v>
      </c>
      <c r="N273" s="33"/>
      <c r="O273" s="32">
        <v>180</v>
      </c>
      <c r="P273" s="384" t="s">
        <v>418</v>
      </c>
      <c r="Q273" s="334"/>
      <c r="R273" s="334"/>
      <c r="S273" s="334"/>
      <c r="T273" s="335"/>
      <c r="U273" s="34"/>
      <c r="V273" s="34"/>
      <c r="W273" s="35" t="s">
        <v>69</v>
      </c>
      <c r="X273" s="320">
        <v>0</v>
      </c>
      <c r="Y273" s="321">
        <f t="shared" si="24"/>
        <v>0</v>
      </c>
      <c r="Z273" s="36">
        <f>IFERROR(IF(X273="","",X273*0.00936),"")</f>
        <v>0</v>
      </c>
      <c r="AA273" s="56"/>
      <c r="AB273" s="57"/>
      <c r="AC273" s="274" t="s">
        <v>419</v>
      </c>
      <c r="AG273" s="67"/>
      <c r="AJ273" s="71" t="s">
        <v>82</v>
      </c>
      <c r="AK273" s="71">
        <v>14</v>
      </c>
      <c r="BB273" s="275" t="s">
        <v>83</v>
      </c>
      <c r="BM273" s="67">
        <f t="shared" si="25"/>
        <v>0</v>
      </c>
      <c r="BN273" s="67">
        <f t="shared" si="26"/>
        <v>0</v>
      </c>
      <c r="BO273" s="67">
        <f t="shared" si="27"/>
        <v>0</v>
      </c>
      <c r="BP273" s="67">
        <f t="shared" si="28"/>
        <v>0</v>
      </c>
    </row>
    <row r="274" spans="1:68" ht="37.5" customHeight="1" x14ac:dyDescent="0.25">
      <c r="A274" s="54" t="s">
        <v>420</v>
      </c>
      <c r="B274" s="54" t="s">
        <v>421</v>
      </c>
      <c r="C274" s="31">
        <v>4301135552</v>
      </c>
      <c r="D274" s="324">
        <v>4640242181431</v>
      </c>
      <c r="E274" s="325"/>
      <c r="F274" s="319">
        <v>3.5</v>
      </c>
      <c r="G274" s="32">
        <v>1</v>
      </c>
      <c r="H274" s="319">
        <v>3.5</v>
      </c>
      <c r="I274" s="319">
        <v>3.6920000000000002</v>
      </c>
      <c r="J274" s="32">
        <v>126</v>
      </c>
      <c r="K274" s="32" t="s">
        <v>79</v>
      </c>
      <c r="L274" s="32" t="s">
        <v>67</v>
      </c>
      <c r="M274" s="33" t="s">
        <v>68</v>
      </c>
      <c r="N274" s="33"/>
      <c r="O274" s="32">
        <v>180</v>
      </c>
      <c r="P274" s="478" t="s">
        <v>422</v>
      </c>
      <c r="Q274" s="334"/>
      <c r="R274" s="334"/>
      <c r="S274" s="334"/>
      <c r="T274" s="335"/>
      <c r="U274" s="34"/>
      <c r="V274" s="34"/>
      <c r="W274" s="35" t="s">
        <v>69</v>
      </c>
      <c r="X274" s="320">
        <v>0</v>
      </c>
      <c r="Y274" s="321">
        <f t="shared" si="24"/>
        <v>0</v>
      </c>
      <c r="Z274" s="36">
        <f>IFERROR(IF(X274="","",X274*0.00936),"")</f>
        <v>0</v>
      </c>
      <c r="AA274" s="56"/>
      <c r="AB274" s="57"/>
      <c r="AC274" s="276" t="s">
        <v>423</v>
      </c>
      <c r="AG274" s="67"/>
      <c r="AJ274" s="71" t="s">
        <v>71</v>
      </c>
      <c r="AK274" s="71">
        <v>1</v>
      </c>
      <c r="BB274" s="277" t="s">
        <v>83</v>
      </c>
      <c r="BM274" s="67">
        <f t="shared" si="25"/>
        <v>0</v>
      </c>
      <c r="BN274" s="67">
        <f t="shared" si="26"/>
        <v>0</v>
      </c>
      <c r="BO274" s="67">
        <f t="shared" si="27"/>
        <v>0</v>
      </c>
      <c r="BP274" s="67">
        <f t="shared" si="28"/>
        <v>0</v>
      </c>
    </row>
    <row r="275" spans="1:68" ht="27" customHeight="1" x14ac:dyDescent="0.25">
      <c r="A275" s="54" t="s">
        <v>424</v>
      </c>
      <c r="B275" s="54" t="s">
        <v>425</v>
      </c>
      <c r="C275" s="31">
        <v>4301135374</v>
      </c>
      <c r="D275" s="324">
        <v>4640242181424</v>
      </c>
      <c r="E275" s="325"/>
      <c r="F275" s="319">
        <v>5.5</v>
      </c>
      <c r="G275" s="32">
        <v>1</v>
      </c>
      <c r="H275" s="319">
        <v>5.5</v>
      </c>
      <c r="I275" s="319">
        <v>5.7350000000000003</v>
      </c>
      <c r="J275" s="32">
        <v>84</v>
      </c>
      <c r="K275" s="32" t="s">
        <v>66</v>
      </c>
      <c r="L275" s="32" t="s">
        <v>80</v>
      </c>
      <c r="M275" s="33" t="s">
        <v>68</v>
      </c>
      <c r="N275" s="33"/>
      <c r="O275" s="32">
        <v>180</v>
      </c>
      <c r="P275" s="351" t="s">
        <v>426</v>
      </c>
      <c r="Q275" s="334"/>
      <c r="R275" s="334"/>
      <c r="S275" s="334"/>
      <c r="T275" s="335"/>
      <c r="U275" s="34"/>
      <c r="V275" s="34"/>
      <c r="W275" s="35" t="s">
        <v>69</v>
      </c>
      <c r="X275" s="320">
        <v>0</v>
      </c>
      <c r="Y275" s="321">
        <f t="shared" si="24"/>
        <v>0</v>
      </c>
      <c r="Z275" s="36">
        <f>IFERROR(IF(X275="","",X275*0.0155),"")</f>
        <v>0</v>
      </c>
      <c r="AA275" s="56"/>
      <c r="AB275" s="57"/>
      <c r="AC275" s="278" t="s">
        <v>415</v>
      </c>
      <c r="AG275" s="67"/>
      <c r="AJ275" s="71" t="s">
        <v>82</v>
      </c>
      <c r="AK275" s="71">
        <v>12</v>
      </c>
      <c r="BB275" s="279" t="s">
        <v>83</v>
      </c>
      <c r="BM275" s="67">
        <f t="shared" si="25"/>
        <v>0</v>
      </c>
      <c r="BN275" s="67">
        <f t="shared" si="26"/>
        <v>0</v>
      </c>
      <c r="BO275" s="67">
        <f t="shared" si="27"/>
        <v>0</v>
      </c>
      <c r="BP275" s="67">
        <f t="shared" si="28"/>
        <v>0</v>
      </c>
    </row>
    <row r="276" spans="1:68" ht="27" customHeight="1" x14ac:dyDescent="0.25">
      <c r="A276" s="54" t="s">
        <v>427</v>
      </c>
      <c r="B276" s="54" t="s">
        <v>428</v>
      </c>
      <c r="C276" s="31">
        <v>4301135320</v>
      </c>
      <c r="D276" s="324">
        <v>4640242181592</v>
      </c>
      <c r="E276" s="325"/>
      <c r="F276" s="319">
        <v>3.5</v>
      </c>
      <c r="G276" s="32">
        <v>1</v>
      </c>
      <c r="H276" s="319">
        <v>3.5</v>
      </c>
      <c r="I276" s="319">
        <v>3.6850000000000001</v>
      </c>
      <c r="J276" s="32">
        <v>126</v>
      </c>
      <c r="K276" s="32" t="s">
        <v>79</v>
      </c>
      <c r="L276" s="32" t="s">
        <v>67</v>
      </c>
      <c r="M276" s="33" t="s">
        <v>68</v>
      </c>
      <c r="N276" s="33"/>
      <c r="O276" s="32">
        <v>180</v>
      </c>
      <c r="P276" s="495" t="s">
        <v>429</v>
      </c>
      <c r="Q276" s="334"/>
      <c r="R276" s="334"/>
      <c r="S276" s="334"/>
      <c r="T276" s="335"/>
      <c r="U276" s="34"/>
      <c r="V276" s="34"/>
      <c r="W276" s="35" t="s">
        <v>69</v>
      </c>
      <c r="X276" s="320">
        <v>0</v>
      </c>
      <c r="Y276" s="321">
        <f t="shared" si="24"/>
        <v>0</v>
      </c>
      <c r="Z276" s="36">
        <f t="shared" ref="Z276:Z283" si="29">IFERROR(IF(X276="","",X276*0.00936),"")</f>
        <v>0</v>
      </c>
      <c r="AA276" s="56"/>
      <c r="AB276" s="57"/>
      <c r="AC276" s="280" t="s">
        <v>430</v>
      </c>
      <c r="AG276" s="67"/>
      <c r="AJ276" s="71" t="s">
        <v>71</v>
      </c>
      <c r="AK276" s="71">
        <v>1</v>
      </c>
      <c r="BB276" s="281" t="s">
        <v>83</v>
      </c>
      <c r="BM276" s="67">
        <f t="shared" si="25"/>
        <v>0</v>
      </c>
      <c r="BN276" s="67">
        <f t="shared" si="26"/>
        <v>0</v>
      </c>
      <c r="BO276" s="67">
        <f t="shared" si="27"/>
        <v>0</v>
      </c>
      <c r="BP276" s="67">
        <f t="shared" si="28"/>
        <v>0</v>
      </c>
    </row>
    <row r="277" spans="1:68" ht="27" customHeight="1" x14ac:dyDescent="0.25">
      <c r="A277" s="54" t="s">
        <v>431</v>
      </c>
      <c r="B277" s="54" t="s">
        <v>432</v>
      </c>
      <c r="C277" s="31">
        <v>4301135405</v>
      </c>
      <c r="D277" s="324">
        <v>4640242181523</v>
      </c>
      <c r="E277" s="325"/>
      <c r="F277" s="319">
        <v>3</v>
      </c>
      <c r="G277" s="32">
        <v>1</v>
      </c>
      <c r="H277" s="319">
        <v>3</v>
      </c>
      <c r="I277" s="319">
        <v>3.1920000000000002</v>
      </c>
      <c r="J277" s="32">
        <v>126</v>
      </c>
      <c r="K277" s="32" t="s">
        <v>79</v>
      </c>
      <c r="L277" s="32" t="s">
        <v>80</v>
      </c>
      <c r="M277" s="33" t="s">
        <v>68</v>
      </c>
      <c r="N277" s="33"/>
      <c r="O277" s="32">
        <v>180</v>
      </c>
      <c r="P277" s="437" t="s">
        <v>433</v>
      </c>
      <c r="Q277" s="334"/>
      <c r="R277" s="334"/>
      <c r="S277" s="334"/>
      <c r="T277" s="335"/>
      <c r="U277" s="34"/>
      <c r="V277" s="34"/>
      <c r="W277" s="35" t="s">
        <v>69</v>
      </c>
      <c r="X277" s="320">
        <v>14</v>
      </c>
      <c r="Y277" s="321">
        <f t="shared" si="24"/>
        <v>14</v>
      </c>
      <c r="Z277" s="36">
        <f t="shared" si="29"/>
        <v>0.13103999999999999</v>
      </c>
      <c r="AA277" s="56"/>
      <c r="AB277" s="57"/>
      <c r="AC277" s="282" t="s">
        <v>419</v>
      </c>
      <c r="AG277" s="67"/>
      <c r="AJ277" s="71" t="s">
        <v>82</v>
      </c>
      <c r="AK277" s="71">
        <v>14</v>
      </c>
      <c r="BB277" s="283" t="s">
        <v>83</v>
      </c>
      <c r="BM277" s="67">
        <f t="shared" si="25"/>
        <v>44.688000000000002</v>
      </c>
      <c r="BN277" s="67">
        <f t="shared" si="26"/>
        <v>44.688000000000002</v>
      </c>
      <c r="BO277" s="67">
        <f t="shared" si="27"/>
        <v>0.1111111111111111</v>
      </c>
      <c r="BP277" s="67">
        <f t="shared" si="28"/>
        <v>0.1111111111111111</v>
      </c>
    </row>
    <row r="278" spans="1:68" ht="27" customHeight="1" x14ac:dyDescent="0.25">
      <c r="A278" s="54" t="s">
        <v>434</v>
      </c>
      <c r="B278" s="54" t="s">
        <v>435</v>
      </c>
      <c r="C278" s="31">
        <v>4301135404</v>
      </c>
      <c r="D278" s="324">
        <v>4640242181516</v>
      </c>
      <c r="E278" s="325"/>
      <c r="F278" s="319">
        <v>3.7</v>
      </c>
      <c r="G278" s="32">
        <v>1</v>
      </c>
      <c r="H278" s="319">
        <v>3.7</v>
      </c>
      <c r="I278" s="319">
        <v>3.8919999999999999</v>
      </c>
      <c r="J278" s="32">
        <v>126</v>
      </c>
      <c r="K278" s="32" t="s">
        <v>79</v>
      </c>
      <c r="L278" s="32" t="s">
        <v>67</v>
      </c>
      <c r="M278" s="33" t="s">
        <v>68</v>
      </c>
      <c r="N278" s="33"/>
      <c r="O278" s="32">
        <v>180</v>
      </c>
      <c r="P278" s="498" t="s">
        <v>436</v>
      </c>
      <c r="Q278" s="334"/>
      <c r="R278" s="334"/>
      <c r="S278" s="334"/>
      <c r="T278" s="335"/>
      <c r="U278" s="34"/>
      <c r="V278" s="34"/>
      <c r="W278" s="35" t="s">
        <v>69</v>
      </c>
      <c r="X278" s="320">
        <v>0</v>
      </c>
      <c r="Y278" s="321">
        <f t="shared" si="24"/>
        <v>0</v>
      </c>
      <c r="Z278" s="36">
        <f t="shared" si="29"/>
        <v>0</v>
      </c>
      <c r="AA278" s="56"/>
      <c r="AB278" s="57"/>
      <c r="AC278" s="284" t="s">
        <v>423</v>
      </c>
      <c r="AG278" s="67"/>
      <c r="AJ278" s="71" t="s">
        <v>71</v>
      </c>
      <c r="AK278" s="71">
        <v>1</v>
      </c>
      <c r="BB278" s="285" t="s">
        <v>83</v>
      </c>
      <c r="BM278" s="67">
        <f t="shared" si="25"/>
        <v>0</v>
      </c>
      <c r="BN278" s="67">
        <f t="shared" si="26"/>
        <v>0</v>
      </c>
      <c r="BO278" s="67">
        <f t="shared" si="27"/>
        <v>0</v>
      </c>
      <c r="BP278" s="67">
        <f t="shared" si="28"/>
        <v>0</v>
      </c>
    </row>
    <row r="279" spans="1:68" ht="37.5" customHeight="1" x14ac:dyDescent="0.25">
      <c r="A279" s="54" t="s">
        <v>437</v>
      </c>
      <c r="B279" s="54" t="s">
        <v>438</v>
      </c>
      <c r="C279" s="31">
        <v>4301135402</v>
      </c>
      <c r="D279" s="324">
        <v>4640242181493</v>
      </c>
      <c r="E279" s="325"/>
      <c r="F279" s="319">
        <v>3.7</v>
      </c>
      <c r="G279" s="32">
        <v>1</v>
      </c>
      <c r="H279" s="319">
        <v>3.7</v>
      </c>
      <c r="I279" s="319">
        <v>3.8919999999999999</v>
      </c>
      <c r="J279" s="32">
        <v>126</v>
      </c>
      <c r="K279" s="32" t="s">
        <v>79</v>
      </c>
      <c r="L279" s="32" t="s">
        <v>67</v>
      </c>
      <c r="M279" s="33" t="s">
        <v>68</v>
      </c>
      <c r="N279" s="33"/>
      <c r="O279" s="32">
        <v>180</v>
      </c>
      <c r="P279" s="470" t="s">
        <v>439</v>
      </c>
      <c r="Q279" s="334"/>
      <c r="R279" s="334"/>
      <c r="S279" s="334"/>
      <c r="T279" s="335"/>
      <c r="U279" s="34"/>
      <c r="V279" s="34"/>
      <c r="W279" s="35" t="s">
        <v>69</v>
      </c>
      <c r="X279" s="320">
        <v>0</v>
      </c>
      <c r="Y279" s="321">
        <f t="shared" si="24"/>
        <v>0</v>
      </c>
      <c r="Z279" s="36">
        <f t="shared" si="29"/>
        <v>0</v>
      </c>
      <c r="AA279" s="56"/>
      <c r="AB279" s="57"/>
      <c r="AC279" s="286" t="s">
        <v>415</v>
      </c>
      <c r="AG279" s="67"/>
      <c r="AJ279" s="71" t="s">
        <v>71</v>
      </c>
      <c r="AK279" s="71">
        <v>1</v>
      </c>
      <c r="BB279" s="287" t="s">
        <v>83</v>
      </c>
      <c r="BM279" s="67">
        <f t="shared" si="25"/>
        <v>0</v>
      </c>
      <c r="BN279" s="67">
        <f t="shared" si="26"/>
        <v>0</v>
      </c>
      <c r="BO279" s="67">
        <f t="shared" si="27"/>
        <v>0</v>
      </c>
      <c r="BP279" s="67">
        <f t="shared" si="28"/>
        <v>0</v>
      </c>
    </row>
    <row r="280" spans="1:68" ht="27" customHeight="1" x14ac:dyDescent="0.25">
      <c r="A280" s="54" t="s">
        <v>440</v>
      </c>
      <c r="B280" s="54" t="s">
        <v>441</v>
      </c>
      <c r="C280" s="31">
        <v>4301135375</v>
      </c>
      <c r="D280" s="324">
        <v>4640242181486</v>
      </c>
      <c r="E280" s="325"/>
      <c r="F280" s="319">
        <v>3.7</v>
      </c>
      <c r="G280" s="32">
        <v>1</v>
      </c>
      <c r="H280" s="319">
        <v>3.7</v>
      </c>
      <c r="I280" s="319">
        <v>3.8919999999999999</v>
      </c>
      <c r="J280" s="32">
        <v>126</v>
      </c>
      <c r="K280" s="32" t="s">
        <v>79</v>
      </c>
      <c r="L280" s="32" t="s">
        <v>88</v>
      </c>
      <c r="M280" s="33" t="s">
        <v>68</v>
      </c>
      <c r="N280" s="33"/>
      <c r="O280" s="32">
        <v>180</v>
      </c>
      <c r="P280" s="420" t="s">
        <v>442</v>
      </c>
      <c r="Q280" s="334"/>
      <c r="R280" s="334"/>
      <c r="S280" s="334"/>
      <c r="T280" s="335"/>
      <c r="U280" s="34"/>
      <c r="V280" s="34"/>
      <c r="W280" s="35" t="s">
        <v>69</v>
      </c>
      <c r="X280" s="320">
        <v>0</v>
      </c>
      <c r="Y280" s="321">
        <f t="shared" si="24"/>
        <v>0</v>
      </c>
      <c r="Z280" s="36">
        <f t="shared" si="29"/>
        <v>0</v>
      </c>
      <c r="AA280" s="56"/>
      <c r="AB280" s="57"/>
      <c r="AC280" s="288" t="s">
        <v>415</v>
      </c>
      <c r="AG280" s="67"/>
      <c r="AJ280" s="71" t="s">
        <v>89</v>
      </c>
      <c r="AK280" s="71">
        <v>126</v>
      </c>
      <c r="BB280" s="289" t="s">
        <v>83</v>
      </c>
      <c r="BM280" s="67">
        <f t="shared" si="25"/>
        <v>0</v>
      </c>
      <c r="BN280" s="67">
        <f t="shared" si="26"/>
        <v>0</v>
      </c>
      <c r="BO280" s="67">
        <f t="shared" si="27"/>
        <v>0</v>
      </c>
      <c r="BP280" s="67">
        <f t="shared" si="28"/>
        <v>0</v>
      </c>
    </row>
    <row r="281" spans="1:68" ht="27" customHeight="1" x14ac:dyDescent="0.25">
      <c r="A281" s="54" t="s">
        <v>443</v>
      </c>
      <c r="B281" s="54" t="s">
        <v>444</v>
      </c>
      <c r="C281" s="31">
        <v>4301135403</v>
      </c>
      <c r="D281" s="324">
        <v>4640242181509</v>
      </c>
      <c r="E281" s="325"/>
      <c r="F281" s="319">
        <v>3.7</v>
      </c>
      <c r="G281" s="32">
        <v>1</v>
      </c>
      <c r="H281" s="319">
        <v>3.7</v>
      </c>
      <c r="I281" s="319">
        <v>3.8919999999999999</v>
      </c>
      <c r="J281" s="32">
        <v>126</v>
      </c>
      <c r="K281" s="32" t="s">
        <v>79</v>
      </c>
      <c r="L281" s="32" t="s">
        <v>67</v>
      </c>
      <c r="M281" s="33" t="s">
        <v>68</v>
      </c>
      <c r="N281" s="33"/>
      <c r="O281" s="32">
        <v>180</v>
      </c>
      <c r="P281" s="408" t="s">
        <v>445</v>
      </c>
      <c r="Q281" s="334"/>
      <c r="R281" s="334"/>
      <c r="S281" s="334"/>
      <c r="T281" s="335"/>
      <c r="U281" s="34"/>
      <c r="V281" s="34"/>
      <c r="W281" s="35" t="s">
        <v>69</v>
      </c>
      <c r="X281" s="320">
        <v>0</v>
      </c>
      <c r="Y281" s="321">
        <f t="shared" si="24"/>
        <v>0</v>
      </c>
      <c r="Z281" s="36">
        <f t="shared" si="29"/>
        <v>0</v>
      </c>
      <c r="AA281" s="56"/>
      <c r="AB281" s="57"/>
      <c r="AC281" s="290" t="s">
        <v>415</v>
      </c>
      <c r="AG281" s="67"/>
      <c r="AJ281" s="71" t="s">
        <v>71</v>
      </c>
      <c r="AK281" s="71">
        <v>1</v>
      </c>
      <c r="BB281" s="291" t="s">
        <v>83</v>
      </c>
      <c r="BM281" s="67">
        <f t="shared" si="25"/>
        <v>0</v>
      </c>
      <c r="BN281" s="67">
        <f t="shared" si="26"/>
        <v>0</v>
      </c>
      <c r="BO281" s="67">
        <f t="shared" si="27"/>
        <v>0</v>
      </c>
      <c r="BP281" s="67">
        <f t="shared" si="28"/>
        <v>0</v>
      </c>
    </row>
    <row r="282" spans="1:68" ht="27" customHeight="1" x14ac:dyDescent="0.25">
      <c r="A282" s="54" t="s">
        <v>446</v>
      </c>
      <c r="B282" s="54" t="s">
        <v>447</v>
      </c>
      <c r="C282" s="31">
        <v>4301135304</v>
      </c>
      <c r="D282" s="324">
        <v>4640242181240</v>
      </c>
      <c r="E282" s="325"/>
      <c r="F282" s="319">
        <v>0.3</v>
      </c>
      <c r="G282" s="32">
        <v>9</v>
      </c>
      <c r="H282" s="319">
        <v>2.7</v>
      </c>
      <c r="I282" s="319">
        <v>2.88</v>
      </c>
      <c r="J282" s="32">
        <v>126</v>
      </c>
      <c r="K282" s="32" t="s">
        <v>79</v>
      </c>
      <c r="L282" s="32" t="s">
        <v>67</v>
      </c>
      <c r="M282" s="33" t="s">
        <v>68</v>
      </c>
      <c r="N282" s="33"/>
      <c r="O282" s="32">
        <v>180</v>
      </c>
      <c r="P282" s="491" t="s">
        <v>448</v>
      </c>
      <c r="Q282" s="334"/>
      <c r="R282" s="334"/>
      <c r="S282" s="334"/>
      <c r="T282" s="335"/>
      <c r="U282" s="34"/>
      <c r="V282" s="34"/>
      <c r="W282" s="35" t="s">
        <v>69</v>
      </c>
      <c r="X282" s="320">
        <v>0</v>
      </c>
      <c r="Y282" s="321">
        <f t="shared" si="24"/>
        <v>0</v>
      </c>
      <c r="Z282" s="36">
        <f t="shared" si="29"/>
        <v>0</v>
      </c>
      <c r="AA282" s="56"/>
      <c r="AB282" s="57"/>
      <c r="AC282" s="292" t="s">
        <v>415</v>
      </c>
      <c r="AG282" s="67"/>
      <c r="AJ282" s="71" t="s">
        <v>71</v>
      </c>
      <c r="AK282" s="71">
        <v>1</v>
      </c>
      <c r="BB282" s="293" t="s">
        <v>83</v>
      </c>
      <c r="BM282" s="67">
        <f t="shared" si="25"/>
        <v>0</v>
      </c>
      <c r="BN282" s="67">
        <f t="shared" si="26"/>
        <v>0</v>
      </c>
      <c r="BO282" s="67">
        <f t="shared" si="27"/>
        <v>0</v>
      </c>
      <c r="BP282" s="67">
        <f t="shared" si="28"/>
        <v>0</v>
      </c>
    </row>
    <row r="283" spans="1:68" ht="27" customHeight="1" x14ac:dyDescent="0.25">
      <c r="A283" s="54" t="s">
        <v>449</v>
      </c>
      <c r="B283" s="54" t="s">
        <v>450</v>
      </c>
      <c r="C283" s="31">
        <v>4301135310</v>
      </c>
      <c r="D283" s="324">
        <v>4640242181318</v>
      </c>
      <c r="E283" s="325"/>
      <c r="F283" s="319">
        <v>0.3</v>
      </c>
      <c r="G283" s="32">
        <v>9</v>
      </c>
      <c r="H283" s="319">
        <v>2.7</v>
      </c>
      <c r="I283" s="319">
        <v>2.988</v>
      </c>
      <c r="J283" s="32">
        <v>126</v>
      </c>
      <c r="K283" s="32" t="s">
        <v>79</v>
      </c>
      <c r="L283" s="32" t="s">
        <v>80</v>
      </c>
      <c r="M283" s="33" t="s">
        <v>68</v>
      </c>
      <c r="N283" s="33"/>
      <c r="O283" s="32">
        <v>180</v>
      </c>
      <c r="P283" s="436" t="s">
        <v>451</v>
      </c>
      <c r="Q283" s="334"/>
      <c r="R283" s="334"/>
      <c r="S283" s="334"/>
      <c r="T283" s="335"/>
      <c r="U283" s="34"/>
      <c r="V283" s="34"/>
      <c r="W283" s="35" t="s">
        <v>69</v>
      </c>
      <c r="X283" s="320">
        <v>0</v>
      </c>
      <c r="Y283" s="321">
        <f t="shared" si="24"/>
        <v>0</v>
      </c>
      <c r="Z283" s="36">
        <f t="shared" si="29"/>
        <v>0</v>
      </c>
      <c r="AA283" s="56"/>
      <c r="AB283" s="57"/>
      <c r="AC283" s="294" t="s">
        <v>419</v>
      </c>
      <c r="AG283" s="67"/>
      <c r="AJ283" s="71" t="s">
        <v>82</v>
      </c>
      <c r="AK283" s="71">
        <v>14</v>
      </c>
      <c r="BB283" s="295" t="s">
        <v>83</v>
      </c>
      <c r="BM283" s="67">
        <f t="shared" si="25"/>
        <v>0</v>
      </c>
      <c r="BN283" s="67">
        <f t="shared" si="26"/>
        <v>0</v>
      </c>
      <c r="BO283" s="67">
        <f t="shared" si="27"/>
        <v>0</v>
      </c>
      <c r="BP283" s="67">
        <f t="shared" si="28"/>
        <v>0</v>
      </c>
    </row>
    <row r="284" spans="1:68" ht="27" customHeight="1" x14ac:dyDescent="0.25">
      <c r="A284" s="54" t="s">
        <v>452</v>
      </c>
      <c r="B284" s="54" t="s">
        <v>453</v>
      </c>
      <c r="C284" s="31">
        <v>4301135306</v>
      </c>
      <c r="D284" s="324">
        <v>4640242181578</v>
      </c>
      <c r="E284" s="325"/>
      <c r="F284" s="319">
        <v>0.3</v>
      </c>
      <c r="G284" s="32">
        <v>9</v>
      </c>
      <c r="H284" s="319">
        <v>2.7</v>
      </c>
      <c r="I284" s="319">
        <v>2.8450000000000002</v>
      </c>
      <c r="J284" s="32">
        <v>234</v>
      </c>
      <c r="K284" s="32" t="s">
        <v>136</v>
      </c>
      <c r="L284" s="32" t="s">
        <v>80</v>
      </c>
      <c r="M284" s="33" t="s">
        <v>68</v>
      </c>
      <c r="N284" s="33"/>
      <c r="O284" s="32">
        <v>180</v>
      </c>
      <c r="P284" s="394" t="s">
        <v>454</v>
      </c>
      <c r="Q284" s="334"/>
      <c r="R284" s="334"/>
      <c r="S284" s="334"/>
      <c r="T284" s="335"/>
      <c r="U284" s="34"/>
      <c r="V284" s="34"/>
      <c r="W284" s="35" t="s">
        <v>69</v>
      </c>
      <c r="X284" s="320">
        <v>0</v>
      </c>
      <c r="Y284" s="321">
        <f t="shared" si="24"/>
        <v>0</v>
      </c>
      <c r="Z284" s="36">
        <f>IFERROR(IF(X284="","",X284*0.00502),"")</f>
        <v>0</v>
      </c>
      <c r="AA284" s="56"/>
      <c r="AB284" s="57"/>
      <c r="AC284" s="296" t="s">
        <v>415</v>
      </c>
      <c r="AG284" s="67"/>
      <c r="AJ284" s="71" t="s">
        <v>82</v>
      </c>
      <c r="AK284" s="71">
        <v>18</v>
      </c>
      <c r="BB284" s="297" t="s">
        <v>83</v>
      </c>
      <c r="BM284" s="67">
        <f t="shared" si="25"/>
        <v>0</v>
      </c>
      <c r="BN284" s="67">
        <f t="shared" si="26"/>
        <v>0</v>
      </c>
      <c r="BO284" s="67">
        <f t="shared" si="27"/>
        <v>0</v>
      </c>
      <c r="BP284" s="67">
        <f t="shared" si="28"/>
        <v>0</v>
      </c>
    </row>
    <row r="285" spans="1:68" ht="27" customHeight="1" x14ac:dyDescent="0.25">
      <c r="A285" s="54" t="s">
        <v>455</v>
      </c>
      <c r="B285" s="54" t="s">
        <v>456</v>
      </c>
      <c r="C285" s="31">
        <v>4301135305</v>
      </c>
      <c r="D285" s="324">
        <v>4640242181394</v>
      </c>
      <c r="E285" s="325"/>
      <c r="F285" s="319">
        <v>0.3</v>
      </c>
      <c r="G285" s="32">
        <v>9</v>
      </c>
      <c r="H285" s="319">
        <v>2.7</v>
      </c>
      <c r="I285" s="319">
        <v>2.8450000000000002</v>
      </c>
      <c r="J285" s="32">
        <v>234</v>
      </c>
      <c r="K285" s="32" t="s">
        <v>136</v>
      </c>
      <c r="L285" s="32" t="s">
        <v>80</v>
      </c>
      <c r="M285" s="33" t="s">
        <v>68</v>
      </c>
      <c r="N285" s="33"/>
      <c r="O285" s="32">
        <v>180</v>
      </c>
      <c r="P285" s="439" t="s">
        <v>457</v>
      </c>
      <c r="Q285" s="334"/>
      <c r="R285" s="334"/>
      <c r="S285" s="334"/>
      <c r="T285" s="335"/>
      <c r="U285" s="34"/>
      <c r="V285" s="34"/>
      <c r="W285" s="35" t="s">
        <v>69</v>
      </c>
      <c r="X285" s="320">
        <v>0</v>
      </c>
      <c r="Y285" s="321">
        <f t="shared" si="24"/>
        <v>0</v>
      </c>
      <c r="Z285" s="36">
        <f>IFERROR(IF(X285="","",X285*0.00502),"")</f>
        <v>0</v>
      </c>
      <c r="AA285" s="56"/>
      <c r="AB285" s="57"/>
      <c r="AC285" s="298" t="s">
        <v>415</v>
      </c>
      <c r="AG285" s="67"/>
      <c r="AJ285" s="71" t="s">
        <v>82</v>
      </c>
      <c r="AK285" s="71">
        <v>18</v>
      </c>
      <c r="BB285" s="299" t="s">
        <v>83</v>
      </c>
      <c r="BM285" s="67">
        <f t="shared" si="25"/>
        <v>0</v>
      </c>
      <c r="BN285" s="67">
        <f t="shared" si="26"/>
        <v>0</v>
      </c>
      <c r="BO285" s="67">
        <f t="shared" si="27"/>
        <v>0</v>
      </c>
      <c r="BP285" s="67">
        <f t="shared" si="28"/>
        <v>0</v>
      </c>
    </row>
    <row r="286" spans="1:68" ht="27" customHeight="1" x14ac:dyDescent="0.25">
      <c r="A286" s="54" t="s">
        <v>458</v>
      </c>
      <c r="B286" s="54" t="s">
        <v>459</v>
      </c>
      <c r="C286" s="31">
        <v>4301135309</v>
      </c>
      <c r="D286" s="324">
        <v>4640242181332</v>
      </c>
      <c r="E286" s="325"/>
      <c r="F286" s="319">
        <v>0.3</v>
      </c>
      <c r="G286" s="32">
        <v>9</v>
      </c>
      <c r="H286" s="319">
        <v>2.7</v>
      </c>
      <c r="I286" s="319">
        <v>2.9079999999999999</v>
      </c>
      <c r="J286" s="32">
        <v>234</v>
      </c>
      <c r="K286" s="32" t="s">
        <v>136</v>
      </c>
      <c r="L286" s="32" t="s">
        <v>67</v>
      </c>
      <c r="M286" s="33" t="s">
        <v>68</v>
      </c>
      <c r="N286" s="33"/>
      <c r="O286" s="32">
        <v>180</v>
      </c>
      <c r="P286" s="404" t="s">
        <v>460</v>
      </c>
      <c r="Q286" s="334"/>
      <c r="R286" s="334"/>
      <c r="S286" s="334"/>
      <c r="T286" s="335"/>
      <c r="U286" s="34"/>
      <c r="V286" s="34"/>
      <c r="W286" s="35" t="s">
        <v>69</v>
      </c>
      <c r="X286" s="320">
        <v>0</v>
      </c>
      <c r="Y286" s="321">
        <f t="shared" si="24"/>
        <v>0</v>
      </c>
      <c r="Z286" s="36">
        <f>IFERROR(IF(X286="","",X286*0.00502),"")</f>
        <v>0</v>
      </c>
      <c r="AA286" s="56"/>
      <c r="AB286" s="57"/>
      <c r="AC286" s="300" t="s">
        <v>415</v>
      </c>
      <c r="AG286" s="67"/>
      <c r="AJ286" s="71" t="s">
        <v>71</v>
      </c>
      <c r="AK286" s="71">
        <v>1</v>
      </c>
      <c r="BB286" s="301" t="s">
        <v>83</v>
      </c>
      <c r="BM286" s="67">
        <f t="shared" si="25"/>
        <v>0</v>
      </c>
      <c r="BN286" s="67">
        <f t="shared" si="26"/>
        <v>0</v>
      </c>
      <c r="BO286" s="67">
        <f t="shared" si="27"/>
        <v>0</v>
      </c>
      <c r="BP286" s="67">
        <f t="shared" si="28"/>
        <v>0</v>
      </c>
    </row>
    <row r="287" spans="1:68" ht="27" customHeight="1" x14ac:dyDescent="0.25">
      <c r="A287" s="54" t="s">
        <v>461</v>
      </c>
      <c r="B287" s="54" t="s">
        <v>462</v>
      </c>
      <c r="C287" s="31">
        <v>4301135308</v>
      </c>
      <c r="D287" s="324">
        <v>4640242181349</v>
      </c>
      <c r="E287" s="325"/>
      <c r="F287" s="319">
        <v>0.3</v>
      </c>
      <c r="G287" s="32">
        <v>9</v>
      </c>
      <c r="H287" s="319">
        <v>2.7</v>
      </c>
      <c r="I287" s="319">
        <v>2.9079999999999999</v>
      </c>
      <c r="J287" s="32">
        <v>234</v>
      </c>
      <c r="K287" s="32" t="s">
        <v>136</v>
      </c>
      <c r="L287" s="32" t="s">
        <v>67</v>
      </c>
      <c r="M287" s="33" t="s">
        <v>68</v>
      </c>
      <c r="N287" s="33"/>
      <c r="O287" s="32">
        <v>180</v>
      </c>
      <c r="P287" s="407" t="s">
        <v>463</v>
      </c>
      <c r="Q287" s="334"/>
      <c r="R287" s="334"/>
      <c r="S287" s="334"/>
      <c r="T287" s="335"/>
      <c r="U287" s="34"/>
      <c r="V287" s="34"/>
      <c r="W287" s="35" t="s">
        <v>69</v>
      </c>
      <c r="X287" s="320">
        <v>0</v>
      </c>
      <c r="Y287" s="321">
        <f t="shared" si="24"/>
        <v>0</v>
      </c>
      <c r="Z287" s="36">
        <f>IFERROR(IF(X287="","",X287*0.00502),"")</f>
        <v>0</v>
      </c>
      <c r="AA287" s="56"/>
      <c r="AB287" s="57"/>
      <c r="AC287" s="302" t="s">
        <v>415</v>
      </c>
      <c r="AG287" s="67"/>
      <c r="AJ287" s="71" t="s">
        <v>71</v>
      </c>
      <c r="AK287" s="71">
        <v>1</v>
      </c>
      <c r="BB287" s="303" t="s">
        <v>83</v>
      </c>
      <c r="BM287" s="67">
        <f t="shared" si="25"/>
        <v>0</v>
      </c>
      <c r="BN287" s="67">
        <f t="shared" si="26"/>
        <v>0</v>
      </c>
      <c r="BO287" s="67">
        <f t="shared" si="27"/>
        <v>0</v>
      </c>
      <c r="BP287" s="67">
        <f t="shared" si="28"/>
        <v>0</v>
      </c>
    </row>
    <row r="288" spans="1:68" ht="27" customHeight="1" x14ac:dyDescent="0.25">
      <c r="A288" s="54" t="s">
        <v>464</v>
      </c>
      <c r="B288" s="54" t="s">
        <v>465</v>
      </c>
      <c r="C288" s="31">
        <v>4301135307</v>
      </c>
      <c r="D288" s="324">
        <v>4640242181370</v>
      </c>
      <c r="E288" s="325"/>
      <c r="F288" s="319">
        <v>0.3</v>
      </c>
      <c r="G288" s="32">
        <v>9</v>
      </c>
      <c r="H288" s="319">
        <v>2.7</v>
      </c>
      <c r="I288" s="319">
        <v>2.9079999999999999</v>
      </c>
      <c r="J288" s="32">
        <v>234</v>
      </c>
      <c r="K288" s="32" t="s">
        <v>136</v>
      </c>
      <c r="L288" s="32" t="s">
        <v>67</v>
      </c>
      <c r="M288" s="33" t="s">
        <v>68</v>
      </c>
      <c r="N288" s="33"/>
      <c r="O288" s="32">
        <v>180</v>
      </c>
      <c r="P288" s="523" t="s">
        <v>466</v>
      </c>
      <c r="Q288" s="334"/>
      <c r="R288" s="334"/>
      <c r="S288" s="334"/>
      <c r="T288" s="335"/>
      <c r="U288" s="34"/>
      <c r="V288" s="34"/>
      <c r="W288" s="35" t="s">
        <v>69</v>
      </c>
      <c r="X288" s="320">
        <v>0</v>
      </c>
      <c r="Y288" s="321">
        <f t="shared" si="24"/>
        <v>0</v>
      </c>
      <c r="Z288" s="36">
        <f>IFERROR(IF(X288="","",X288*0.00502),"")</f>
        <v>0</v>
      </c>
      <c r="AA288" s="56"/>
      <c r="AB288" s="57"/>
      <c r="AC288" s="304" t="s">
        <v>467</v>
      </c>
      <c r="AG288" s="67"/>
      <c r="AJ288" s="71" t="s">
        <v>71</v>
      </c>
      <c r="AK288" s="71">
        <v>1</v>
      </c>
      <c r="BB288" s="305" t="s">
        <v>83</v>
      </c>
      <c r="BM288" s="67">
        <f t="shared" si="25"/>
        <v>0</v>
      </c>
      <c r="BN288" s="67">
        <f t="shared" si="26"/>
        <v>0</v>
      </c>
      <c r="BO288" s="67">
        <f t="shared" si="27"/>
        <v>0</v>
      </c>
      <c r="BP288" s="67">
        <f t="shared" si="28"/>
        <v>0</v>
      </c>
    </row>
    <row r="289" spans="1:68" ht="27" customHeight="1" x14ac:dyDescent="0.25">
      <c r="A289" s="54" t="s">
        <v>468</v>
      </c>
      <c r="B289" s="54" t="s">
        <v>469</v>
      </c>
      <c r="C289" s="31">
        <v>4301135318</v>
      </c>
      <c r="D289" s="324">
        <v>4607111037480</v>
      </c>
      <c r="E289" s="325"/>
      <c r="F289" s="319">
        <v>1</v>
      </c>
      <c r="G289" s="32">
        <v>4</v>
      </c>
      <c r="H289" s="319">
        <v>4</v>
      </c>
      <c r="I289" s="319">
        <v>4.2724000000000002</v>
      </c>
      <c r="J289" s="32">
        <v>84</v>
      </c>
      <c r="K289" s="32" t="s">
        <v>66</v>
      </c>
      <c r="L289" s="32" t="s">
        <v>67</v>
      </c>
      <c r="M289" s="33" t="s">
        <v>68</v>
      </c>
      <c r="N289" s="33"/>
      <c r="O289" s="32">
        <v>180</v>
      </c>
      <c r="P289" s="429" t="s">
        <v>470</v>
      </c>
      <c r="Q289" s="334"/>
      <c r="R289" s="334"/>
      <c r="S289" s="334"/>
      <c r="T289" s="335"/>
      <c r="U289" s="34"/>
      <c r="V289" s="34"/>
      <c r="W289" s="35" t="s">
        <v>69</v>
      </c>
      <c r="X289" s="320">
        <v>0</v>
      </c>
      <c r="Y289" s="321">
        <f t="shared" si="24"/>
        <v>0</v>
      </c>
      <c r="Z289" s="36">
        <f>IFERROR(IF(X289="","",X289*0.0155),"")</f>
        <v>0</v>
      </c>
      <c r="AA289" s="56"/>
      <c r="AB289" s="57"/>
      <c r="AC289" s="306" t="s">
        <v>471</v>
      </c>
      <c r="AG289" s="67"/>
      <c r="AJ289" s="71" t="s">
        <v>71</v>
      </c>
      <c r="AK289" s="71">
        <v>1</v>
      </c>
      <c r="BB289" s="307" t="s">
        <v>83</v>
      </c>
      <c r="BM289" s="67">
        <f t="shared" si="25"/>
        <v>0</v>
      </c>
      <c r="BN289" s="67">
        <f t="shared" si="26"/>
        <v>0</v>
      </c>
      <c r="BO289" s="67">
        <f t="shared" si="27"/>
        <v>0</v>
      </c>
      <c r="BP289" s="67">
        <f t="shared" si="28"/>
        <v>0</v>
      </c>
    </row>
    <row r="290" spans="1:68" ht="27" customHeight="1" x14ac:dyDescent="0.25">
      <c r="A290" s="54" t="s">
        <v>472</v>
      </c>
      <c r="B290" s="54" t="s">
        <v>473</v>
      </c>
      <c r="C290" s="31">
        <v>4301135319</v>
      </c>
      <c r="D290" s="324">
        <v>4607111037473</v>
      </c>
      <c r="E290" s="325"/>
      <c r="F290" s="319">
        <v>1</v>
      </c>
      <c r="G290" s="32">
        <v>4</v>
      </c>
      <c r="H290" s="319">
        <v>4</v>
      </c>
      <c r="I290" s="319">
        <v>4.2300000000000004</v>
      </c>
      <c r="J290" s="32">
        <v>84</v>
      </c>
      <c r="K290" s="32" t="s">
        <v>66</v>
      </c>
      <c r="L290" s="32" t="s">
        <v>67</v>
      </c>
      <c r="M290" s="33" t="s">
        <v>68</v>
      </c>
      <c r="N290" s="33"/>
      <c r="O290" s="32">
        <v>180</v>
      </c>
      <c r="P290" s="349" t="s">
        <v>474</v>
      </c>
      <c r="Q290" s="334"/>
      <c r="R290" s="334"/>
      <c r="S290" s="334"/>
      <c r="T290" s="335"/>
      <c r="U290" s="34"/>
      <c r="V290" s="34"/>
      <c r="W290" s="35" t="s">
        <v>69</v>
      </c>
      <c r="X290" s="320">
        <v>0</v>
      </c>
      <c r="Y290" s="321">
        <f t="shared" si="24"/>
        <v>0</v>
      </c>
      <c r="Z290" s="36">
        <f>IFERROR(IF(X290="","",X290*0.0155),"")</f>
        <v>0</v>
      </c>
      <c r="AA290" s="56"/>
      <c r="AB290" s="57"/>
      <c r="AC290" s="308" t="s">
        <v>475</v>
      </c>
      <c r="AG290" s="67"/>
      <c r="AJ290" s="71" t="s">
        <v>71</v>
      </c>
      <c r="AK290" s="71">
        <v>1</v>
      </c>
      <c r="BB290" s="309" t="s">
        <v>83</v>
      </c>
      <c r="BM290" s="67">
        <f t="shared" si="25"/>
        <v>0</v>
      </c>
      <c r="BN290" s="67">
        <f t="shared" si="26"/>
        <v>0</v>
      </c>
      <c r="BO290" s="67">
        <f t="shared" si="27"/>
        <v>0</v>
      </c>
      <c r="BP290" s="67">
        <f t="shared" si="28"/>
        <v>0</v>
      </c>
    </row>
    <row r="291" spans="1:68" ht="27" customHeight="1" x14ac:dyDescent="0.25">
      <c r="A291" s="54" t="s">
        <v>476</v>
      </c>
      <c r="B291" s="54" t="s">
        <v>477</v>
      </c>
      <c r="C291" s="31">
        <v>4301135198</v>
      </c>
      <c r="D291" s="324">
        <v>4640242180663</v>
      </c>
      <c r="E291" s="325"/>
      <c r="F291" s="319">
        <v>0.9</v>
      </c>
      <c r="G291" s="32">
        <v>4</v>
      </c>
      <c r="H291" s="319">
        <v>3.6</v>
      </c>
      <c r="I291" s="319">
        <v>3.83</v>
      </c>
      <c r="J291" s="32">
        <v>84</v>
      </c>
      <c r="K291" s="32" t="s">
        <v>66</v>
      </c>
      <c r="L291" s="32" t="s">
        <v>67</v>
      </c>
      <c r="M291" s="33" t="s">
        <v>68</v>
      </c>
      <c r="N291" s="33"/>
      <c r="O291" s="32">
        <v>180</v>
      </c>
      <c r="P291" s="522" t="s">
        <v>478</v>
      </c>
      <c r="Q291" s="334"/>
      <c r="R291" s="334"/>
      <c r="S291" s="334"/>
      <c r="T291" s="335"/>
      <c r="U291" s="34"/>
      <c r="V291" s="34"/>
      <c r="W291" s="35" t="s">
        <v>69</v>
      </c>
      <c r="X291" s="320">
        <v>0</v>
      </c>
      <c r="Y291" s="321">
        <f t="shared" si="24"/>
        <v>0</v>
      </c>
      <c r="Z291" s="36">
        <f>IFERROR(IF(X291="","",X291*0.0155),"")</f>
        <v>0</v>
      </c>
      <c r="AA291" s="56"/>
      <c r="AB291" s="57"/>
      <c r="AC291" s="310" t="s">
        <v>479</v>
      </c>
      <c r="AG291" s="67"/>
      <c r="AJ291" s="71" t="s">
        <v>71</v>
      </c>
      <c r="AK291" s="71">
        <v>1</v>
      </c>
      <c r="BB291" s="311" t="s">
        <v>83</v>
      </c>
      <c r="BM291" s="67">
        <f t="shared" si="25"/>
        <v>0</v>
      </c>
      <c r="BN291" s="67">
        <f t="shared" si="26"/>
        <v>0</v>
      </c>
      <c r="BO291" s="67">
        <f t="shared" si="27"/>
        <v>0</v>
      </c>
      <c r="BP291" s="67">
        <f t="shared" si="28"/>
        <v>0</v>
      </c>
    </row>
    <row r="292" spans="1:68" x14ac:dyDescent="0.2">
      <c r="A292" s="336"/>
      <c r="B292" s="330"/>
      <c r="C292" s="330"/>
      <c r="D292" s="330"/>
      <c r="E292" s="330"/>
      <c r="F292" s="330"/>
      <c r="G292" s="330"/>
      <c r="H292" s="330"/>
      <c r="I292" s="330"/>
      <c r="J292" s="330"/>
      <c r="K292" s="330"/>
      <c r="L292" s="330"/>
      <c r="M292" s="330"/>
      <c r="N292" s="330"/>
      <c r="O292" s="337"/>
      <c r="P292" s="326" t="s">
        <v>72</v>
      </c>
      <c r="Q292" s="327"/>
      <c r="R292" s="327"/>
      <c r="S292" s="327"/>
      <c r="T292" s="327"/>
      <c r="U292" s="327"/>
      <c r="V292" s="328"/>
      <c r="W292" s="37" t="s">
        <v>69</v>
      </c>
      <c r="X292" s="322">
        <f>IFERROR(SUM(X272:X291),"0")</f>
        <v>14</v>
      </c>
      <c r="Y292" s="322">
        <f>IFERROR(SUM(Y272:Y291),"0")</f>
        <v>14</v>
      </c>
      <c r="Z292" s="322">
        <f>IFERROR(IF(Z272="",0,Z272),"0")+IFERROR(IF(Z273="",0,Z273),"0")+IFERROR(IF(Z274="",0,Z274),"0")+IFERROR(IF(Z275="",0,Z275),"0")+IFERROR(IF(Z276="",0,Z276),"0")+IFERROR(IF(Z277="",0,Z277),"0")+IFERROR(IF(Z278="",0,Z278),"0")+IFERROR(IF(Z279="",0,Z279),"0")+IFERROR(IF(Z280="",0,Z280),"0")+IFERROR(IF(Z281="",0,Z281),"0")+IFERROR(IF(Z282="",0,Z282),"0")+IFERROR(IF(Z283="",0,Z283),"0")+IFERROR(IF(Z284="",0,Z284),"0")+IFERROR(IF(Z285="",0,Z285),"0")+IFERROR(IF(Z286="",0,Z286),"0")+IFERROR(IF(Z287="",0,Z287),"0")+IFERROR(IF(Z288="",0,Z288),"0")+IFERROR(IF(Z289="",0,Z289),"0")+IFERROR(IF(Z290="",0,Z290),"0")+IFERROR(IF(Z291="",0,Z291),"0")</f>
        <v>0.13103999999999999</v>
      </c>
      <c r="AA292" s="323"/>
      <c r="AB292" s="323"/>
      <c r="AC292" s="323"/>
    </row>
    <row r="293" spans="1:68" x14ac:dyDescent="0.2">
      <c r="A293" s="330"/>
      <c r="B293" s="330"/>
      <c r="C293" s="330"/>
      <c r="D293" s="330"/>
      <c r="E293" s="330"/>
      <c r="F293" s="330"/>
      <c r="G293" s="330"/>
      <c r="H293" s="330"/>
      <c r="I293" s="330"/>
      <c r="J293" s="330"/>
      <c r="K293" s="330"/>
      <c r="L293" s="330"/>
      <c r="M293" s="330"/>
      <c r="N293" s="330"/>
      <c r="O293" s="337"/>
      <c r="P293" s="326" t="s">
        <v>72</v>
      </c>
      <c r="Q293" s="327"/>
      <c r="R293" s="327"/>
      <c r="S293" s="327"/>
      <c r="T293" s="327"/>
      <c r="U293" s="327"/>
      <c r="V293" s="328"/>
      <c r="W293" s="37" t="s">
        <v>73</v>
      </c>
      <c r="X293" s="322">
        <f>IFERROR(SUMPRODUCT(X272:X291*H272:H291),"0")</f>
        <v>42</v>
      </c>
      <c r="Y293" s="322">
        <f>IFERROR(SUMPRODUCT(Y272:Y291*H272:H291),"0")</f>
        <v>42</v>
      </c>
      <c r="Z293" s="37"/>
      <c r="AA293" s="323"/>
      <c r="AB293" s="323"/>
      <c r="AC293" s="323"/>
    </row>
    <row r="294" spans="1:68" ht="15" customHeight="1" x14ac:dyDescent="0.2">
      <c r="A294" s="371"/>
      <c r="B294" s="330"/>
      <c r="C294" s="330"/>
      <c r="D294" s="330"/>
      <c r="E294" s="330"/>
      <c r="F294" s="330"/>
      <c r="G294" s="330"/>
      <c r="H294" s="330"/>
      <c r="I294" s="330"/>
      <c r="J294" s="330"/>
      <c r="K294" s="330"/>
      <c r="L294" s="330"/>
      <c r="M294" s="330"/>
      <c r="N294" s="330"/>
      <c r="O294" s="372"/>
      <c r="P294" s="360" t="s">
        <v>480</v>
      </c>
      <c r="Q294" s="361"/>
      <c r="R294" s="361"/>
      <c r="S294" s="361"/>
      <c r="T294" s="361"/>
      <c r="U294" s="361"/>
      <c r="V294" s="362"/>
      <c r="W294" s="37" t="s">
        <v>73</v>
      </c>
      <c r="X294" s="322">
        <f>IFERROR(X24+X33+X39+X44+X60+X66+X71+X77+X87+X94+X106+X112+X119+X126+X131+X137+X142+X148+X156+X161+X169+X174+X182+X189+X199+X207+X212+X217+X223+X229+X236+X241+X247+X255+X259+X264+X270+X293,"0")</f>
        <v>3125.4</v>
      </c>
      <c r="Y294" s="322">
        <f>IFERROR(Y24+Y33+Y39+Y44+Y60+Y66+Y71+Y77+Y87+Y94+Y106+Y112+Y119+Y126+Y131+Y137+Y142+Y148+Y156+Y161+Y169+Y174+Y182+Y189+Y199+Y207+Y212+Y217+Y223+Y229+Y236+Y241+Y247+Y255+Y259+Y264+Y270+Y293,"0")</f>
        <v>3125.4</v>
      </c>
      <c r="Z294" s="37"/>
      <c r="AA294" s="323"/>
      <c r="AB294" s="323"/>
      <c r="AC294" s="323"/>
    </row>
    <row r="295" spans="1:68" x14ac:dyDescent="0.2">
      <c r="A295" s="330"/>
      <c r="B295" s="330"/>
      <c r="C295" s="330"/>
      <c r="D295" s="330"/>
      <c r="E295" s="330"/>
      <c r="F295" s="330"/>
      <c r="G295" s="330"/>
      <c r="H295" s="330"/>
      <c r="I295" s="330"/>
      <c r="J295" s="330"/>
      <c r="K295" s="330"/>
      <c r="L295" s="330"/>
      <c r="M295" s="330"/>
      <c r="N295" s="330"/>
      <c r="O295" s="372"/>
      <c r="P295" s="360" t="s">
        <v>481</v>
      </c>
      <c r="Q295" s="361"/>
      <c r="R295" s="361"/>
      <c r="S295" s="361"/>
      <c r="T295" s="361"/>
      <c r="U295" s="361"/>
      <c r="V295" s="362"/>
      <c r="W295" s="37" t="s">
        <v>73</v>
      </c>
      <c r="X295" s="322">
        <f>IFERROR(SUM(BM22:BM291),"0")</f>
        <v>3576.9956000000006</v>
      </c>
      <c r="Y295" s="322">
        <f>IFERROR(SUM(BN22:BN291),"0")</f>
        <v>3576.9956000000006</v>
      </c>
      <c r="Z295" s="37"/>
      <c r="AA295" s="323"/>
      <c r="AB295" s="323"/>
      <c r="AC295" s="323"/>
    </row>
    <row r="296" spans="1:68" x14ac:dyDescent="0.2">
      <c r="A296" s="330"/>
      <c r="B296" s="330"/>
      <c r="C296" s="330"/>
      <c r="D296" s="330"/>
      <c r="E296" s="330"/>
      <c r="F296" s="330"/>
      <c r="G296" s="330"/>
      <c r="H296" s="330"/>
      <c r="I296" s="330"/>
      <c r="J296" s="330"/>
      <c r="K296" s="330"/>
      <c r="L296" s="330"/>
      <c r="M296" s="330"/>
      <c r="N296" s="330"/>
      <c r="O296" s="372"/>
      <c r="P296" s="360" t="s">
        <v>482</v>
      </c>
      <c r="Q296" s="361"/>
      <c r="R296" s="361"/>
      <c r="S296" s="361"/>
      <c r="T296" s="361"/>
      <c r="U296" s="361"/>
      <c r="V296" s="362"/>
      <c r="W296" s="37" t="s">
        <v>483</v>
      </c>
      <c r="X296" s="38">
        <f>ROUNDUP(SUM(BO22:BO291),0)</f>
        <v>12</v>
      </c>
      <c r="Y296" s="38">
        <f>ROUNDUP(SUM(BP22:BP291),0)</f>
        <v>12</v>
      </c>
      <c r="Z296" s="37"/>
      <c r="AA296" s="323"/>
      <c r="AB296" s="323"/>
      <c r="AC296" s="323"/>
    </row>
    <row r="297" spans="1:68" x14ac:dyDescent="0.2">
      <c r="A297" s="330"/>
      <c r="B297" s="330"/>
      <c r="C297" s="330"/>
      <c r="D297" s="330"/>
      <c r="E297" s="330"/>
      <c r="F297" s="330"/>
      <c r="G297" s="330"/>
      <c r="H297" s="330"/>
      <c r="I297" s="330"/>
      <c r="J297" s="330"/>
      <c r="K297" s="330"/>
      <c r="L297" s="330"/>
      <c r="M297" s="330"/>
      <c r="N297" s="330"/>
      <c r="O297" s="372"/>
      <c r="P297" s="360" t="s">
        <v>484</v>
      </c>
      <c r="Q297" s="361"/>
      <c r="R297" s="361"/>
      <c r="S297" s="361"/>
      <c r="T297" s="361"/>
      <c r="U297" s="361"/>
      <c r="V297" s="362"/>
      <c r="W297" s="37" t="s">
        <v>73</v>
      </c>
      <c r="X297" s="322">
        <f>GrossWeightTotal+PalletQtyTotal*25</f>
        <v>3876.9956000000006</v>
      </c>
      <c r="Y297" s="322">
        <f>GrossWeightTotalR+PalletQtyTotalR*25</f>
        <v>3876.9956000000006</v>
      </c>
      <c r="Z297" s="37"/>
      <c r="AA297" s="323"/>
      <c r="AB297" s="323"/>
      <c r="AC297" s="323"/>
    </row>
    <row r="298" spans="1:68" x14ac:dyDescent="0.2">
      <c r="A298" s="330"/>
      <c r="B298" s="330"/>
      <c r="C298" s="330"/>
      <c r="D298" s="330"/>
      <c r="E298" s="330"/>
      <c r="F298" s="330"/>
      <c r="G298" s="330"/>
      <c r="H298" s="330"/>
      <c r="I298" s="330"/>
      <c r="J298" s="330"/>
      <c r="K298" s="330"/>
      <c r="L298" s="330"/>
      <c r="M298" s="330"/>
      <c r="N298" s="330"/>
      <c r="O298" s="372"/>
      <c r="P298" s="360" t="s">
        <v>485</v>
      </c>
      <c r="Q298" s="361"/>
      <c r="R298" s="361"/>
      <c r="S298" s="361"/>
      <c r="T298" s="361"/>
      <c r="U298" s="361"/>
      <c r="V298" s="362"/>
      <c r="W298" s="37" t="s">
        <v>483</v>
      </c>
      <c r="X298" s="322">
        <f>IFERROR(X23+X32+X38+X43+X59+X65+X70+X76+X86+X93+X105+X111+X118+X125+X130+X136+X141+X147+X155+X160+X168+X173+X181+X188+X198+X206+X211+X216+X222+X228+X235+X240+X246+X254+X258+X263+X269+X292,"0")</f>
        <v>880</v>
      </c>
      <c r="Y298" s="322">
        <f>IFERROR(Y23+Y32+Y38+Y43+Y59+Y65+Y70+Y76+Y86+Y93+Y105+Y111+Y118+Y125+Y130+Y136+Y141+Y147+Y155+Y160+Y168+Y173+Y181+Y188+Y198+Y206+Y211+Y216+Y222+Y228+Y235+Y240+Y246+Y254+Y258+Y263+Y269+Y292,"0")</f>
        <v>880</v>
      </c>
      <c r="Z298" s="37"/>
      <c r="AA298" s="323"/>
      <c r="AB298" s="323"/>
      <c r="AC298" s="323"/>
    </row>
    <row r="299" spans="1:68" ht="14.25" customHeight="1" x14ac:dyDescent="0.2">
      <c r="A299" s="330"/>
      <c r="B299" s="330"/>
      <c r="C299" s="330"/>
      <c r="D299" s="330"/>
      <c r="E299" s="330"/>
      <c r="F299" s="330"/>
      <c r="G299" s="330"/>
      <c r="H299" s="330"/>
      <c r="I299" s="330"/>
      <c r="J299" s="330"/>
      <c r="K299" s="330"/>
      <c r="L299" s="330"/>
      <c r="M299" s="330"/>
      <c r="N299" s="330"/>
      <c r="O299" s="372"/>
      <c r="P299" s="360" t="s">
        <v>486</v>
      </c>
      <c r="Q299" s="361"/>
      <c r="R299" s="361"/>
      <c r="S299" s="361"/>
      <c r="T299" s="361"/>
      <c r="U299" s="361"/>
      <c r="V299" s="362"/>
      <c r="W299" s="39" t="s">
        <v>487</v>
      </c>
      <c r="X299" s="37"/>
      <c r="Y299" s="37"/>
      <c r="Z299" s="37">
        <f>IFERROR(Z23+Z32+Z38+Z43+Z59+Z65+Z70+Z76+Z86+Z93+Z105+Z111+Z118+Z125+Z130+Z136+Z141+Z147+Z155+Z160+Z168+Z173+Z181+Z188+Z198+Z206+Z211+Z216+Z222+Z228+Z235+Z240+Z246+Z254+Z258+Z263+Z269+Z292,"0")</f>
        <v>13.977279999999999</v>
      </c>
      <c r="AA299" s="323"/>
      <c r="AB299" s="323"/>
      <c r="AC299" s="323"/>
    </row>
    <row r="300" spans="1:68" ht="13.5" customHeight="1" thickBot="1" x14ac:dyDescent="0.25"/>
    <row r="301" spans="1:68" ht="27" customHeight="1" thickTop="1" thickBot="1" x14ac:dyDescent="0.25">
      <c r="A301" s="40" t="s">
        <v>488</v>
      </c>
      <c r="B301" s="312" t="s">
        <v>62</v>
      </c>
      <c r="C301" s="338" t="s">
        <v>74</v>
      </c>
      <c r="D301" s="421"/>
      <c r="E301" s="421"/>
      <c r="F301" s="421"/>
      <c r="G301" s="421"/>
      <c r="H301" s="421"/>
      <c r="I301" s="421"/>
      <c r="J301" s="421"/>
      <c r="K301" s="421"/>
      <c r="L301" s="421"/>
      <c r="M301" s="421"/>
      <c r="N301" s="421"/>
      <c r="O301" s="421"/>
      <c r="P301" s="421"/>
      <c r="Q301" s="421"/>
      <c r="R301" s="421"/>
      <c r="S301" s="422"/>
      <c r="T301" s="338" t="s">
        <v>244</v>
      </c>
      <c r="U301" s="422"/>
      <c r="V301" s="312" t="s">
        <v>272</v>
      </c>
      <c r="W301" s="338" t="s">
        <v>294</v>
      </c>
      <c r="X301" s="421"/>
      <c r="Y301" s="421"/>
      <c r="Z301" s="421"/>
      <c r="AA301" s="421"/>
      <c r="AB301" s="421"/>
      <c r="AC301" s="422"/>
      <c r="AD301" s="312" t="s">
        <v>359</v>
      </c>
      <c r="AE301" s="338" t="s">
        <v>365</v>
      </c>
      <c r="AF301" s="422"/>
      <c r="AG301" s="312" t="s">
        <v>375</v>
      </c>
      <c r="AH301" s="312" t="s">
        <v>245</v>
      </c>
    </row>
    <row r="302" spans="1:68" ht="14.25" customHeight="1" thickTop="1" x14ac:dyDescent="0.2">
      <c r="A302" s="464" t="s">
        <v>489</v>
      </c>
      <c r="B302" s="338" t="s">
        <v>62</v>
      </c>
      <c r="C302" s="338" t="s">
        <v>75</v>
      </c>
      <c r="D302" s="338" t="s">
        <v>92</v>
      </c>
      <c r="E302" s="338" t="s">
        <v>99</v>
      </c>
      <c r="F302" s="338" t="s">
        <v>105</v>
      </c>
      <c r="G302" s="338" t="s">
        <v>133</v>
      </c>
      <c r="H302" s="338" t="s">
        <v>140</v>
      </c>
      <c r="I302" s="338" t="s">
        <v>145</v>
      </c>
      <c r="J302" s="338" t="s">
        <v>153</v>
      </c>
      <c r="K302" s="338" t="s">
        <v>172</v>
      </c>
      <c r="L302" s="338" t="s">
        <v>182</v>
      </c>
      <c r="M302" s="338" t="s">
        <v>201</v>
      </c>
      <c r="N302" s="313"/>
      <c r="O302" s="338" t="s">
        <v>209</v>
      </c>
      <c r="P302" s="338" t="s">
        <v>219</v>
      </c>
      <c r="Q302" s="338" t="s">
        <v>227</v>
      </c>
      <c r="R302" s="338" t="s">
        <v>231</v>
      </c>
      <c r="S302" s="338" t="s">
        <v>240</v>
      </c>
      <c r="T302" s="338" t="s">
        <v>245</v>
      </c>
      <c r="U302" s="338" t="s">
        <v>249</v>
      </c>
      <c r="V302" s="338" t="s">
        <v>273</v>
      </c>
      <c r="W302" s="338" t="s">
        <v>295</v>
      </c>
      <c r="X302" s="338" t="s">
        <v>308</v>
      </c>
      <c r="Y302" s="338" t="s">
        <v>318</v>
      </c>
      <c r="Z302" s="338" t="s">
        <v>333</v>
      </c>
      <c r="AA302" s="338" t="s">
        <v>344</v>
      </c>
      <c r="AB302" s="338" t="s">
        <v>348</v>
      </c>
      <c r="AC302" s="338" t="s">
        <v>352</v>
      </c>
      <c r="AD302" s="338" t="s">
        <v>360</v>
      </c>
      <c r="AE302" s="338" t="s">
        <v>366</v>
      </c>
      <c r="AF302" s="338" t="s">
        <v>372</v>
      </c>
      <c r="AG302" s="338" t="s">
        <v>376</v>
      </c>
      <c r="AH302" s="338" t="s">
        <v>245</v>
      </c>
    </row>
    <row r="303" spans="1:68" ht="13.5" customHeight="1" thickBot="1" x14ac:dyDescent="0.25">
      <c r="A303" s="465"/>
      <c r="B303" s="339"/>
      <c r="C303" s="339"/>
      <c r="D303" s="339"/>
      <c r="E303" s="339"/>
      <c r="F303" s="339"/>
      <c r="G303" s="339"/>
      <c r="H303" s="339"/>
      <c r="I303" s="339"/>
      <c r="J303" s="339"/>
      <c r="K303" s="339"/>
      <c r="L303" s="339"/>
      <c r="M303" s="339"/>
      <c r="N303" s="313"/>
      <c r="O303" s="339"/>
      <c r="P303" s="339"/>
      <c r="Q303" s="339"/>
      <c r="R303" s="339"/>
      <c r="S303" s="339"/>
      <c r="T303" s="339"/>
      <c r="U303" s="339"/>
      <c r="V303" s="339"/>
      <c r="W303" s="339"/>
      <c r="X303" s="339"/>
      <c r="Y303" s="339"/>
      <c r="Z303" s="339"/>
      <c r="AA303" s="339"/>
      <c r="AB303" s="339"/>
      <c r="AC303" s="339"/>
      <c r="AD303" s="339"/>
      <c r="AE303" s="339"/>
      <c r="AF303" s="339"/>
      <c r="AG303" s="339"/>
      <c r="AH303" s="339"/>
    </row>
    <row r="304" spans="1:68" ht="18" customHeight="1" thickTop="1" thickBot="1" x14ac:dyDescent="0.25">
      <c r="A304" s="40" t="s">
        <v>490</v>
      </c>
      <c r="B304" s="46">
        <f>IFERROR(X22*H22,"0")</f>
        <v>0</v>
      </c>
      <c r="C304" s="46">
        <f>IFERROR(X28*H28,"0")+IFERROR(X29*H29,"0")+IFERROR(X30*H30,"0")+IFERROR(X31*H31,"0")</f>
        <v>84</v>
      </c>
      <c r="D304" s="46">
        <f>IFERROR(X36*H36,"0")+IFERROR(X37*H37,"0")</f>
        <v>0</v>
      </c>
      <c r="E304" s="46">
        <f>IFERROR(X42*H42,"0")</f>
        <v>0</v>
      </c>
      <c r="F304" s="46">
        <f>IFERROR(X47*H47,"0")+IFERROR(X48*H48,"0")+IFERROR(X49*H49,"0")+IFERROR(X50*H50,"0")+IFERROR(X51*H51,"0")+IFERROR(X52*H52,"0")+IFERROR(X53*H53,"0")+IFERROR(X54*H54,"0")+IFERROR(X55*H55,"0")+IFERROR(X56*H56,"0")+IFERROR(X57*H57,"0")+IFERROR(X58*H58,"0")</f>
        <v>259.2</v>
      </c>
      <c r="G304" s="46">
        <f>IFERROR(X63*H63,"0")+IFERROR(X64*H64,"0")</f>
        <v>0</v>
      </c>
      <c r="H304" s="46">
        <f>IFERROR(X69*H69,"0")</f>
        <v>0</v>
      </c>
      <c r="I304" s="46">
        <f>IFERROR(X74*H74,"0")+IFERROR(X75*H75,"0")</f>
        <v>201.60000000000002</v>
      </c>
      <c r="J304" s="46">
        <f>IFERROR(X80*H80,"0")+IFERROR(X81*H81,"0")+IFERROR(X82*H82,"0")+IFERROR(X83*H83,"0")+IFERROR(X84*H84,"0")+IFERROR(X85*H85,"0")</f>
        <v>655.20000000000005</v>
      </c>
      <c r="K304" s="46">
        <f>IFERROR(X90*H90,"0")+IFERROR(X91*H91,"0")+IFERROR(X92*H92,"0")</f>
        <v>201.6</v>
      </c>
      <c r="L304" s="46">
        <f>IFERROR(X97*H97,"0")+IFERROR(X98*H98,"0")+IFERROR(X99*H99,"0")+IFERROR(X100*H100,"0")+IFERROR(X101*H101,"0")+IFERROR(X102*H102,"0")+IFERROR(X103*H103,"0")+IFERROR(X104*H104,"0")</f>
        <v>0</v>
      </c>
      <c r="M304" s="46">
        <f>IFERROR(X109*H109,"0")+IFERROR(X110*H110,"0")</f>
        <v>336</v>
      </c>
      <c r="N304" s="313"/>
      <c r="O304" s="46">
        <f>IFERROR(X115*H115,"0")+IFERROR(X116*H116,"0")+IFERROR(X117*H117,"0")</f>
        <v>84</v>
      </c>
      <c r="P304" s="46">
        <f>IFERROR(X122*H122,"0")+IFERROR(X123*H123,"0")+IFERROR(X124*H124,"0")</f>
        <v>0</v>
      </c>
      <c r="Q304" s="46">
        <f>IFERROR(X129*H129,"0")</f>
        <v>84</v>
      </c>
      <c r="R304" s="46">
        <f>IFERROR(X134*H134,"0")+IFERROR(X135*H135,"0")</f>
        <v>0</v>
      </c>
      <c r="S304" s="46">
        <f>IFERROR(X140*H140,"0")</f>
        <v>0</v>
      </c>
      <c r="T304" s="46">
        <f>IFERROR(X146*H146,"0")</f>
        <v>0</v>
      </c>
      <c r="U304" s="46">
        <f>IFERROR(X151*H151,"0")+IFERROR(X152*H152,"0")+IFERROR(X153*H153,"0")+IFERROR(X154*H154,"0")+IFERROR(X158*H158,"0")+IFERROR(X159*H159,"0")</f>
        <v>0</v>
      </c>
      <c r="V304" s="46">
        <f>IFERROR(X165*H165,"0")+IFERROR(X166*H166,"0")+IFERROR(X167*H167,"0")+IFERROR(X171*H171,"0")+IFERROR(X172*H172,"0")</f>
        <v>378</v>
      </c>
      <c r="W304" s="46">
        <f>IFERROR(X178*H178,"0")+IFERROR(X179*H179,"0")+IFERROR(X180*H180,"0")</f>
        <v>0</v>
      </c>
      <c r="X304" s="46">
        <f>IFERROR(X185*H185,"0")+IFERROR(X186*H186,"0")+IFERROR(X187*H187,"0")</f>
        <v>0</v>
      </c>
      <c r="Y304" s="46">
        <f>IFERROR(X192*H192,"0")+IFERROR(X193*H193,"0")+IFERROR(X194*H194,"0")+IFERROR(X195*H195,"0")+IFERROR(X196*H196,"0")+IFERROR(X197*H197,"0")</f>
        <v>67.199999999999989</v>
      </c>
      <c r="Z304" s="46">
        <f>IFERROR(X202*H202,"0")+IFERROR(X203*H203,"0")+IFERROR(X204*H204,"0")+IFERROR(X205*H205,"0")</f>
        <v>86.4</v>
      </c>
      <c r="AA304" s="46">
        <f>IFERROR(X210*H210,"0")</f>
        <v>0</v>
      </c>
      <c r="AB304" s="46">
        <f>IFERROR(X215*H215,"0")</f>
        <v>0</v>
      </c>
      <c r="AC304" s="46">
        <f>IFERROR(X220*H220,"0")+IFERROR(X221*H221,"0")</f>
        <v>0</v>
      </c>
      <c r="AD304" s="46">
        <f>IFERROR(X227*H227,"0")</f>
        <v>0</v>
      </c>
      <c r="AE304" s="46">
        <f>IFERROR(X233*H233,"0")+IFERROR(X234*H234,"0")</f>
        <v>0</v>
      </c>
      <c r="AF304" s="46">
        <f>IFERROR(X239*H239,"0")</f>
        <v>0</v>
      </c>
      <c r="AG304" s="46">
        <f>IFERROR(X245*H245,"0")</f>
        <v>0</v>
      </c>
      <c r="AH304" s="46">
        <f>IFERROR(X251*H251,"0")+IFERROR(X252*H252,"0")+IFERROR(X253*H253,"0")+IFERROR(X257*H257,"0")+IFERROR(X261*H261,"0")+IFERROR(X262*H262,"0")+IFERROR(X266*H266,"0")+IFERROR(X267*H267,"0")+IFERROR(X268*H268,"0")+IFERROR(X272*H272,"0")+IFERROR(X273*H273,"0")+IFERROR(X274*H274,"0")+IFERROR(X275*H275,"0")+IFERROR(X276*H276,"0")+IFERROR(X277*H277,"0")+IFERROR(X278*H278,"0")+IFERROR(X279*H279,"0")+IFERROR(X280*H280,"0")+IFERROR(X281*H281,"0")+IFERROR(X282*H282,"0")+IFERROR(X283*H283,"0")+IFERROR(X284*H284,"0")+IFERROR(X285*H285,"0")+IFERROR(X286*H286,"0")+IFERROR(X287*H287,"0")+IFERROR(X288*H288,"0")+IFERROR(X289*H289,"0")+IFERROR(X290*H290,"0")+IFERROR(X291*H291,"0")</f>
        <v>688.2</v>
      </c>
    </row>
    <row r="305" spans="1:3" ht="13.5" customHeight="1" thickTop="1" x14ac:dyDescent="0.2">
      <c r="C305" s="313"/>
    </row>
    <row r="306" spans="1:3" ht="19.5" customHeight="1" x14ac:dyDescent="0.2">
      <c r="A306" s="58" t="s">
        <v>491</v>
      </c>
      <c r="B306" s="58" t="s">
        <v>492</v>
      </c>
      <c r="C306" s="58" t="s">
        <v>493</v>
      </c>
    </row>
    <row r="307" spans="1:3" x14ac:dyDescent="0.2">
      <c r="A307" s="59">
        <f>SUMPRODUCT(--(BB:BB="ЗПФ"),--(W:W="кор"),H:H,Y:Y)+SUMPRODUCT(--(BB:BB="ЗПФ"),--(W:W="кг"),Y:Y)</f>
        <v>496.79999999999995</v>
      </c>
      <c r="B307" s="60">
        <f>SUMPRODUCT(--(BB:BB="ПГП"),--(W:W="кор"),H:H,Y:Y)+SUMPRODUCT(--(BB:BB="ПГП"),--(W:W="кг"),Y:Y)</f>
        <v>2628.6</v>
      </c>
      <c r="C307" s="60">
        <f>SUMPRODUCT(--(BB:BB="КИЗ"),--(W:W="кор"),H:H,Y:Y)+SUMPRODUCT(--(BB:BB="КИЗ"),--(W:W="кг"),Y:Y)</f>
        <v>0</v>
      </c>
    </row>
  </sheetData>
  <sheetProtection algorithmName="SHA-512" hashValue="YP8aO3FVVcglgJeFiRpQ9/sNZ6pzrDL2Wgqk6AzWw8tMX92Hq7/P5zCFtmXwueXR+i1iu396Caqr9Gjv5j4smA==" saltValue="LhOdeT3lYTrtXly4PKvykQ==" spinCount="100000" sheet="1" objects="1" scenarios="1" sort="0" autoFilter="0" pivotTables="0"/>
  <autoFilter ref="A18:AF299" xr:uid="{00000000-0009-0000-0000-000000000000}">
    <filterColumn colId="3" showButton="0"/>
    <filterColumn colId="15" showButton="0"/>
    <filterColumn colId="16" showButton="0"/>
    <filterColumn colId="17" showButton="0"/>
    <filterColumn colId="18" showButton="0"/>
    <filterColumn colId="29" showButton="0"/>
    <filterColumn colId="30" showButton="0"/>
  </autoFilter>
  <mergeCells count="543">
    <mergeCell ref="R302:R303"/>
    <mergeCell ref="T302:T303"/>
    <mergeCell ref="A21:Z21"/>
    <mergeCell ref="D192:E192"/>
    <mergeCell ref="P296:V296"/>
    <mergeCell ref="D42:E42"/>
    <mergeCell ref="D17:E18"/>
    <mergeCell ref="X17:X18"/>
    <mergeCell ref="D123:E123"/>
    <mergeCell ref="P58:T58"/>
    <mergeCell ref="A188:O189"/>
    <mergeCell ref="D50:E50"/>
    <mergeCell ref="P202:T202"/>
    <mergeCell ref="D110:E110"/>
    <mergeCell ref="D286:E286"/>
    <mergeCell ref="P216:V216"/>
    <mergeCell ref="D291:E291"/>
    <mergeCell ref="D239:E239"/>
    <mergeCell ref="D266:E266"/>
    <mergeCell ref="U17:V17"/>
    <mergeCell ref="Y17:Y18"/>
    <mergeCell ref="D57:E57"/>
    <mergeCell ref="A8:C8"/>
    <mergeCell ref="P124:T124"/>
    <mergeCell ref="D97:E97"/>
    <mergeCell ref="P151:T151"/>
    <mergeCell ref="P76:V76"/>
    <mergeCell ref="D268:E268"/>
    <mergeCell ref="A128:Z128"/>
    <mergeCell ref="A10:C10"/>
    <mergeCell ref="Q302:Q303"/>
    <mergeCell ref="D29:E29"/>
    <mergeCell ref="S302:S303"/>
    <mergeCell ref="A20:Z20"/>
    <mergeCell ref="D252:E252"/>
    <mergeCell ref="P123:T123"/>
    <mergeCell ref="P110:T110"/>
    <mergeCell ref="P66:V66"/>
    <mergeCell ref="P137:V137"/>
    <mergeCell ref="A258:O259"/>
    <mergeCell ref="A127:Z127"/>
    <mergeCell ref="A249:Z249"/>
    <mergeCell ref="A176:Z176"/>
    <mergeCell ref="A114:Z114"/>
    <mergeCell ref="A191:Z191"/>
    <mergeCell ref="P262:T262"/>
    <mergeCell ref="A107:Z107"/>
    <mergeCell ref="D276:E276"/>
    <mergeCell ref="D49:E49"/>
    <mergeCell ref="D278:E278"/>
    <mergeCell ref="P291:T291"/>
    <mergeCell ref="D234:E234"/>
    <mergeCell ref="P288:T288"/>
    <mergeCell ref="D171:E171"/>
    <mergeCell ref="AD17:AF18"/>
    <mergeCell ref="D101:E101"/>
    <mergeCell ref="P142:V142"/>
    <mergeCell ref="A132:Z132"/>
    <mergeCell ref="F5:G5"/>
    <mergeCell ref="T301:U301"/>
    <mergeCell ref="P169:V169"/>
    <mergeCell ref="A25:Z25"/>
    <mergeCell ref="P119:V119"/>
    <mergeCell ref="P186:T186"/>
    <mergeCell ref="P82:T82"/>
    <mergeCell ref="D221:E221"/>
    <mergeCell ref="V11:W11"/>
    <mergeCell ref="P253:T253"/>
    <mergeCell ref="P57:T57"/>
    <mergeCell ref="D165:E165"/>
    <mergeCell ref="P75:T75"/>
    <mergeCell ref="P146:T146"/>
    <mergeCell ref="D152:E152"/>
    <mergeCell ref="A136:O137"/>
    <mergeCell ref="D279:E279"/>
    <mergeCell ref="A263:O264"/>
    <mergeCell ref="N17:N18"/>
    <mergeCell ref="Q5:R5"/>
    <mergeCell ref="P2:W3"/>
    <mergeCell ref="A269:O270"/>
    <mergeCell ref="P54:T54"/>
    <mergeCell ref="A170:Z170"/>
    <mergeCell ref="D10:E10"/>
    <mergeCell ref="A23:O24"/>
    <mergeCell ref="P64:T64"/>
    <mergeCell ref="F10:G10"/>
    <mergeCell ref="P135:T135"/>
    <mergeCell ref="A181:O182"/>
    <mergeCell ref="D99:E99"/>
    <mergeCell ref="A201:Z201"/>
    <mergeCell ref="F17:F18"/>
    <mergeCell ref="Q6:R6"/>
    <mergeCell ref="P134:T134"/>
    <mergeCell ref="A118:O119"/>
    <mergeCell ref="D102:E102"/>
    <mergeCell ref="D196:E196"/>
    <mergeCell ref="P23:V23"/>
    <mergeCell ref="A231:Z231"/>
    <mergeCell ref="A35:Z35"/>
    <mergeCell ref="A62:Z62"/>
    <mergeCell ref="D54:E54"/>
    <mergeCell ref="P160:V160"/>
    <mergeCell ref="AE302:AE303"/>
    <mergeCell ref="AG302:AG303"/>
    <mergeCell ref="A143:Z143"/>
    <mergeCell ref="D159:E159"/>
    <mergeCell ref="A232:Z232"/>
    <mergeCell ref="D80:E80"/>
    <mergeCell ref="A225:Z225"/>
    <mergeCell ref="D288:E288"/>
    <mergeCell ref="P148:V148"/>
    <mergeCell ref="A271:Z271"/>
    <mergeCell ref="P240:V240"/>
    <mergeCell ref="D154:E154"/>
    <mergeCell ref="P282:T282"/>
    <mergeCell ref="A105:O106"/>
    <mergeCell ref="D227:E227"/>
    <mergeCell ref="D202:E202"/>
    <mergeCell ref="A125:O126"/>
    <mergeCell ref="D84:E84"/>
    <mergeCell ref="A157:Z157"/>
    <mergeCell ref="P255:V255"/>
    <mergeCell ref="P178:T178"/>
    <mergeCell ref="I302:I303"/>
    <mergeCell ref="P276:T276"/>
    <mergeCell ref="K302:K303"/>
    <mergeCell ref="J302:J303"/>
    <mergeCell ref="L302:L303"/>
    <mergeCell ref="H5:M5"/>
    <mergeCell ref="A27:Z27"/>
    <mergeCell ref="A228:O229"/>
    <mergeCell ref="P98:T98"/>
    <mergeCell ref="A214:Z214"/>
    <mergeCell ref="D146:E146"/>
    <mergeCell ref="D6:M6"/>
    <mergeCell ref="A292:O293"/>
    <mergeCell ref="D83:E83"/>
    <mergeCell ref="A86:O87"/>
    <mergeCell ref="P227:T227"/>
    <mergeCell ref="D85:E85"/>
    <mergeCell ref="A230:Z230"/>
    <mergeCell ref="G17:G18"/>
    <mergeCell ref="P48:T48"/>
    <mergeCell ref="A9:C9"/>
    <mergeCell ref="D58:E58"/>
    <mergeCell ref="P39:V39"/>
    <mergeCell ref="P70:V70"/>
    <mergeCell ref="P32:V32"/>
    <mergeCell ref="Q13:R13"/>
    <mergeCell ref="D22:E22"/>
    <mergeCell ref="AE301:AF301"/>
    <mergeCell ref="A88:Z88"/>
    <mergeCell ref="P257:T257"/>
    <mergeCell ref="P80:T80"/>
    <mergeCell ref="D194:E194"/>
    <mergeCell ref="Z17:Z18"/>
    <mergeCell ref="P173:V173"/>
    <mergeCell ref="AB17:AB18"/>
    <mergeCell ref="P94:V94"/>
    <mergeCell ref="A41:Z41"/>
    <mergeCell ref="P44:V44"/>
    <mergeCell ref="D257:E257"/>
    <mergeCell ref="D151:E151"/>
    <mergeCell ref="P49:T49"/>
    <mergeCell ref="P36:T36"/>
    <mergeCell ref="P278:T278"/>
    <mergeCell ref="P101:T101"/>
    <mergeCell ref="D215:E215"/>
    <mergeCell ref="M17:M18"/>
    <mergeCell ref="A168:O169"/>
    <mergeCell ref="O17:O18"/>
    <mergeCell ref="P131:V131"/>
    <mergeCell ref="P258:V258"/>
    <mergeCell ref="P174:V174"/>
    <mergeCell ref="V6:W9"/>
    <mergeCell ref="P109:T109"/>
    <mergeCell ref="A155:O156"/>
    <mergeCell ref="D186:E186"/>
    <mergeCell ref="A93:O94"/>
    <mergeCell ref="P274:T274"/>
    <mergeCell ref="P84:T84"/>
    <mergeCell ref="P22:T22"/>
    <mergeCell ref="P193:T193"/>
    <mergeCell ref="P236:V236"/>
    <mergeCell ref="A61:Z61"/>
    <mergeCell ref="P223:V223"/>
    <mergeCell ref="A248:Z248"/>
    <mergeCell ref="A175:Z175"/>
    <mergeCell ref="P102:T102"/>
    <mergeCell ref="P189:V189"/>
    <mergeCell ref="P196:T196"/>
    <mergeCell ref="P83:T83"/>
    <mergeCell ref="V12:W12"/>
    <mergeCell ref="D262:E262"/>
    <mergeCell ref="P43:V43"/>
    <mergeCell ref="P85:T85"/>
    <mergeCell ref="P105:V105"/>
    <mergeCell ref="H10:M10"/>
    <mergeCell ref="AA17:AA18"/>
    <mergeCell ref="AC17:AC18"/>
    <mergeCell ref="P279:T279"/>
    <mergeCell ref="A224:Z224"/>
    <mergeCell ref="A72:Z72"/>
    <mergeCell ref="P147:V147"/>
    <mergeCell ref="P251:T251"/>
    <mergeCell ref="A235:O236"/>
    <mergeCell ref="D153:E153"/>
    <mergeCell ref="J9:M9"/>
    <mergeCell ref="D283:E283"/>
    <mergeCell ref="D56:E56"/>
    <mergeCell ref="A65:O66"/>
    <mergeCell ref="D193:E193"/>
    <mergeCell ref="P233:T233"/>
    <mergeCell ref="P37:T37"/>
    <mergeCell ref="P155:V155"/>
    <mergeCell ref="D285:E285"/>
    <mergeCell ref="D64:E64"/>
    <mergeCell ref="D51:E51"/>
    <mergeCell ref="P86:V86"/>
    <mergeCell ref="A209:Z209"/>
    <mergeCell ref="A40:Z40"/>
    <mergeCell ref="A67:Z67"/>
    <mergeCell ref="D203:E203"/>
    <mergeCell ref="P159:T159"/>
    <mergeCell ref="D140:E140"/>
    <mergeCell ref="D267:E267"/>
    <mergeCell ref="H17:H18"/>
    <mergeCell ref="P90:T90"/>
    <mergeCell ref="P261:T261"/>
    <mergeCell ref="D204:E204"/>
    <mergeCell ref="D75:E75"/>
    <mergeCell ref="P71:V71"/>
    <mergeCell ref="A138:Z138"/>
    <mergeCell ref="A13:M13"/>
    <mergeCell ref="A59:O60"/>
    <mergeCell ref="U302:U303"/>
    <mergeCell ref="W302:W303"/>
    <mergeCell ref="Y302:Y303"/>
    <mergeCell ref="P115:T115"/>
    <mergeCell ref="A256:Z256"/>
    <mergeCell ref="A15:M15"/>
    <mergeCell ref="D48:E48"/>
    <mergeCell ref="A183:Z183"/>
    <mergeCell ref="A133:Z133"/>
    <mergeCell ref="P204:T204"/>
    <mergeCell ref="P179:T179"/>
    <mergeCell ref="W301:AC301"/>
    <mergeCell ref="B302:B303"/>
    <mergeCell ref="D302:D303"/>
    <mergeCell ref="P154:T154"/>
    <mergeCell ref="A222:O223"/>
    <mergeCell ref="P247:V247"/>
    <mergeCell ref="P241:V241"/>
    <mergeCell ref="A302:A303"/>
    <mergeCell ref="P91:T91"/>
    <mergeCell ref="T5:U5"/>
    <mergeCell ref="V5:W5"/>
    <mergeCell ref="P203:T203"/>
    <mergeCell ref="P294:V294"/>
    <mergeCell ref="D233:E233"/>
    <mergeCell ref="D282:E282"/>
    <mergeCell ref="P212:V212"/>
    <mergeCell ref="Q8:R8"/>
    <mergeCell ref="P69:T69"/>
    <mergeCell ref="P140:T140"/>
    <mergeCell ref="P267:T267"/>
    <mergeCell ref="D104:E104"/>
    <mergeCell ref="D275:E275"/>
    <mergeCell ref="P254:V254"/>
    <mergeCell ref="A79:Z79"/>
    <mergeCell ref="T6:U9"/>
    <mergeCell ref="Q10:R10"/>
    <mergeCell ref="D185:E185"/>
    <mergeCell ref="D277:E277"/>
    <mergeCell ref="A208:Z208"/>
    <mergeCell ref="P60:V60"/>
    <mergeCell ref="A145:Z145"/>
    <mergeCell ref="A139:Z139"/>
    <mergeCell ref="D74:E74"/>
    <mergeCell ref="AD302:AD303"/>
    <mergeCell ref="P185:T185"/>
    <mergeCell ref="V302:V303"/>
    <mergeCell ref="AF302:AF303"/>
    <mergeCell ref="P283:T283"/>
    <mergeCell ref="P277:T277"/>
    <mergeCell ref="D220:E220"/>
    <mergeCell ref="P199:V199"/>
    <mergeCell ref="A198:O199"/>
    <mergeCell ref="P297:V297"/>
    <mergeCell ref="M302:M303"/>
    <mergeCell ref="P285:T285"/>
    <mergeCell ref="P263:V263"/>
    <mergeCell ref="P228:V228"/>
    <mergeCell ref="D251:E251"/>
    <mergeCell ref="P293:V293"/>
    <mergeCell ref="A190:Z190"/>
    <mergeCell ref="P292:V292"/>
    <mergeCell ref="D280:E280"/>
    <mergeCell ref="C302:C303"/>
    <mergeCell ref="X302:X303"/>
    <mergeCell ref="P245:T245"/>
    <mergeCell ref="A206:O207"/>
    <mergeCell ref="D273:E273"/>
    <mergeCell ref="P302:P303"/>
    <mergeCell ref="A43:O44"/>
    <mergeCell ref="P298:V298"/>
    <mergeCell ref="P198:V198"/>
    <mergeCell ref="A250:Z250"/>
    <mergeCell ref="A5:C5"/>
    <mergeCell ref="A237:Z237"/>
    <mergeCell ref="D179:E179"/>
    <mergeCell ref="A108:Z108"/>
    <mergeCell ref="C301:S301"/>
    <mergeCell ref="D166:E166"/>
    <mergeCell ref="A17:A18"/>
    <mergeCell ref="K17:K18"/>
    <mergeCell ref="P195:T195"/>
    <mergeCell ref="C17:C18"/>
    <mergeCell ref="D103:E103"/>
    <mergeCell ref="D37:E37"/>
    <mergeCell ref="A238:Z238"/>
    <mergeCell ref="D9:E9"/>
    <mergeCell ref="D180:E180"/>
    <mergeCell ref="P197:T197"/>
    <mergeCell ref="F9:G9"/>
    <mergeCell ref="P53:T53"/>
    <mergeCell ref="A254:O255"/>
    <mergeCell ref="A6:C6"/>
    <mergeCell ref="P180:T180"/>
    <mergeCell ref="A96:Z96"/>
    <mergeCell ref="P167:T167"/>
    <mergeCell ref="P117:T117"/>
    <mergeCell ref="P55:T55"/>
    <mergeCell ref="D115:E115"/>
    <mergeCell ref="Q12:R12"/>
    <mergeCell ref="P280:T280"/>
    <mergeCell ref="D90:E90"/>
    <mergeCell ref="D261:E261"/>
    <mergeCell ref="A130:O131"/>
    <mergeCell ref="D167:E167"/>
    <mergeCell ref="P239:T239"/>
    <mergeCell ref="A265:Z265"/>
    <mergeCell ref="A121:Z121"/>
    <mergeCell ref="D63:E63"/>
    <mergeCell ref="P181:V181"/>
    <mergeCell ref="A38:O39"/>
    <mergeCell ref="D52:E52"/>
    <mergeCell ref="A162:Z162"/>
    <mergeCell ref="P15:T16"/>
    <mergeCell ref="D116:E116"/>
    <mergeCell ref="A177:Z177"/>
    <mergeCell ref="P287:T287"/>
    <mergeCell ref="P281:T281"/>
    <mergeCell ref="P295:V295"/>
    <mergeCell ref="A120:Z120"/>
    <mergeCell ref="P270:V270"/>
    <mergeCell ref="A95:Z95"/>
    <mergeCell ref="Q9:R9"/>
    <mergeCell ref="A113:Z113"/>
    <mergeCell ref="A219:Z219"/>
    <mergeCell ref="Q11:R11"/>
    <mergeCell ref="P205:T205"/>
    <mergeCell ref="P289:T289"/>
    <mergeCell ref="D91:E91"/>
    <mergeCell ref="A164:Z164"/>
    <mergeCell ref="P272:T272"/>
    <mergeCell ref="P210:T210"/>
    <mergeCell ref="P122:T122"/>
    <mergeCell ref="P65:V65"/>
    <mergeCell ref="P136:V136"/>
    <mergeCell ref="A12:M12"/>
    <mergeCell ref="P74:T74"/>
    <mergeCell ref="A19:Z19"/>
    <mergeCell ref="A68:Z68"/>
    <mergeCell ref="A14:M14"/>
    <mergeCell ref="P284:T284"/>
    <mergeCell ref="P17:T18"/>
    <mergeCell ref="P129:T129"/>
    <mergeCell ref="P63:T63"/>
    <mergeCell ref="P194:T194"/>
    <mergeCell ref="P50:T50"/>
    <mergeCell ref="D31:E31"/>
    <mergeCell ref="D158:E158"/>
    <mergeCell ref="P286:T286"/>
    <mergeCell ref="P187:T187"/>
    <mergeCell ref="A111:O112"/>
    <mergeCell ref="P52:T52"/>
    <mergeCell ref="I17:I18"/>
    <mergeCell ref="D135:E135"/>
    <mergeCell ref="A246:O247"/>
    <mergeCell ref="D109:E109"/>
    <mergeCell ref="A160:O161"/>
    <mergeCell ref="P126:V126"/>
    <mergeCell ref="A141:O142"/>
    <mergeCell ref="D178:E178"/>
    <mergeCell ref="D172:E172"/>
    <mergeCell ref="P51:T51"/>
    <mergeCell ref="P153:T153"/>
    <mergeCell ref="D36:E36"/>
    <mergeCell ref="AA302:AA303"/>
    <mergeCell ref="P42:T42"/>
    <mergeCell ref="A32:O33"/>
    <mergeCell ref="D290:E290"/>
    <mergeCell ref="D69:E69"/>
    <mergeCell ref="A240:O241"/>
    <mergeCell ref="P106:V106"/>
    <mergeCell ref="P33:V33"/>
    <mergeCell ref="P93:V93"/>
    <mergeCell ref="P264:V264"/>
    <mergeCell ref="P269:V269"/>
    <mergeCell ref="A45:Z45"/>
    <mergeCell ref="O302:O303"/>
    <mergeCell ref="P273:T273"/>
    <mergeCell ref="A218:Z218"/>
    <mergeCell ref="D272:E272"/>
    <mergeCell ref="D210:E210"/>
    <mergeCell ref="A46:Z46"/>
    <mergeCell ref="H302:H303"/>
    <mergeCell ref="A89:Z89"/>
    <mergeCell ref="P166:T166"/>
    <mergeCell ref="P188:V188"/>
    <mergeCell ref="D274:E274"/>
    <mergeCell ref="D245:E245"/>
    <mergeCell ref="H1:Q1"/>
    <mergeCell ref="P38:V38"/>
    <mergeCell ref="A243:Z243"/>
    <mergeCell ref="P222:V222"/>
    <mergeCell ref="D284:E284"/>
    <mergeCell ref="P246:V246"/>
    <mergeCell ref="D28:E28"/>
    <mergeCell ref="A163:Z163"/>
    <mergeCell ref="D117:E117"/>
    <mergeCell ref="D92:E92"/>
    <mergeCell ref="D55:E55"/>
    <mergeCell ref="D30:E30"/>
    <mergeCell ref="P171:T171"/>
    <mergeCell ref="D5:E5"/>
    <mergeCell ref="P116:T116"/>
    <mergeCell ref="D122:E122"/>
    <mergeCell ref="A26:Z26"/>
    <mergeCell ref="P103:T103"/>
    <mergeCell ref="P59:V59"/>
    <mergeCell ref="P97:T97"/>
    <mergeCell ref="P130:V130"/>
    <mergeCell ref="P268:T268"/>
    <mergeCell ref="D1:F1"/>
    <mergeCell ref="A242:Z242"/>
    <mergeCell ref="E302:E303"/>
    <mergeCell ref="G302:G303"/>
    <mergeCell ref="P234:T234"/>
    <mergeCell ref="A150:Z150"/>
    <mergeCell ref="A144:Z144"/>
    <mergeCell ref="D7:M7"/>
    <mergeCell ref="D129:E129"/>
    <mergeCell ref="P156:V156"/>
    <mergeCell ref="P92:T92"/>
    <mergeCell ref="P29:T29"/>
    <mergeCell ref="P100:T100"/>
    <mergeCell ref="D81:E81"/>
    <mergeCell ref="A294:O299"/>
    <mergeCell ref="D8:M8"/>
    <mergeCell ref="A211:O212"/>
    <mergeCell ref="A226:Z226"/>
    <mergeCell ref="P31:T31"/>
    <mergeCell ref="P158:T158"/>
    <mergeCell ref="P118:V118"/>
    <mergeCell ref="F302:F303"/>
    <mergeCell ref="P266:T266"/>
    <mergeCell ref="P182:V182"/>
    <mergeCell ref="P47:T47"/>
    <mergeCell ref="P111:V111"/>
    <mergeCell ref="AH302:AH303"/>
    <mergeCell ref="B17:B18"/>
    <mergeCell ref="Z302:Z303"/>
    <mergeCell ref="AB302:AB303"/>
    <mergeCell ref="A73:Z73"/>
    <mergeCell ref="P235:V235"/>
    <mergeCell ref="A260:Z260"/>
    <mergeCell ref="P207:V207"/>
    <mergeCell ref="P81:T81"/>
    <mergeCell ref="P56:T56"/>
    <mergeCell ref="D124:E124"/>
    <mergeCell ref="D195:E195"/>
    <mergeCell ref="P252:T252"/>
    <mergeCell ref="A173:O174"/>
    <mergeCell ref="P299:V299"/>
    <mergeCell ref="P99:T99"/>
    <mergeCell ref="D287:E287"/>
    <mergeCell ref="D197:E197"/>
    <mergeCell ref="D253:E253"/>
    <mergeCell ref="D53:E53"/>
    <mergeCell ref="D47:E47"/>
    <mergeCell ref="D289:E289"/>
    <mergeCell ref="A149:Z149"/>
    <mergeCell ref="W17:W18"/>
    <mergeCell ref="AC302:AC303"/>
    <mergeCell ref="D134:E134"/>
    <mergeCell ref="D205:E205"/>
    <mergeCell ref="R1:T1"/>
    <mergeCell ref="P172:T172"/>
    <mergeCell ref="P28:T28"/>
    <mergeCell ref="P221:T221"/>
    <mergeCell ref="P215:T215"/>
    <mergeCell ref="P165:T165"/>
    <mergeCell ref="P229:V229"/>
    <mergeCell ref="D98:E98"/>
    <mergeCell ref="P30:T30"/>
    <mergeCell ref="P77:V77"/>
    <mergeCell ref="P152:T152"/>
    <mergeCell ref="A76:O77"/>
    <mergeCell ref="A147:O148"/>
    <mergeCell ref="A200:Z200"/>
    <mergeCell ref="P290:T290"/>
    <mergeCell ref="P141:V141"/>
    <mergeCell ref="P206:V206"/>
    <mergeCell ref="P104:T104"/>
    <mergeCell ref="P168:V168"/>
    <mergeCell ref="P275:T275"/>
    <mergeCell ref="V10:W10"/>
    <mergeCell ref="D187:E187"/>
    <mergeCell ref="P87:V87"/>
    <mergeCell ref="A34:Z34"/>
    <mergeCell ref="H9:I9"/>
    <mergeCell ref="P24:V24"/>
    <mergeCell ref="D281:E281"/>
    <mergeCell ref="P211:V211"/>
    <mergeCell ref="P259:V259"/>
    <mergeCell ref="A78:Z78"/>
    <mergeCell ref="P220:T220"/>
    <mergeCell ref="A70:O71"/>
    <mergeCell ref="A216:O217"/>
    <mergeCell ref="P161:V161"/>
    <mergeCell ref="P217:V217"/>
    <mergeCell ref="A213:Z213"/>
    <mergeCell ref="J17:J18"/>
    <mergeCell ref="D82:E82"/>
    <mergeCell ref="L17:L18"/>
    <mergeCell ref="A184:Z184"/>
    <mergeCell ref="A244:Z244"/>
    <mergeCell ref="P125:V125"/>
    <mergeCell ref="P192:T192"/>
    <mergeCell ref="P112:V112"/>
    <mergeCell ref="D100:E100"/>
  </mergeCells>
  <conditionalFormatting sqref="A8:N8 A9:C10 H10:N10 J9:N9 P9:R13">
    <cfRule type="expression" dxfId="8" priority="15" stopIfTrue="1">
      <formula>IF($V$5="самовывоз",1,0)</formula>
    </cfRule>
  </conditionalFormatting>
  <conditionalFormatting sqref="H9:I9">
    <cfRule type="expression" dxfId="7" priority="8" stopIfTrue="1">
      <formula>IF($V$5="самовывоз",1,0)</formula>
    </cfRule>
  </conditionalFormatting>
  <conditionalFormatting sqref="F9:G9">
    <cfRule type="expression" dxfId="6" priority="7" stopIfTrue="1">
      <formula>IF($V$5="самовывоз",1,0)</formula>
    </cfRule>
  </conditionalFormatting>
  <conditionalFormatting sqref="F10:G10">
    <cfRule type="expression" dxfId="5" priority="6" stopIfTrue="1">
      <formula>IF($V$5="самовывоз",1,0)</formula>
    </cfRule>
  </conditionalFormatting>
  <conditionalFormatting sqref="D9:E9">
    <cfRule type="expression" dxfId="4" priority="5" stopIfTrue="1">
      <formula>IF($V$5="самовывоз",1,0)</formula>
    </cfRule>
  </conditionalFormatting>
  <conditionalFormatting sqref="D10:E10">
    <cfRule type="expression" dxfId="3" priority="4" stopIfTrue="1">
      <formula>IF($V$5="самовывоз",1,0)</formula>
    </cfRule>
  </conditionalFormatting>
  <conditionalFormatting sqref="P5 P6:R6 P8">
    <cfRule type="expression" dxfId="2" priority="3" stopIfTrue="1">
      <formula>IF($V$5="доставка",1,0)</formula>
    </cfRule>
  </conditionalFormatting>
  <conditionalFormatting sqref="Q5:R5">
    <cfRule type="expression" dxfId="1" priority="2" stopIfTrue="1">
      <formula>IF($V$5="доставка",1,0)</formula>
    </cfRule>
  </conditionalFormatting>
  <conditionalFormatting sqref="Q8:R8">
    <cfRule type="expression" dxfId="0" priority="1" stopIfTrue="1">
      <formula>IF($V$5="доставка",1,0)</formula>
    </cfRule>
  </conditionalFormatting>
  <dataValidations xWindow="697" yWindow="616" count="20">
    <dataValidation showInputMessage="1" showErrorMessage="1" prompt="День недели загрузки. Считается сам." sqref="Q6:Q7" xr:uid="{00000000-0002-0000-0000-000000000000}"/>
    <dataValidation type="list" showInputMessage="1" showErrorMessage="1" sqref="X16:AC16" xr:uid="{00000000-0002-0000-0000-000001000000}">
      <formula1>"80-60,60-40,40-10,70-10"</formula1>
    </dataValidation>
    <dataValidation type="date" showInputMessage="1" showErrorMessage="1" errorTitle="Внимание!" error="Укажите дату загрузки. Пример 10.10.2007" prompt="Укажите дату загрузки. Пример 10.10.2007" sqref="Q5:R5" xr:uid="{00000000-0002-0000-0000-000002000000}">
      <formula1>43831</formula1>
      <formula2>47484</formula2>
    </dataValidation>
    <dataValidation showInputMessage="1" showErrorMessage="1" prompt="Введите название вашей фирмы." sqref="V6:V7" xr:uid="{00000000-0002-0000-0000-000003000000}"/>
    <dataValidation showInputMessage="1" showErrorMessage="1" prompt="Введите код клиента в системе Axapta" sqref="V10" xr:uid="{00000000-0002-0000-0000-000004000000}"/>
    <dataValidation type="list" showInputMessage="1" showErrorMessage="1" prompt="Определите тип Вашего заказа" sqref="V11:W11" xr:uid="{00000000-0002-0000-0000-000005000000}">
      <formula1>"Основной заказ, Дозаказ, Замена"</formula1>
    </dataValidation>
    <dataValidation type="list" showInputMessage="1" showErrorMessage="1" errorTitle="Внимание!" error="Выберите значение из списка_x000a_" prompt="Выберите значение из списка" sqref="V5:W5" xr:uid="{00000000-0002-0000-0000-000006000000}">
      <formula1>DeliveryMethodList</formula1>
    </dataValidation>
    <dataValidation type="time" showInputMessage="1" showErrorMessage="1" errorTitle="Внимание!" error="Укаите время загрузки. Пример: 9:00" prompt="Укажите время загрузки. Пример: 9:00" sqref="Q8:R8" xr:uid="{00000000-0002-0000-0000-000007000000}">
      <formula1>0.000694444444444444</formula1>
      <formula2>0.999305555555556</formula2>
    </dataValidation>
    <dataValidation type="time" showInputMessage="1" showErrorMessage="1" errorTitle="Внимание!" error="Укажите время доставки. Пример: 9:00" prompt="Укажите время доставки. Пример: 9:00" sqref="Q10:R13" xr:uid="{00000000-0002-0000-0000-000008000000}">
      <formula1>0.000694444444444444</formula1>
      <formula2>0.999305555555556</formula2>
    </dataValidation>
    <dataValidation type="date" showInputMessage="1" showErrorMessage="1" errorTitle="Внимание!" error="Укажите дату доставки. Пример 10.10.2007" prompt="Укажите дату доставки. Пример 10.10.2007" sqref="Q9:R9" xr:uid="{00000000-0002-0000-0000-000009000000}">
      <formula1>43831</formula1>
      <formula2>47484</formula2>
    </dataValidation>
    <dataValidation type="list" showInputMessage="1" showErrorMessage="1" sqref="D9:E9" xr:uid="{00000000-0002-0000-0000-00000A000000}">
      <formula1>"','Представитель клиента,'Уполномоченное лицо,'Разовая доверенность,'Будет определено на месте"</formula1>
    </dataValidation>
    <dataValidation type="list" showInputMessage="1" showErrorMessage="1" sqref="D10:E10" xr:uid="{00000000-0002-0000-0000-00000B000000}">
      <formula1>IF(TypeProxy="Уполномоченное лицо",NumProxySet,null)</formula1>
    </dataValidation>
    <dataValidation operator="equal" showInputMessage="1" showErrorMessage="1" error="укажите вес, кратный весу коробки" sqref="Z22:AC22" xr:uid="{00000000-0002-0000-0000-00000C000000}"/>
    <dataValidation type="list" showInputMessage="1" showErrorMessage="1" sqref="V12" xr:uid="{00000000-0002-0000-0000-00000D000000}">
      <formula1>DeliveryConditionsList</formula1>
    </dataValidation>
    <dataValidation type="list" showInputMessage="1" showErrorMessage="1" sqref="D6:N6" xr:uid="{00000000-0002-0000-0000-00000E000000}">
      <formula1>DeliveryAdressList</formula1>
    </dataValidation>
    <dataValidation type="list" showInputMessage="1" showErrorMessage="1" sqref="M8:N8" xr:uid="{00000000-0002-0000-0000-00000F000000}">
      <formula1>CHOOSE($D$7,UnloadAdressList)</formula1>
    </dataValidation>
    <dataValidation type="list" showInputMessage="1" showErrorMessage="1" sqref="D8:L8" xr:uid="{00000000-0002-0000-0000-000010000000}">
      <formula1>CHOOSE($D$7,UnloadAdressList0001)</formula1>
    </dataValidation>
    <dataValidation type="custom" showInputMessage="1" showErrorMessage="1" errorTitle="Нарушение кванта заказа!" error="Для этой позиции задан квант заказ равный Короб, введите значение не меньше минимального количества" sqref="X22 X54:X56 X58 X63 X82 X84 X109:X110 X116 X122 X140 X146 X151:X152 X154 X158:X159 X171:X172 X178:X180 X186:X187 X192 X194 X196 X202 X204 X210 X215 X220:X221 X227 X234 X239 X245 X262 X268 X272 X274 X276 X278:X279 X281:X282 X286:X291" xr:uid="{00000000-0002-0000-0000-000011000000}">
      <formula1>IF(AK22&gt;0,OR(X22=0,AND(IF(X22-AK22&gt;=0,TRUE,FALSE),X22&gt;0)),FALSE)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28:X29 X31 X36:X37 X42 X47:X53 X57 X69 X74:X75 X80:X81 X83 X85 X90:X92 X97:X98 X101 X115 X123:X124 X129 X134:X135 X167 X185 X193 X195 X197 X203 X205 X251:X253 X257 X266 X273 X275 X277 X283:X285" xr:uid="{00000000-0002-0000-0000-000012000000}">
      <formula1>IF(AK28&gt;0,OR(X28=0,AND(IF(X28-AK28&gt;=0,TRUE,FALSE),X28&gt;0,IF(X28/K28=ROUND(X28/K28,0),TRUE,FALSE))),FALSE)</formula1>
    </dataValidation>
    <dataValidation type="custom" showInputMessage="1" showErrorMessage="1" errorTitle="Нарушение кванта заказа!" error="Для этой позиции задан квант заказа, отличный от Короба. Пожалуйста, введите значение, не меньше минимального количества и кратное количеству коробов в слое/паллете" sqref="X30 X64 X99:X100 X102:X104 X117 X153 X165:X166 X233 X261 X267 X280" xr:uid="{00000000-0002-0000-0000-000013000000}">
      <formula1>IF(AK30&gt;0,OR(X30=0,AND(IF(X30-AK30&gt;=0,TRUE,FALSE),X30&gt;0,IF(X30/J30=ROUND(X30/J30,0),TRUE,FALSE))),FALSE)</formula1>
    </dataValidation>
  </dataValidations>
  <pageMargins left="0.23622047244094491" right="0.23622047244094491" top="0.74803149606299213" bottom="0.74803149606299213" header="0.31496062992125978" footer="0.31496062992125978"/>
  <pageSetup paperSize="9" scale="45" fitToHeight="3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H20"/>
  <sheetViews>
    <sheetView workbookViewId="0">
      <selection activeCell="B16" sqref="B16"/>
    </sheetView>
  </sheetViews>
  <sheetFormatPr defaultColWidth="8.85546875" defaultRowHeight="12.75" x14ac:dyDescent="0.2"/>
  <cols>
    <col min="1" max="1" width="6.42578125" customWidth="1"/>
    <col min="2" max="2" width="29.5703125" customWidth="1"/>
    <col min="3" max="3" width="34.140625" customWidth="1"/>
    <col min="4" max="4" width="37.42578125" customWidth="1"/>
  </cols>
  <sheetData>
    <row r="1" spans="2:8" x14ac:dyDescent="0.2">
      <c r="G1" t="s">
        <v>494</v>
      </c>
      <c r="H1" s="52"/>
    </row>
    <row r="3" spans="2:8" x14ac:dyDescent="0.2">
      <c r="B3" s="47" t="s">
        <v>495</v>
      </c>
      <c r="C3" s="47"/>
      <c r="D3" s="47"/>
      <c r="E3" s="47"/>
    </row>
    <row r="4" spans="2:8" x14ac:dyDescent="0.2">
      <c r="B4" s="47" t="s">
        <v>11</v>
      </c>
      <c r="C4" s="47"/>
      <c r="D4" s="47"/>
      <c r="E4" s="47"/>
    </row>
    <row r="6" spans="2:8" x14ac:dyDescent="0.2">
      <c r="B6" s="47" t="s">
        <v>13</v>
      </c>
      <c r="C6" s="47" t="s">
        <v>496</v>
      </c>
      <c r="D6" s="47" t="s">
        <v>497</v>
      </c>
      <c r="E6" s="47"/>
    </row>
    <row r="8" spans="2:8" x14ac:dyDescent="0.2">
      <c r="B8" s="47" t="s">
        <v>18</v>
      </c>
      <c r="C8" s="47" t="s">
        <v>496</v>
      </c>
      <c r="D8" s="47"/>
      <c r="E8" s="47"/>
    </row>
    <row r="10" spans="2:8" x14ac:dyDescent="0.2">
      <c r="B10" s="47" t="s">
        <v>498</v>
      </c>
      <c r="C10" s="47"/>
      <c r="D10" s="47"/>
      <c r="E10" s="47"/>
    </row>
    <row r="11" spans="2:8" x14ac:dyDescent="0.2">
      <c r="B11" s="47" t="s">
        <v>499</v>
      </c>
      <c r="C11" s="47"/>
      <c r="D11" s="47"/>
      <c r="E11" s="47"/>
    </row>
    <row r="12" spans="2:8" x14ac:dyDescent="0.2">
      <c r="B12" s="47" t="s">
        <v>500</v>
      </c>
      <c r="C12" s="47"/>
      <c r="D12" s="47"/>
      <c r="E12" s="47"/>
    </row>
    <row r="13" spans="2:8" x14ac:dyDescent="0.2">
      <c r="B13" s="47" t="s">
        <v>501</v>
      </c>
      <c r="C13" s="47"/>
      <c r="D13" s="47"/>
      <c r="E13" s="47"/>
    </row>
    <row r="14" spans="2:8" x14ac:dyDescent="0.2">
      <c r="B14" s="47" t="s">
        <v>502</v>
      </c>
      <c r="C14" s="47"/>
      <c r="D14" s="47"/>
      <c r="E14" s="47"/>
    </row>
    <row r="15" spans="2:8" x14ac:dyDescent="0.2">
      <c r="B15" s="47" t="s">
        <v>503</v>
      </c>
      <c r="C15" s="47"/>
      <c r="D15" s="47"/>
      <c r="E15" s="47"/>
    </row>
    <row r="16" spans="2:8" x14ac:dyDescent="0.2">
      <c r="B16" s="47" t="s">
        <v>504</v>
      </c>
      <c r="C16" s="47"/>
      <c r="D16" s="47"/>
      <c r="E16" s="47"/>
    </row>
    <row r="17" spans="2:5" x14ac:dyDescent="0.2">
      <c r="B17" s="47" t="s">
        <v>505</v>
      </c>
      <c r="C17" s="47"/>
      <c r="D17" s="47"/>
      <c r="E17" s="47"/>
    </row>
    <row r="18" spans="2:5" x14ac:dyDescent="0.2">
      <c r="B18" s="47" t="s">
        <v>506</v>
      </c>
      <c r="C18" s="47"/>
      <c r="D18" s="47"/>
      <c r="E18" s="47"/>
    </row>
    <row r="19" spans="2:5" x14ac:dyDescent="0.2">
      <c r="B19" s="47" t="s">
        <v>507</v>
      </c>
      <c r="C19" s="47"/>
      <c r="D19" s="47"/>
      <c r="E19" s="47"/>
    </row>
    <row r="20" spans="2:5" x14ac:dyDescent="0.2">
      <c r="B20" s="47" t="s">
        <v>508</v>
      </c>
      <c r="C20" s="47"/>
      <c r="D20" s="47"/>
      <c r="E20" s="47"/>
    </row>
  </sheetData>
  <sheetProtection algorithmName="SHA-512" hashValue="OGrn13SzAyzdDi6hcHpes8j0vCgGzW0k267b/p5FxyPO8OS+zZJVFknrSlV3b0/6ZZRk3J6VRo4btCTJ3vrhpg==" saltValue="tUxGhcmPkCd+rJ+60fTiAQ==" spinCount="100000" sheet="1" objects="1" scenarios="1" sort="0" autoFilter="0" pivotTables="0"/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2</vt:i4>
      </vt:variant>
      <vt:variant>
        <vt:lpstr>Именованные диапазоны</vt:lpstr>
      </vt:variant>
      <vt:variant>
        <vt:i4>521</vt:i4>
      </vt:variant>
    </vt:vector>
  </HeadingPairs>
  <TitlesOfParts>
    <vt:vector size="523" baseType="lpstr">
      <vt:lpstr>Бланк заказа</vt:lpstr>
      <vt:lpstr>Setting</vt:lpstr>
      <vt:lpstr>CodeProxySet</vt:lpstr>
      <vt:lpstr>Comment</vt:lpstr>
      <vt:lpstr>ContactInformation</vt:lpstr>
      <vt:lpstr>CustAccount</vt:lpstr>
      <vt:lpstr>CustName</vt:lpstr>
      <vt:lpstr>DateFrom</vt:lpstr>
      <vt:lpstr>DeliveryAddress</vt:lpstr>
      <vt:lpstr>DeliveryAdressList</vt:lpstr>
      <vt:lpstr>DeliveryCodeAdressList</vt:lpstr>
      <vt:lpstr>DeliveryConditions</vt:lpstr>
      <vt:lpstr>DeliveryConditionsList</vt:lpstr>
      <vt:lpstr>DeliveryDate</vt:lpstr>
      <vt:lpstr>DeliveryMethodList</vt:lpstr>
      <vt:lpstr>DeliveryNumAdressList</vt:lpstr>
      <vt:lpstr>DeliveryTime</vt:lpstr>
      <vt:lpstr>DeliveryTime2</vt:lpstr>
      <vt:lpstr>DeliveryTime3</vt:lpstr>
      <vt:lpstr>DeliveryTime4</vt:lpstr>
      <vt:lpstr>DlvMode</vt:lpstr>
      <vt:lpstr>FileCodeCheck</vt:lpstr>
      <vt:lpstr>FIOProxy</vt:lpstr>
      <vt:lpstr>FIOProxySet</vt:lpstr>
      <vt:lpstr>GrossWeightTotal</vt:lpstr>
      <vt:lpstr>GrossWeightTotalR</vt:lpstr>
      <vt:lpstr>LoadDate</vt:lpstr>
      <vt:lpstr>LoadTime</vt:lpstr>
      <vt:lpstr>NumProxy</vt:lpstr>
      <vt:lpstr>NumProxySet</vt:lpstr>
      <vt:lpstr>PalletQtyTotal</vt:lpstr>
      <vt:lpstr>PalletQtyTotalR</vt:lpstr>
      <vt:lpstr>PassportProxy</vt:lpstr>
      <vt:lpstr>PassportProxySet</vt:lpstr>
      <vt:lpstr>ProductId1</vt:lpstr>
      <vt:lpstr>ProductId10</vt:lpstr>
      <vt:lpstr>ProductId100</vt:lpstr>
      <vt:lpstr>ProductId101</vt:lpstr>
      <vt:lpstr>ProductId102</vt:lpstr>
      <vt:lpstr>ProductId103</vt:lpstr>
      <vt:lpstr>ProductId104</vt:lpstr>
      <vt:lpstr>ProductId105</vt:lpstr>
      <vt:lpstr>ProductId106</vt:lpstr>
      <vt:lpstr>ProductId107</vt:lpstr>
      <vt:lpstr>ProductId108</vt:lpstr>
      <vt:lpstr>ProductId109</vt:lpstr>
      <vt:lpstr>ProductId11</vt:lpstr>
      <vt:lpstr>ProductId110</vt:lpstr>
      <vt:lpstr>ProductId111</vt:lpstr>
      <vt:lpstr>ProductId112</vt:lpstr>
      <vt:lpstr>ProductId113</vt:lpstr>
      <vt:lpstr>ProductId114</vt:lpstr>
      <vt:lpstr>ProductId115</vt:lpstr>
      <vt:lpstr>ProductId116</vt:lpstr>
      <vt:lpstr>ProductId117</vt:lpstr>
      <vt:lpstr>ProductId118</vt:lpstr>
      <vt:lpstr>ProductId119</vt:lpstr>
      <vt:lpstr>ProductId12</vt:lpstr>
      <vt:lpstr>ProductId120</vt:lpstr>
      <vt:lpstr>ProductId13</vt:lpstr>
      <vt:lpstr>ProductId14</vt:lpstr>
      <vt:lpstr>ProductId15</vt:lpstr>
      <vt:lpstr>ProductId16</vt:lpstr>
      <vt:lpstr>ProductId17</vt:lpstr>
      <vt:lpstr>ProductId18</vt:lpstr>
      <vt:lpstr>ProductId19</vt:lpstr>
      <vt:lpstr>ProductId2</vt:lpstr>
      <vt:lpstr>ProductId20</vt:lpstr>
      <vt:lpstr>ProductId21</vt:lpstr>
      <vt:lpstr>ProductId22</vt:lpstr>
      <vt:lpstr>ProductId23</vt:lpstr>
      <vt:lpstr>ProductId24</vt:lpstr>
      <vt:lpstr>ProductId25</vt:lpstr>
      <vt:lpstr>ProductId26</vt:lpstr>
      <vt:lpstr>ProductId27</vt:lpstr>
      <vt:lpstr>ProductId28</vt:lpstr>
      <vt:lpstr>ProductId29</vt:lpstr>
      <vt:lpstr>ProductId3</vt:lpstr>
      <vt:lpstr>ProductId30</vt:lpstr>
      <vt:lpstr>ProductId31</vt:lpstr>
      <vt:lpstr>ProductId32</vt:lpstr>
      <vt:lpstr>ProductId33</vt:lpstr>
      <vt:lpstr>ProductId34</vt:lpstr>
      <vt:lpstr>ProductId35</vt:lpstr>
      <vt:lpstr>ProductId36</vt:lpstr>
      <vt:lpstr>ProductId37</vt:lpstr>
      <vt:lpstr>ProductId38</vt:lpstr>
      <vt:lpstr>ProductId39</vt:lpstr>
      <vt:lpstr>ProductId4</vt:lpstr>
      <vt:lpstr>ProductId40</vt:lpstr>
      <vt:lpstr>ProductId41</vt:lpstr>
      <vt:lpstr>ProductId42</vt:lpstr>
      <vt:lpstr>ProductId43</vt:lpstr>
      <vt:lpstr>ProductId44</vt:lpstr>
      <vt:lpstr>ProductId45</vt:lpstr>
      <vt:lpstr>ProductId46</vt:lpstr>
      <vt:lpstr>ProductId47</vt:lpstr>
      <vt:lpstr>ProductId48</vt:lpstr>
      <vt:lpstr>ProductId49</vt:lpstr>
      <vt:lpstr>ProductId5</vt:lpstr>
      <vt:lpstr>ProductId50</vt:lpstr>
      <vt:lpstr>ProductId51</vt:lpstr>
      <vt:lpstr>ProductId52</vt:lpstr>
      <vt:lpstr>ProductId53</vt:lpstr>
      <vt:lpstr>ProductId54</vt:lpstr>
      <vt:lpstr>ProductId55</vt:lpstr>
      <vt:lpstr>ProductId56</vt:lpstr>
      <vt:lpstr>ProductId57</vt:lpstr>
      <vt:lpstr>ProductId58</vt:lpstr>
      <vt:lpstr>ProductId59</vt:lpstr>
      <vt:lpstr>ProductId6</vt:lpstr>
      <vt:lpstr>ProductId60</vt:lpstr>
      <vt:lpstr>ProductId61</vt:lpstr>
      <vt:lpstr>ProductId62</vt:lpstr>
      <vt:lpstr>ProductId63</vt:lpstr>
      <vt:lpstr>ProductId64</vt:lpstr>
      <vt:lpstr>ProductId65</vt:lpstr>
      <vt:lpstr>ProductId66</vt:lpstr>
      <vt:lpstr>ProductId67</vt:lpstr>
      <vt:lpstr>ProductId68</vt:lpstr>
      <vt:lpstr>ProductId69</vt:lpstr>
      <vt:lpstr>ProductId7</vt:lpstr>
      <vt:lpstr>ProductId70</vt:lpstr>
      <vt:lpstr>ProductId71</vt:lpstr>
      <vt:lpstr>ProductId72</vt:lpstr>
      <vt:lpstr>ProductId73</vt:lpstr>
      <vt:lpstr>ProductId74</vt:lpstr>
      <vt:lpstr>ProductId75</vt:lpstr>
      <vt:lpstr>ProductId76</vt:lpstr>
      <vt:lpstr>ProductId77</vt:lpstr>
      <vt:lpstr>ProductId78</vt:lpstr>
      <vt:lpstr>ProductId79</vt:lpstr>
      <vt:lpstr>ProductId8</vt:lpstr>
      <vt:lpstr>ProductId80</vt:lpstr>
      <vt:lpstr>ProductId81</vt:lpstr>
      <vt:lpstr>ProductId82</vt:lpstr>
      <vt:lpstr>ProductId83</vt:lpstr>
      <vt:lpstr>ProductId84</vt:lpstr>
      <vt:lpstr>ProductId85</vt:lpstr>
      <vt:lpstr>ProductId86</vt:lpstr>
      <vt:lpstr>ProductId87</vt:lpstr>
      <vt:lpstr>ProductId88</vt:lpstr>
      <vt:lpstr>ProductId89</vt:lpstr>
      <vt:lpstr>ProductId9</vt:lpstr>
      <vt:lpstr>ProductId90</vt:lpstr>
      <vt:lpstr>ProductId91</vt:lpstr>
      <vt:lpstr>ProductId92</vt:lpstr>
      <vt:lpstr>ProductId93</vt:lpstr>
      <vt:lpstr>ProductId94</vt:lpstr>
      <vt:lpstr>ProductId95</vt:lpstr>
      <vt:lpstr>ProductId96</vt:lpstr>
      <vt:lpstr>ProductId97</vt:lpstr>
      <vt:lpstr>ProductId98</vt:lpstr>
      <vt:lpstr>ProductId99</vt:lpstr>
      <vt:lpstr>Proxy</vt:lpstr>
      <vt:lpstr>Ref_UnloadCodeAdressList0001</vt:lpstr>
      <vt:lpstr>RequestReceiptTime</vt:lpstr>
      <vt:lpstr>SalesQty1</vt:lpstr>
      <vt:lpstr>SalesQty10</vt:lpstr>
      <vt:lpstr>SalesQty100</vt:lpstr>
      <vt:lpstr>SalesQty101</vt:lpstr>
      <vt:lpstr>SalesQty102</vt:lpstr>
      <vt:lpstr>SalesQty103</vt:lpstr>
      <vt:lpstr>SalesQty104</vt:lpstr>
      <vt:lpstr>SalesQty105</vt:lpstr>
      <vt:lpstr>SalesQty106</vt:lpstr>
      <vt:lpstr>SalesQty107</vt:lpstr>
      <vt:lpstr>SalesQty108</vt:lpstr>
      <vt:lpstr>SalesQty109</vt:lpstr>
      <vt:lpstr>SalesQty11</vt:lpstr>
      <vt:lpstr>SalesQty110</vt:lpstr>
      <vt:lpstr>SalesQty111</vt:lpstr>
      <vt:lpstr>SalesQty112</vt:lpstr>
      <vt:lpstr>SalesQty113</vt:lpstr>
      <vt:lpstr>SalesQty114</vt:lpstr>
      <vt:lpstr>SalesQty115</vt:lpstr>
      <vt:lpstr>SalesQty116</vt:lpstr>
      <vt:lpstr>SalesQty117</vt:lpstr>
      <vt:lpstr>SalesQty118</vt:lpstr>
      <vt:lpstr>SalesQty119</vt:lpstr>
      <vt:lpstr>SalesQty12</vt:lpstr>
      <vt:lpstr>SalesQty120</vt:lpstr>
      <vt:lpstr>SalesQty13</vt:lpstr>
      <vt:lpstr>SalesQty14</vt:lpstr>
      <vt:lpstr>SalesQty15</vt:lpstr>
      <vt:lpstr>SalesQty16</vt:lpstr>
      <vt:lpstr>SalesQty17</vt:lpstr>
      <vt:lpstr>SalesQty18</vt:lpstr>
      <vt:lpstr>SalesQty19</vt:lpstr>
      <vt:lpstr>SalesQty2</vt:lpstr>
      <vt:lpstr>SalesQty20</vt:lpstr>
      <vt:lpstr>SalesQty21</vt:lpstr>
      <vt:lpstr>SalesQty22</vt:lpstr>
      <vt:lpstr>SalesQty23</vt:lpstr>
      <vt:lpstr>SalesQty24</vt:lpstr>
      <vt:lpstr>SalesQty25</vt:lpstr>
      <vt:lpstr>SalesQty26</vt:lpstr>
      <vt:lpstr>SalesQty27</vt:lpstr>
      <vt:lpstr>SalesQty28</vt:lpstr>
      <vt:lpstr>SalesQty29</vt:lpstr>
      <vt:lpstr>SalesQty3</vt:lpstr>
      <vt:lpstr>SalesQty30</vt:lpstr>
      <vt:lpstr>SalesQty31</vt:lpstr>
      <vt:lpstr>SalesQty32</vt:lpstr>
      <vt:lpstr>SalesQty33</vt:lpstr>
      <vt:lpstr>SalesQty34</vt:lpstr>
      <vt:lpstr>SalesQty35</vt:lpstr>
      <vt:lpstr>SalesQty36</vt:lpstr>
      <vt:lpstr>SalesQty37</vt:lpstr>
      <vt:lpstr>SalesQty38</vt:lpstr>
      <vt:lpstr>SalesQty39</vt:lpstr>
      <vt:lpstr>SalesQty4</vt:lpstr>
      <vt:lpstr>SalesQty40</vt:lpstr>
      <vt:lpstr>SalesQty41</vt:lpstr>
      <vt:lpstr>SalesQty42</vt:lpstr>
      <vt:lpstr>SalesQty43</vt:lpstr>
      <vt:lpstr>SalesQty44</vt:lpstr>
      <vt:lpstr>SalesQty45</vt:lpstr>
      <vt:lpstr>SalesQty46</vt:lpstr>
      <vt:lpstr>SalesQty47</vt:lpstr>
      <vt:lpstr>SalesQty48</vt:lpstr>
      <vt:lpstr>SalesQty49</vt:lpstr>
      <vt:lpstr>SalesQty5</vt:lpstr>
      <vt:lpstr>SalesQty50</vt:lpstr>
      <vt:lpstr>SalesQty51</vt:lpstr>
      <vt:lpstr>SalesQty52</vt:lpstr>
      <vt:lpstr>SalesQty53</vt:lpstr>
      <vt:lpstr>SalesQty54</vt:lpstr>
      <vt:lpstr>SalesQty55</vt:lpstr>
      <vt:lpstr>SalesQty56</vt:lpstr>
      <vt:lpstr>SalesQty57</vt:lpstr>
      <vt:lpstr>SalesQty58</vt:lpstr>
      <vt:lpstr>SalesQty59</vt:lpstr>
      <vt:lpstr>SalesQty6</vt:lpstr>
      <vt:lpstr>SalesQty60</vt:lpstr>
      <vt:lpstr>SalesQty61</vt:lpstr>
      <vt:lpstr>SalesQty62</vt:lpstr>
      <vt:lpstr>SalesQty63</vt:lpstr>
      <vt:lpstr>SalesQty64</vt:lpstr>
      <vt:lpstr>SalesQty65</vt:lpstr>
      <vt:lpstr>SalesQty66</vt:lpstr>
      <vt:lpstr>SalesQty67</vt:lpstr>
      <vt:lpstr>SalesQty68</vt:lpstr>
      <vt:lpstr>SalesQty69</vt:lpstr>
      <vt:lpstr>SalesQty7</vt:lpstr>
      <vt:lpstr>SalesQty70</vt:lpstr>
      <vt:lpstr>SalesQty71</vt:lpstr>
      <vt:lpstr>SalesQty72</vt:lpstr>
      <vt:lpstr>SalesQty73</vt:lpstr>
      <vt:lpstr>SalesQty74</vt:lpstr>
      <vt:lpstr>SalesQty75</vt:lpstr>
      <vt:lpstr>SalesQty76</vt:lpstr>
      <vt:lpstr>SalesQty77</vt:lpstr>
      <vt:lpstr>SalesQty78</vt:lpstr>
      <vt:lpstr>SalesQty79</vt:lpstr>
      <vt:lpstr>SalesQty8</vt:lpstr>
      <vt:lpstr>SalesQty80</vt:lpstr>
      <vt:lpstr>SalesQty81</vt:lpstr>
      <vt:lpstr>SalesQty82</vt:lpstr>
      <vt:lpstr>SalesQty83</vt:lpstr>
      <vt:lpstr>SalesQty84</vt:lpstr>
      <vt:lpstr>SalesQty85</vt:lpstr>
      <vt:lpstr>SalesQty86</vt:lpstr>
      <vt:lpstr>SalesQty87</vt:lpstr>
      <vt:lpstr>SalesQty88</vt:lpstr>
      <vt:lpstr>SalesQty89</vt:lpstr>
      <vt:lpstr>SalesQty9</vt:lpstr>
      <vt:lpstr>SalesQty90</vt:lpstr>
      <vt:lpstr>SalesQty91</vt:lpstr>
      <vt:lpstr>SalesQty92</vt:lpstr>
      <vt:lpstr>SalesQty93</vt:lpstr>
      <vt:lpstr>SalesQty94</vt:lpstr>
      <vt:lpstr>SalesQty95</vt:lpstr>
      <vt:lpstr>SalesQty96</vt:lpstr>
      <vt:lpstr>SalesQty97</vt:lpstr>
      <vt:lpstr>SalesQty98</vt:lpstr>
      <vt:lpstr>SalesQty99</vt:lpstr>
      <vt:lpstr>SalesRequestType</vt:lpstr>
      <vt:lpstr>SalesRoundBox1</vt:lpstr>
      <vt:lpstr>SalesRoundBox10</vt:lpstr>
      <vt:lpstr>SalesRoundBox100</vt:lpstr>
      <vt:lpstr>SalesRoundBox101</vt:lpstr>
      <vt:lpstr>SalesRoundBox102</vt:lpstr>
      <vt:lpstr>SalesRoundBox103</vt:lpstr>
      <vt:lpstr>SalesRoundBox104</vt:lpstr>
      <vt:lpstr>SalesRoundBox105</vt:lpstr>
      <vt:lpstr>SalesRoundBox106</vt:lpstr>
      <vt:lpstr>SalesRoundBox107</vt:lpstr>
      <vt:lpstr>SalesRoundBox108</vt:lpstr>
      <vt:lpstr>SalesRoundBox109</vt:lpstr>
      <vt:lpstr>SalesRoundBox11</vt:lpstr>
      <vt:lpstr>SalesRoundBox110</vt:lpstr>
      <vt:lpstr>SalesRoundBox111</vt:lpstr>
      <vt:lpstr>SalesRoundBox112</vt:lpstr>
      <vt:lpstr>SalesRoundBox113</vt:lpstr>
      <vt:lpstr>SalesRoundBox114</vt:lpstr>
      <vt:lpstr>SalesRoundBox115</vt:lpstr>
      <vt:lpstr>SalesRoundBox116</vt:lpstr>
      <vt:lpstr>SalesRoundBox117</vt:lpstr>
      <vt:lpstr>SalesRoundBox118</vt:lpstr>
      <vt:lpstr>SalesRoundBox119</vt:lpstr>
      <vt:lpstr>SalesRoundBox12</vt:lpstr>
      <vt:lpstr>SalesRoundBox120</vt:lpstr>
      <vt:lpstr>SalesRoundBox13</vt:lpstr>
      <vt:lpstr>SalesRoundBox14</vt:lpstr>
      <vt:lpstr>SalesRoundBox15</vt:lpstr>
      <vt:lpstr>SalesRoundBox16</vt:lpstr>
      <vt:lpstr>SalesRoundBox17</vt:lpstr>
      <vt:lpstr>SalesRoundBox18</vt:lpstr>
      <vt:lpstr>SalesRoundBox19</vt:lpstr>
      <vt:lpstr>SalesRoundBox2</vt:lpstr>
      <vt:lpstr>SalesRoundBox20</vt:lpstr>
      <vt:lpstr>SalesRoundBox21</vt:lpstr>
      <vt:lpstr>SalesRoundBox22</vt:lpstr>
      <vt:lpstr>SalesRoundBox23</vt:lpstr>
      <vt:lpstr>SalesRoundBox24</vt:lpstr>
      <vt:lpstr>SalesRoundBox25</vt:lpstr>
      <vt:lpstr>SalesRoundBox26</vt:lpstr>
      <vt:lpstr>SalesRoundBox27</vt:lpstr>
      <vt:lpstr>SalesRoundBox28</vt:lpstr>
      <vt:lpstr>SalesRoundBox29</vt:lpstr>
      <vt:lpstr>SalesRoundBox3</vt:lpstr>
      <vt:lpstr>SalesRoundBox30</vt:lpstr>
      <vt:lpstr>SalesRoundBox31</vt:lpstr>
      <vt:lpstr>SalesRoundBox32</vt:lpstr>
      <vt:lpstr>SalesRoundBox33</vt:lpstr>
      <vt:lpstr>SalesRoundBox34</vt:lpstr>
      <vt:lpstr>SalesRoundBox35</vt:lpstr>
      <vt:lpstr>SalesRoundBox36</vt:lpstr>
      <vt:lpstr>SalesRoundBox37</vt:lpstr>
      <vt:lpstr>SalesRoundBox38</vt:lpstr>
      <vt:lpstr>SalesRoundBox39</vt:lpstr>
      <vt:lpstr>SalesRoundBox4</vt:lpstr>
      <vt:lpstr>SalesRoundBox40</vt:lpstr>
      <vt:lpstr>SalesRoundBox41</vt:lpstr>
      <vt:lpstr>SalesRoundBox42</vt:lpstr>
      <vt:lpstr>SalesRoundBox43</vt:lpstr>
      <vt:lpstr>SalesRoundBox44</vt:lpstr>
      <vt:lpstr>SalesRoundBox45</vt:lpstr>
      <vt:lpstr>SalesRoundBox46</vt:lpstr>
      <vt:lpstr>SalesRoundBox47</vt:lpstr>
      <vt:lpstr>SalesRoundBox48</vt:lpstr>
      <vt:lpstr>SalesRoundBox49</vt:lpstr>
      <vt:lpstr>SalesRoundBox5</vt:lpstr>
      <vt:lpstr>SalesRoundBox50</vt:lpstr>
      <vt:lpstr>SalesRoundBox51</vt:lpstr>
      <vt:lpstr>SalesRoundBox52</vt:lpstr>
      <vt:lpstr>SalesRoundBox53</vt:lpstr>
      <vt:lpstr>SalesRoundBox54</vt:lpstr>
      <vt:lpstr>SalesRoundBox55</vt:lpstr>
      <vt:lpstr>SalesRoundBox56</vt:lpstr>
      <vt:lpstr>SalesRoundBox57</vt:lpstr>
      <vt:lpstr>SalesRoundBox58</vt:lpstr>
      <vt:lpstr>SalesRoundBox59</vt:lpstr>
      <vt:lpstr>SalesRoundBox6</vt:lpstr>
      <vt:lpstr>SalesRoundBox60</vt:lpstr>
      <vt:lpstr>SalesRoundBox61</vt:lpstr>
      <vt:lpstr>SalesRoundBox62</vt:lpstr>
      <vt:lpstr>SalesRoundBox63</vt:lpstr>
      <vt:lpstr>SalesRoundBox64</vt:lpstr>
      <vt:lpstr>SalesRoundBox65</vt:lpstr>
      <vt:lpstr>SalesRoundBox66</vt:lpstr>
      <vt:lpstr>SalesRoundBox67</vt:lpstr>
      <vt:lpstr>SalesRoundBox68</vt:lpstr>
      <vt:lpstr>SalesRoundBox69</vt:lpstr>
      <vt:lpstr>SalesRoundBox7</vt:lpstr>
      <vt:lpstr>SalesRoundBox70</vt:lpstr>
      <vt:lpstr>SalesRoundBox71</vt:lpstr>
      <vt:lpstr>SalesRoundBox72</vt:lpstr>
      <vt:lpstr>SalesRoundBox73</vt:lpstr>
      <vt:lpstr>SalesRoundBox74</vt:lpstr>
      <vt:lpstr>SalesRoundBox75</vt:lpstr>
      <vt:lpstr>SalesRoundBox76</vt:lpstr>
      <vt:lpstr>SalesRoundBox77</vt:lpstr>
      <vt:lpstr>SalesRoundBox78</vt:lpstr>
      <vt:lpstr>SalesRoundBox79</vt:lpstr>
      <vt:lpstr>SalesRoundBox8</vt:lpstr>
      <vt:lpstr>SalesRoundBox80</vt:lpstr>
      <vt:lpstr>SalesRoundBox81</vt:lpstr>
      <vt:lpstr>SalesRoundBox82</vt:lpstr>
      <vt:lpstr>SalesRoundBox83</vt:lpstr>
      <vt:lpstr>SalesRoundBox84</vt:lpstr>
      <vt:lpstr>SalesRoundBox85</vt:lpstr>
      <vt:lpstr>SalesRoundBox86</vt:lpstr>
      <vt:lpstr>SalesRoundBox87</vt:lpstr>
      <vt:lpstr>SalesRoundBox88</vt:lpstr>
      <vt:lpstr>SalesRoundBox89</vt:lpstr>
      <vt:lpstr>SalesRoundBox9</vt:lpstr>
      <vt:lpstr>SalesRoundBox90</vt:lpstr>
      <vt:lpstr>SalesRoundBox91</vt:lpstr>
      <vt:lpstr>SalesRoundBox92</vt:lpstr>
      <vt:lpstr>SalesRoundBox93</vt:lpstr>
      <vt:lpstr>SalesRoundBox94</vt:lpstr>
      <vt:lpstr>SalesRoundBox95</vt:lpstr>
      <vt:lpstr>SalesRoundBox96</vt:lpstr>
      <vt:lpstr>SalesRoundBox97</vt:lpstr>
      <vt:lpstr>SalesRoundBox98</vt:lpstr>
      <vt:lpstr>SalesRoundBox99</vt:lpstr>
      <vt:lpstr>Table</vt:lpstr>
      <vt:lpstr>TemplateProductType</vt:lpstr>
      <vt:lpstr>TypeProxy</vt:lpstr>
      <vt:lpstr>UnitOfMeasure1</vt:lpstr>
      <vt:lpstr>UnitOfMeasure10</vt:lpstr>
      <vt:lpstr>UnitOfMeasure100</vt:lpstr>
      <vt:lpstr>UnitOfMeasure101</vt:lpstr>
      <vt:lpstr>UnitOfMeasure102</vt:lpstr>
      <vt:lpstr>UnitOfMeasure103</vt:lpstr>
      <vt:lpstr>UnitOfMeasure104</vt:lpstr>
      <vt:lpstr>UnitOfMeasure105</vt:lpstr>
      <vt:lpstr>UnitOfMeasure106</vt:lpstr>
      <vt:lpstr>UnitOfMeasure107</vt:lpstr>
      <vt:lpstr>UnitOfMeasure108</vt:lpstr>
      <vt:lpstr>UnitOfMeasure109</vt:lpstr>
      <vt:lpstr>UnitOfMeasure11</vt:lpstr>
      <vt:lpstr>UnitOfMeasure110</vt:lpstr>
      <vt:lpstr>UnitOfMeasure111</vt:lpstr>
      <vt:lpstr>UnitOfMeasure112</vt:lpstr>
      <vt:lpstr>UnitOfMeasure113</vt:lpstr>
      <vt:lpstr>UnitOfMeasure114</vt:lpstr>
      <vt:lpstr>UnitOfMeasure115</vt:lpstr>
      <vt:lpstr>UnitOfMeasure116</vt:lpstr>
      <vt:lpstr>UnitOfMeasure117</vt:lpstr>
      <vt:lpstr>UnitOfMeasure118</vt:lpstr>
      <vt:lpstr>UnitOfMeasure119</vt:lpstr>
      <vt:lpstr>UnitOfMeasure12</vt:lpstr>
      <vt:lpstr>UnitOfMeasure120</vt:lpstr>
      <vt:lpstr>UnitOfMeasure13</vt:lpstr>
      <vt:lpstr>UnitOfMeasure14</vt:lpstr>
      <vt:lpstr>UnitOfMeasure15</vt:lpstr>
      <vt:lpstr>UnitOfMeasure16</vt:lpstr>
      <vt:lpstr>UnitOfMeasure17</vt:lpstr>
      <vt:lpstr>UnitOfMeasure18</vt:lpstr>
      <vt:lpstr>UnitOfMeasure19</vt:lpstr>
      <vt:lpstr>UnitOfMeasure2</vt:lpstr>
      <vt:lpstr>UnitOfMeasure20</vt:lpstr>
      <vt:lpstr>UnitOfMeasure21</vt:lpstr>
      <vt:lpstr>UnitOfMeasure22</vt:lpstr>
      <vt:lpstr>UnitOfMeasure23</vt:lpstr>
      <vt:lpstr>UnitOfMeasure24</vt:lpstr>
      <vt:lpstr>UnitOfMeasure25</vt:lpstr>
      <vt:lpstr>UnitOfMeasure26</vt:lpstr>
      <vt:lpstr>UnitOfMeasure27</vt:lpstr>
      <vt:lpstr>UnitOfMeasure28</vt:lpstr>
      <vt:lpstr>UnitOfMeasure29</vt:lpstr>
      <vt:lpstr>UnitOfMeasure3</vt:lpstr>
      <vt:lpstr>UnitOfMeasure30</vt:lpstr>
      <vt:lpstr>UnitOfMeasure31</vt:lpstr>
      <vt:lpstr>UnitOfMeasure32</vt:lpstr>
      <vt:lpstr>UnitOfMeasure33</vt:lpstr>
      <vt:lpstr>UnitOfMeasure34</vt:lpstr>
      <vt:lpstr>UnitOfMeasure35</vt:lpstr>
      <vt:lpstr>UnitOfMeasure36</vt:lpstr>
      <vt:lpstr>UnitOfMeasure37</vt:lpstr>
      <vt:lpstr>UnitOfMeasure38</vt:lpstr>
      <vt:lpstr>UnitOfMeasure39</vt:lpstr>
      <vt:lpstr>UnitOfMeasure4</vt:lpstr>
      <vt:lpstr>UnitOfMeasure40</vt:lpstr>
      <vt:lpstr>UnitOfMeasure41</vt:lpstr>
      <vt:lpstr>UnitOfMeasure42</vt:lpstr>
      <vt:lpstr>UnitOfMeasure43</vt:lpstr>
      <vt:lpstr>UnitOfMeasure44</vt:lpstr>
      <vt:lpstr>UnitOfMeasure45</vt:lpstr>
      <vt:lpstr>UnitOfMeasure46</vt:lpstr>
      <vt:lpstr>UnitOfMeasure47</vt:lpstr>
      <vt:lpstr>UnitOfMeasure48</vt:lpstr>
      <vt:lpstr>UnitOfMeasure49</vt:lpstr>
      <vt:lpstr>UnitOfMeasure5</vt:lpstr>
      <vt:lpstr>UnitOfMeasure50</vt:lpstr>
      <vt:lpstr>UnitOfMeasure51</vt:lpstr>
      <vt:lpstr>UnitOfMeasure52</vt:lpstr>
      <vt:lpstr>UnitOfMeasure53</vt:lpstr>
      <vt:lpstr>UnitOfMeasure54</vt:lpstr>
      <vt:lpstr>UnitOfMeasure55</vt:lpstr>
      <vt:lpstr>UnitOfMeasure56</vt:lpstr>
      <vt:lpstr>UnitOfMeasure57</vt:lpstr>
      <vt:lpstr>UnitOfMeasure58</vt:lpstr>
      <vt:lpstr>UnitOfMeasure59</vt:lpstr>
      <vt:lpstr>UnitOfMeasure6</vt:lpstr>
      <vt:lpstr>UnitOfMeasure60</vt:lpstr>
      <vt:lpstr>UnitOfMeasure61</vt:lpstr>
      <vt:lpstr>UnitOfMeasure62</vt:lpstr>
      <vt:lpstr>UnitOfMeasure63</vt:lpstr>
      <vt:lpstr>UnitOfMeasure64</vt:lpstr>
      <vt:lpstr>UnitOfMeasure65</vt:lpstr>
      <vt:lpstr>UnitOfMeasure66</vt:lpstr>
      <vt:lpstr>UnitOfMeasure67</vt:lpstr>
      <vt:lpstr>UnitOfMeasure68</vt:lpstr>
      <vt:lpstr>UnitOfMeasure69</vt:lpstr>
      <vt:lpstr>UnitOfMeasure7</vt:lpstr>
      <vt:lpstr>UnitOfMeasure70</vt:lpstr>
      <vt:lpstr>UnitOfMeasure71</vt:lpstr>
      <vt:lpstr>UnitOfMeasure72</vt:lpstr>
      <vt:lpstr>UnitOfMeasure73</vt:lpstr>
      <vt:lpstr>UnitOfMeasure74</vt:lpstr>
      <vt:lpstr>UnitOfMeasure75</vt:lpstr>
      <vt:lpstr>UnitOfMeasure76</vt:lpstr>
      <vt:lpstr>UnitOfMeasure77</vt:lpstr>
      <vt:lpstr>UnitOfMeasure78</vt:lpstr>
      <vt:lpstr>UnitOfMeasure79</vt:lpstr>
      <vt:lpstr>UnitOfMeasure8</vt:lpstr>
      <vt:lpstr>UnitOfMeasure80</vt:lpstr>
      <vt:lpstr>UnitOfMeasure81</vt:lpstr>
      <vt:lpstr>UnitOfMeasure82</vt:lpstr>
      <vt:lpstr>UnitOfMeasure83</vt:lpstr>
      <vt:lpstr>UnitOfMeasure84</vt:lpstr>
      <vt:lpstr>UnitOfMeasure85</vt:lpstr>
      <vt:lpstr>UnitOfMeasure86</vt:lpstr>
      <vt:lpstr>UnitOfMeasure87</vt:lpstr>
      <vt:lpstr>UnitOfMeasure88</vt:lpstr>
      <vt:lpstr>UnitOfMeasure89</vt:lpstr>
      <vt:lpstr>UnitOfMeasure9</vt:lpstr>
      <vt:lpstr>UnitOfMeasure90</vt:lpstr>
      <vt:lpstr>UnitOfMeasure91</vt:lpstr>
      <vt:lpstr>UnitOfMeasure92</vt:lpstr>
      <vt:lpstr>UnitOfMeasure93</vt:lpstr>
      <vt:lpstr>UnitOfMeasure94</vt:lpstr>
      <vt:lpstr>UnitOfMeasure95</vt:lpstr>
      <vt:lpstr>UnitOfMeasure96</vt:lpstr>
      <vt:lpstr>UnitOfMeasure97</vt:lpstr>
      <vt:lpstr>UnitOfMeasure98</vt:lpstr>
      <vt:lpstr>UnitOfMeasure99</vt:lpstr>
      <vt:lpstr>UnloadAddress</vt:lpstr>
      <vt:lpstr>UnloadAdressList0001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Uaer4</cp:lastModifiedBy>
  <dcterms:created xsi:type="dcterms:W3CDTF">2021-11-12T12:13:19Z</dcterms:created>
  <dcterms:modified xsi:type="dcterms:W3CDTF">2024-11-29T09:54:27Z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0x010100BE9B55E4B75ADC4EA022BCFE912025B5</vt:lpwstr>
  </property>
</Properties>
</file>