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49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8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3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10">
      <c r="A1" s="48" t="n"/>
      <c r="B1" s="48" t="n"/>
      <c r="C1" s="48" t="n"/>
      <c r="D1" s="629" t="inlineStr">
        <is>
          <t xml:space="preserve">  БЛАНК ЗАКАЗА </t>
        </is>
      </c>
      <c r="G1" s="14" t="inlineStr">
        <is>
          <t>КИ</t>
        </is>
      </c>
      <c r="H1" s="629" t="inlineStr">
        <is>
          <t>на отгрузку продукции с ООО Трейд-Сервис с</t>
        </is>
      </c>
      <c r="O1" s="630" t="inlineStr">
        <is>
          <t>16.10.2023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10">
      <c r="A2" s="34" t="inlineStr">
        <is>
          <t>бланк создан</t>
        </is>
      </c>
      <c r="B2" s="35" t="inlineStr">
        <is>
          <t>11.10.2023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3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10">
      <c r="A5" s="611" t="inlineStr">
        <is>
          <t xml:space="preserve">Ваш контактный телефон и имя: </t>
        </is>
      </c>
      <c r="B5" s="639" t="n"/>
      <c r="C5" s="640" t="n"/>
      <c r="D5" s="633" t="n"/>
      <c r="E5" s="641" t="n"/>
      <c r="F5" s="634" t="inlineStr">
        <is>
          <t>Комментарий к заказу:</t>
        </is>
      </c>
      <c r="G5" s="640" t="n"/>
      <c r="H5" s="633" t="n"/>
      <c r="I5" s="642" t="n"/>
      <c r="J5" s="642" t="n"/>
      <c r="K5" s="641" t="n"/>
      <c r="M5" s="29" t="inlineStr">
        <is>
          <t>Дата загрузки</t>
        </is>
      </c>
      <c r="N5" s="643" t="n">
        <v>45215</v>
      </c>
      <c r="O5" s="644" t="n"/>
      <c r="Q5" s="636" t="inlineStr">
        <is>
          <t>Способ доставки (доставка/самовывоз)</t>
        </is>
      </c>
      <c r="R5" s="645" t="n"/>
      <c r="S5" s="646" t="inlineStr">
        <is>
          <t>Самовывоз</t>
        </is>
      </c>
      <c r="T5" s="644" t="n"/>
      <c r="Y5" s="60" t="n"/>
      <c r="Z5" s="60" t="n"/>
      <c r="AA5" s="60" t="n"/>
    </row>
    <row r="6" ht="24" customFormat="1" customHeight="1" s="610">
      <c r="A6" s="611" t="inlineStr">
        <is>
          <t>Адрес доставки:</t>
        </is>
      </c>
      <c r="B6" s="639" t="n"/>
      <c r="C6" s="640" t="n"/>
      <c r="D6" s="612" t="inlineStr">
        <is>
          <t>ЛП, ООО, Крым Респ, Симферополь г, Данилова ул, 43В, лит В, офис 4,</t>
        </is>
      </c>
      <c r="E6" s="647" t="n"/>
      <c r="F6" s="647" t="n"/>
      <c r="G6" s="647" t="n"/>
      <c r="H6" s="647" t="n"/>
      <c r="I6" s="647" t="n"/>
      <c r="J6" s="647" t="n"/>
      <c r="K6" s="644" t="n"/>
      <c r="M6" s="29" t="inlineStr">
        <is>
          <t>День недели</t>
        </is>
      </c>
      <c r="N6" s="613">
        <f>IF(N5=0," ",CHOOSE(WEEKDAY(N5,2),"Понедельник","Вторник","Среда","Четверг","Пятница","Суббота","Воскресенье"))</f>
        <v/>
      </c>
      <c r="O6" s="648" t="n"/>
      <c r="Q6" s="615" t="inlineStr">
        <is>
          <t>Наименование клиента</t>
        </is>
      </c>
      <c r="R6" s="645" t="n"/>
      <c r="S6" s="649" t="inlineStr">
        <is>
          <t>ОБЩЕСТВО С ОГРАНИЧЕННОЙ ОТВЕТСТВЕННОСТЬЮ "ЛОГИСТИЧЕСКИЙ ПАРТНЕР"</t>
        </is>
      </c>
      <c r="T6" s="650" t="n"/>
      <c r="Y6" s="60" t="n"/>
      <c r="Z6" s="60" t="n"/>
      <c r="AA6" s="60" t="n"/>
    </row>
    <row r="7" hidden="1" ht="21.75" customFormat="1" customHeight="1" s="610">
      <c r="A7" s="65" t="n"/>
      <c r="B7" s="65" t="n"/>
      <c r="C7" s="65" t="n"/>
      <c r="D7" s="651">
        <f>IFERROR(VLOOKUP(DeliveryAddress,Table,3,0),1)</f>
        <v/>
      </c>
      <c r="E7" s="652" t="n"/>
      <c r="F7" s="652" t="n"/>
      <c r="G7" s="652" t="n"/>
      <c r="H7" s="652" t="n"/>
      <c r="I7" s="652" t="n"/>
      <c r="J7" s="652" t="n"/>
      <c r="K7" s="653" t="n"/>
      <c r="M7" s="29" t="n"/>
      <c r="N7" s="49" t="n"/>
      <c r="O7" s="49" t="n"/>
      <c r="Q7" s="1" t="n"/>
      <c r="R7" s="645" t="n"/>
      <c r="S7" s="654" t="n"/>
      <c r="T7" s="655" t="n"/>
      <c r="Y7" s="60" t="n"/>
      <c r="Z7" s="60" t="n"/>
      <c r="AA7" s="60" t="n"/>
    </row>
    <row r="8" ht="25.5" customFormat="1" customHeight="1" s="610">
      <c r="A8" s="625" t="inlineStr">
        <is>
          <t>Адрес сдачи груза:</t>
        </is>
      </c>
      <c r="B8" s="656" t="n"/>
      <c r="C8" s="657" t="n"/>
      <c r="D8" s="626" t="n"/>
      <c r="E8" s="658" t="n"/>
      <c r="F8" s="658" t="n"/>
      <c r="G8" s="658" t="n"/>
      <c r="H8" s="658" t="n"/>
      <c r="I8" s="658" t="n"/>
      <c r="J8" s="658" t="n"/>
      <c r="K8" s="659" t="n"/>
      <c r="M8" s="29" t="inlineStr">
        <is>
          <t>Время загрузки</t>
        </is>
      </c>
      <c r="N8" s="606" t="n">
        <v>0.4166666666666667</v>
      </c>
      <c r="O8" s="644" t="n"/>
      <c r="Q8" s="1" t="n"/>
      <c r="R8" s="645" t="n"/>
      <c r="S8" s="654" t="n"/>
      <c r="T8" s="655" t="n"/>
      <c r="Y8" s="60" t="n"/>
      <c r="Z8" s="60" t="n"/>
      <c r="AA8" s="60" t="n"/>
    </row>
    <row r="9" ht="39.95" customFormat="1" customHeight="1" s="610">
      <c r="A9" s="60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603" t="inlineStr"/>
      <c r="E9" s="3" t="n"/>
      <c r="F9" s="60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43" t="n"/>
      <c r="O9" s="644" t="n"/>
      <c r="Q9" s="1" t="n"/>
      <c r="R9" s="645" t="n"/>
      <c r="S9" s="660" t="n"/>
      <c r="T9" s="66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10">
      <c r="A10" s="60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603" t="n"/>
      <c r="E10" s="3" t="n"/>
      <c r="F10" s="60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60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6" t="n"/>
      <c r="O10" s="644" t="n"/>
      <c r="R10" s="29" t="inlineStr">
        <is>
          <t>КОД Аксапты Клиента</t>
        </is>
      </c>
      <c r="S10" s="662" t="inlineStr">
        <is>
          <t>590704</t>
        </is>
      </c>
      <c r="T10" s="65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6" t="n"/>
      <c r="O11" s="644" t="n"/>
      <c r="R11" s="29" t="inlineStr">
        <is>
          <t>Тип заказа</t>
        </is>
      </c>
      <c r="S11" s="594" t="inlineStr">
        <is>
          <t>Основной заказ</t>
        </is>
      </c>
      <c r="T11" s="66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10">
      <c r="A12" s="593" t="inlineStr">
        <is>
          <t>Телефоны для заказов: 8(919)002-63-01  E-mail: kolbasa@abiproduct.ru  Телефон сотрудников склада: 8 (910) 775-52-91</t>
        </is>
      </c>
      <c r="B12" s="639" t="n"/>
      <c r="C12" s="639" t="n"/>
      <c r="D12" s="639" t="n"/>
      <c r="E12" s="639" t="n"/>
      <c r="F12" s="639" t="n"/>
      <c r="G12" s="639" t="n"/>
      <c r="H12" s="639" t="n"/>
      <c r="I12" s="639" t="n"/>
      <c r="J12" s="639" t="n"/>
      <c r="K12" s="640" t="n"/>
      <c r="M12" s="29" t="inlineStr">
        <is>
          <t>Время доставки 3 машины</t>
        </is>
      </c>
      <c r="N12" s="609" t="n"/>
      <c r="O12" s="653" t="n"/>
      <c r="P12" s="28" t="n"/>
      <c r="R12" s="29" t="inlineStr"/>
      <c r="S12" s="610" t="n"/>
      <c r="T12" s="1" t="n"/>
      <c r="Y12" s="60" t="n"/>
      <c r="Z12" s="60" t="n"/>
      <c r="AA12" s="60" t="n"/>
    </row>
    <row r="13" ht="23.25" customFormat="1" customHeight="1" s="610">
      <c r="A13" s="593" t="inlineStr">
        <is>
          <t>График приема заказов: Заказы принимаются за ДВА дня до отгрузки Пн-Пт: с 9:00 до 14:00, Суб., Вс. - до 12:00</t>
        </is>
      </c>
      <c r="B13" s="639" t="n"/>
      <c r="C13" s="639" t="n"/>
      <c r="D13" s="639" t="n"/>
      <c r="E13" s="639" t="n"/>
      <c r="F13" s="639" t="n"/>
      <c r="G13" s="639" t="n"/>
      <c r="H13" s="639" t="n"/>
      <c r="I13" s="639" t="n"/>
      <c r="J13" s="639" t="n"/>
      <c r="K13" s="640" t="n"/>
      <c r="L13" s="31" t="n"/>
      <c r="M13" s="31" t="inlineStr">
        <is>
          <t>Время доставки 4 машины</t>
        </is>
      </c>
      <c r="N13" s="594" t="n"/>
      <c r="O13" s="66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10">
      <c r="A14" s="593" t="inlineStr">
        <is>
          <t>Телефон менеджера по логистике: 8 (919) 012-30-55 - по вопросам доставки продукции</t>
        </is>
      </c>
      <c r="B14" s="639" t="n"/>
      <c r="C14" s="639" t="n"/>
      <c r="D14" s="639" t="n"/>
      <c r="E14" s="639" t="n"/>
      <c r="F14" s="639" t="n"/>
      <c r="G14" s="639" t="n"/>
      <c r="H14" s="639" t="n"/>
      <c r="I14" s="639" t="n"/>
      <c r="J14" s="639" t="n"/>
      <c r="K14" s="64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10">
      <c r="A15" s="595" t="inlineStr">
        <is>
          <t>Телефон по работе с претензиями/жалобами (WhatSapp): 8 (980) 757-69-93       E-mail: Claims@abiproduct.ru</t>
        </is>
      </c>
      <c r="B15" s="639" t="n"/>
      <c r="C15" s="639" t="n"/>
      <c r="D15" s="639" t="n"/>
      <c r="E15" s="639" t="n"/>
      <c r="F15" s="639" t="n"/>
      <c r="G15" s="639" t="n"/>
      <c r="H15" s="639" t="n"/>
      <c r="I15" s="639" t="n"/>
      <c r="J15" s="639" t="n"/>
      <c r="K15" s="640" t="n"/>
      <c r="M15" s="597" t="inlineStr">
        <is>
          <t>Кликните на продукт, чтобы просмотреть изображение</t>
        </is>
      </c>
      <c r="U15" s="610" t="n"/>
      <c r="V15" s="610" t="n"/>
      <c r="W15" s="610" t="n"/>
      <c r="X15" s="61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64" t="n"/>
      <c r="N16" s="664" t="n"/>
      <c r="O16" s="664" t="n"/>
      <c r="P16" s="664" t="n"/>
      <c r="Q16" s="66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81" t="inlineStr">
        <is>
          <t>Код единицы продаж</t>
        </is>
      </c>
      <c r="B17" s="581" t="inlineStr">
        <is>
          <t>Код продукта</t>
        </is>
      </c>
      <c r="C17" s="599" t="inlineStr">
        <is>
          <t>Номер варианта</t>
        </is>
      </c>
      <c r="D17" s="581" t="inlineStr">
        <is>
          <t xml:space="preserve">Штрих-код </t>
        </is>
      </c>
      <c r="E17" s="665" t="n"/>
      <c r="F17" s="581" t="inlineStr">
        <is>
          <t>Вес нетто штуки, кг</t>
        </is>
      </c>
      <c r="G17" s="581" t="inlineStr">
        <is>
          <t>Кол-во штук в коробе, шт</t>
        </is>
      </c>
      <c r="H17" s="581" t="inlineStr">
        <is>
          <t>Вес нетто короба, кг</t>
        </is>
      </c>
      <c r="I17" s="581" t="inlineStr">
        <is>
          <t>Вес брутто короба, кг</t>
        </is>
      </c>
      <c r="J17" s="581" t="inlineStr">
        <is>
          <t>Кол-во кор. на паллте, шт</t>
        </is>
      </c>
      <c r="K17" s="581" t="inlineStr">
        <is>
          <t>Завод</t>
        </is>
      </c>
      <c r="L17" s="581" t="inlineStr">
        <is>
          <t>Срок годности, сут.</t>
        </is>
      </c>
      <c r="M17" s="581" t="inlineStr">
        <is>
          <t>Наименование</t>
        </is>
      </c>
      <c r="N17" s="666" t="n"/>
      <c r="O17" s="666" t="n"/>
      <c r="P17" s="666" t="n"/>
      <c r="Q17" s="665" t="n"/>
      <c r="R17" s="598" t="inlineStr">
        <is>
          <t>Доступно к отгрузке</t>
        </is>
      </c>
      <c r="S17" s="640" t="n"/>
      <c r="T17" s="581" t="inlineStr">
        <is>
          <t>Ед. изм.</t>
        </is>
      </c>
      <c r="U17" s="581" t="inlineStr">
        <is>
          <t>Заказ</t>
        </is>
      </c>
      <c r="V17" s="582" t="inlineStr">
        <is>
          <t>Заказ с округлением до короба</t>
        </is>
      </c>
      <c r="W17" s="581" t="inlineStr">
        <is>
          <t>Объём заказа, м3</t>
        </is>
      </c>
      <c r="X17" s="584" t="inlineStr">
        <is>
          <t>Примечание по продуктку</t>
        </is>
      </c>
      <c r="Y17" s="584" t="inlineStr">
        <is>
          <t>Признак "НОВИНКА"</t>
        </is>
      </c>
      <c r="Z17" s="584" t="inlineStr">
        <is>
          <t>Для формул</t>
        </is>
      </c>
      <c r="AA17" s="667" t="n"/>
      <c r="AB17" s="668" t="n"/>
      <c r="AC17" s="591" t="n"/>
      <c r="AZ17" s="592" t="inlineStr">
        <is>
          <t>Вид продукции</t>
        </is>
      </c>
    </row>
    <row r="18" ht="14.25" customHeight="1">
      <c r="A18" s="669" t="n"/>
      <c r="B18" s="669" t="n"/>
      <c r="C18" s="669" t="n"/>
      <c r="D18" s="670" t="n"/>
      <c r="E18" s="671" t="n"/>
      <c r="F18" s="669" t="n"/>
      <c r="G18" s="669" t="n"/>
      <c r="H18" s="669" t="n"/>
      <c r="I18" s="669" t="n"/>
      <c r="J18" s="669" t="n"/>
      <c r="K18" s="669" t="n"/>
      <c r="L18" s="669" t="n"/>
      <c r="M18" s="670" t="n"/>
      <c r="N18" s="672" t="n"/>
      <c r="O18" s="672" t="n"/>
      <c r="P18" s="672" t="n"/>
      <c r="Q18" s="671" t="n"/>
      <c r="R18" s="598" t="inlineStr">
        <is>
          <t>начиная с</t>
        </is>
      </c>
      <c r="S18" s="598" t="inlineStr">
        <is>
          <t>до</t>
        </is>
      </c>
      <c r="T18" s="669" t="n"/>
      <c r="U18" s="669" t="n"/>
      <c r="V18" s="673" t="n"/>
      <c r="W18" s="669" t="n"/>
      <c r="X18" s="674" t="n"/>
      <c r="Y18" s="674" t="n"/>
      <c r="Z18" s="675" t="n"/>
      <c r="AA18" s="676" t="n"/>
      <c r="AB18" s="677" t="n"/>
      <c r="AC18" s="678" t="n"/>
      <c r="AZ18" s="1" t="n"/>
    </row>
    <row r="19" ht="27.75" customHeight="1">
      <c r="A19" s="344" t="inlineStr">
        <is>
          <t>Ядрена копоть</t>
        </is>
      </c>
      <c r="B19" s="679" t="n"/>
      <c r="C19" s="679" t="n"/>
      <c r="D19" s="679" t="n"/>
      <c r="E19" s="679" t="n"/>
      <c r="F19" s="679" t="n"/>
      <c r="G19" s="679" t="n"/>
      <c r="H19" s="679" t="n"/>
      <c r="I19" s="679" t="n"/>
      <c r="J19" s="679" t="n"/>
      <c r="K19" s="679" t="n"/>
      <c r="L19" s="679" t="n"/>
      <c r="M19" s="679" t="n"/>
      <c r="N19" s="679" t="n"/>
      <c r="O19" s="679" t="n"/>
      <c r="P19" s="679" t="n"/>
      <c r="Q19" s="679" t="n"/>
      <c r="R19" s="679" t="n"/>
      <c r="S19" s="679" t="n"/>
      <c r="T19" s="679" t="n"/>
      <c r="U19" s="679" t="n"/>
      <c r="V19" s="679" t="n"/>
      <c r="W19" s="679" t="n"/>
      <c r="X19" s="55" t="n"/>
      <c r="Y19" s="55" t="n"/>
    </row>
    <row r="20" ht="16.5" customHeight="1">
      <c r="A20" s="33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8" t="n"/>
      <c r="Y20" s="338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1" t="n">
        <v>4607091389258</v>
      </c>
      <c r="E22" s="648" t="n"/>
      <c r="F22" s="680" t="n">
        <v>0.3</v>
      </c>
      <c r="G22" s="38" t="n">
        <v>6</v>
      </c>
      <c r="H22" s="680" t="n">
        <v>1.8</v>
      </c>
      <c r="I22" s="68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8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82" t="n"/>
      <c r="O22" s="682" t="n"/>
      <c r="P22" s="682" t="n"/>
      <c r="Q22" s="648" t="n"/>
      <c r="R22" s="40" t="inlineStr"/>
      <c r="S22" s="40" t="inlineStr"/>
      <c r="T22" s="41" t="inlineStr">
        <is>
          <t>кг</t>
        </is>
      </c>
      <c r="U22" s="683" t="n">
        <v>0</v>
      </c>
      <c r="V22" s="68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85" t="n"/>
      <c r="M23" s="686" t="inlineStr">
        <is>
          <t>Итого</t>
        </is>
      </c>
      <c r="N23" s="656" t="n"/>
      <c r="O23" s="656" t="n"/>
      <c r="P23" s="656" t="n"/>
      <c r="Q23" s="656" t="n"/>
      <c r="R23" s="656" t="n"/>
      <c r="S23" s="657" t="n"/>
      <c r="T23" s="43" t="inlineStr">
        <is>
          <t>кор</t>
        </is>
      </c>
      <c r="U23" s="687">
        <f>IFERROR(U22/H22,"0")</f>
        <v/>
      </c>
      <c r="V23" s="687">
        <f>IFERROR(V22/H22,"0")</f>
        <v/>
      </c>
      <c r="W23" s="687">
        <f>IFERROR(IF(W22="",0,W22),"0")</f>
        <v/>
      </c>
      <c r="X23" s="688" t="n"/>
      <c r="Y23" s="68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85" t="n"/>
      <c r="M24" s="686" t="inlineStr">
        <is>
          <t>Итого</t>
        </is>
      </c>
      <c r="N24" s="656" t="n"/>
      <c r="O24" s="656" t="n"/>
      <c r="P24" s="656" t="n"/>
      <c r="Q24" s="656" t="n"/>
      <c r="R24" s="656" t="n"/>
      <c r="S24" s="657" t="n"/>
      <c r="T24" s="43" t="inlineStr">
        <is>
          <t>кг</t>
        </is>
      </c>
      <c r="U24" s="687">
        <f>IFERROR(SUM(U22:U22),"0")</f>
        <v/>
      </c>
      <c r="V24" s="687">
        <f>IFERROR(SUM(V22:V22),"0")</f>
        <v/>
      </c>
      <c r="W24" s="43" t="n"/>
      <c r="X24" s="688" t="n"/>
      <c r="Y24" s="688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1" t="n">
        <v>4607091383881</v>
      </c>
      <c r="E26" s="648" t="n"/>
      <c r="F26" s="680" t="n">
        <v>0.33</v>
      </c>
      <c r="G26" s="38" t="n">
        <v>6</v>
      </c>
      <c r="H26" s="680" t="n">
        <v>1.98</v>
      </c>
      <c r="I26" s="68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82" t="n"/>
      <c r="O26" s="682" t="n"/>
      <c r="P26" s="682" t="n"/>
      <c r="Q26" s="648" t="n"/>
      <c r="R26" s="40" t="inlineStr"/>
      <c r="S26" s="40" t="inlineStr"/>
      <c r="T26" s="41" t="inlineStr">
        <is>
          <t>кг</t>
        </is>
      </c>
      <c r="U26" s="683" t="n">
        <v>0</v>
      </c>
      <c r="V26" s="68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1" t="n">
        <v>4607091388237</v>
      </c>
      <c r="E27" s="648" t="n"/>
      <c r="F27" s="680" t="n">
        <v>0.42</v>
      </c>
      <c r="G27" s="38" t="n">
        <v>6</v>
      </c>
      <c r="H27" s="680" t="n">
        <v>2.52</v>
      </c>
      <c r="I27" s="68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9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82" t="n"/>
      <c r="O27" s="682" t="n"/>
      <c r="P27" s="682" t="n"/>
      <c r="Q27" s="648" t="n"/>
      <c r="R27" s="40" t="inlineStr"/>
      <c r="S27" s="40" t="inlineStr"/>
      <c r="T27" s="41" t="inlineStr">
        <is>
          <t>кг</t>
        </is>
      </c>
      <c r="U27" s="683" t="n">
        <v>0</v>
      </c>
      <c r="V27" s="68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1" t="n">
        <v>4607091383935</v>
      </c>
      <c r="E28" s="648" t="n"/>
      <c r="F28" s="680" t="n">
        <v>0.33</v>
      </c>
      <c r="G28" s="38" t="n">
        <v>6</v>
      </c>
      <c r="H28" s="680" t="n">
        <v>1.98</v>
      </c>
      <c r="I28" s="68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9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82" t="n"/>
      <c r="O28" s="682" t="n"/>
      <c r="P28" s="682" t="n"/>
      <c r="Q28" s="648" t="n"/>
      <c r="R28" s="40" t="inlineStr"/>
      <c r="S28" s="40" t="inlineStr"/>
      <c r="T28" s="41" t="inlineStr">
        <is>
          <t>кг</t>
        </is>
      </c>
      <c r="U28" s="683" t="n">
        <v>0</v>
      </c>
      <c r="V28" s="68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1" t="n">
        <v>4680115881853</v>
      </c>
      <c r="E29" s="648" t="n"/>
      <c r="F29" s="680" t="n">
        <v>0.33</v>
      </c>
      <c r="G29" s="38" t="n">
        <v>6</v>
      </c>
      <c r="H29" s="680" t="n">
        <v>1.98</v>
      </c>
      <c r="I29" s="68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9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82" t="n"/>
      <c r="O29" s="682" t="n"/>
      <c r="P29" s="682" t="n"/>
      <c r="Q29" s="648" t="n"/>
      <c r="R29" s="40" t="inlineStr"/>
      <c r="S29" s="40" t="inlineStr"/>
      <c r="T29" s="41" t="inlineStr">
        <is>
          <t>кг</t>
        </is>
      </c>
      <c r="U29" s="683" t="n">
        <v>0</v>
      </c>
      <c r="V29" s="68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1" t="n">
        <v>4607091383911</v>
      </c>
      <c r="E30" s="648" t="n"/>
      <c r="F30" s="680" t="n">
        <v>0.33</v>
      </c>
      <c r="G30" s="38" t="n">
        <v>6</v>
      </c>
      <c r="H30" s="680" t="n">
        <v>1.98</v>
      </c>
      <c r="I30" s="68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9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82" t="n"/>
      <c r="O30" s="682" t="n"/>
      <c r="P30" s="682" t="n"/>
      <c r="Q30" s="648" t="n"/>
      <c r="R30" s="40" t="inlineStr"/>
      <c r="S30" s="40" t="inlineStr"/>
      <c r="T30" s="41" t="inlineStr">
        <is>
          <t>кг</t>
        </is>
      </c>
      <c r="U30" s="683" t="n">
        <v>0</v>
      </c>
      <c r="V30" s="68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1" t="n">
        <v>4607091388244</v>
      </c>
      <c r="E31" s="648" t="n"/>
      <c r="F31" s="680" t="n">
        <v>0.42</v>
      </c>
      <c r="G31" s="38" t="n">
        <v>6</v>
      </c>
      <c r="H31" s="680" t="n">
        <v>2.52</v>
      </c>
      <c r="I31" s="68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9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82" t="n"/>
      <c r="O31" s="682" t="n"/>
      <c r="P31" s="682" t="n"/>
      <c r="Q31" s="648" t="n"/>
      <c r="R31" s="40" t="inlineStr"/>
      <c r="S31" s="40" t="inlineStr"/>
      <c r="T31" s="41" t="inlineStr">
        <is>
          <t>кг</t>
        </is>
      </c>
      <c r="U31" s="683" t="n">
        <v>0</v>
      </c>
      <c r="V31" s="68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85" t="n"/>
      <c r="M32" s="686" t="inlineStr">
        <is>
          <t>Итого</t>
        </is>
      </c>
      <c r="N32" s="656" t="n"/>
      <c r="O32" s="656" t="n"/>
      <c r="P32" s="656" t="n"/>
      <c r="Q32" s="656" t="n"/>
      <c r="R32" s="656" t="n"/>
      <c r="S32" s="657" t="n"/>
      <c r="T32" s="43" t="inlineStr">
        <is>
          <t>кор</t>
        </is>
      </c>
      <c r="U32" s="687">
        <f>IFERROR(U26/H26,"0")+IFERROR(U27/H27,"0")+IFERROR(U28/H28,"0")+IFERROR(U29/H29,"0")+IFERROR(U30/H30,"0")+IFERROR(U31/H31,"0")</f>
        <v/>
      </c>
      <c r="V32" s="687">
        <f>IFERROR(V26/H26,"0")+IFERROR(V27/H27,"0")+IFERROR(V28/H28,"0")+IFERROR(V29/H29,"0")+IFERROR(V30/H30,"0")+IFERROR(V31/H31,"0")</f>
        <v/>
      </c>
      <c r="W32" s="687">
        <f>IFERROR(IF(W26="",0,W26),"0")+IFERROR(IF(W27="",0,W27),"0")+IFERROR(IF(W28="",0,W28),"0")+IFERROR(IF(W29="",0,W29),"0")+IFERROR(IF(W30="",0,W30),"0")+IFERROR(IF(W31="",0,W31),"0")</f>
        <v/>
      </c>
      <c r="X32" s="688" t="n"/>
      <c r="Y32" s="68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85" t="n"/>
      <c r="M33" s="686" t="inlineStr">
        <is>
          <t>Итого</t>
        </is>
      </c>
      <c r="N33" s="656" t="n"/>
      <c r="O33" s="656" t="n"/>
      <c r="P33" s="656" t="n"/>
      <c r="Q33" s="656" t="n"/>
      <c r="R33" s="656" t="n"/>
      <c r="S33" s="657" t="n"/>
      <c r="T33" s="43" t="inlineStr">
        <is>
          <t>кг</t>
        </is>
      </c>
      <c r="U33" s="687">
        <f>IFERROR(SUM(U26:U31),"0")</f>
        <v/>
      </c>
      <c r="V33" s="687">
        <f>IFERROR(SUM(V26:V31),"0")</f>
        <v/>
      </c>
      <c r="W33" s="43" t="n"/>
      <c r="X33" s="688" t="n"/>
      <c r="Y33" s="688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1" t="n">
        <v>4607091388503</v>
      </c>
      <c r="E35" s="648" t="n"/>
      <c r="F35" s="680" t="n">
        <v>0.05</v>
      </c>
      <c r="G35" s="38" t="n">
        <v>12</v>
      </c>
      <c r="H35" s="680" t="n">
        <v>0.6</v>
      </c>
      <c r="I35" s="68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9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82" t="n"/>
      <c r="O35" s="682" t="n"/>
      <c r="P35" s="682" t="n"/>
      <c r="Q35" s="648" t="n"/>
      <c r="R35" s="40" t="inlineStr"/>
      <c r="S35" s="40" t="inlineStr"/>
      <c r="T35" s="41" t="inlineStr">
        <is>
          <t>кг</t>
        </is>
      </c>
      <c r="U35" s="683" t="n">
        <v>0</v>
      </c>
      <c r="V35" s="68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5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85" t="n"/>
      <c r="M36" s="686" t="inlineStr">
        <is>
          <t>Итого</t>
        </is>
      </c>
      <c r="N36" s="656" t="n"/>
      <c r="O36" s="656" t="n"/>
      <c r="P36" s="656" t="n"/>
      <c r="Q36" s="656" t="n"/>
      <c r="R36" s="656" t="n"/>
      <c r="S36" s="657" t="n"/>
      <c r="T36" s="43" t="inlineStr">
        <is>
          <t>кор</t>
        </is>
      </c>
      <c r="U36" s="687">
        <f>IFERROR(U35/H35,"0")</f>
        <v/>
      </c>
      <c r="V36" s="687">
        <f>IFERROR(V35/H35,"0")</f>
        <v/>
      </c>
      <c r="W36" s="687">
        <f>IFERROR(IF(W35="",0,W35),"0")</f>
        <v/>
      </c>
      <c r="X36" s="688" t="n"/>
      <c r="Y36" s="688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85" t="n"/>
      <c r="M37" s="686" t="inlineStr">
        <is>
          <t>Итого</t>
        </is>
      </c>
      <c r="N37" s="656" t="n"/>
      <c r="O37" s="656" t="n"/>
      <c r="P37" s="656" t="n"/>
      <c r="Q37" s="656" t="n"/>
      <c r="R37" s="656" t="n"/>
      <c r="S37" s="657" t="n"/>
      <c r="T37" s="43" t="inlineStr">
        <is>
          <t>кг</t>
        </is>
      </c>
      <c r="U37" s="687">
        <f>IFERROR(SUM(U35:U35),"0")</f>
        <v/>
      </c>
      <c r="V37" s="687">
        <f>IFERROR(SUM(V35:V35),"0")</f>
        <v/>
      </c>
      <c r="W37" s="43" t="n"/>
      <c r="X37" s="688" t="n"/>
      <c r="Y37" s="688" t="n"/>
    </row>
    <row r="38" ht="14.25" customHeight="1">
      <c r="A38" s="330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30" t="n"/>
      <c r="Y38" s="330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1" t="n">
        <v>4607091388282</v>
      </c>
      <c r="E39" s="648" t="n"/>
      <c r="F39" s="680" t="n">
        <v>0.3</v>
      </c>
      <c r="G39" s="38" t="n">
        <v>6</v>
      </c>
      <c r="H39" s="680" t="n">
        <v>1.8</v>
      </c>
      <c r="I39" s="680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82" t="n"/>
      <c r="O39" s="682" t="n"/>
      <c r="P39" s="682" t="n"/>
      <c r="Q39" s="648" t="n"/>
      <c r="R39" s="40" t="inlineStr"/>
      <c r="S39" s="40" t="inlineStr"/>
      <c r="T39" s="41" t="inlineStr">
        <is>
          <t>кг</t>
        </is>
      </c>
      <c r="U39" s="683" t="n">
        <v>0</v>
      </c>
      <c r="V39" s="684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85" t="n"/>
      <c r="M40" s="686" t="inlineStr">
        <is>
          <t>Итого</t>
        </is>
      </c>
      <c r="N40" s="656" t="n"/>
      <c r="O40" s="656" t="n"/>
      <c r="P40" s="656" t="n"/>
      <c r="Q40" s="656" t="n"/>
      <c r="R40" s="656" t="n"/>
      <c r="S40" s="657" t="n"/>
      <c r="T40" s="43" t="inlineStr">
        <is>
          <t>кор</t>
        </is>
      </c>
      <c r="U40" s="687">
        <f>IFERROR(U39/H39,"0")</f>
        <v/>
      </c>
      <c r="V40" s="687">
        <f>IFERROR(V39/H39,"0")</f>
        <v/>
      </c>
      <c r="W40" s="687">
        <f>IFERROR(IF(W39="",0,W39),"0")</f>
        <v/>
      </c>
      <c r="X40" s="688" t="n"/>
      <c r="Y40" s="688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85" t="n"/>
      <c r="M41" s="686" t="inlineStr">
        <is>
          <t>Итого</t>
        </is>
      </c>
      <c r="N41" s="656" t="n"/>
      <c r="O41" s="656" t="n"/>
      <c r="P41" s="656" t="n"/>
      <c r="Q41" s="656" t="n"/>
      <c r="R41" s="656" t="n"/>
      <c r="S41" s="657" t="n"/>
      <c r="T41" s="43" t="inlineStr">
        <is>
          <t>кг</t>
        </is>
      </c>
      <c r="U41" s="687">
        <f>IFERROR(SUM(U39:U39),"0")</f>
        <v/>
      </c>
      <c r="V41" s="687">
        <f>IFERROR(SUM(V39:V39),"0")</f>
        <v/>
      </c>
      <c r="W41" s="43" t="n"/>
      <c r="X41" s="688" t="n"/>
      <c r="Y41" s="688" t="n"/>
    </row>
    <row r="42" ht="14.25" customHeight="1">
      <c r="A42" s="330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30" t="n"/>
      <c r="Y42" s="330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1" t="n">
        <v>4607091389111</v>
      </c>
      <c r="E43" s="648" t="n"/>
      <c r="F43" s="680" t="n">
        <v>0.025</v>
      </c>
      <c r="G43" s="38" t="n">
        <v>10</v>
      </c>
      <c r="H43" s="680" t="n">
        <v>0.25</v>
      </c>
      <c r="I43" s="680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82" t="n"/>
      <c r="O43" s="682" t="n"/>
      <c r="P43" s="682" t="n"/>
      <c r="Q43" s="648" t="n"/>
      <c r="R43" s="40" t="inlineStr"/>
      <c r="S43" s="40" t="inlineStr"/>
      <c r="T43" s="41" t="inlineStr">
        <is>
          <t>кг</t>
        </is>
      </c>
      <c r="U43" s="683" t="n">
        <v>0</v>
      </c>
      <c r="V43" s="684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5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85" t="n"/>
      <c r="M44" s="686" t="inlineStr">
        <is>
          <t>Итого</t>
        </is>
      </c>
      <c r="N44" s="656" t="n"/>
      <c r="O44" s="656" t="n"/>
      <c r="P44" s="656" t="n"/>
      <c r="Q44" s="656" t="n"/>
      <c r="R44" s="656" t="n"/>
      <c r="S44" s="657" t="n"/>
      <c r="T44" s="43" t="inlineStr">
        <is>
          <t>кор</t>
        </is>
      </c>
      <c r="U44" s="687">
        <f>IFERROR(U43/H43,"0")</f>
        <v/>
      </c>
      <c r="V44" s="687">
        <f>IFERROR(V43/H43,"0")</f>
        <v/>
      </c>
      <c r="W44" s="687">
        <f>IFERROR(IF(W43="",0,W43),"0")</f>
        <v/>
      </c>
      <c r="X44" s="688" t="n"/>
      <c r="Y44" s="688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85" t="n"/>
      <c r="M45" s="686" t="inlineStr">
        <is>
          <t>Итого</t>
        </is>
      </c>
      <c r="N45" s="656" t="n"/>
      <c r="O45" s="656" t="n"/>
      <c r="P45" s="656" t="n"/>
      <c r="Q45" s="656" t="n"/>
      <c r="R45" s="656" t="n"/>
      <c r="S45" s="657" t="n"/>
      <c r="T45" s="43" t="inlineStr">
        <is>
          <t>кг</t>
        </is>
      </c>
      <c r="U45" s="687">
        <f>IFERROR(SUM(U43:U43),"0")</f>
        <v/>
      </c>
      <c r="V45" s="687">
        <f>IFERROR(SUM(V43:V43),"0")</f>
        <v/>
      </c>
      <c r="W45" s="43" t="n"/>
      <c r="X45" s="688" t="n"/>
      <c r="Y45" s="688" t="n"/>
    </row>
    <row r="46" ht="27.75" customHeight="1">
      <c r="A46" s="344" t="inlineStr">
        <is>
          <t>Вязанка</t>
        </is>
      </c>
      <c r="B46" s="679" t="n"/>
      <c r="C46" s="679" t="n"/>
      <c r="D46" s="679" t="n"/>
      <c r="E46" s="679" t="n"/>
      <c r="F46" s="679" t="n"/>
      <c r="G46" s="679" t="n"/>
      <c r="H46" s="679" t="n"/>
      <c r="I46" s="679" t="n"/>
      <c r="J46" s="679" t="n"/>
      <c r="K46" s="679" t="n"/>
      <c r="L46" s="679" t="n"/>
      <c r="M46" s="679" t="n"/>
      <c r="N46" s="679" t="n"/>
      <c r="O46" s="679" t="n"/>
      <c r="P46" s="679" t="n"/>
      <c r="Q46" s="679" t="n"/>
      <c r="R46" s="679" t="n"/>
      <c r="S46" s="679" t="n"/>
      <c r="T46" s="679" t="n"/>
      <c r="U46" s="679" t="n"/>
      <c r="V46" s="679" t="n"/>
      <c r="W46" s="679" t="n"/>
      <c r="X46" s="55" t="n"/>
      <c r="Y46" s="55" t="n"/>
    </row>
    <row r="47" ht="16.5" customHeight="1">
      <c r="A47" s="338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8" t="n"/>
      <c r="Y47" s="338" t="n"/>
    </row>
    <row r="48" ht="14.25" customHeight="1">
      <c r="A48" s="330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0" t="n"/>
      <c r="Y48" s="330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1" t="n">
        <v>4680115881440</v>
      </c>
      <c r="E49" s="648" t="n"/>
      <c r="F49" s="680" t="n">
        <v>1.35</v>
      </c>
      <c r="G49" s="38" t="n">
        <v>8</v>
      </c>
      <c r="H49" s="680" t="n">
        <v>10.8</v>
      </c>
      <c r="I49" s="680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8">
        <f>HYPERLINK("https://abi.ru/products/Охлажденные/Вязанка/Столичная/Ветчины/P003234/","Ветчины «Филейская» Весовые Вектор ТМ «Вязанка»")</f>
        <v/>
      </c>
      <c r="N49" s="682" t="n"/>
      <c r="O49" s="682" t="n"/>
      <c r="P49" s="682" t="n"/>
      <c r="Q49" s="648" t="n"/>
      <c r="R49" s="40" t="inlineStr"/>
      <c r="S49" s="40" t="inlineStr"/>
      <c r="T49" s="41" t="inlineStr">
        <is>
          <t>кг</t>
        </is>
      </c>
      <c r="U49" s="683" t="n">
        <v>0</v>
      </c>
      <c r="V49" s="684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1" t="n">
        <v>4680115881433</v>
      </c>
      <c r="E50" s="648" t="n"/>
      <c r="F50" s="680" t="n">
        <v>0.45</v>
      </c>
      <c r="G50" s="38" t="n">
        <v>6</v>
      </c>
      <c r="H50" s="680" t="n">
        <v>2.7</v>
      </c>
      <c r="I50" s="680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9">
        <f>HYPERLINK("https://abi.ru/products/Охлажденные/Вязанка/Столичная/Ветчины/P003226/","Ветчины «Филейская» Фикс.вес 0,45 Вектор ТМ «Вязанка»")</f>
        <v/>
      </c>
      <c r="N50" s="682" t="n"/>
      <c r="O50" s="682" t="n"/>
      <c r="P50" s="682" t="n"/>
      <c r="Q50" s="648" t="n"/>
      <c r="R50" s="40" t="inlineStr"/>
      <c r="S50" s="40" t="inlineStr"/>
      <c r="T50" s="41" t="inlineStr">
        <is>
          <t>кг</t>
        </is>
      </c>
      <c r="U50" s="683" t="n">
        <v>0</v>
      </c>
      <c r="V50" s="684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5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85" t="n"/>
      <c r="M51" s="686" t="inlineStr">
        <is>
          <t>Итого</t>
        </is>
      </c>
      <c r="N51" s="656" t="n"/>
      <c r="O51" s="656" t="n"/>
      <c r="P51" s="656" t="n"/>
      <c r="Q51" s="656" t="n"/>
      <c r="R51" s="656" t="n"/>
      <c r="S51" s="657" t="n"/>
      <c r="T51" s="43" t="inlineStr">
        <is>
          <t>кор</t>
        </is>
      </c>
      <c r="U51" s="687">
        <f>IFERROR(U49/H49,"0")+IFERROR(U50/H50,"0")</f>
        <v/>
      </c>
      <c r="V51" s="687">
        <f>IFERROR(V49/H49,"0")+IFERROR(V50/H50,"0")</f>
        <v/>
      </c>
      <c r="W51" s="687">
        <f>IFERROR(IF(W49="",0,W49),"0")+IFERROR(IF(W50="",0,W50),"0")</f>
        <v/>
      </c>
      <c r="X51" s="688" t="n"/>
      <c r="Y51" s="688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85" t="n"/>
      <c r="M52" s="686" t="inlineStr">
        <is>
          <t>Итого</t>
        </is>
      </c>
      <c r="N52" s="656" t="n"/>
      <c r="O52" s="656" t="n"/>
      <c r="P52" s="656" t="n"/>
      <c r="Q52" s="656" t="n"/>
      <c r="R52" s="656" t="n"/>
      <c r="S52" s="657" t="n"/>
      <c r="T52" s="43" t="inlineStr">
        <is>
          <t>кг</t>
        </is>
      </c>
      <c r="U52" s="687">
        <f>IFERROR(SUM(U49:U50),"0")</f>
        <v/>
      </c>
      <c r="V52" s="687">
        <f>IFERROR(SUM(V49:V50),"0")</f>
        <v/>
      </c>
      <c r="W52" s="43" t="n"/>
      <c r="X52" s="688" t="n"/>
      <c r="Y52" s="688" t="n"/>
    </row>
    <row r="53" ht="16.5" customHeight="1">
      <c r="A53" s="338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8" t="n"/>
      <c r="Y53" s="338" t="n"/>
    </row>
    <row r="54" ht="14.25" customHeight="1">
      <c r="A54" s="330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0" t="n"/>
      <c r="Y54" s="330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31" t="n">
        <v>4680115881426</v>
      </c>
      <c r="E55" s="648" t="n"/>
      <c r="F55" s="680" t="n">
        <v>1.35</v>
      </c>
      <c r="G55" s="38" t="n">
        <v>8</v>
      </c>
      <c r="H55" s="680" t="n">
        <v>10.8</v>
      </c>
      <c r="I55" s="680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700" t="inlineStr">
        <is>
          <t>Вареные колбасы «Филейская» Весовые Вектор ТМ «Вязанка»</t>
        </is>
      </c>
      <c r="N55" s="682" t="n"/>
      <c r="O55" s="682" t="n"/>
      <c r="P55" s="682" t="n"/>
      <c r="Q55" s="648" t="n"/>
      <c r="R55" s="40" t="inlineStr"/>
      <c r="S55" s="40" t="inlineStr"/>
      <c r="T55" s="41" t="inlineStr">
        <is>
          <t>кг</t>
        </is>
      </c>
      <c r="U55" s="683" t="n">
        <v>0</v>
      </c>
      <c r="V55" s="684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1" t="n">
        <v>4680115881426</v>
      </c>
      <c r="E56" s="648" t="n"/>
      <c r="F56" s="680" t="n">
        <v>1.35</v>
      </c>
      <c r="G56" s="38" t="n">
        <v>8</v>
      </c>
      <c r="H56" s="680" t="n">
        <v>10.8</v>
      </c>
      <c r="I56" s="68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70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82" t="n"/>
      <c r="O56" s="682" t="n"/>
      <c r="P56" s="682" t="n"/>
      <c r="Q56" s="648" t="n"/>
      <c r="R56" s="40" t="inlineStr"/>
      <c r="S56" s="40" t="inlineStr"/>
      <c r="T56" s="41" t="inlineStr">
        <is>
          <t>кг</t>
        </is>
      </c>
      <c r="U56" s="683" t="n">
        <v>0</v>
      </c>
      <c r="V56" s="68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1" t="n">
        <v>4680115881419</v>
      </c>
      <c r="E57" s="648" t="n"/>
      <c r="F57" s="680" t="n">
        <v>0.45</v>
      </c>
      <c r="G57" s="38" t="n">
        <v>10</v>
      </c>
      <c r="H57" s="680" t="n">
        <v>4.5</v>
      </c>
      <c r="I57" s="68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70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82" t="n"/>
      <c r="O57" s="682" t="n"/>
      <c r="P57" s="682" t="n"/>
      <c r="Q57" s="648" t="n"/>
      <c r="R57" s="40" t="inlineStr"/>
      <c r="S57" s="40" t="inlineStr"/>
      <c r="T57" s="41" t="inlineStr">
        <is>
          <t>кг</t>
        </is>
      </c>
      <c r="U57" s="683" t="n">
        <v>1274.4</v>
      </c>
      <c r="V57" s="68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1" t="n">
        <v>4680115881525</v>
      </c>
      <c r="E58" s="648" t="n"/>
      <c r="F58" s="680" t="n">
        <v>0.4</v>
      </c>
      <c r="G58" s="38" t="n">
        <v>10</v>
      </c>
      <c r="H58" s="680" t="n">
        <v>4</v>
      </c>
      <c r="I58" s="68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703" t="inlineStr">
        <is>
          <t>Колбаса вареная Филейская ТМ Вязанка ТС Классическая полиамид ф/в 0,4 кг</t>
        </is>
      </c>
      <c r="N58" s="682" t="n"/>
      <c r="O58" s="682" t="n"/>
      <c r="P58" s="682" t="n"/>
      <c r="Q58" s="648" t="n"/>
      <c r="R58" s="40" t="inlineStr"/>
      <c r="S58" s="40" t="inlineStr"/>
      <c r="T58" s="41" t="inlineStr">
        <is>
          <t>кг</t>
        </is>
      </c>
      <c r="U58" s="683" t="n">
        <v>0</v>
      </c>
      <c r="V58" s="68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5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85" t="n"/>
      <c r="M59" s="686" t="inlineStr">
        <is>
          <t>Итого</t>
        </is>
      </c>
      <c r="N59" s="656" t="n"/>
      <c r="O59" s="656" t="n"/>
      <c r="P59" s="656" t="n"/>
      <c r="Q59" s="656" t="n"/>
      <c r="R59" s="656" t="n"/>
      <c r="S59" s="657" t="n"/>
      <c r="T59" s="43" t="inlineStr">
        <is>
          <t>кор</t>
        </is>
      </c>
      <c r="U59" s="687">
        <f>IFERROR(U55/H55,"0")+IFERROR(U56/H56,"0")+IFERROR(U57/H57,"0")+IFERROR(U58/H58,"0")</f>
        <v/>
      </c>
      <c r="V59" s="687">
        <f>IFERROR(V55/H55,"0")+IFERROR(V56/H56,"0")+IFERROR(V57/H57,"0")+IFERROR(V58/H58,"0")</f>
        <v/>
      </c>
      <c r="W59" s="687">
        <f>IFERROR(IF(W55="",0,W55),"0")+IFERROR(IF(W56="",0,W56),"0")+IFERROR(IF(W57="",0,W57),"0")+IFERROR(IF(W58="",0,W58),"0")</f>
        <v/>
      </c>
      <c r="X59" s="688" t="n"/>
      <c r="Y59" s="68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85" t="n"/>
      <c r="M60" s="686" t="inlineStr">
        <is>
          <t>Итого</t>
        </is>
      </c>
      <c r="N60" s="656" t="n"/>
      <c r="O60" s="656" t="n"/>
      <c r="P60" s="656" t="n"/>
      <c r="Q60" s="656" t="n"/>
      <c r="R60" s="656" t="n"/>
      <c r="S60" s="657" t="n"/>
      <c r="T60" s="43" t="inlineStr">
        <is>
          <t>кг</t>
        </is>
      </c>
      <c r="U60" s="687">
        <f>IFERROR(SUM(U55:U58),"0")</f>
        <v/>
      </c>
      <c r="V60" s="687">
        <f>IFERROR(SUM(V55:V58),"0")</f>
        <v/>
      </c>
      <c r="W60" s="43" t="n"/>
      <c r="X60" s="688" t="n"/>
      <c r="Y60" s="688" t="n"/>
    </row>
    <row r="61" ht="16.5" customHeight="1">
      <c r="A61" s="338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8" t="n"/>
      <c r="Y61" s="338" t="n"/>
    </row>
    <row r="62" ht="14.25" customHeight="1">
      <c r="A62" s="33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0" t="n"/>
      <c r="Y62" s="330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1" t="n">
        <v>4607091382945</v>
      </c>
      <c r="E63" s="648" t="n"/>
      <c r="F63" s="680" t="n">
        <v>1.4</v>
      </c>
      <c r="G63" s="38" t="n">
        <v>8</v>
      </c>
      <c r="H63" s="680" t="n">
        <v>11.2</v>
      </c>
      <c r="I63" s="680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704" t="inlineStr">
        <is>
          <t>Вареные колбасы «Вязанка со шпиком» Весовые Вектор УВВ ТМ «Вязанка»</t>
        </is>
      </c>
      <c r="N63" s="682" t="n"/>
      <c r="O63" s="682" t="n"/>
      <c r="P63" s="682" t="n"/>
      <c r="Q63" s="648" t="n"/>
      <c r="R63" s="40" t="inlineStr"/>
      <c r="S63" s="40" t="inlineStr"/>
      <c r="T63" s="41" t="inlineStr">
        <is>
          <t>кг</t>
        </is>
      </c>
      <c r="U63" s="683" t="n">
        <v>0</v>
      </c>
      <c r="V63" s="68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31" t="n">
        <v>4607091385670</v>
      </c>
      <c r="E64" s="648" t="n"/>
      <c r="F64" s="680" t="n">
        <v>1.35</v>
      </c>
      <c r="G64" s="38" t="n">
        <v>8</v>
      </c>
      <c r="H64" s="680" t="n">
        <v>10.8</v>
      </c>
      <c r="I64" s="68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70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82" t="n"/>
      <c r="O64" s="682" t="n"/>
      <c r="P64" s="682" t="n"/>
      <c r="Q64" s="648" t="n"/>
      <c r="R64" s="40" t="inlineStr"/>
      <c r="S64" s="40" t="inlineStr"/>
      <c r="T64" s="41" t="inlineStr">
        <is>
          <t>кг</t>
        </is>
      </c>
      <c r="U64" s="683" t="n">
        <v>0</v>
      </c>
      <c r="V64" s="68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1" t="n">
        <v>4680115881327</v>
      </c>
      <c r="E65" s="648" t="n"/>
      <c r="F65" s="680" t="n">
        <v>1.35</v>
      </c>
      <c r="G65" s="38" t="n">
        <v>8</v>
      </c>
      <c r="H65" s="680" t="n">
        <v>10.8</v>
      </c>
      <c r="I65" s="68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82" t="n"/>
      <c r="O65" s="682" t="n"/>
      <c r="P65" s="682" t="n"/>
      <c r="Q65" s="648" t="n"/>
      <c r="R65" s="40" t="inlineStr"/>
      <c r="S65" s="40" t="inlineStr"/>
      <c r="T65" s="41" t="inlineStr">
        <is>
          <t>кг</t>
        </is>
      </c>
      <c r="U65" s="683" t="n">
        <v>0</v>
      </c>
      <c r="V65" s="68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31" t="n">
        <v>4680115882133</v>
      </c>
      <c r="E66" s="648" t="n"/>
      <c r="F66" s="680" t="n">
        <v>1.35</v>
      </c>
      <c r="G66" s="38" t="n">
        <v>8</v>
      </c>
      <c r="H66" s="680" t="n">
        <v>10.8</v>
      </c>
      <c r="I66" s="680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7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82" t="n"/>
      <c r="O66" s="682" t="n"/>
      <c r="P66" s="682" t="n"/>
      <c r="Q66" s="648" t="n"/>
      <c r="R66" s="40" t="inlineStr"/>
      <c r="S66" s="40" t="inlineStr"/>
      <c r="T66" s="41" t="inlineStr">
        <is>
          <t>кг</t>
        </is>
      </c>
      <c r="U66" s="683" t="n">
        <v>0</v>
      </c>
      <c r="V66" s="68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1" t="n">
        <v>4607091382952</v>
      </c>
      <c r="E67" s="648" t="n"/>
      <c r="F67" s="680" t="n">
        <v>0.5</v>
      </c>
      <c r="G67" s="38" t="n">
        <v>6</v>
      </c>
      <c r="H67" s="680" t="n">
        <v>3</v>
      </c>
      <c r="I67" s="680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82" t="n"/>
      <c r="O67" s="682" t="n"/>
      <c r="P67" s="682" t="n"/>
      <c r="Q67" s="648" t="n"/>
      <c r="R67" s="40" t="inlineStr"/>
      <c r="S67" s="40" t="inlineStr"/>
      <c r="T67" s="41" t="inlineStr">
        <is>
          <t>кг</t>
        </is>
      </c>
      <c r="U67" s="683" t="n">
        <v>0</v>
      </c>
      <c r="V67" s="684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31" t="n">
        <v>4680115882539</v>
      </c>
      <c r="E68" s="648" t="n"/>
      <c r="F68" s="680" t="n">
        <v>0.37</v>
      </c>
      <c r="G68" s="38" t="n">
        <v>10</v>
      </c>
      <c r="H68" s="680" t="n">
        <v>3.7</v>
      </c>
      <c r="I68" s="680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82" t="n"/>
      <c r="O68" s="682" t="n"/>
      <c r="P68" s="682" t="n"/>
      <c r="Q68" s="648" t="n"/>
      <c r="R68" s="40" t="inlineStr"/>
      <c r="S68" s="40" t="inlineStr"/>
      <c r="T68" s="41" t="inlineStr">
        <is>
          <t>кг</t>
        </is>
      </c>
      <c r="U68" s="683" t="n">
        <v>0</v>
      </c>
      <c r="V68" s="684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31" t="n">
        <v>4607091385687</v>
      </c>
      <c r="E69" s="648" t="n"/>
      <c r="F69" s="680" t="n">
        <v>0.4</v>
      </c>
      <c r="G69" s="38" t="n">
        <v>10</v>
      </c>
      <c r="H69" s="680" t="n">
        <v>4</v>
      </c>
      <c r="I69" s="680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1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82" t="n"/>
      <c r="O69" s="682" t="n"/>
      <c r="P69" s="682" t="n"/>
      <c r="Q69" s="648" t="n"/>
      <c r="R69" s="40" t="inlineStr"/>
      <c r="S69" s="40" t="inlineStr"/>
      <c r="T69" s="41" t="inlineStr">
        <is>
          <t>кг</t>
        </is>
      </c>
      <c r="U69" s="683" t="n">
        <v>348</v>
      </c>
      <c r="V69" s="68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1" t="n">
        <v>4607091384604</v>
      </c>
      <c r="E70" s="648" t="n"/>
      <c r="F70" s="680" t="n">
        <v>0.4</v>
      </c>
      <c r="G70" s="38" t="n">
        <v>10</v>
      </c>
      <c r="H70" s="680" t="n">
        <v>4</v>
      </c>
      <c r="I70" s="680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1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82" t="n"/>
      <c r="O70" s="682" t="n"/>
      <c r="P70" s="682" t="n"/>
      <c r="Q70" s="648" t="n"/>
      <c r="R70" s="40" t="inlineStr"/>
      <c r="S70" s="40" t="inlineStr"/>
      <c r="T70" s="41" t="inlineStr">
        <is>
          <t>кг</t>
        </is>
      </c>
      <c r="U70" s="683" t="n">
        <v>0</v>
      </c>
      <c r="V70" s="68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1" t="n">
        <v>4680115880283</v>
      </c>
      <c r="E71" s="648" t="n"/>
      <c r="F71" s="680" t="n">
        <v>0.6</v>
      </c>
      <c r="G71" s="38" t="n">
        <v>8</v>
      </c>
      <c r="H71" s="680" t="n">
        <v>4.8</v>
      </c>
      <c r="I71" s="680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1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82" t="n"/>
      <c r="O71" s="682" t="n"/>
      <c r="P71" s="682" t="n"/>
      <c r="Q71" s="648" t="n"/>
      <c r="R71" s="40" t="inlineStr"/>
      <c r="S71" s="40" t="inlineStr"/>
      <c r="T71" s="41" t="inlineStr">
        <is>
          <t>кг</t>
        </is>
      </c>
      <c r="U71" s="683" t="n">
        <v>0</v>
      </c>
      <c r="V71" s="68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1" t="n">
        <v>4680115881518</v>
      </c>
      <c r="E72" s="648" t="n"/>
      <c r="F72" s="680" t="n">
        <v>0.4</v>
      </c>
      <c r="G72" s="38" t="n">
        <v>10</v>
      </c>
      <c r="H72" s="680" t="n">
        <v>4</v>
      </c>
      <c r="I72" s="680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13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82" t="n"/>
      <c r="O72" s="682" t="n"/>
      <c r="P72" s="682" t="n"/>
      <c r="Q72" s="648" t="n"/>
      <c r="R72" s="40" t="inlineStr"/>
      <c r="S72" s="40" t="inlineStr"/>
      <c r="T72" s="41" t="inlineStr">
        <is>
          <t>кг</t>
        </is>
      </c>
      <c r="U72" s="683" t="n">
        <v>0</v>
      </c>
      <c r="V72" s="68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1" t="n">
        <v>4680115881303</v>
      </c>
      <c r="E73" s="648" t="n"/>
      <c r="F73" s="680" t="n">
        <v>0.45</v>
      </c>
      <c r="G73" s="38" t="n">
        <v>10</v>
      </c>
      <c r="H73" s="680" t="n">
        <v>4.5</v>
      </c>
      <c r="I73" s="680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1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82" t="n"/>
      <c r="O73" s="682" t="n"/>
      <c r="P73" s="682" t="n"/>
      <c r="Q73" s="648" t="n"/>
      <c r="R73" s="40" t="inlineStr"/>
      <c r="S73" s="40" t="inlineStr"/>
      <c r="T73" s="41" t="inlineStr">
        <is>
          <t>кг</t>
        </is>
      </c>
      <c r="U73" s="683" t="n">
        <v>0</v>
      </c>
      <c r="V73" s="68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31" t="n">
        <v>4680115882577</v>
      </c>
      <c r="E74" s="648" t="n"/>
      <c r="F74" s="680" t="n">
        <v>0.4</v>
      </c>
      <c r="G74" s="38" t="n">
        <v>8</v>
      </c>
      <c r="H74" s="680" t="n">
        <v>3.2</v>
      </c>
      <c r="I74" s="680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15" t="inlineStr">
        <is>
          <t>Колбаса вареная Мусульманская ТМ Вязанка Халяль вектор ф/в 0,4 кг Казахстан АК</t>
        </is>
      </c>
      <c r="N74" s="682" t="n"/>
      <c r="O74" s="682" t="n"/>
      <c r="P74" s="682" t="n"/>
      <c r="Q74" s="648" t="n"/>
      <c r="R74" s="40" t="inlineStr"/>
      <c r="S74" s="40" t="inlineStr"/>
      <c r="T74" s="41" t="inlineStr">
        <is>
          <t>кг</t>
        </is>
      </c>
      <c r="U74" s="683" t="n">
        <v>0</v>
      </c>
      <c r="V74" s="684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1" t="n">
        <v>4607091388466</v>
      </c>
      <c r="E75" s="648" t="n"/>
      <c r="F75" s="680" t="n">
        <v>0.45</v>
      </c>
      <c r="G75" s="38" t="n">
        <v>6</v>
      </c>
      <c r="H75" s="680" t="n">
        <v>2.7</v>
      </c>
      <c r="I75" s="680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6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82" t="n"/>
      <c r="O75" s="682" t="n"/>
      <c r="P75" s="682" t="n"/>
      <c r="Q75" s="648" t="n"/>
      <c r="R75" s="40" t="inlineStr"/>
      <c r="S75" s="40" t="inlineStr"/>
      <c r="T75" s="41" t="inlineStr">
        <is>
          <t>кг</t>
        </is>
      </c>
      <c r="U75" s="683" t="n">
        <v>0</v>
      </c>
      <c r="V75" s="684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1" t="n">
        <v>4680115880269</v>
      </c>
      <c r="E76" s="648" t="n"/>
      <c r="F76" s="680" t="n">
        <v>0.375</v>
      </c>
      <c r="G76" s="38" t="n">
        <v>10</v>
      </c>
      <c r="H76" s="680" t="n">
        <v>3.75</v>
      </c>
      <c r="I76" s="680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82" t="n"/>
      <c r="O76" s="682" t="n"/>
      <c r="P76" s="682" t="n"/>
      <c r="Q76" s="648" t="n"/>
      <c r="R76" s="40" t="inlineStr"/>
      <c r="S76" s="40" t="inlineStr"/>
      <c r="T76" s="41" t="inlineStr">
        <is>
          <t>кг</t>
        </is>
      </c>
      <c r="U76" s="683" t="n">
        <v>0</v>
      </c>
      <c r="V76" s="684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1" t="n">
        <v>4680115880429</v>
      </c>
      <c r="E77" s="648" t="n"/>
      <c r="F77" s="680" t="n">
        <v>0.45</v>
      </c>
      <c r="G77" s="38" t="n">
        <v>10</v>
      </c>
      <c r="H77" s="680" t="n">
        <v>4.5</v>
      </c>
      <c r="I77" s="680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8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82" t="n"/>
      <c r="O77" s="682" t="n"/>
      <c r="P77" s="682" t="n"/>
      <c r="Q77" s="648" t="n"/>
      <c r="R77" s="40" t="inlineStr"/>
      <c r="S77" s="40" t="inlineStr"/>
      <c r="T77" s="41" t="inlineStr">
        <is>
          <t>кг</t>
        </is>
      </c>
      <c r="U77" s="683" t="n">
        <v>0</v>
      </c>
      <c r="V77" s="68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1" t="n">
        <v>4680115881457</v>
      </c>
      <c r="E78" s="648" t="n"/>
      <c r="F78" s="680" t="n">
        <v>0.75</v>
      </c>
      <c r="G78" s="38" t="n">
        <v>6</v>
      </c>
      <c r="H78" s="680" t="n">
        <v>4.5</v>
      </c>
      <c r="I78" s="68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9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82" t="n"/>
      <c r="O78" s="682" t="n"/>
      <c r="P78" s="682" t="n"/>
      <c r="Q78" s="648" t="n"/>
      <c r="R78" s="40" t="inlineStr"/>
      <c r="S78" s="40" t="inlineStr"/>
      <c r="T78" s="41" t="inlineStr">
        <is>
          <t>кг</t>
        </is>
      </c>
      <c r="U78" s="683" t="n">
        <v>0</v>
      </c>
      <c r="V78" s="68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5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85" t="n"/>
      <c r="M79" s="686" t="inlineStr">
        <is>
          <t>Итого</t>
        </is>
      </c>
      <c r="N79" s="656" t="n"/>
      <c r="O79" s="656" t="n"/>
      <c r="P79" s="656" t="n"/>
      <c r="Q79" s="656" t="n"/>
      <c r="R79" s="656" t="n"/>
      <c r="S79" s="657" t="n"/>
      <c r="T79" s="43" t="inlineStr">
        <is>
          <t>кор</t>
        </is>
      </c>
      <c r="U79" s="68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8" t="n"/>
      <c r="Y79" s="688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85" t="n"/>
      <c r="M80" s="686" t="inlineStr">
        <is>
          <t>Итого</t>
        </is>
      </c>
      <c r="N80" s="656" t="n"/>
      <c r="O80" s="656" t="n"/>
      <c r="P80" s="656" t="n"/>
      <c r="Q80" s="656" t="n"/>
      <c r="R80" s="656" t="n"/>
      <c r="S80" s="657" t="n"/>
      <c r="T80" s="43" t="inlineStr">
        <is>
          <t>кг</t>
        </is>
      </c>
      <c r="U80" s="687">
        <f>IFERROR(SUM(U63:U78),"0")</f>
        <v/>
      </c>
      <c r="V80" s="687">
        <f>IFERROR(SUM(V63:V78),"0")</f>
        <v/>
      </c>
      <c r="W80" s="43" t="n"/>
      <c r="X80" s="688" t="n"/>
      <c r="Y80" s="688" t="n"/>
    </row>
    <row r="81" ht="14.25" customHeight="1">
      <c r="A81" s="33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30" t="n"/>
      <c r="Y81" s="330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1" t="n">
        <v>4607091384789</v>
      </c>
      <c r="E82" s="648" t="n"/>
      <c r="F82" s="680" t="n">
        <v>1</v>
      </c>
      <c r="G82" s="38" t="n">
        <v>6</v>
      </c>
      <c r="H82" s="680" t="n">
        <v>6</v>
      </c>
      <c r="I82" s="680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20" t="inlineStr">
        <is>
          <t>Ветчины Запекуша с сочным окороком Вязанка Весовые П/а Вязанка</t>
        </is>
      </c>
      <c r="N82" s="682" t="n"/>
      <c r="O82" s="682" t="n"/>
      <c r="P82" s="682" t="n"/>
      <c r="Q82" s="648" t="n"/>
      <c r="R82" s="40" t="inlineStr"/>
      <c r="S82" s="40" t="inlineStr"/>
      <c r="T82" s="41" t="inlineStr">
        <is>
          <t>кг</t>
        </is>
      </c>
      <c r="U82" s="683" t="n">
        <v>0</v>
      </c>
      <c r="V82" s="684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1" t="n">
        <v>4680115881488</v>
      </c>
      <c r="E83" s="648" t="n"/>
      <c r="F83" s="680" t="n">
        <v>1.35</v>
      </c>
      <c r="G83" s="38" t="n">
        <v>8</v>
      </c>
      <c r="H83" s="680" t="n">
        <v>10.8</v>
      </c>
      <c r="I83" s="680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21">
        <f>HYPERLINK("https://abi.ru/products/Охлажденные/Вязанка/Вязанка/Ветчины/P003236/","Ветчины Сливушка с индейкой Вязанка вес П/а Вязанка")</f>
        <v/>
      </c>
      <c r="N83" s="682" t="n"/>
      <c r="O83" s="682" t="n"/>
      <c r="P83" s="682" t="n"/>
      <c r="Q83" s="648" t="n"/>
      <c r="R83" s="40" t="inlineStr"/>
      <c r="S83" s="40" t="inlineStr"/>
      <c r="T83" s="41" t="inlineStr">
        <is>
          <t>кг</t>
        </is>
      </c>
      <c r="U83" s="683" t="n">
        <v>0</v>
      </c>
      <c r="V83" s="68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1" t="n">
        <v>4607091384765</v>
      </c>
      <c r="E84" s="648" t="n"/>
      <c r="F84" s="680" t="n">
        <v>0.42</v>
      </c>
      <c r="G84" s="38" t="n">
        <v>6</v>
      </c>
      <c r="H84" s="680" t="n">
        <v>2.52</v>
      </c>
      <c r="I84" s="680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22" t="inlineStr">
        <is>
          <t>Ветчины Запекуша с сочным окороком Вязанка Фикс.вес 0,42 п/а Вязанка</t>
        </is>
      </c>
      <c r="N84" s="682" t="n"/>
      <c r="O84" s="682" t="n"/>
      <c r="P84" s="682" t="n"/>
      <c r="Q84" s="648" t="n"/>
      <c r="R84" s="40" t="inlineStr"/>
      <c r="S84" s="40" t="inlineStr"/>
      <c r="T84" s="41" t="inlineStr">
        <is>
          <t>кг</t>
        </is>
      </c>
      <c r="U84" s="683" t="n">
        <v>0</v>
      </c>
      <c r="V84" s="684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31" t="n">
        <v>4680115882775</v>
      </c>
      <c r="E85" s="648" t="n"/>
      <c r="F85" s="680" t="n">
        <v>0.3</v>
      </c>
      <c r="G85" s="38" t="n">
        <v>8</v>
      </c>
      <c r="H85" s="680" t="n">
        <v>2.4</v>
      </c>
      <c r="I85" s="680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23" t="inlineStr">
        <is>
          <t>Ветчины «Сливушка с индейкой» Фикс.вес 0,3 П/а ТМ «Вязанка»</t>
        </is>
      </c>
      <c r="N85" s="682" t="n"/>
      <c r="O85" s="682" t="n"/>
      <c r="P85" s="682" t="n"/>
      <c r="Q85" s="648" t="n"/>
      <c r="R85" s="40" t="inlineStr"/>
      <c r="S85" s="40" t="inlineStr"/>
      <c r="T85" s="41" t="inlineStr">
        <is>
          <t>кг</t>
        </is>
      </c>
      <c r="U85" s="683" t="n">
        <v>0</v>
      </c>
      <c r="V85" s="684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31" t="n">
        <v>4680115880658</v>
      </c>
      <c r="E86" s="648" t="n"/>
      <c r="F86" s="680" t="n">
        <v>0.4</v>
      </c>
      <c r="G86" s="38" t="n">
        <v>6</v>
      </c>
      <c r="H86" s="680" t="n">
        <v>2.4</v>
      </c>
      <c r="I86" s="680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82" t="n"/>
      <c r="O86" s="682" t="n"/>
      <c r="P86" s="682" t="n"/>
      <c r="Q86" s="648" t="n"/>
      <c r="R86" s="40" t="inlineStr"/>
      <c r="S86" s="40" t="inlineStr"/>
      <c r="T86" s="41" t="inlineStr">
        <is>
          <t>кг</t>
        </is>
      </c>
      <c r="U86" s="683" t="n">
        <v>0</v>
      </c>
      <c r="V86" s="68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31" t="n">
        <v>4607091381962</v>
      </c>
      <c r="E87" s="648" t="n"/>
      <c r="F87" s="680" t="n">
        <v>0.5</v>
      </c>
      <c r="G87" s="38" t="n">
        <v>6</v>
      </c>
      <c r="H87" s="680" t="n">
        <v>3</v>
      </c>
      <c r="I87" s="680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25">
        <f>HYPERLINK("https://abi.ru/products/Охлажденные/Вязанка/Вязанка/Ветчины/P003164/","Ветчины Столичная Вязанка Фикс.вес 0,5 Вектор Вязанка")</f>
        <v/>
      </c>
      <c r="N87" s="682" t="n"/>
      <c r="O87" s="682" t="n"/>
      <c r="P87" s="682" t="n"/>
      <c r="Q87" s="648" t="n"/>
      <c r="R87" s="40" t="inlineStr"/>
      <c r="S87" s="40" t="inlineStr"/>
      <c r="T87" s="41" t="inlineStr">
        <is>
          <t>кг</t>
        </is>
      </c>
      <c r="U87" s="683" t="n">
        <v>0</v>
      </c>
      <c r="V87" s="68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5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85" t="n"/>
      <c r="M88" s="686" t="inlineStr">
        <is>
          <t>Итого</t>
        </is>
      </c>
      <c r="N88" s="656" t="n"/>
      <c r="O88" s="656" t="n"/>
      <c r="P88" s="656" t="n"/>
      <c r="Q88" s="656" t="n"/>
      <c r="R88" s="656" t="n"/>
      <c r="S88" s="657" t="n"/>
      <c r="T88" s="43" t="inlineStr">
        <is>
          <t>кор</t>
        </is>
      </c>
      <c r="U88" s="687">
        <f>IFERROR(U82/H82,"0")+IFERROR(U83/H83,"0")+IFERROR(U84/H84,"0")+IFERROR(U85/H85,"0")+IFERROR(U86/H86,"0")+IFERROR(U87/H87,"0")</f>
        <v/>
      </c>
      <c r="V88" s="687">
        <f>IFERROR(V82/H82,"0")+IFERROR(V83/H83,"0")+IFERROR(V84/H84,"0")+IFERROR(V85/H85,"0")+IFERROR(V86/H86,"0")+IFERROR(V87/H87,"0")</f>
        <v/>
      </c>
      <c r="W88" s="687">
        <f>IFERROR(IF(W82="",0,W82),"0")+IFERROR(IF(W83="",0,W83),"0")+IFERROR(IF(W84="",0,W84),"0")+IFERROR(IF(W85="",0,W85),"0")+IFERROR(IF(W86="",0,W86),"0")+IFERROR(IF(W87="",0,W87),"0")</f>
        <v/>
      </c>
      <c r="X88" s="688" t="n"/>
      <c r="Y88" s="688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85" t="n"/>
      <c r="M89" s="686" t="inlineStr">
        <is>
          <t>Итого</t>
        </is>
      </c>
      <c r="N89" s="656" t="n"/>
      <c r="O89" s="656" t="n"/>
      <c r="P89" s="656" t="n"/>
      <c r="Q89" s="656" t="n"/>
      <c r="R89" s="656" t="n"/>
      <c r="S89" s="657" t="n"/>
      <c r="T89" s="43" t="inlineStr">
        <is>
          <t>кг</t>
        </is>
      </c>
      <c r="U89" s="687">
        <f>IFERROR(SUM(U82:U87),"0")</f>
        <v/>
      </c>
      <c r="V89" s="687">
        <f>IFERROR(SUM(V82:V87),"0")</f>
        <v/>
      </c>
      <c r="W89" s="43" t="n"/>
      <c r="X89" s="688" t="n"/>
      <c r="Y89" s="688" t="n"/>
    </row>
    <row r="90" ht="14.25" customHeight="1">
      <c r="A90" s="33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30" t="n"/>
      <c r="Y90" s="330" t="n"/>
    </row>
    <row r="91" ht="27" customHeight="1">
      <c r="A91" s="64" t="inlineStr">
        <is>
          <t>SU002985</t>
        </is>
      </c>
      <c r="B91" s="64" t="inlineStr">
        <is>
          <t>P003439</t>
        </is>
      </c>
      <c r="C91" s="37" t="n">
        <v>4301031234</v>
      </c>
      <c r="D91" s="331" t="n">
        <v>4680115883444</v>
      </c>
      <c r="E91" s="648" t="n"/>
      <c r="F91" s="680" t="n">
        <v>0.35</v>
      </c>
      <c r="G91" s="38" t="n">
        <v>8</v>
      </c>
      <c r="H91" s="680" t="n">
        <v>2.8</v>
      </c>
      <c r="I91" s="680" t="n">
        <v>3.088</v>
      </c>
      <c r="J91" s="38" t="n">
        <v>156</v>
      </c>
      <c r="K91" s="39" t="inlineStr">
        <is>
          <t>АК</t>
        </is>
      </c>
      <c r="L91" s="38" t="n">
        <v>90</v>
      </c>
      <c r="M91" s="726" t="inlineStr">
        <is>
          <t>П/к колбасы «Аль-Ислами халяль» ф/в 0,35 фиброуз ТМ «Вязанка»</t>
        </is>
      </c>
      <c r="N91" s="682" t="n"/>
      <c r="O91" s="682" t="n"/>
      <c r="P91" s="682" t="n"/>
      <c r="Q91" s="648" t="n"/>
      <c r="R91" s="40" t="inlineStr"/>
      <c r="S91" s="40" t="inlineStr"/>
      <c r="T91" s="41" t="inlineStr">
        <is>
          <t>кг</t>
        </is>
      </c>
      <c r="U91" s="683" t="n">
        <v>0</v>
      </c>
      <c r="V91" s="684">
        <f>IFERROR(IF(U91="",0,CEILING((U91/$H91),1)*$H91),"")</f>
        <v/>
      </c>
      <c r="W91" s="42">
        <f>IFERROR(IF(V91=0,"",ROUNDUP(V91/H91,0)*0.00753),"")</f>
        <v/>
      </c>
      <c r="X91" s="69" t="inlineStr"/>
      <c r="Y91" s="70" t="inlineStr">
        <is>
          <t>Новинка</t>
        </is>
      </c>
      <c r="AC91" s="71" t="n"/>
      <c r="AZ91" s="111" t="inlineStr">
        <is>
          <t>КИ</t>
        </is>
      </c>
    </row>
    <row r="92" ht="27" customHeight="1">
      <c r="A92" s="64" t="inlineStr">
        <is>
          <t>SU002985</t>
        </is>
      </c>
      <c r="B92" s="64" t="inlineStr">
        <is>
          <t>P003442</t>
        </is>
      </c>
      <c r="C92" s="37" t="n">
        <v>4301031235</v>
      </c>
      <c r="D92" s="331" t="n">
        <v>4680115883444</v>
      </c>
      <c r="E92" s="648" t="n"/>
      <c r="F92" s="680" t="n">
        <v>0.35</v>
      </c>
      <c r="G92" s="38" t="n">
        <v>8</v>
      </c>
      <c r="H92" s="680" t="n">
        <v>2.8</v>
      </c>
      <c r="I92" s="680" t="n">
        <v>3.088</v>
      </c>
      <c r="J92" s="38" t="n">
        <v>156</v>
      </c>
      <c r="K92" s="39" t="inlineStr">
        <is>
          <t>АК</t>
        </is>
      </c>
      <c r="L92" s="38" t="n">
        <v>90</v>
      </c>
      <c r="M92" s="727" t="inlineStr">
        <is>
          <t>П/к колбасы «Аль-Ислами халяль» ф/в 0,35 фиброуз ТМ «Вязанка»</t>
        </is>
      </c>
      <c r="N92" s="682" t="n"/>
      <c r="O92" s="682" t="n"/>
      <c r="P92" s="682" t="n"/>
      <c r="Q92" s="648" t="n"/>
      <c r="R92" s="40" t="inlineStr"/>
      <c r="S92" s="40" t="inlineStr"/>
      <c r="T92" s="41" t="inlineStr">
        <is>
          <t>кг</t>
        </is>
      </c>
      <c r="U92" s="683" t="n">
        <v>0</v>
      </c>
      <c r="V92" s="684">
        <f>IFERROR(IF(U92="",0,CEILING((U92/$H92),1)*$H92),"")</f>
        <v/>
      </c>
      <c r="W92" s="42">
        <f>IFERROR(IF(V92=0,"",ROUNDUP(V92/H92,0)*0.00753),"")</f>
        <v/>
      </c>
      <c r="X92" s="69" t="inlineStr"/>
      <c r="Y92" s="70" t="inlineStr">
        <is>
          <t>Новинка</t>
        </is>
      </c>
      <c r="AC92" s="71" t="n"/>
      <c r="AZ92" s="112" t="inlineStr">
        <is>
          <t>КИ</t>
        </is>
      </c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31" t="n">
        <v>4607091387667</v>
      </c>
      <c r="E93" s="648" t="n"/>
      <c r="F93" s="680" t="n">
        <v>0.9</v>
      </c>
      <c r="G93" s="38" t="n">
        <v>10</v>
      </c>
      <c r="H93" s="680" t="n">
        <v>9</v>
      </c>
      <c r="I93" s="680" t="n">
        <v>9.630000000000001</v>
      </c>
      <c r="J93" s="38" t="n">
        <v>56</v>
      </c>
      <c r="K93" s="39" t="inlineStr">
        <is>
          <t>СК1</t>
        </is>
      </c>
      <c r="L93" s="38" t="n">
        <v>40</v>
      </c>
      <c r="M93" s="72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3" s="682" t="n"/>
      <c r="O93" s="682" t="n"/>
      <c r="P93" s="682" t="n"/>
      <c r="Q93" s="648" t="n"/>
      <c r="R93" s="40" t="inlineStr"/>
      <c r="S93" s="40" t="inlineStr"/>
      <c r="T93" s="41" t="inlineStr">
        <is>
          <t>кг</t>
        </is>
      </c>
      <c r="U93" s="683" t="n">
        <v>0</v>
      </c>
      <c r="V93" s="684">
        <f>IFERROR(IF(U93="",0,CEILING((U93/$H93),1)*$H93),"")</f>
        <v/>
      </c>
      <c r="W93" s="42">
        <f>IFERROR(IF(V93=0,"",ROUNDUP(V93/H93,0)*0.02175),"")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31" t="n">
        <v>4607091387636</v>
      </c>
      <c r="E94" s="648" t="n"/>
      <c r="F94" s="680" t="n">
        <v>0.7</v>
      </c>
      <c r="G94" s="38" t="n">
        <v>6</v>
      </c>
      <c r="H94" s="680" t="n">
        <v>4.2</v>
      </c>
      <c r="I94" s="680" t="n">
        <v>4.5</v>
      </c>
      <c r="J94" s="38" t="n">
        <v>120</v>
      </c>
      <c r="K94" s="39" t="inlineStr">
        <is>
          <t>СК2</t>
        </is>
      </c>
      <c r="L94" s="38" t="n">
        <v>40</v>
      </c>
      <c r="M94" s="72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4" s="682" t="n"/>
      <c r="O94" s="682" t="n"/>
      <c r="P94" s="682" t="n"/>
      <c r="Q94" s="648" t="n"/>
      <c r="R94" s="40" t="inlineStr"/>
      <c r="S94" s="40" t="inlineStr"/>
      <c r="T94" s="41" t="inlineStr">
        <is>
          <t>кг</t>
        </is>
      </c>
      <c r="U94" s="683" t="n">
        <v>0</v>
      </c>
      <c r="V94" s="684">
        <f>IFERROR(IF(U94="",0,CEILING((U94/$H94),1)*$H94),"")</f>
        <v/>
      </c>
      <c r="W94" s="42">
        <f>IFERROR(IF(V94=0,"",ROUNDUP(V94/H94,0)*0.00937),"")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31" t="n">
        <v>4607091384727</v>
      </c>
      <c r="E95" s="648" t="n"/>
      <c r="F95" s="680" t="n">
        <v>0.8</v>
      </c>
      <c r="G95" s="38" t="n">
        <v>6</v>
      </c>
      <c r="H95" s="680" t="n">
        <v>4.8</v>
      </c>
      <c r="I95" s="68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3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5" s="682" t="n"/>
      <c r="O95" s="682" t="n"/>
      <c r="P95" s="682" t="n"/>
      <c r="Q95" s="648" t="n"/>
      <c r="R95" s="40" t="inlineStr"/>
      <c r="S95" s="40" t="inlineStr"/>
      <c r="T95" s="41" t="inlineStr">
        <is>
          <t>кг</t>
        </is>
      </c>
      <c r="U95" s="683" t="n">
        <v>0</v>
      </c>
      <c r="V95" s="68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31" t="n">
        <v>4607091386745</v>
      </c>
      <c r="E96" s="648" t="n"/>
      <c r="F96" s="680" t="n">
        <v>0.8</v>
      </c>
      <c r="G96" s="38" t="n">
        <v>6</v>
      </c>
      <c r="H96" s="680" t="n">
        <v>4.8</v>
      </c>
      <c r="I96" s="680" t="n">
        <v>5.16</v>
      </c>
      <c r="J96" s="38" t="n">
        <v>104</v>
      </c>
      <c r="K96" s="39" t="inlineStr">
        <is>
          <t>СК2</t>
        </is>
      </c>
      <c r="L96" s="38" t="n">
        <v>45</v>
      </c>
      <c r="M96" s="73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6" s="682" t="n"/>
      <c r="O96" s="682" t="n"/>
      <c r="P96" s="682" t="n"/>
      <c r="Q96" s="648" t="n"/>
      <c r="R96" s="40" t="inlineStr"/>
      <c r="S96" s="40" t="inlineStr"/>
      <c r="T96" s="41" t="inlineStr">
        <is>
          <t>кг</t>
        </is>
      </c>
      <c r="U96" s="683" t="n">
        <v>0</v>
      </c>
      <c r="V96" s="684">
        <f>IFERROR(IF(U96="",0,CEILING((U96/$H96),1)*$H96),"")</f>
        <v/>
      </c>
      <c r="W96" s="42">
        <f>IFERROR(IF(V96=0,"",ROUNDUP(V96/H96,0)*0.01196),"")</f>
        <v/>
      </c>
      <c r="X96" s="69" t="inlineStr"/>
      <c r="Y96" s="70" t="inlineStr"/>
      <c r="AC96" s="71" t="n"/>
      <c r="AZ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31" t="n">
        <v>4607091382426</v>
      </c>
      <c r="E97" s="648" t="n"/>
      <c r="F97" s="680" t="n">
        <v>0.9</v>
      </c>
      <c r="G97" s="38" t="n">
        <v>10</v>
      </c>
      <c r="H97" s="680" t="n">
        <v>9</v>
      </c>
      <c r="I97" s="680" t="n">
        <v>9.630000000000001</v>
      </c>
      <c r="J97" s="38" t="n">
        <v>56</v>
      </c>
      <c r="K97" s="39" t="inlineStr">
        <is>
          <t>СК2</t>
        </is>
      </c>
      <c r="L97" s="38" t="n">
        <v>40</v>
      </c>
      <c r="M97" s="73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7" s="682" t="n"/>
      <c r="O97" s="682" t="n"/>
      <c r="P97" s="682" t="n"/>
      <c r="Q97" s="648" t="n"/>
      <c r="R97" s="40" t="inlineStr"/>
      <c r="S97" s="40" t="inlineStr"/>
      <c r="T97" s="41" t="inlineStr">
        <is>
          <t>кг</t>
        </is>
      </c>
      <c r="U97" s="683" t="n">
        <v>0</v>
      </c>
      <c r="V97" s="684">
        <f>IFERROR(IF(U97="",0,CEILING((U97/$H97),1)*$H97),"")</f>
        <v/>
      </c>
      <c r="W97" s="42">
        <f>IFERROR(IF(V97=0,"",ROUNDUP(V97/H97,0)*0.02175),"")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31" t="n">
        <v>4607091386547</v>
      </c>
      <c r="E98" s="648" t="n"/>
      <c r="F98" s="680" t="n">
        <v>0.35</v>
      </c>
      <c r="G98" s="38" t="n">
        <v>8</v>
      </c>
      <c r="H98" s="680" t="n">
        <v>2.8</v>
      </c>
      <c r="I98" s="680" t="n">
        <v>2.94</v>
      </c>
      <c r="J98" s="38" t="n">
        <v>234</v>
      </c>
      <c r="K98" s="39" t="inlineStr">
        <is>
          <t>СК2</t>
        </is>
      </c>
      <c r="L98" s="38" t="n">
        <v>40</v>
      </c>
      <c r="M98" s="73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8" s="682" t="n"/>
      <c r="O98" s="682" t="n"/>
      <c r="P98" s="682" t="n"/>
      <c r="Q98" s="648" t="n"/>
      <c r="R98" s="40" t="inlineStr"/>
      <c r="S98" s="40" t="inlineStr"/>
      <c r="T98" s="41" t="inlineStr">
        <is>
          <t>кг</t>
        </is>
      </c>
      <c r="U98" s="683" t="n">
        <v>0</v>
      </c>
      <c r="V98" s="68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SU002307</t>
        </is>
      </c>
      <c r="B99" s="64" t="inlineStr">
        <is>
          <t>P002571</t>
        </is>
      </c>
      <c r="C99" s="37" t="n">
        <v>4301031077</v>
      </c>
      <c r="D99" s="331" t="n">
        <v>4607091384703</v>
      </c>
      <c r="E99" s="648" t="n"/>
      <c r="F99" s="680" t="n">
        <v>0.35</v>
      </c>
      <c r="G99" s="38" t="n">
        <v>6</v>
      </c>
      <c r="H99" s="680" t="n">
        <v>2.1</v>
      </c>
      <c r="I99" s="68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34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9" s="682" t="n"/>
      <c r="O99" s="682" t="n"/>
      <c r="P99" s="682" t="n"/>
      <c r="Q99" s="648" t="n"/>
      <c r="R99" s="40" t="inlineStr"/>
      <c r="S99" s="40" t="inlineStr"/>
      <c r="T99" s="41" t="inlineStr">
        <is>
          <t>кг</t>
        </is>
      </c>
      <c r="U99" s="683" t="n">
        <v>0</v>
      </c>
      <c r="V99" s="68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1" t="n">
        <v>4607091384734</v>
      </c>
      <c r="E100" s="648" t="n"/>
      <c r="F100" s="680" t="n">
        <v>0.35</v>
      </c>
      <c r="G100" s="38" t="n">
        <v>6</v>
      </c>
      <c r="H100" s="680" t="n">
        <v>2.1</v>
      </c>
      <c r="I100" s="680" t="n">
        <v>2.2</v>
      </c>
      <c r="J100" s="38" t="n">
        <v>234</v>
      </c>
      <c r="K100" s="39" t="inlineStr">
        <is>
          <t>СК2</t>
        </is>
      </c>
      <c r="L100" s="38" t="n">
        <v>45</v>
      </c>
      <c r="M100" s="73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100" s="682" t="n"/>
      <c r="O100" s="682" t="n"/>
      <c r="P100" s="682" t="n"/>
      <c r="Q100" s="648" t="n"/>
      <c r="R100" s="40" t="inlineStr"/>
      <c r="S100" s="40" t="inlineStr"/>
      <c r="T100" s="41" t="inlineStr">
        <is>
          <t>кг</t>
        </is>
      </c>
      <c r="U100" s="683" t="n">
        <v>0</v>
      </c>
      <c r="V100" s="68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1" t="n">
        <v>4607091382464</v>
      </c>
      <c r="E101" s="648" t="n"/>
      <c r="F101" s="680" t="n">
        <v>0.35</v>
      </c>
      <c r="G101" s="38" t="n">
        <v>8</v>
      </c>
      <c r="H101" s="680" t="n">
        <v>2.8</v>
      </c>
      <c r="I101" s="680" t="n">
        <v>2.964</v>
      </c>
      <c r="J101" s="38" t="n">
        <v>234</v>
      </c>
      <c r="K101" s="39" t="inlineStr">
        <is>
          <t>СК2</t>
        </is>
      </c>
      <c r="L101" s="38" t="n">
        <v>40</v>
      </c>
      <c r="M101" s="73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1" s="682" t="n"/>
      <c r="O101" s="682" t="n"/>
      <c r="P101" s="682" t="n"/>
      <c r="Q101" s="648" t="n"/>
      <c r="R101" s="40" t="inlineStr"/>
      <c r="S101" s="40" t="inlineStr"/>
      <c r="T101" s="41" t="inlineStr">
        <is>
          <t>кг</t>
        </is>
      </c>
      <c r="U101" s="683" t="n">
        <v>0</v>
      </c>
      <c r="V101" s="684">
        <f>IFERROR(IF(U101="",0,CEILING((U101/$H101),1)*$H101),"")</f>
        <v/>
      </c>
      <c r="W101" s="42">
        <f>IFERROR(IF(V101=0,"",ROUNDUP(V101/H101,0)*0.00502),"")</f>
        <v/>
      </c>
      <c r="X101" s="69" t="inlineStr"/>
      <c r="Y101" s="70" t="inlineStr"/>
      <c r="AC101" s="71" t="n"/>
      <c r="AZ101" s="121" t="inlineStr">
        <is>
          <t>КИ</t>
        </is>
      </c>
    </row>
    <row r="102">
      <c r="A102" s="325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85" t="n"/>
      <c r="M102" s="686" t="inlineStr">
        <is>
          <t>Итого</t>
        </is>
      </c>
      <c r="N102" s="656" t="n"/>
      <c r="O102" s="656" t="n"/>
      <c r="P102" s="656" t="n"/>
      <c r="Q102" s="656" t="n"/>
      <c r="R102" s="656" t="n"/>
      <c r="S102" s="657" t="n"/>
      <c r="T102" s="43" t="inlineStr">
        <is>
          <t>кор</t>
        </is>
      </c>
      <c r="U102" s="687">
        <f>IFERROR(U91/H91,"0")+IFERROR(U92/H92,"0")+IFERROR(U93/H93,"0")+IFERROR(U94/H94,"0")+IFERROR(U95/H95,"0")+IFERROR(U96/H96,"0")+IFERROR(U97/H97,"0")+IFERROR(U98/H98,"0")+IFERROR(U99/H99,"0")+IFERROR(U100/H100,"0")+IFERROR(U101/H101,"0")</f>
        <v/>
      </c>
      <c r="V102" s="687">
        <f>IFERROR(V91/H91,"0")+IFERROR(V92/H92,"0")+IFERROR(V93/H93,"0")+IFERROR(V94/H94,"0")+IFERROR(V95/H95,"0")+IFERROR(V96/H96,"0")+IFERROR(V97/H97,"0")+IFERROR(V98/H98,"0")+IFERROR(V99/H99,"0")+IFERROR(V100/H100,"0")+IFERROR(V101/H101,"0")</f>
        <v/>
      </c>
      <c r="W102" s="68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/>
      </c>
      <c r="X102" s="688" t="n"/>
      <c r="Y102" s="688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685" t="n"/>
      <c r="M103" s="686" t="inlineStr">
        <is>
          <t>Итого</t>
        </is>
      </c>
      <c r="N103" s="656" t="n"/>
      <c r="O103" s="656" t="n"/>
      <c r="P103" s="656" t="n"/>
      <c r="Q103" s="656" t="n"/>
      <c r="R103" s="656" t="n"/>
      <c r="S103" s="657" t="n"/>
      <c r="T103" s="43" t="inlineStr">
        <is>
          <t>кг</t>
        </is>
      </c>
      <c r="U103" s="687">
        <f>IFERROR(SUM(U91:U101),"0")</f>
        <v/>
      </c>
      <c r="V103" s="687">
        <f>IFERROR(SUM(V91:V101),"0")</f>
        <v/>
      </c>
      <c r="W103" s="43" t="n"/>
      <c r="X103" s="688" t="n"/>
      <c r="Y103" s="688" t="n"/>
    </row>
    <row r="104" ht="14.25" customHeight="1">
      <c r="A104" s="330" t="inlineStr">
        <is>
          <t>Сосиски</t>
        </is>
      </c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330" t="n"/>
      <c r="Y104" s="330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1" t="n">
        <v>4607091386967</v>
      </c>
      <c r="E105" s="648" t="n"/>
      <c r="F105" s="680" t="n">
        <v>1.35</v>
      </c>
      <c r="G105" s="38" t="n">
        <v>6</v>
      </c>
      <c r="H105" s="680" t="n">
        <v>8.1</v>
      </c>
      <c r="I105" s="680" t="n">
        <v>8.664</v>
      </c>
      <c r="J105" s="38" t="n">
        <v>56</v>
      </c>
      <c r="K105" s="39" t="inlineStr">
        <is>
          <t>СК3</t>
        </is>
      </c>
      <c r="L105" s="38" t="n">
        <v>45</v>
      </c>
      <c r="M105" s="737" t="inlineStr">
        <is>
          <t>Сосиски Молокуши (Вязанка Молочные) Вязанка Весовые П/а мгс Вязанка</t>
        </is>
      </c>
      <c r="N105" s="682" t="n"/>
      <c r="O105" s="682" t="n"/>
      <c r="P105" s="682" t="n"/>
      <c r="Q105" s="648" t="n"/>
      <c r="R105" s="40" t="inlineStr"/>
      <c r="S105" s="40" t="inlineStr"/>
      <c r="T105" s="41" t="inlineStr">
        <is>
          <t>кг</t>
        </is>
      </c>
      <c r="U105" s="683" t="n">
        <v>0</v>
      </c>
      <c r="V105" s="68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1" t="n">
        <v>4607091386967</v>
      </c>
      <c r="E106" s="648" t="n"/>
      <c r="F106" s="680" t="n">
        <v>1.4</v>
      </c>
      <c r="G106" s="38" t="n">
        <v>6</v>
      </c>
      <c r="H106" s="680" t="n">
        <v>8.4</v>
      </c>
      <c r="I106" s="680" t="n">
        <v>8.964</v>
      </c>
      <c r="J106" s="38" t="n">
        <v>56</v>
      </c>
      <c r="K106" s="39" t="inlineStr">
        <is>
          <t>СК2</t>
        </is>
      </c>
      <c r="L106" s="38" t="n">
        <v>45</v>
      </c>
      <c r="M106" s="738" t="inlineStr">
        <is>
          <t>Сосиски «Молокуши (Вязанка Молочные)» Весовые П/а мгс УВВ ТМ «Вязанка»</t>
        </is>
      </c>
      <c r="N106" s="682" t="n"/>
      <c r="O106" s="682" t="n"/>
      <c r="P106" s="682" t="n"/>
      <c r="Q106" s="648" t="n"/>
      <c r="R106" s="40" t="inlineStr"/>
      <c r="S106" s="40" t="inlineStr"/>
      <c r="T106" s="41" t="inlineStr">
        <is>
          <t>кг</t>
        </is>
      </c>
      <c r="U106" s="683" t="n">
        <v>0</v>
      </c>
      <c r="V106" s="684">
        <f>IFERROR(IF(U106="",0,CEILING((U106/$H106),1)*$H106),"")</f>
        <v/>
      </c>
      <c r="W106" s="42">
        <f>IFERROR(IF(V106=0,"",ROUNDUP(V106/H106,0)*0.02175),"")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P003025</t>
        </is>
      </c>
      <c r="C107" s="37" t="n">
        <v>4301051311</v>
      </c>
      <c r="D107" s="331" t="n">
        <v>4607091385304</v>
      </c>
      <c r="E107" s="648" t="n"/>
      <c r="F107" s="680" t="n">
        <v>1.35</v>
      </c>
      <c r="G107" s="38" t="n">
        <v>6</v>
      </c>
      <c r="H107" s="680" t="n">
        <v>8.1</v>
      </c>
      <c r="I107" s="680" t="n">
        <v>8.664</v>
      </c>
      <c r="J107" s="38" t="n">
        <v>56</v>
      </c>
      <c r="K107" s="39" t="inlineStr">
        <is>
          <t>СК2</t>
        </is>
      </c>
      <c r="L107" s="38" t="n">
        <v>40</v>
      </c>
      <c r="M107" s="739">
        <f>HYPERLINK("https://abi.ru/products/Охлажденные/Вязанка/Вязанка/Сосиски/P003025/","Сосиски Рубленые Вязанка Весовые п/а мгс Вязанка")</f>
        <v/>
      </c>
      <c r="N107" s="682" t="n"/>
      <c r="O107" s="682" t="n"/>
      <c r="P107" s="682" t="n"/>
      <c r="Q107" s="648" t="n"/>
      <c r="R107" s="40" t="inlineStr"/>
      <c r="S107" s="40" t="inlineStr"/>
      <c r="T107" s="41" t="inlineStr">
        <is>
          <t>кг</t>
        </is>
      </c>
      <c r="U107" s="683" t="n">
        <v>0</v>
      </c>
      <c r="V107" s="684">
        <f>IFERROR(IF(U107="",0,CEILING((U107/$H107),1)*$H107),"")</f>
        <v/>
      </c>
      <c r="W107" s="42">
        <f>IFERROR(IF(V107=0,"",ROUNDUP(V107/H107,0)*0.02175),"")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1" t="n">
        <v>4607091386264</v>
      </c>
      <c r="E108" s="648" t="n"/>
      <c r="F108" s="680" t="n">
        <v>0.5</v>
      </c>
      <c r="G108" s="38" t="n">
        <v>6</v>
      </c>
      <c r="H108" s="680" t="n">
        <v>3</v>
      </c>
      <c r="I108" s="680" t="n">
        <v>3.278</v>
      </c>
      <c r="J108" s="38" t="n">
        <v>156</v>
      </c>
      <c r="K108" s="39" t="inlineStr">
        <is>
          <t>СК2</t>
        </is>
      </c>
      <c r="L108" s="38" t="n">
        <v>31</v>
      </c>
      <c r="M108" s="740">
        <f>HYPERLINK("https://abi.ru/products/Охлажденные/Вязанка/Вязанка/Сосиски/P002217/","Сосиски Венские Вязанка Фикс.вес 0,5 NDX мгс Вязанка")</f>
        <v/>
      </c>
      <c r="N108" s="682" t="n"/>
      <c r="O108" s="682" t="n"/>
      <c r="P108" s="682" t="n"/>
      <c r="Q108" s="648" t="n"/>
      <c r="R108" s="40" t="inlineStr"/>
      <c r="S108" s="40" t="inlineStr"/>
      <c r="T108" s="41" t="inlineStr">
        <is>
          <t>кг</t>
        </is>
      </c>
      <c r="U108" s="683" t="n">
        <v>0</v>
      </c>
      <c r="V108" s="684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16.5" customHeight="1">
      <c r="A109" s="64" t="inlineStr">
        <is>
          <t>SU002984</t>
        </is>
      </c>
      <c r="B109" s="64" t="inlineStr">
        <is>
          <t>P003438</t>
        </is>
      </c>
      <c r="C109" s="37" t="n">
        <v>4301051476</v>
      </c>
      <c r="D109" s="331" t="n">
        <v>4680115882584</v>
      </c>
      <c r="E109" s="648" t="n"/>
      <c r="F109" s="680" t="n">
        <v>0.33</v>
      </c>
      <c r="G109" s="38" t="n">
        <v>8</v>
      </c>
      <c r="H109" s="680" t="n">
        <v>2.64</v>
      </c>
      <c r="I109" s="680" t="n">
        <v>2.928</v>
      </c>
      <c r="J109" s="38" t="n">
        <v>156</v>
      </c>
      <c r="K109" s="39" t="inlineStr">
        <is>
          <t>АК</t>
        </is>
      </c>
      <c r="L109" s="38" t="n">
        <v>60</v>
      </c>
      <c r="M109" s="741" t="inlineStr">
        <is>
          <t>Сосиски Восточные халяль ТМ Вязанка полиамид в/у ф/в 0,33 кг Казахстан АК</t>
        </is>
      </c>
      <c r="N109" s="682" t="n"/>
      <c r="O109" s="682" t="n"/>
      <c r="P109" s="682" t="n"/>
      <c r="Q109" s="648" t="n"/>
      <c r="R109" s="40" t="inlineStr"/>
      <c r="S109" s="40" t="inlineStr"/>
      <c r="T109" s="41" t="inlineStr">
        <is>
          <t>кг</t>
        </is>
      </c>
      <c r="U109" s="683" t="n">
        <v>0</v>
      </c>
      <c r="V109" s="68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31" t="n">
        <v>4607091385731</v>
      </c>
      <c r="E110" s="648" t="n"/>
      <c r="F110" s="680" t="n">
        <v>0.45</v>
      </c>
      <c r="G110" s="38" t="n">
        <v>6</v>
      </c>
      <c r="H110" s="680" t="n">
        <v>2.7</v>
      </c>
      <c r="I110" s="680" t="n">
        <v>2.972</v>
      </c>
      <c r="J110" s="38" t="n">
        <v>156</v>
      </c>
      <c r="K110" s="39" t="inlineStr">
        <is>
          <t>СК3</t>
        </is>
      </c>
      <c r="L110" s="38" t="n">
        <v>45</v>
      </c>
      <c r="M110" s="742" t="inlineStr">
        <is>
          <t>Сосиски Молокуши (Вязанка Молочные) Вязанка Фикс.вес 0,45 П/а мгс Вязанка</t>
        </is>
      </c>
      <c r="N110" s="682" t="n"/>
      <c r="O110" s="682" t="n"/>
      <c r="P110" s="682" t="n"/>
      <c r="Q110" s="648" t="n"/>
      <c r="R110" s="40" t="inlineStr"/>
      <c r="S110" s="40" t="inlineStr"/>
      <c r="T110" s="41" t="inlineStr">
        <is>
          <t>кг</t>
        </is>
      </c>
      <c r="U110" s="683" t="n">
        <v>753.3000000000001</v>
      </c>
      <c r="V110" s="68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31" t="n">
        <v>4680115880214</v>
      </c>
      <c r="E111" s="648" t="n"/>
      <c r="F111" s="680" t="n">
        <v>0.45</v>
      </c>
      <c r="G111" s="38" t="n">
        <v>6</v>
      </c>
      <c r="H111" s="680" t="n">
        <v>2.7</v>
      </c>
      <c r="I111" s="680" t="n">
        <v>2.988</v>
      </c>
      <c r="J111" s="38" t="n">
        <v>120</v>
      </c>
      <c r="K111" s="39" t="inlineStr">
        <is>
          <t>СК3</t>
        </is>
      </c>
      <c r="L111" s="38" t="n">
        <v>45</v>
      </c>
      <c r="M111" s="743" t="inlineStr">
        <is>
          <t>Сосиски Молокуши миникушай Вязанка Ф/в 0,45 амилюкс мгс Вязанка</t>
        </is>
      </c>
      <c r="N111" s="682" t="n"/>
      <c r="O111" s="682" t="n"/>
      <c r="P111" s="682" t="n"/>
      <c r="Q111" s="648" t="n"/>
      <c r="R111" s="40" t="inlineStr"/>
      <c r="S111" s="40" t="inlineStr"/>
      <c r="T111" s="41" t="inlineStr">
        <is>
          <t>кг</t>
        </is>
      </c>
      <c r="U111" s="683" t="n">
        <v>0</v>
      </c>
      <c r="V111" s="684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31" t="n">
        <v>4680115880894</v>
      </c>
      <c r="E112" s="648" t="n"/>
      <c r="F112" s="680" t="n">
        <v>0.33</v>
      </c>
      <c r="G112" s="38" t="n">
        <v>6</v>
      </c>
      <c r="H112" s="680" t="n">
        <v>1.98</v>
      </c>
      <c r="I112" s="680" t="n">
        <v>2.258</v>
      </c>
      <c r="J112" s="38" t="n">
        <v>156</v>
      </c>
      <c r="K112" s="39" t="inlineStr">
        <is>
          <t>СК3</t>
        </is>
      </c>
      <c r="L112" s="38" t="n">
        <v>45</v>
      </c>
      <c r="M112" s="744" t="inlineStr">
        <is>
          <t>Сосиски Молокуши Миникушай Вязанка фикс.вес 0,33 п/а Вязанка</t>
        </is>
      </c>
      <c r="N112" s="682" t="n"/>
      <c r="O112" s="682" t="n"/>
      <c r="P112" s="682" t="n"/>
      <c r="Q112" s="648" t="n"/>
      <c r="R112" s="40" t="inlineStr"/>
      <c r="S112" s="40" t="inlineStr"/>
      <c r="T112" s="41" t="inlineStr">
        <is>
          <t>кг</t>
        </is>
      </c>
      <c r="U112" s="683" t="n">
        <v>0</v>
      </c>
      <c r="V112" s="684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31" t="n">
        <v>4607091385427</v>
      </c>
      <c r="E113" s="648" t="n"/>
      <c r="F113" s="680" t="n">
        <v>0.5</v>
      </c>
      <c r="G113" s="38" t="n">
        <v>6</v>
      </c>
      <c r="H113" s="680" t="n">
        <v>3</v>
      </c>
      <c r="I113" s="680" t="n">
        <v>3.272</v>
      </c>
      <c r="J113" s="38" t="n">
        <v>156</v>
      </c>
      <c r="K113" s="39" t="inlineStr">
        <is>
          <t>СК2</t>
        </is>
      </c>
      <c r="L113" s="38" t="n">
        <v>40</v>
      </c>
      <c r="M113" s="745">
        <f>HYPERLINK("https://abi.ru/products/Охлажденные/Вязанка/Вязанка/Сосиски/P003030/","Сосиски Рубленые Вязанка Фикс.вес 0,5 п/а мгс Вязанка")</f>
        <v/>
      </c>
      <c r="N113" s="682" t="n"/>
      <c r="O113" s="682" t="n"/>
      <c r="P113" s="682" t="n"/>
      <c r="Q113" s="648" t="n"/>
      <c r="R113" s="40" t="inlineStr"/>
      <c r="S113" s="40" t="inlineStr"/>
      <c r="T113" s="41" t="inlineStr">
        <is>
          <t>кг</t>
        </is>
      </c>
      <c r="U113" s="683" t="n">
        <v>0</v>
      </c>
      <c r="V113" s="684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31" t="n">
        <v>4680115882645</v>
      </c>
      <c r="E114" s="648" t="n"/>
      <c r="F114" s="680" t="n">
        <v>0.3</v>
      </c>
      <c r="G114" s="38" t="n">
        <v>6</v>
      </c>
      <c r="H114" s="680" t="n">
        <v>1.8</v>
      </c>
      <c r="I114" s="680" t="n">
        <v>2.66</v>
      </c>
      <c r="J114" s="38" t="n">
        <v>156</v>
      </c>
      <c r="K114" s="39" t="inlineStr">
        <is>
          <t>СК2</t>
        </is>
      </c>
      <c r="L114" s="38" t="n">
        <v>40</v>
      </c>
      <c r="M114" s="746" t="inlineStr">
        <is>
          <t>Сосиски «Сливушки с сыром» ф/в 0,3 п/а ТМ «Вязанка»</t>
        </is>
      </c>
      <c r="N114" s="682" t="n"/>
      <c r="O114" s="682" t="n"/>
      <c r="P114" s="682" t="n"/>
      <c r="Q114" s="648" t="n"/>
      <c r="R114" s="40" t="inlineStr"/>
      <c r="S114" s="40" t="inlineStr"/>
      <c r="T114" s="41" t="inlineStr">
        <is>
          <t>кг</t>
        </is>
      </c>
      <c r="U114" s="683" t="n">
        <v>0</v>
      </c>
      <c r="V114" s="684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5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85" t="n"/>
      <c r="M115" s="686" t="inlineStr">
        <is>
          <t>Итого</t>
        </is>
      </c>
      <c r="N115" s="656" t="n"/>
      <c r="O115" s="656" t="n"/>
      <c r="P115" s="656" t="n"/>
      <c r="Q115" s="656" t="n"/>
      <c r="R115" s="656" t="n"/>
      <c r="S115" s="657" t="n"/>
      <c r="T115" s="43" t="inlineStr">
        <is>
          <t>кор</t>
        </is>
      </c>
      <c r="U115" s="687">
        <f>IFERROR(U105/H105,"0")+IFERROR(U106/H106,"0")+IFERROR(U107/H107,"0")+IFERROR(U108/H108,"0")+IFERROR(U109/H109,"0")+IFERROR(U110/H110,"0")+IFERROR(U111/H111,"0")+IFERROR(U112/H112,"0")+IFERROR(U113/H113,"0")+IFERROR(U114/H114,"0")</f>
        <v/>
      </c>
      <c r="V115" s="687">
        <f>IFERROR(V105/H105,"0")+IFERROR(V106/H106,"0")+IFERROR(V107/H107,"0")+IFERROR(V108/H108,"0")+IFERROR(V109/H109,"0")+IFERROR(V110/H110,"0")+IFERROR(V111/H111,"0")+IFERROR(V112/H112,"0")+IFERROR(V113/H113,"0")+IFERROR(V114/H114,"0")</f>
        <v/>
      </c>
      <c r="W115" s="687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/>
      </c>
      <c r="X115" s="688" t="n"/>
      <c r="Y115" s="688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85" t="n"/>
      <c r="M116" s="686" t="inlineStr">
        <is>
          <t>Итого</t>
        </is>
      </c>
      <c r="N116" s="656" t="n"/>
      <c r="O116" s="656" t="n"/>
      <c r="P116" s="656" t="n"/>
      <c r="Q116" s="656" t="n"/>
      <c r="R116" s="656" t="n"/>
      <c r="S116" s="657" t="n"/>
      <c r="T116" s="43" t="inlineStr">
        <is>
          <t>кг</t>
        </is>
      </c>
      <c r="U116" s="687">
        <f>IFERROR(SUM(U105:U114),"0")</f>
        <v/>
      </c>
      <c r="V116" s="687">
        <f>IFERROR(SUM(V105:V114),"0")</f>
        <v/>
      </c>
      <c r="W116" s="43" t="n"/>
      <c r="X116" s="688" t="n"/>
      <c r="Y116" s="688" t="n"/>
    </row>
    <row r="117" ht="14.25" customHeight="1">
      <c r="A117" s="330" t="inlineStr">
        <is>
          <t>Сардельки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0" t="n"/>
      <c r="Y117" s="330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31" t="n">
        <v>4607091383065</v>
      </c>
      <c r="E118" s="648" t="n"/>
      <c r="F118" s="680" t="n">
        <v>0.83</v>
      </c>
      <c r="G118" s="38" t="n">
        <v>4</v>
      </c>
      <c r="H118" s="680" t="n">
        <v>3.32</v>
      </c>
      <c r="I118" s="680" t="n">
        <v>3.582</v>
      </c>
      <c r="J118" s="38" t="n">
        <v>120</v>
      </c>
      <c r="K118" s="39" t="inlineStr">
        <is>
          <t>СК2</t>
        </is>
      </c>
      <c r="L118" s="38" t="n">
        <v>30</v>
      </c>
      <c r="M118" s="74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8" s="682" t="n"/>
      <c r="O118" s="682" t="n"/>
      <c r="P118" s="682" t="n"/>
      <c r="Q118" s="648" t="n"/>
      <c r="R118" s="40" t="inlineStr"/>
      <c r="S118" s="40" t="inlineStr"/>
      <c r="T118" s="41" t="inlineStr">
        <is>
          <t>кг</t>
        </is>
      </c>
      <c r="U118" s="683" t="n">
        <v>0</v>
      </c>
      <c r="V118" s="684">
        <f>IFERROR(IF(U118="",0,CEILING((U118/$H118),1)*$H118),"")</f>
        <v/>
      </c>
      <c r="W118" s="42">
        <f>IFERROR(IF(V118=0,"",ROUNDUP(V118/H118,0)*0.00937),"")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P003237</t>
        </is>
      </c>
      <c r="C119" s="37" t="n">
        <v>4301060350</v>
      </c>
      <c r="D119" s="331" t="n">
        <v>4680115881532</v>
      </c>
      <c r="E119" s="648" t="n"/>
      <c r="F119" s="680" t="n">
        <v>1.35</v>
      </c>
      <c r="G119" s="38" t="n">
        <v>6</v>
      </c>
      <c r="H119" s="680" t="n">
        <v>8.1</v>
      </c>
      <c r="I119" s="680" t="n">
        <v>8.58</v>
      </c>
      <c r="J119" s="38" t="n">
        <v>56</v>
      </c>
      <c r="K119" s="39" t="inlineStr">
        <is>
          <t>СК3</t>
        </is>
      </c>
      <c r="L119" s="38" t="n">
        <v>30</v>
      </c>
      <c r="M119" s="748">
        <f>HYPERLINK("https://abi.ru/products/Охлажденные/Вязанка/Вязанка/Сардельки/P003237/","Сардельки «Филейские» Весовые NDX мгс ТМ «Вязанка»")</f>
        <v/>
      </c>
      <c r="N119" s="682" t="n"/>
      <c r="O119" s="682" t="n"/>
      <c r="P119" s="682" t="n"/>
      <c r="Q119" s="648" t="n"/>
      <c r="R119" s="40" t="inlineStr"/>
      <c r="S119" s="40" t="inlineStr"/>
      <c r="T119" s="41" t="inlineStr">
        <is>
          <t>кг</t>
        </is>
      </c>
      <c r="U119" s="683" t="n">
        <v>0</v>
      </c>
      <c r="V119" s="684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SU002997</t>
        </is>
      </c>
      <c r="B120" s="64" t="inlineStr">
        <is>
          <t>P003465</t>
        </is>
      </c>
      <c r="C120" s="37" t="n">
        <v>4301060356</v>
      </c>
      <c r="D120" s="331" t="n">
        <v>4680115882652</v>
      </c>
      <c r="E120" s="648" t="n"/>
      <c r="F120" s="680" t="n">
        <v>0.33</v>
      </c>
      <c r="G120" s="38" t="n">
        <v>6</v>
      </c>
      <c r="H120" s="680" t="n">
        <v>1.98</v>
      </c>
      <c r="I120" s="680" t="n">
        <v>2.84</v>
      </c>
      <c r="J120" s="38" t="n">
        <v>156</v>
      </c>
      <c r="K120" s="39" t="inlineStr">
        <is>
          <t>СК2</t>
        </is>
      </c>
      <c r="L120" s="38" t="n">
        <v>40</v>
      </c>
      <c r="M120" s="749" t="inlineStr">
        <is>
          <t>Сардельки «Сливушки с сыром #минидельки» ф/в 0,33 айпил ТМ «Вязанка»</t>
        </is>
      </c>
      <c r="N120" s="682" t="n"/>
      <c r="O120" s="682" t="n"/>
      <c r="P120" s="682" t="n"/>
      <c r="Q120" s="648" t="n"/>
      <c r="R120" s="40" t="inlineStr"/>
      <c r="S120" s="40" t="inlineStr"/>
      <c r="T120" s="41" t="inlineStr">
        <is>
          <t>кг</t>
        </is>
      </c>
      <c r="U120" s="683" t="n">
        <v>0</v>
      </c>
      <c r="V120" s="684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 ht="16.5" customHeight="1">
      <c r="A121" s="64" t="inlineStr">
        <is>
          <t>SU002367</t>
        </is>
      </c>
      <c r="B121" s="64" t="inlineStr">
        <is>
          <t>P002644</t>
        </is>
      </c>
      <c r="C121" s="37" t="n">
        <v>4301060309</v>
      </c>
      <c r="D121" s="331" t="n">
        <v>4680115880238</v>
      </c>
      <c r="E121" s="648" t="n"/>
      <c r="F121" s="680" t="n">
        <v>0.33</v>
      </c>
      <c r="G121" s="38" t="n">
        <v>6</v>
      </c>
      <c r="H121" s="680" t="n">
        <v>1.98</v>
      </c>
      <c r="I121" s="680" t="n">
        <v>2.258</v>
      </c>
      <c r="J121" s="38" t="n">
        <v>156</v>
      </c>
      <c r="K121" s="39" t="inlineStr">
        <is>
          <t>СК2</t>
        </is>
      </c>
      <c r="L121" s="38" t="n">
        <v>40</v>
      </c>
      <c r="M121" s="75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21" s="682" t="n"/>
      <c r="O121" s="682" t="n"/>
      <c r="P121" s="682" t="n"/>
      <c r="Q121" s="648" t="n"/>
      <c r="R121" s="40" t="inlineStr"/>
      <c r="S121" s="40" t="inlineStr"/>
      <c r="T121" s="41" t="inlineStr">
        <is>
          <t>кг</t>
        </is>
      </c>
      <c r="U121" s="683" t="n">
        <v>0</v>
      </c>
      <c r="V121" s="684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5" t="inlineStr">
        <is>
          <t>КИ</t>
        </is>
      </c>
    </row>
    <row r="122" ht="27" customHeight="1">
      <c r="A122" s="64" t="inlineStr">
        <is>
          <t>SU002834</t>
        </is>
      </c>
      <c r="B122" s="64" t="inlineStr">
        <is>
          <t>P003238</t>
        </is>
      </c>
      <c r="C122" s="37" t="n">
        <v>4301060351</v>
      </c>
      <c r="D122" s="331" t="n">
        <v>4680115881464</v>
      </c>
      <c r="E122" s="648" t="n"/>
      <c r="F122" s="680" t="n">
        <v>0.4</v>
      </c>
      <c r="G122" s="38" t="n">
        <v>6</v>
      </c>
      <c r="H122" s="680" t="n">
        <v>2.4</v>
      </c>
      <c r="I122" s="680" t="n">
        <v>2.6</v>
      </c>
      <c r="J122" s="38" t="n">
        <v>156</v>
      </c>
      <c r="K122" s="39" t="inlineStr">
        <is>
          <t>СК3</t>
        </is>
      </c>
      <c r="L122" s="38" t="n">
        <v>30</v>
      </c>
      <c r="M122" s="751" t="inlineStr">
        <is>
          <t>Сардельки «Филейские» Фикс.вес 0,4 NDX мгс ТМ «Вязанка»</t>
        </is>
      </c>
      <c r="N122" s="682" t="n"/>
      <c r="O122" s="682" t="n"/>
      <c r="P122" s="682" t="n"/>
      <c r="Q122" s="648" t="n"/>
      <c r="R122" s="40" t="inlineStr"/>
      <c r="S122" s="40" t="inlineStr"/>
      <c r="T122" s="41" t="inlineStr">
        <is>
          <t>кг</t>
        </is>
      </c>
      <c r="U122" s="683" t="n">
        <v>0</v>
      </c>
      <c r="V122" s="684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6" t="inlineStr">
        <is>
          <t>КИ</t>
        </is>
      </c>
    </row>
    <row r="123">
      <c r="A123" s="325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85" t="n"/>
      <c r="M123" s="686" t="inlineStr">
        <is>
          <t>Итого</t>
        </is>
      </c>
      <c r="N123" s="656" t="n"/>
      <c r="O123" s="656" t="n"/>
      <c r="P123" s="656" t="n"/>
      <c r="Q123" s="656" t="n"/>
      <c r="R123" s="656" t="n"/>
      <c r="S123" s="657" t="n"/>
      <c r="T123" s="43" t="inlineStr">
        <is>
          <t>кор</t>
        </is>
      </c>
      <c r="U123" s="687">
        <f>IFERROR(U118/H118,"0")+IFERROR(U119/H119,"0")+IFERROR(U120/H120,"0")+IFERROR(U121/H121,"0")+IFERROR(U122/H122,"0")</f>
        <v/>
      </c>
      <c r="V123" s="687">
        <f>IFERROR(V118/H118,"0")+IFERROR(V119/H119,"0")+IFERROR(V120/H120,"0")+IFERROR(V121/H121,"0")+IFERROR(V122/H122,"0")</f>
        <v/>
      </c>
      <c r="W123" s="687">
        <f>IFERROR(IF(W118="",0,W118),"0")+IFERROR(IF(W119="",0,W119),"0")+IFERROR(IF(W120="",0,W120),"0")+IFERROR(IF(W121="",0,W121),"0")+IFERROR(IF(W122="",0,W122),"0")</f>
        <v/>
      </c>
      <c r="X123" s="688" t="n"/>
      <c r="Y123" s="688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85" t="n"/>
      <c r="M124" s="686" t="inlineStr">
        <is>
          <t>Итого</t>
        </is>
      </c>
      <c r="N124" s="656" t="n"/>
      <c r="O124" s="656" t="n"/>
      <c r="P124" s="656" t="n"/>
      <c r="Q124" s="656" t="n"/>
      <c r="R124" s="656" t="n"/>
      <c r="S124" s="657" t="n"/>
      <c r="T124" s="43" t="inlineStr">
        <is>
          <t>кг</t>
        </is>
      </c>
      <c r="U124" s="687">
        <f>IFERROR(SUM(U118:U122),"0")</f>
        <v/>
      </c>
      <c r="V124" s="687">
        <f>IFERROR(SUM(V118:V122),"0")</f>
        <v/>
      </c>
      <c r="W124" s="43" t="n"/>
      <c r="X124" s="688" t="n"/>
      <c r="Y124" s="688" t="n"/>
    </row>
    <row r="125" ht="16.5" customHeight="1">
      <c r="A125" s="338" t="inlineStr">
        <is>
          <t>Сливушки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8" t="n"/>
      <c r="Y125" s="338" t="n"/>
    </row>
    <row r="126" ht="14.25" customHeight="1">
      <c r="A126" s="330" t="inlineStr">
        <is>
          <t>Сосиски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0" t="n"/>
      <c r="Y126" s="330" t="n"/>
    </row>
    <row r="127" ht="27" customHeight="1">
      <c r="A127" s="64" t="inlineStr">
        <is>
          <t>SU001721</t>
        </is>
      </c>
      <c r="B127" s="64" t="inlineStr">
        <is>
          <t>P003161</t>
        </is>
      </c>
      <c r="C127" s="37" t="n">
        <v>4301051360</v>
      </c>
      <c r="D127" s="331" t="n">
        <v>4607091385168</v>
      </c>
      <c r="E127" s="648" t="n"/>
      <c r="F127" s="680" t="n">
        <v>1.35</v>
      </c>
      <c r="G127" s="38" t="n">
        <v>6</v>
      </c>
      <c r="H127" s="680" t="n">
        <v>8.1</v>
      </c>
      <c r="I127" s="680" t="n">
        <v>8.657999999999999</v>
      </c>
      <c r="J127" s="38" t="n">
        <v>56</v>
      </c>
      <c r="K127" s="39" t="inlineStr">
        <is>
          <t>СК3</t>
        </is>
      </c>
      <c r="L127" s="38" t="n">
        <v>45</v>
      </c>
      <c r="M127" s="75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7" s="682" t="n"/>
      <c r="O127" s="682" t="n"/>
      <c r="P127" s="682" t="n"/>
      <c r="Q127" s="648" t="n"/>
      <c r="R127" s="40" t="inlineStr"/>
      <c r="S127" s="40" t="inlineStr"/>
      <c r="T127" s="41" t="inlineStr">
        <is>
          <t>кг</t>
        </is>
      </c>
      <c r="U127" s="683" t="n">
        <v>0</v>
      </c>
      <c r="V127" s="684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SU002139</t>
        </is>
      </c>
      <c r="B128" s="64" t="inlineStr">
        <is>
          <t>P003162</t>
        </is>
      </c>
      <c r="C128" s="37" t="n">
        <v>4301051362</v>
      </c>
      <c r="D128" s="331" t="n">
        <v>4607091383256</v>
      </c>
      <c r="E128" s="648" t="n"/>
      <c r="F128" s="680" t="n">
        <v>0.33</v>
      </c>
      <c r="G128" s="38" t="n">
        <v>6</v>
      </c>
      <c r="H128" s="680" t="n">
        <v>1.98</v>
      </c>
      <c r="I128" s="680" t="n">
        <v>2.246</v>
      </c>
      <c r="J128" s="38" t="n">
        <v>156</v>
      </c>
      <c r="K128" s="39" t="inlineStr">
        <is>
          <t>СК3</t>
        </is>
      </c>
      <c r="L128" s="38" t="n">
        <v>45</v>
      </c>
      <c r="M128" s="753">
        <f>HYPERLINK("https://abi.ru/products/Охлажденные/Вязанка/Сливушки/Сосиски/P003162/","Сосиски Сливочные Сливушки Фикс.вес 0,33 П/а мгс Вязанка")</f>
        <v/>
      </c>
      <c r="N128" s="682" t="n"/>
      <c r="O128" s="682" t="n"/>
      <c r="P128" s="682" t="n"/>
      <c r="Q128" s="648" t="n"/>
      <c r="R128" s="40" t="inlineStr"/>
      <c r="S128" s="40" t="inlineStr"/>
      <c r="T128" s="41" t="inlineStr">
        <is>
          <t>кг</t>
        </is>
      </c>
      <c r="U128" s="683" t="n">
        <v>0</v>
      </c>
      <c r="V128" s="684">
        <f>IFERROR(IF(U128="",0,CEILING((U128/$H128),1)*$H128),"")</f>
        <v/>
      </c>
      <c r="W128" s="42">
        <f>IFERROR(IF(V128=0,"",ROUNDUP(V128/H128,0)*0.00753),"")</f>
        <v/>
      </c>
      <c r="X128" s="69" t="inlineStr"/>
      <c r="Y128" s="70" t="inlineStr"/>
      <c r="AC128" s="71" t="n"/>
      <c r="AZ128" s="138" t="inlineStr">
        <is>
          <t>КИ</t>
        </is>
      </c>
    </row>
    <row r="129" ht="16.5" customHeight="1">
      <c r="A129" s="64" t="inlineStr">
        <is>
          <t>SU001720</t>
        </is>
      </c>
      <c r="B129" s="64" t="inlineStr">
        <is>
          <t>P003160</t>
        </is>
      </c>
      <c r="C129" s="37" t="n">
        <v>4301051358</v>
      </c>
      <c r="D129" s="331" t="n">
        <v>4607091385748</v>
      </c>
      <c r="E129" s="648" t="n"/>
      <c r="F129" s="680" t="n">
        <v>0.45</v>
      </c>
      <c r="G129" s="38" t="n">
        <v>6</v>
      </c>
      <c r="H129" s="680" t="n">
        <v>2.7</v>
      </c>
      <c r="I129" s="680" t="n">
        <v>2.972</v>
      </c>
      <c r="J129" s="38" t="n">
        <v>156</v>
      </c>
      <c r="K129" s="39" t="inlineStr">
        <is>
          <t>СК3</t>
        </is>
      </c>
      <c r="L129" s="38" t="n">
        <v>45</v>
      </c>
      <c r="M129" s="754">
        <f>HYPERLINK("https://abi.ru/products/Охлажденные/Вязанка/Сливушки/Сосиски/P003160/","Сосиски Сливочные Сливушки Фикс.вес 0,45 П/а мгс Вязанка")</f>
        <v/>
      </c>
      <c r="N129" s="682" t="n"/>
      <c r="O129" s="682" t="n"/>
      <c r="P129" s="682" t="n"/>
      <c r="Q129" s="648" t="n"/>
      <c r="R129" s="40" t="inlineStr"/>
      <c r="S129" s="40" t="inlineStr"/>
      <c r="T129" s="41" t="inlineStr">
        <is>
          <t>кг</t>
        </is>
      </c>
      <c r="U129" s="683" t="n">
        <v>0</v>
      </c>
      <c r="V129" s="684">
        <f>IFERROR(IF(U129="",0,CEILING((U129/$H129),1)*$H129),"")</f>
        <v/>
      </c>
      <c r="W129" s="42">
        <f>IFERROR(IF(V129=0,"",ROUNDUP(V129/H129,0)*0.00753),"")</f>
        <v/>
      </c>
      <c r="X129" s="69" t="inlineStr"/>
      <c r="Y129" s="70" t="inlineStr"/>
      <c r="AC129" s="71" t="n"/>
      <c r="AZ129" s="139" t="inlineStr">
        <is>
          <t>КИ</t>
        </is>
      </c>
    </row>
    <row r="130" ht="16.5" customHeight="1">
      <c r="A130" s="64" t="inlineStr">
        <is>
          <t>SU002438</t>
        </is>
      </c>
      <c r="B130" s="64" t="inlineStr">
        <is>
          <t>P003163</t>
        </is>
      </c>
      <c r="C130" s="37" t="n">
        <v>4301051364</v>
      </c>
      <c r="D130" s="331" t="n">
        <v>4607091384581</v>
      </c>
      <c r="E130" s="648" t="n"/>
      <c r="F130" s="680" t="n">
        <v>0.67</v>
      </c>
      <c r="G130" s="38" t="n">
        <v>4</v>
      </c>
      <c r="H130" s="680" t="n">
        <v>2.68</v>
      </c>
      <c r="I130" s="680" t="n">
        <v>2.942</v>
      </c>
      <c r="J130" s="38" t="n">
        <v>120</v>
      </c>
      <c r="K130" s="39" t="inlineStr">
        <is>
          <t>СК3</t>
        </is>
      </c>
      <c r="L130" s="38" t="n">
        <v>45</v>
      </c>
      <c r="M130" s="755">
        <f>HYPERLINK("https://abi.ru/products/Охлажденные/Вязанка/Сливушки/Сосиски/P003163/","Сосиски Сливочные Сливушки Фикс.вес 0,67 П/а мгс Вязанка")</f>
        <v/>
      </c>
      <c r="N130" s="682" t="n"/>
      <c r="O130" s="682" t="n"/>
      <c r="P130" s="682" t="n"/>
      <c r="Q130" s="648" t="n"/>
      <c r="R130" s="40" t="inlineStr"/>
      <c r="S130" s="40" t="inlineStr"/>
      <c r="T130" s="41" t="inlineStr">
        <is>
          <t>кг</t>
        </is>
      </c>
      <c r="U130" s="683" t="n">
        <v>0</v>
      </c>
      <c r="V130" s="684">
        <f>IFERROR(IF(U130="",0,CEILING((U130/$H130),1)*$H130),"")</f>
        <v/>
      </c>
      <c r="W130" s="42">
        <f>IFERROR(IF(V130=0,"",ROUNDUP(V130/H130,0)*0.00937),"")</f>
        <v/>
      </c>
      <c r="X130" s="69" t="inlineStr"/>
      <c r="Y130" s="70" t="inlineStr"/>
      <c r="AC130" s="71" t="n"/>
      <c r="AZ130" s="140" t="inlineStr">
        <is>
          <t>КИ</t>
        </is>
      </c>
    </row>
    <row r="131">
      <c r="A131" s="325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85" t="n"/>
      <c r="M131" s="686" t="inlineStr">
        <is>
          <t>Итого</t>
        </is>
      </c>
      <c r="N131" s="656" t="n"/>
      <c r="O131" s="656" t="n"/>
      <c r="P131" s="656" t="n"/>
      <c r="Q131" s="656" t="n"/>
      <c r="R131" s="656" t="n"/>
      <c r="S131" s="657" t="n"/>
      <c r="T131" s="43" t="inlineStr">
        <is>
          <t>кор</t>
        </is>
      </c>
      <c r="U131" s="687">
        <f>IFERROR(U127/H127,"0")+IFERROR(U128/H128,"0")+IFERROR(U129/H129,"0")+IFERROR(U130/H130,"0")</f>
        <v/>
      </c>
      <c r="V131" s="687">
        <f>IFERROR(V127/H127,"0")+IFERROR(V128/H128,"0")+IFERROR(V129/H129,"0")+IFERROR(V130/H130,"0")</f>
        <v/>
      </c>
      <c r="W131" s="687">
        <f>IFERROR(IF(W127="",0,W127),"0")+IFERROR(IF(W128="",0,W128),"0")+IFERROR(IF(W129="",0,W129),"0")+IFERROR(IF(W130="",0,W130),"0")</f>
        <v/>
      </c>
      <c r="X131" s="688" t="n"/>
      <c r="Y131" s="688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85" t="n"/>
      <c r="M132" s="686" t="inlineStr">
        <is>
          <t>Итого</t>
        </is>
      </c>
      <c r="N132" s="656" t="n"/>
      <c r="O132" s="656" t="n"/>
      <c r="P132" s="656" t="n"/>
      <c r="Q132" s="656" t="n"/>
      <c r="R132" s="656" t="n"/>
      <c r="S132" s="657" t="n"/>
      <c r="T132" s="43" t="inlineStr">
        <is>
          <t>кг</t>
        </is>
      </c>
      <c r="U132" s="687">
        <f>IFERROR(SUM(U127:U130),"0")</f>
        <v/>
      </c>
      <c r="V132" s="687">
        <f>IFERROR(SUM(V127:V130),"0")</f>
        <v/>
      </c>
      <c r="W132" s="43" t="n"/>
      <c r="X132" s="688" t="n"/>
      <c r="Y132" s="688" t="n"/>
    </row>
    <row r="133" ht="27.75" customHeight="1">
      <c r="A133" s="344" t="inlineStr">
        <is>
          <t>Стародворье</t>
        </is>
      </c>
      <c r="B133" s="679" t="n"/>
      <c r="C133" s="679" t="n"/>
      <c r="D133" s="679" t="n"/>
      <c r="E133" s="679" t="n"/>
      <c r="F133" s="679" t="n"/>
      <c r="G133" s="679" t="n"/>
      <c r="H133" s="679" t="n"/>
      <c r="I133" s="679" t="n"/>
      <c r="J133" s="679" t="n"/>
      <c r="K133" s="679" t="n"/>
      <c r="L133" s="679" t="n"/>
      <c r="M133" s="679" t="n"/>
      <c r="N133" s="679" t="n"/>
      <c r="O133" s="679" t="n"/>
      <c r="P133" s="679" t="n"/>
      <c r="Q133" s="679" t="n"/>
      <c r="R133" s="679" t="n"/>
      <c r="S133" s="679" t="n"/>
      <c r="T133" s="679" t="n"/>
      <c r="U133" s="679" t="n"/>
      <c r="V133" s="679" t="n"/>
      <c r="W133" s="679" t="n"/>
      <c r="X133" s="55" t="n"/>
      <c r="Y133" s="55" t="n"/>
    </row>
    <row r="134" ht="16.5" customHeight="1">
      <c r="A134" s="338" t="inlineStr">
        <is>
          <t>Золоченная в печи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8" t="n"/>
      <c r="Y134" s="338" t="n"/>
    </row>
    <row r="135" ht="14.25" customHeight="1">
      <c r="A135" s="330" t="inlineStr">
        <is>
          <t>Вареные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0" t="n"/>
      <c r="Y135" s="330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31" t="n">
        <v>4607091383423</v>
      </c>
      <c r="E136" s="648" t="n"/>
      <c r="F136" s="680" t="n">
        <v>1.35</v>
      </c>
      <c r="G136" s="38" t="n">
        <v>8</v>
      </c>
      <c r="H136" s="680" t="n">
        <v>10.8</v>
      </c>
      <c r="I136" s="680" t="n">
        <v>11.376</v>
      </c>
      <c r="J136" s="38" t="n">
        <v>56</v>
      </c>
      <c r="K136" s="39" t="inlineStr">
        <is>
          <t>СК3</t>
        </is>
      </c>
      <c r="L136" s="38" t="n">
        <v>35</v>
      </c>
      <c r="M136" s="756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6" s="682" t="n"/>
      <c r="O136" s="682" t="n"/>
      <c r="P136" s="682" t="n"/>
      <c r="Q136" s="648" t="n"/>
      <c r="R136" s="40" t="inlineStr"/>
      <c r="S136" s="40" t="inlineStr"/>
      <c r="T136" s="41" t="inlineStr">
        <is>
          <t>кг</t>
        </is>
      </c>
      <c r="U136" s="683" t="n">
        <v>0</v>
      </c>
      <c r="V136" s="684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31" t="n">
        <v>4607091381405</v>
      </c>
      <c r="E137" s="648" t="n"/>
      <c r="F137" s="680" t="n">
        <v>1.35</v>
      </c>
      <c r="G137" s="38" t="n">
        <v>8</v>
      </c>
      <c r="H137" s="680" t="n">
        <v>10.8</v>
      </c>
      <c r="I137" s="680" t="n">
        <v>11.376</v>
      </c>
      <c r="J137" s="38" t="n">
        <v>56</v>
      </c>
      <c r="K137" s="39" t="inlineStr">
        <is>
          <t>СК2</t>
        </is>
      </c>
      <c r="L137" s="38" t="n">
        <v>35</v>
      </c>
      <c r="M137" s="75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7" s="682" t="n"/>
      <c r="O137" s="682" t="n"/>
      <c r="P137" s="682" t="n"/>
      <c r="Q137" s="648" t="n"/>
      <c r="R137" s="40" t="inlineStr"/>
      <c r="S137" s="40" t="inlineStr"/>
      <c r="T137" s="41" t="inlineStr">
        <is>
          <t>кг</t>
        </is>
      </c>
      <c r="U137" s="683" t="n">
        <v>0</v>
      </c>
      <c r="V137" s="684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/>
      <c r="AC137" s="71" t="n"/>
      <c r="AZ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31" t="n">
        <v>4607091386516</v>
      </c>
      <c r="E138" s="648" t="n"/>
      <c r="F138" s="680" t="n">
        <v>1.4</v>
      </c>
      <c r="G138" s="38" t="n">
        <v>8</v>
      </c>
      <c r="H138" s="680" t="n">
        <v>11.2</v>
      </c>
      <c r="I138" s="680" t="n">
        <v>11.776</v>
      </c>
      <c r="J138" s="38" t="n">
        <v>56</v>
      </c>
      <c r="K138" s="39" t="inlineStr">
        <is>
          <t>СК2</t>
        </is>
      </c>
      <c r="L138" s="38" t="n">
        <v>30</v>
      </c>
      <c r="M138" s="758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8" s="682" t="n"/>
      <c r="O138" s="682" t="n"/>
      <c r="P138" s="682" t="n"/>
      <c r="Q138" s="648" t="n"/>
      <c r="R138" s="40" t="inlineStr"/>
      <c r="S138" s="40" t="inlineStr"/>
      <c r="T138" s="41" t="inlineStr">
        <is>
          <t>кг</t>
        </is>
      </c>
      <c r="U138" s="683" t="n">
        <v>0</v>
      </c>
      <c r="V138" s="684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71" t="n"/>
      <c r="AZ138" s="143" t="inlineStr">
        <is>
          <t>КИ</t>
        </is>
      </c>
    </row>
    <row r="139">
      <c r="A139" s="32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685" t="n"/>
      <c r="M139" s="686" t="inlineStr">
        <is>
          <t>Итого</t>
        </is>
      </c>
      <c r="N139" s="656" t="n"/>
      <c r="O139" s="656" t="n"/>
      <c r="P139" s="656" t="n"/>
      <c r="Q139" s="656" t="n"/>
      <c r="R139" s="656" t="n"/>
      <c r="S139" s="657" t="n"/>
      <c r="T139" s="43" t="inlineStr">
        <is>
          <t>кор</t>
        </is>
      </c>
      <c r="U139" s="687">
        <f>IFERROR(U136/H136,"0")+IFERROR(U137/H137,"0")+IFERROR(U138/H138,"0")</f>
        <v/>
      </c>
      <c r="V139" s="687">
        <f>IFERROR(V136/H136,"0")+IFERROR(V137/H137,"0")+IFERROR(V138/H138,"0")</f>
        <v/>
      </c>
      <c r="W139" s="687">
        <f>IFERROR(IF(W136="",0,W136),"0")+IFERROR(IF(W137="",0,W137),"0")+IFERROR(IF(W138="",0,W138),"0")</f>
        <v/>
      </c>
      <c r="X139" s="688" t="n"/>
      <c r="Y139" s="688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685" t="n"/>
      <c r="M140" s="686" t="inlineStr">
        <is>
          <t>Итого</t>
        </is>
      </c>
      <c r="N140" s="656" t="n"/>
      <c r="O140" s="656" t="n"/>
      <c r="P140" s="656" t="n"/>
      <c r="Q140" s="656" t="n"/>
      <c r="R140" s="656" t="n"/>
      <c r="S140" s="657" t="n"/>
      <c r="T140" s="43" t="inlineStr">
        <is>
          <t>кг</t>
        </is>
      </c>
      <c r="U140" s="687">
        <f>IFERROR(SUM(U136:U138),"0")</f>
        <v/>
      </c>
      <c r="V140" s="687">
        <f>IFERROR(SUM(V136:V138),"0")</f>
        <v/>
      </c>
      <c r="W140" s="43" t="n"/>
      <c r="X140" s="688" t="n"/>
      <c r="Y140" s="688" t="n"/>
    </row>
    <row r="141" ht="16.5" customHeight="1">
      <c r="A141" s="338" t="inlineStr">
        <is>
          <t>Мясорубская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338" t="n"/>
      <c r="Y141" s="338" t="n"/>
    </row>
    <row r="142" ht="14.25" customHeight="1">
      <c r="A142" s="330" t="inlineStr">
        <is>
          <t>Копченые колбасы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330" t="n"/>
      <c r="Y142" s="330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31" t="n">
        <v>4680115880993</v>
      </c>
      <c r="E143" s="648" t="n"/>
      <c r="F143" s="680" t="n">
        <v>0.7</v>
      </c>
      <c r="G143" s="38" t="n">
        <v>6</v>
      </c>
      <c r="H143" s="680" t="n">
        <v>4.2</v>
      </c>
      <c r="I143" s="680" t="n">
        <v>4.46</v>
      </c>
      <c r="J143" s="38" t="n">
        <v>156</v>
      </c>
      <c r="K143" s="39" t="inlineStr">
        <is>
          <t>СК2</t>
        </is>
      </c>
      <c r="L143" s="38" t="n">
        <v>40</v>
      </c>
      <c r="M143" s="759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3" s="682" t="n"/>
      <c r="O143" s="682" t="n"/>
      <c r="P143" s="682" t="n"/>
      <c r="Q143" s="648" t="n"/>
      <c r="R143" s="40" t="inlineStr"/>
      <c r="S143" s="40" t="inlineStr"/>
      <c r="T143" s="41" t="inlineStr">
        <is>
          <t>кг</t>
        </is>
      </c>
      <c r="U143" s="683" t="n">
        <v>0</v>
      </c>
      <c r="V143" s="684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31" t="n">
        <v>4680115881761</v>
      </c>
      <c r="E144" s="648" t="n"/>
      <c r="F144" s="680" t="n">
        <v>0.7</v>
      </c>
      <c r="G144" s="38" t="n">
        <v>6</v>
      </c>
      <c r="H144" s="680" t="n">
        <v>4.2</v>
      </c>
      <c r="I144" s="680" t="n">
        <v>4.46</v>
      </c>
      <c r="J144" s="38" t="n">
        <v>156</v>
      </c>
      <c r="K144" s="39" t="inlineStr">
        <is>
          <t>СК2</t>
        </is>
      </c>
      <c r="L144" s="38" t="n">
        <v>40</v>
      </c>
      <c r="M144" s="760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4" s="682" t="n"/>
      <c r="O144" s="682" t="n"/>
      <c r="P144" s="682" t="n"/>
      <c r="Q144" s="648" t="n"/>
      <c r="R144" s="40" t="inlineStr"/>
      <c r="S144" s="40" t="inlineStr"/>
      <c r="T144" s="41" t="inlineStr">
        <is>
          <t>кг</t>
        </is>
      </c>
      <c r="U144" s="683" t="n">
        <v>0</v>
      </c>
      <c r="V144" s="684">
        <f>IFERROR(IF(U144="",0,CEILING((U144/$H144),1)*$H144),"")</f>
        <v/>
      </c>
      <c r="W144" s="42">
        <f>IFERROR(IF(V144=0,"",ROUNDUP(V144/H144,0)*0.00753),"")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31" t="n">
        <v>4680115881563</v>
      </c>
      <c r="E145" s="648" t="n"/>
      <c r="F145" s="680" t="n">
        <v>0.7</v>
      </c>
      <c r="G145" s="38" t="n">
        <v>6</v>
      </c>
      <c r="H145" s="680" t="n">
        <v>4.2</v>
      </c>
      <c r="I145" s="680" t="n">
        <v>4.4</v>
      </c>
      <c r="J145" s="38" t="n">
        <v>156</v>
      </c>
      <c r="K145" s="39" t="inlineStr">
        <is>
          <t>СК2</t>
        </is>
      </c>
      <c r="L145" s="38" t="n">
        <v>40</v>
      </c>
      <c r="M145" s="761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5" s="682" t="n"/>
      <c r="O145" s="682" t="n"/>
      <c r="P145" s="682" t="n"/>
      <c r="Q145" s="648" t="n"/>
      <c r="R145" s="40" t="inlineStr"/>
      <c r="S145" s="40" t="inlineStr"/>
      <c r="T145" s="41" t="inlineStr">
        <is>
          <t>кг</t>
        </is>
      </c>
      <c r="U145" s="683" t="n">
        <v>0</v>
      </c>
      <c r="V145" s="68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31" t="n">
        <v>4680115880986</v>
      </c>
      <c r="E146" s="648" t="n"/>
      <c r="F146" s="680" t="n">
        <v>0.35</v>
      </c>
      <c r="G146" s="38" t="n">
        <v>6</v>
      </c>
      <c r="H146" s="680" t="n">
        <v>2.1</v>
      </c>
      <c r="I146" s="680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62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6" s="682" t="n"/>
      <c r="O146" s="682" t="n"/>
      <c r="P146" s="682" t="n"/>
      <c r="Q146" s="648" t="n"/>
      <c r="R146" s="40" t="inlineStr"/>
      <c r="S146" s="40" t="inlineStr"/>
      <c r="T146" s="41" t="inlineStr">
        <is>
          <t>кг</t>
        </is>
      </c>
      <c r="U146" s="683" t="n">
        <v>0</v>
      </c>
      <c r="V146" s="684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31" t="n">
        <v>4680115880207</v>
      </c>
      <c r="E147" s="648" t="n"/>
      <c r="F147" s="680" t="n">
        <v>0.4</v>
      </c>
      <c r="G147" s="38" t="n">
        <v>6</v>
      </c>
      <c r="H147" s="680" t="n">
        <v>2.4</v>
      </c>
      <c r="I147" s="680" t="n">
        <v>2.63</v>
      </c>
      <c r="J147" s="38" t="n">
        <v>156</v>
      </c>
      <c r="K147" s="39" t="inlineStr">
        <is>
          <t>СК2</t>
        </is>
      </c>
      <c r="L147" s="38" t="n">
        <v>40</v>
      </c>
      <c r="M147" s="763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7" s="682" t="n"/>
      <c r="O147" s="682" t="n"/>
      <c r="P147" s="682" t="n"/>
      <c r="Q147" s="648" t="n"/>
      <c r="R147" s="40" t="inlineStr"/>
      <c r="S147" s="40" t="inlineStr"/>
      <c r="T147" s="41" t="inlineStr">
        <is>
          <t>кг</t>
        </is>
      </c>
      <c r="U147" s="683" t="n">
        <v>0</v>
      </c>
      <c r="V147" s="684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31" t="n">
        <v>4680115881785</v>
      </c>
      <c r="E148" s="648" t="n"/>
      <c r="F148" s="680" t="n">
        <v>0.35</v>
      </c>
      <c r="G148" s="38" t="n">
        <v>6</v>
      </c>
      <c r="H148" s="680" t="n">
        <v>2.1</v>
      </c>
      <c r="I148" s="680" t="n">
        <v>2.23</v>
      </c>
      <c r="J148" s="38" t="n">
        <v>234</v>
      </c>
      <c r="K148" s="39" t="inlineStr">
        <is>
          <t>СК2</t>
        </is>
      </c>
      <c r="L148" s="38" t="n">
        <v>40</v>
      </c>
      <c r="M148" s="764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8" s="682" t="n"/>
      <c r="O148" s="682" t="n"/>
      <c r="P148" s="682" t="n"/>
      <c r="Q148" s="648" t="n"/>
      <c r="R148" s="40" t="inlineStr"/>
      <c r="S148" s="40" t="inlineStr"/>
      <c r="T148" s="41" t="inlineStr">
        <is>
          <t>кг</t>
        </is>
      </c>
      <c r="U148" s="683" t="n">
        <v>0</v>
      </c>
      <c r="V148" s="684">
        <f>IFERROR(IF(U148="",0,CEILING((U148/$H148),1)*$H148),"")</f>
        <v/>
      </c>
      <c r="W148" s="42">
        <f>IFERROR(IF(V148=0,"",ROUNDUP(V148/H148,0)*0.00502),"")</f>
        <v/>
      </c>
      <c r="X148" s="69" t="inlineStr"/>
      <c r="Y148" s="70" t="inlineStr"/>
      <c r="AC148" s="71" t="n"/>
      <c r="AZ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31" t="n">
        <v>4680115881679</v>
      </c>
      <c r="E149" s="648" t="n"/>
      <c r="F149" s="680" t="n">
        <v>0.35</v>
      </c>
      <c r="G149" s="38" t="n">
        <v>6</v>
      </c>
      <c r="H149" s="680" t="n">
        <v>2.1</v>
      </c>
      <c r="I149" s="680" t="n">
        <v>2.2</v>
      </c>
      <c r="J149" s="38" t="n">
        <v>234</v>
      </c>
      <c r="K149" s="39" t="inlineStr">
        <is>
          <t>СК2</t>
        </is>
      </c>
      <c r="L149" s="38" t="n">
        <v>40</v>
      </c>
      <c r="M149" s="765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9" s="682" t="n"/>
      <c r="O149" s="682" t="n"/>
      <c r="P149" s="682" t="n"/>
      <c r="Q149" s="648" t="n"/>
      <c r="R149" s="40" t="inlineStr"/>
      <c r="S149" s="40" t="inlineStr"/>
      <c r="T149" s="41" t="inlineStr">
        <is>
          <t>кг</t>
        </is>
      </c>
      <c r="U149" s="683" t="n">
        <v>0</v>
      </c>
      <c r="V149" s="684">
        <f>IFERROR(IF(U149="",0,CEILING((U149/$H149),1)*$H149),"")</f>
        <v/>
      </c>
      <c r="W149" s="42">
        <f>IFERROR(IF(V149=0,"",ROUNDUP(V149/H149,0)*0.00502),"")</f>
        <v/>
      </c>
      <c r="X149" s="69" t="inlineStr"/>
      <c r="Y149" s="70" t="inlineStr"/>
      <c r="AC149" s="71" t="n"/>
      <c r="AZ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31" t="n">
        <v>4680115880191</v>
      </c>
      <c r="E150" s="648" t="n"/>
      <c r="F150" s="680" t="n">
        <v>0.4</v>
      </c>
      <c r="G150" s="38" t="n">
        <v>6</v>
      </c>
      <c r="H150" s="680" t="n">
        <v>2.4</v>
      </c>
      <c r="I150" s="680" t="n">
        <v>2.6</v>
      </c>
      <c r="J150" s="38" t="n">
        <v>156</v>
      </c>
      <c r="K150" s="39" t="inlineStr">
        <is>
          <t>СК2</t>
        </is>
      </c>
      <c r="L150" s="38" t="n">
        <v>40</v>
      </c>
      <c r="M150" s="766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50" s="682" t="n"/>
      <c r="O150" s="682" t="n"/>
      <c r="P150" s="682" t="n"/>
      <c r="Q150" s="648" t="n"/>
      <c r="R150" s="40" t="inlineStr"/>
      <c r="S150" s="40" t="inlineStr"/>
      <c r="T150" s="41" t="inlineStr">
        <is>
          <t>кг</t>
        </is>
      </c>
      <c r="U150" s="683" t="n">
        <v>0</v>
      </c>
      <c r="V150" s="684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71" t="n"/>
      <c r="AZ150" s="151" t="inlineStr">
        <is>
          <t>КИ</t>
        </is>
      </c>
    </row>
    <row r="151">
      <c r="A151" s="325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85" t="n"/>
      <c r="M151" s="686" t="inlineStr">
        <is>
          <t>Итого</t>
        </is>
      </c>
      <c r="N151" s="656" t="n"/>
      <c r="O151" s="656" t="n"/>
      <c r="P151" s="656" t="n"/>
      <c r="Q151" s="656" t="n"/>
      <c r="R151" s="656" t="n"/>
      <c r="S151" s="657" t="n"/>
      <c r="T151" s="43" t="inlineStr">
        <is>
          <t>кор</t>
        </is>
      </c>
      <c r="U151" s="687">
        <f>IFERROR(U143/H143,"0")+IFERROR(U144/H144,"0")+IFERROR(U145/H145,"0")+IFERROR(U146/H146,"0")+IFERROR(U147/H147,"0")+IFERROR(U148/H148,"0")+IFERROR(U149/H149,"0")+IFERROR(U150/H150,"0")</f>
        <v/>
      </c>
      <c r="V151" s="687">
        <f>IFERROR(V143/H143,"0")+IFERROR(V144/H144,"0")+IFERROR(V145/H145,"0")+IFERROR(V146/H146,"0")+IFERROR(V147/H147,"0")+IFERROR(V148/H148,"0")+IFERROR(V149/H149,"0")+IFERROR(V150/H150,"0")</f>
        <v/>
      </c>
      <c r="W151" s="687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/>
      </c>
      <c r="X151" s="688" t="n"/>
      <c r="Y151" s="688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85" t="n"/>
      <c r="M152" s="686" t="inlineStr">
        <is>
          <t>Итого</t>
        </is>
      </c>
      <c r="N152" s="656" t="n"/>
      <c r="O152" s="656" t="n"/>
      <c r="P152" s="656" t="n"/>
      <c r="Q152" s="656" t="n"/>
      <c r="R152" s="656" t="n"/>
      <c r="S152" s="657" t="n"/>
      <c r="T152" s="43" t="inlineStr">
        <is>
          <t>кг</t>
        </is>
      </c>
      <c r="U152" s="687">
        <f>IFERROR(SUM(U143:U150),"0")</f>
        <v/>
      </c>
      <c r="V152" s="687">
        <f>IFERROR(SUM(V143:V150),"0")</f>
        <v/>
      </c>
      <c r="W152" s="43" t="n"/>
      <c r="X152" s="688" t="n"/>
      <c r="Y152" s="688" t="n"/>
    </row>
    <row r="153" ht="16.5" customHeight="1">
      <c r="A153" s="338" t="inlineStr">
        <is>
          <t>Сочинка</t>
        </is>
      </c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338" t="n"/>
      <c r="Y153" s="338" t="n"/>
    </row>
    <row r="154" ht="14.25" customHeight="1">
      <c r="A154" s="330" t="inlineStr">
        <is>
          <t>Вареные колбасы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0" t="n"/>
      <c r="Y154" s="330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31" t="n">
        <v>4680115881402</v>
      </c>
      <c r="E155" s="648" t="n"/>
      <c r="F155" s="680" t="n">
        <v>1.35</v>
      </c>
      <c r="G155" s="38" t="n">
        <v>8</v>
      </c>
      <c r="H155" s="680" t="n">
        <v>10.8</v>
      </c>
      <c r="I155" s="680" t="n">
        <v>11.28</v>
      </c>
      <c r="J155" s="38" t="n">
        <v>56</v>
      </c>
      <c r="K155" s="39" t="inlineStr">
        <is>
          <t>СК1</t>
        </is>
      </c>
      <c r="L155" s="38" t="n">
        <v>55</v>
      </c>
      <c r="M155" s="76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5" s="682" t="n"/>
      <c r="O155" s="682" t="n"/>
      <c r="P155" s="682" t="n"/>
      <c r="Q155" s="648" t="n"/>
      <c r="R155" s="40" t="inlineStr"/>
      <c r="S155" s="40" t="inlineStr"/>
      <c r="T155" s="41" t="inlineStr">
        <is>
          <t>кг</t>
        </is>
      </c>
      <c r="U155" s="683" t="n">
        <v>0</v>
      </c>
      <c r="V155" s="68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31" t="n">
        <v>4680115881396</v>
      </c>
      <c r="E156" s="648" t="n"/>
      <c r="F156" s="680" t="n">
        <v>0.45</v>
      </c>
      <c r="G156" s="38" t="n">
        <v>6</v>
      </c>
      <c r="H156" s="680" t="n">
        <v>2.7</v>
      </c>
      <c r="I156" s="680" t="n">
        <v>2.9</v>
      </c>
      <c r="J156" s="38" t="n">
        <v>156</v>
      </c>
      <c r="K156" s="39" t="inlineStr">
        <is>
          <t>СК2</t>
        </is>
      </c>
      <c r="L156" s="38" t="n">
        <v>55</v>
      </c>
      <c r="M156" s="76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6" s="682" t="n"/>
      <c r="O156" s="682" t="n"/>
      <c r="P156" s="682" t="n"/>
      <c r="Q156" s="648" t="n"/>
      <c r="R156" s="40" t="inlineStr"/>
      <c r="S156" s="40" t="inlineStr"/>
      <c r="T156" s="41" t="inlineStr">
        <is>
          <t>кг</t>
        </is>
      </c>
      <c r="U156" s="683" t="n">
        <v>0</v>
      </c>
      <c r="V156" s="68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3" t="inlineStr">
        <is>
          <t>КИ</t>
        </is>
      </c>
    </row>
    <row r="157">
      <c r="A157" s="325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85" t="n"/>
      <c r="M157" s="686" t="inlineStr">
        <is>
          <t>Итого</t>
        </is>
      </c>
      <c r="N157" s="656" t="n"/>
      <c r="O157" s="656" t="n"/>
      <c r="P157" s="656" t="n"/>
      <c r="Q157" s="656" t="n"/>
      <c r="R157" s="656" t="n"/>
      <c r="S157" s="657" t="n"/>
      <c r="T157" s="43" t="inlineStr">
        <is>
          <t>кор</t>
        </is>
      </c>
      <c r="U157" s="687">
        <f>IFERROR(U155/H155,"0")+IFERROR(U156/H156,"0")</f>
        <v/>
      </c>
      <c r="V157" s="687">
        <f>IFERROR(V155/H155,"0")+IFERROR(V156/H156,"0")</f>
        <v/>
      </c>
      <c r="W157" s="687">
        <f>IFERROR(IF(W155="",0,W155),"0")+IFERROR(IF(W156="",0,W156),"0")</f>
        <v/>
      </c>
      <c r="X157" s="688" t="n"/>
      <c r="Y157" s="68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85" t="n"/>
      <c r="M158" s="686" t="inlineStr">
        <is>
          <t>Итого</t>
        </is>
      </c>
      <c r="N158" s="656" t="n"/>
      <c r="O158" s="656" t="n"/>
      <c r="P158" s="656" t="n"/>
      <c r="Q158" s="656" t="n"/>
      <c r="R158" s="656" t="n"/>
      <c r="S158" s="657" t="n"/>
      <c r="T158" s="43" t="inlineStr">
        <is>
          <t>кг</t>
        </is>
      </c>
      <c r="U158" s="687">
        <f>IFERROR(SUM(U155:U156),"0")</f>
        <v/>
      </c>
      <c r="V158" s="687">
        <f>IFERROR(SUM(V155:V156),"0")</f>
        <v/>
      </c>
      <c r="W158" s="43" t="n"/>
      <c r="X158" s="688" t="n"/>
      <c r="Y158" s="688" t="n"/>
    </row>
    <row r="159" ht="14.25" customHeight="1">
      <c r="A159" s="330" t="inlineStr">
        <is>
          <t>Ветчины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0" t="n"/>
      <c r="Y159" s="330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31" t="n">
        <v>4680115882935</v>
      </c>
      <c r="E160" s="648" t="n"/>
      <c r="F160" s="680" t="n">
        <v>1.35</v>
      </c>
      <c r="G160" s="38" t="n">
        <v>8</v>
      </c>
      <c r="H160" s="680" t="n">
        <v>10.8</v>
      </c>
      <c r="I160" s="680" t="n">
        <v>11.28</v>
      </c>
      <c r="J160" s="38" t="n">
        <v>56</v>
      </c>
      <c r="K160" s="39" t="inlineStr">
        <is>
          <t>СК3</t>
        </is>
      </c>
      <c r="L160" s="38" t="n">
        <v>50</v>
      </c>
      <c r="M160" s="769" t="inlineStr">
        <is>
          <t>Ветчина «Сочинка с сочным окороком» Весовой п/а ТМ «Стародворье»</t>
        </is>
      </c>
      <c r="N160" s="682" t="n"/>
      <c r="O160" s="682" t="n"/>
      <c r="P160" s="682" t="n"/>
      <c r="Q160" s="648" t="n"/>
      <c r="R160" s="40" t="inlineStr"/>
      <c r="S160" s="40" t="inlineStr"/>
      <c r="T160" s="41" t="inlineStr">
        <is>
          <t>кг</t>
        </is>
      </c>
      <c r="U160" s="683" t="n">
        <v>0</v>
      </c>
      <c r="V160" s="684">
        <f>IFERROR(IF(U160="",0,CEILING((U160/$H160),1)*$H160),"")</f>
        <v/>
      </c>
      <c r="W160" s="42">
        <f>IFERROR(IF(V160=0,"",ROUNDUP(V160/H160,0)*0.02175),"")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31" t="n">
        <v>4680115880764</v>
      </c>
      <c r="E161" s="648" t="n"/>
      <c r="F161" s="680" t="n">
        <v>0.35</v>
      </c>
      <c r="G161" s="38" t="n">
        <v>6</v>
      </c>
      <c r="H161" s="680" t="n">
        <v>2.1</v>
      </c>
      <c r="I161" s="680" t="n">
        <v>2.3</v>
      </c>
      <c r="J161" s="38" t="n">
        <v>156</v>
      </c>
      <c r="K161" s="39" t="inlineStr">
        <is>
          <t>СК1</t>
        </is>
      </c>
      <c r="L161" s="38" t="n">
        <v>50</v>
      </c>
      <c r="M161" s="77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61" s="682" t="n"/>
      <c r="O161" s="682" t="n"/>
      <c r="P161" s="682" t="n"/>
      <c r="Q161" s="648" t="n"/>
      <c r="R161" s="40" t="inlineStr"/>
      <c r="S161" s="40" t="inlineStr"/>
      <c r="T161" s="41" t="inlineStr">
        <is>
          <t>кг</t>
        </is>
      </c>
      <c r="U161" s="683" t="n">
        <v>0</v>
      </c>
      <c r="V161" s="684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5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85" t="n"/>
      <c r="M162" s="686" t="inlineStr">
        <is>
          <t>Итого</t>
        </is>
      </c>
      <c r="N162" s="656" t="n"/>
      <c r="O162" s="656" t="n"/>
      <c r="P162" s="656" t="n"/>
      <c r="Q162" s="656" t="n"/>
      <c r="R162" s="656" t="n"/>
      <c r="S162" s="657" t="n"/>
      <c r="T162" s="43" t="inlineStr">
        <is>
          <t>кор</t>
        </is>
      </c>
      <c r="U162" s="687">
        <f>IFERROR(U160/H160,"0")+IFERROR(U161/H161,"0")</f>
        <v/>
      </c>
      <c r="V162" s="687">
        <f>IFERROR(V160/H160,"0")+IFERROR(V161/H161,"0")</f>
        <v/>
      </c>
      <c r="W162" s="687">
        <f>IFERROR(IF(W160="",0,W160),"0")+IFERROR(IF(W161="",0,W161),"0")</f>
        <v/>
      </c>
      <c r="X162" s="688" t="n"/>
      <c r="Y162" s="688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85" t="n"/>
      <c r="M163" s="686" t="inlineStr">
        <is>
          <t>Итого</t>
        </is>
      </c>
      <c r="N163" s="656" t="n"/>
      <c r="O163" s="656" t="n"/>
      <c r="P163" s="656" t="n"/>
      <c r="Q163" s="656" t="n"/>
      <c r="R163" s="656" t="n"/>
      <c r="S163" s="657" t="n"/>
      <c r="T163" s="43" t="inlineStr">
        <is>
          <t>кг</t>
        </is>
      </c>
      <c r="U163" s="687">
        <f>IFERROR(SUM(U160:U161),"0")</f>
        <v/>
      </c>
      <c r="V163" s="687">
        <f>IFERROR(SUM(V160:V161),"0")</f>
        <v/>
      </c>
      <c r="W163" s="43" t="n"/>
      <c r="X163" s="688" t="n"/>
      <c r="Y163" s="688" t="n"/>
    </row>
    <row r="164" ht="14.25" customHeight="1">
      <c r="A164" s="330" t="inlineStr">
        <is>
          <t>Копченые колбасы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0" t="n"/>
      <c r="Y164" s="330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31" t="n">
        <v>4680115882683</v>
      </c>
      <c r="E165" s="648" t="n"/>
      <c r="F165" s="680" t="n">
        <v>0.9</v>
      </c>
      <c r="G165" s="38" t="n">
        <v>6</v>
      </c>
      <c r="H165" s="680" t="n">
        <v>5.4</v>
      </c>
      <c r="I165" s="680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7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5" s="682" t="n"/>
      <c r="O165" s="682" t="n"/>
      <c r="P165" s="682" t="n"/>
      <c r="Q165" s="648" t="n"/>
      <c r="R165" s="40" t="inlineStr"/>
      <c r="S165" s="40" t="inlineStr"/>
      <c r="T165" s="41" t="inlineStr">
        <is>
          <t>кг</t>
        </is>
      </c>
      <c r="U165" s="683" t="n">
        <v>0</v>
      </c>
      <c r="V165" s="684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31" t="n">
        <v>4680115882690</v>
      </c>
      <c r="E166" s="648" t="n"/>
      <c r="F166" s="680" t="n">
        <v>0.9</v>
      </c>
      <c r="G166" s="38" t="n">
        <v>6</v>
      </c>
      <c r="H166" s="680" t="n">
        <v>5.4</v>
      </c>
      <c r="I166" s="680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7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6" s="682" t="n"/>
      <c r="O166" s="682" t="n"/>
      <c r="P166" s="682" t="n"/>
      <c r="Q166" s="648" t="n"/>
      <c r="R166" s="40" t="inlineStr"/>
      <c r="S166" s="40" t="inlineStr"/>
      <c r="T166" s="41" t="inlineStr">
        <is>
          <t>кг</t>
        </is>
      </c>
      <c r="U166" s="683" t="n">
        <v>0</v>
      </c>
      <c r="V166" s="684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31" t="n">
        <v>4680115882669</v>
      </c>
      <c r="E167" s="648" t="n"/>
      <c r="F167" s="680" t="n">
        <v>0.9</v>
      </c>
      <c r="G167" s="38" t="n">
        <v>6</v>
      </c>
      <c r="H167" s="680" t="n">
        <v>5.4</v>
      </c>
      <c r="I167" s="680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7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7" s="682" t="n"/>
      <c r="O167" s="682" t="n"/>
      <c r="P167" s="682" t="n"/>
      <c r="Q167" s="648" t="n"/>
      <c r="R167" s="40" t="inlineStr"/>
      <c r="S167" s="40" t="inlineStr"/>
      <c r="T167" s="41" t="inlineStr">
        <is>
          <t>кг</t>
        </is>
      </c>
      <c r="U167" s="683" t="n">
        <v>0</v>
      </c>
      <c r="V167" s="684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31" t="n">
        <v>4680115882676</v>
      </c>
      <c r="E168" s="648" t="n"/>
      <c r="F168" s="680" t="n">
        <v>0.9</v>
      </c>
      <c r="G168" s="38" t="n">
        <v>6</v>
      </c>
      <c r="H168" s="680" t="n">
        <v>5.4</v>
      </c>
      <c r="I168" s="680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7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8" s="682" t="n"/>
      <c r="O168" s="682" t="n"/>
      <c r="P168" s="682" t="n"/>
      <c r="Q168" s="648" t="n"/>
      <c r="R168" s="40" t="inlineStr"/>
      <c r="S168" s="40" t="inlineStr"/>
      <c r="T168" s="41" t="inlineStr">
        <is>
          <t>кг</t>
        </is>
      </c>
      <c r="U168" s="683" t="n">
        <v>0</v>
      </c>
      <c r="V168" s="684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71" t="n"/>
      <c r="AZ168" s="159" t="inlineStr">
        <is>
          <t>КИ</t>
        </is>
      </c>
    </row>
    <row r="169">
      <c r="A169" s="32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685" t="n"/>
      <c r="M169" s="686" t="inlineStr">
        <is>
          <t>Итого</t>
        </is>
      </c>
      <c r="N169" s="656" t="n"/>
      <c r="O169" s="656" t="n"/>
      <c r="P169" s="656" t="n"/>
      <c r="Q169" s="656" t="n"/>
      <c r="R169" s="656" t="n"/>
      <c r="S169" s="657" t="n"/>
      <c r="T169" s="43" t="inlineStr">
        <is>
          <t>кор</t>
        </is>
      </c>
      <c r="U169" s="687">
        <f>IFERROR(U165/H165,"0")+IFERROR(U166/H166,"0")+IFERROR(U167/H167,"0")+IFERROR(U168/H168,"0")</f>
        <v/>
      </c>
      <c r="V169" s="687">
        <f>IFERROR(V165/H165,"0")+IFERROR(V166/H166,"0")+IFERROR(V167/H167,"0")+IFERROR(V168/H168,"0")</f>
        <v/>
      </c>
      <c r="W169" s="687">
        <f>IFERROR(IF(W165="",0,W165),"0")+IFERROR(IF(W166="",0,W166),"0")+IFERROR(IF(W167="",0,W167),"0")+IFERROR(IF(W168="",0,W168),"0")</f>
        <v/>
      </c>
      <c r="X169" s="688" t="n"/>
      <c r="Y169" s="688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685" t="n"/>
      <c r="M170" s="686" t="inlineStr">
        <is>
          <t>Итого</t>
        </is>
      </c>
      <c r="N170" s="656" t="n"/>
      <c r="O170" s="656" t="n"/>
      <c r="P170" s="656" t="n"/>
      <c r="Q170" s="656" t="n"/>
      <c r="R170" s="656" t="n"/>
      <c r="S170" s="657" t="n"/>
      <c r="T170" s="43" t="inlineStr">
        <is>
          <t>кг</t>
        </is>
      </c>
      <c r="U170" s="687">
        <f>IFERROR(SUM(U165:U168),"0")</f>
        <v/>
      </c>
      <c r="V170" s="687">
        <f>IFERROR(SUM(V165:V168),"0")</f>
        <v/>
      </c>
      <c r="W170" s="43" t="n"/>
      <c r="X170" s="688" t="n"/>
      <c r="Y170" s="688" t="n"/>
    </row>
    <row r="171" ht="14.25" customHeight="1">
      <c r="A171" s="330" t="inlineStr">
        <is>
          <t>Сосиски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330" t="n"/>
      <c r="Y171" s="330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31" t="n">
        <v>4680115881556</v>
      </c>
      <c r="E172" s="648" t="n"/>
      <c r="F172" s="680" t="n">
        <v>1</v>
      </c>
      <c r="G172" s="38" t="n">
        <v>4</v>
      </c>
      <c r="H172" s="680" t="n">
        <v>4</v>
      </c>
      <c r="I172" s="680" t="n">
        <v>4.408</v>
      </c>
      <c r="J172" s="38" t="n">
        <v>104</v>
      </c>
      <c r="K172" s="39" t="inlineStr">
        <is>
          <t>СК3</t>
        </is>
      </c>
      <c r="L172" s="38" t="n">
        <v>45</v>
      </c>
      <c r="M172" s="77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2" s="682" t="n"/>
      <c r="O172" s="682" t="n"/>
      <c r="P172" s="682" t="n"/>
      <c r="Q172" s="648" t="n"/>
      <c r="R172" s="40" t="inlineStr"/>
      <c r="S172" s="40" t="inlineStr"/>
      <c r="T172" s="41" t="inlineStr">
        <is>
          <t>кг</t>
        </is>
      </c>
      <c r="U172" s="683" t="n">
        <v>0</v>
      </c>
      <c r="V172" s="684">
        <f>IFERROR(IF(U172="",0,CEILING((U172/$H172),1)*$H172),"")</f>
        <v/>
      </c>
      <c r="W172" s="42">
        <f>IFERROR(IF(V172=0,"",ROUNDUP(V172/H172,0)*0.01196),"")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31" t="n">
        <v>4680115880573</v>
      </c>
      <c r="E173" s="648" t="n"/>
      <c r="F173" s="680" t="n">
        <v>1.45</v>
      </c>
      <c r="G173" s="38" t="n">
        <v>6</v>
      </c>
      <c r="H173" s="680" t="n">
        <v>8.699999999999999</v>
      </c>
      <c r="I173" s="680" t="n">
        <v>9.263999999999999</v>
      </c>
      <c r="J173" s="38" t="n">
        <v>56</v>
      </c>
      <c r="K173" s="39" t="inlineStr">
        <is>
          <t>СК2</t>
        </is>
      </c>
      <c r="L173" s="38" t="n">
        <v>45</v>
      </c>
      <c r="M173" s="776" t="inlineStr">
        <is>
          <t>Сосиски «Сочинки» Весовой п/а ТМ «Стародворье»</t>
        </is>
      </c>
      <c r="N173" s="682" t="n"/>
      <c r="O173" s="682" t="n"/>
      <c r="P173" s="682" t="n"/>
      <c r="Q173" s="648" t="n"/>
      <c r="R173" s="40" t="inlineStr"/>
      <c r="S173" s="40" t="inlineStr"/>
      <c r="T173" s="41" t="inlineStr">
        <is>
          <t>кг</t>
        </is>
      </c>
      <c r="U173" s="683" t="n">
        <v>0</v>
      </c>
      <c r="V173" s="684">
        <f>IFERROR(IF(U173="",0,CEILING((U173/$H173),1)*$H173),"")</f>
        <v/>
      </c>
      <c r="W173" s="42">
        <f>IFERROR(IF(V173=0,"",ROUNDUP(V173/H173,0)*0.02175),"")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31" t="n">
        <v>4680115881594</v>
      </c>
      <c r="E174" s="648" t="n"/>
      <c r="F174" s="680" t="n">
        <v>1.35</v>
      </c>
      <c r="G174" s="38" t="n">
        <v>6</v>
      </c>
      <c r="H174" s="680" t="n">
        <v>8.1</v>
      </c>
      <c r="I174" s="680" t="n">
        <v>8.664</v>
      </c>
      <c r="J174" s="38" t="n">
        <v>56</v>
      </c>
      <c r="K174" s="39" t="inlineStr">
        <is>
          <t>СК3</t>
        </is>
      </c>
      <c r="L174" s="38" t="n">
        <v>40</v>
      </c>
      <c r="M174" s="77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4" s="682" t="n"/>
      <c r="O174" s="682" t="n"/>
      <c r="P174" s="682" t="n"/>
      <c r="Q174" s="648" t="n"/>
      <c r="R174" s="40" t="inlineStr"/>
      <c r="S174" s="40" t="inlineStr"/>
      <c r="T174" s="41" t="inlineStr">
        <is>
          <t>кг</t>
        </is>
      </c>
      <c r="U174" s="683" t="n">
        <v>0</v>
      </c>
      <c r="V174" s="684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P003322</t>
        </is>
      </c>
      <c r="C175" s="37" t="n">
        <v>4301051433</v>
      </c>
      <c r="D175" s="331" t="n">
        <v>4680115881587</v>
      </c>
      <c r="E175" s="648" t="n"/>
      <c r="F175" s="680" t="n">
        <v>1</v>
      </c>
      <c r="G175" s="38" t="n">
        <v>4</v>
      </c>
      <c r="H175" s="680" t="n">
        <v>4</v>
      </c>
      <c r="I175" s="680" t="n">
        <v>4.408</v>
      </c>
      <c r="J175" s="38" t="n">
        <v>104</v>
      </c>
      <c r="K175" s="39" t="inlineStr">
        <is>
          <t>СК2</t>
        </is>
      </c>
      <c r="L175" s="38" t="n">
        <v>35</v>
      </c>
      <c r="M175" s="778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5" s="682" t="n"/>
      <c r="O175" s="682" t="n"/>
      <c r="P175" s="682" t="n"/>
      <c r="Q175" s="648" t="n"/>
      <c r="R175" s="40" t="inlineStr"/>
      <c r="S175" s="40" t="inlineStr"/>
      <c r="T175" s="41" t="inlineStr">
        <is>
          <t>кг</t>
        </is>
      </c>
      <c r="U175" s="683" t="n">
        <v>0</v>
      </c>
      <c r="V175" s="684">
        <f>IFERROR(IF(U175="",0,CEILING((U175/$H175),1)*$H175),"")</f>
        <v/>
      </c>
      <c r="W175" s="42">
        <f>IFERROR(IF(V175=0,"",ROUNDUP(V175/H175,0)*0.01196),"")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31" t="n">
        <v>4680115881587</v>
      </c>
      <c r="E176" s="648" t="n"/>
      <c r="F176" s="680" t="n">
        <v>1</v>
      </c>
      <c r="G176" s="38" t="n">
        <v>4</v>
      </c>
      <c r="H176" s="680" t="n">
        <v>4</v>
      </c>
      <c r="I176" s="680" t="n">
        <v>4.408</v>
      </c>
      <c r="J176" s="38" t="n">
        <v>104</v>
      </c>
      <c r="K176" s="39" t="inlineStr">
        <is>
          <t>СК2</t>
        </is>
      </c>
      <c r="L176" s="38" t="n">
        <v>40</v>
      </c>
      <c r="M176" s="779" t="inlineStr">
        <is>
          <t>Сосиски «Сочинки по-баварски с сыром» вес п/а ТМ «Стародворье» 1,0 кг</t>
        </is>
      </c>
      <c r="N176" s="682" t="n"/>
      <c r="O176" s="682" t="n"/>
      <c r="P176" s="682" t="n"/>
      <c r="Q176" s="648" t="n"/>
      <c r="R176" s="40" t="inlineStr"/>
      <c r="S176" s="40" t="inlineStr"/>
      <c r="T176" s="41" t="inlineStr">
        <is>
          <t>кг</t>
        </is>
      </c>
      <c r="U176" s="683" t="n">
        <v>0</v>
      </c>
      <c r="V176" s="684">
        <f>IFERROR(IF(U176="",0,CEILING((U176/$H176),1)*$H176),"")</f>
        <v/>
      </c>
      <c r="W176" s="42">
        <f>IFERROR(IF(V176=0,"",ROUNDUP(V176/H176,0)*0.01196),"")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31" t="n">
        <v>4680115880962</v>
      </c>
      <c r="E177" s="648" t="n"/>
      <c r="F177" s="680" t="n">
        <v>1.3</v>
      </c>
      <c r="G177" s="38" t="n">
        <v>6</v>
      </c>
      <c r="H177" s="680" t="n">
        <v>7.8</v>
      </c>
      <c r="I177" s="680" t="n">
        <v>8.364000000000001</v>
      </c>
      <c r="J177" s="38" t="n">
        <v>56</v>
      </c>
      <c r="K177" s="39" t="inlineStr">
        <is>
          <t>СК2</t>
        </is>
      </c>
      <c r="L177" s="38" t="n">
        <v>40</v>
      </c>
      <c r="M177" s="78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7" s="682" t="n"/>
      <c r="O177" s="682" t="n"/>
      <c r="P177" s="682" t="n"/>
      <c r="Q177" s="648" t="n"/>
      <c r="R177" s="40" t="inlineStr"/>
      <c r="S177" s="40" t="inlineStr"/>
      <c r="T177" s="41" t="inlineStr">
        <is>
          <t>кг</t>
        </is>
      </c>
      <c r="U177" s="683" t="n">
        <v>0</v>
      </c>
      <c r="V177" s="684">
        <f>IFERROR(IF(U177="",0,CEILING((U177/$H177),1)*$H177),"")</f>
        <v/>
      </c>
      <c r="W177" s="42">
        <f>IFERROR(IF(V177=0,"",ROUNDUP(V177/H177,0)*0.02175),"")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31" t="n">
        <v>4680115881617</v>
      </c>
      <c r="E178" s="648" t="n"/>
      <c r="F178" s="680" t="n">
        <v>1.35</v>
      </c>
      <c r="G178" s="38" t="n">
        <v>6</v>
      </c>
      <c r="H178" s="680" t="n">
        <v>8.1</v>
      </c>
      <c r="I178" s="680" t="n">
        <v>8.646000000000001</v>
      </c>
      <c r="J178" s="38" t="n">
        <v>56</v>
      </c>
      <c r="K178" s="39" t="inlineStr">
        <is>
          <t>СК3</t>
        </is>
      </c>
      <c r="L178" s="38" t="n">
        <v>40</v>
      </c>
      <c r="M178" s="78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8" s="682" t="n"/>
      <c r="O178" s="682" t="n"/>
      <c r="P178" s="682" t="n"/>
      <c r="Q178" s="648" t="n"/>
      <c r="R178" s="40" t="inlineStr"/>
      <c r="S178" s="40" t="inlineStr"/>
      <c r="T178" s="41" t="inlineStr">
        <is>
          <t>кг</t>
        </is>
      </c>
      <c r="U178" s="683" t="n">
        <v>0</v>
      </c>
      <c r="V178" s="684">
        <f>IFERROR(IF(U178="",0,CEILING((U178/$H178),1)*$H178),"")</f>
        <v/>
      </c>
      <c r="W178" s="42">
        <f>IFERROR(IF(V178=0,"",ROUNDUP(V178/H178,0)*0.02175),"")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31" t="n">
        <v>4680115881228</v>
      </c>
      <c r="E179" s="648" t="n"/>
      <c r="F179" s="680" t="n">
        <v>0.4</v>
      </c>
      <c r="G179" s="38" t="n">
        <v>6</v>
      </c>
      <c r="H179" s="680" t="n">
        <v>2.4</v>
      </c>
      <c r="I179" s="680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82" t="inlineStr">
        <is>
          <t>Сосиски «Сочинки по-баварски с сыром» Фикс.вес 0,4 П/а мгс ТМ «Стародворье»</t>
        </is>
      </c>
      <c r="N179" s="682" t="n"/>
      <c r="O179" s="682" t="n"/>
      <c r="P179" s="682" t="n"/>
      <c r="Q179" s="648" t="n"/>
      <c r="R179" s="40" t="inlineStr"/>
      <c r="S179" s="40" t="inlineStr"/>
      <c r="T179" s="41" t="inlineStr">
        <is>
          <t>кг</t>
        </is>
      </c>
      <c r="U179" s="683" t="n">
        <v>0</v>
      </c>
      <c r="V179" s="68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P003321</t>
        </is>
      </c>
      <c r="C180" s="37" t="n">
        <v>4301051432</v>
      </c>
      <c r="D180" s="331" t="n">
        <v>4680115881037</v>
      </c>
      <c r="E180" s="648" t="n"/>
      <c r="F180" s="680" t="n">
        <v>0.84</v>
      </c>
      <c r="G180" s="38" t="n">
        <v>4</v>
      </c>
      <c r="H180" s="680" t="n">
        <v>3.36</v>
      </c>
      <c r="I180" s="680" t="n">
        <v>3.618</v>
      </c>
      <c r="J180" s="38" t="n">
        <v>120</v>
      </c>
      <c r="K180" s="39" t="inlineStr">
        <is>
          <t>СК2</t>
        </is>
      </c>
      <c r="L180" s="38" t="n">
        <v>35</v>
      </c>
      <c r="M180" s="78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80" s="682" t="n"/>
      <c r="O180" s="682" t="n"/>
      <c r="P180" s="682" t="n"/>
      <c r="Q180" s="648" t="n"/>
      <c r="R180" s="40" t="inlineStr"/>
      <c r="S180" s="40" t="inlineStr"/>
      <c r="T180" s="41" t="inlineStr">
        <is>
          <t>кг</t>
        </is>
      </c>
      <c r="U180" s="683" t="n">
        <v>0</v>
      </c>
      <c r="V180" s="684">
        <f>IFERROR(IF(U180="",0,CEILING((U180/$H180),1)*$H180),"")</f>
        <v/>
      </c>
      <c r="W180" s="42">
        <f>IFERROR(IF(V180=0,"",ROUNDUP(V180/H180,0)*0.00937),"")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SU002802</t>
        </is>
      </c>
      <c r="B181" s="64" t="inlineStr">
        <is>
          <t>P003580</t>
        </is>
      </c>
      <c r="C181" s="37" t="n">
        <v>4301051506</v>
      </c>
      <c r="D181" s="331" t="n">
        <v>4680115881037</v>
      </c>
      <c r="E181" s="648" t="n"/>
      <c r="F181" s="680" t="n">
        <v>0.84</v>
      </c>
      <c r="G181" s="38" t="n">
        <v>4</v>
      </c>
      <c r="H181" s="680" t="n">
        <v>3.36</v>
      </c>
      <c r="I181" s="680" t="n">
        <v>3.618</v>
      </c>
      <c r="J181" s="38" t="n">
        <v>120</v>
      </c>
      <c r="K181" s="39" t="inlineStr">
        <is>
          <t>СК2</t>
        </is>
      </c>
      <c r="L181" s="38" t="n">
        <v>40</v>
      </c>
      <c r="M181" s="784" t="inlineStr">
        <is>
          <t>Сосиски «Сочинки по-баварски с сыром» Фикс.вес 0,84 кг п/а мгс ТМ «Стародворье»</t>
        </is>
      </c>
      <c r="N181" s="682" t="n"/>
      <c r="O181" s="682" t="n"/>
      <c r="P181" s="682" t="n"/>
      <c r="Q181" s="648" t="n"/>
      <c r="R181" s="40" t="inlineStr"/>
      <c r="S181" s="40" t="inlineStr"/>
      <c r="T181" s="41" t="inlineStr">
        <is>
          <t>кг</t>
        </is>
      </c>
      <c r="U181" s="683" t="n">
        <v>0</v>
      </c>
      <c r="V181" s="684">
        <f>IFERROR(IF(U181="",0,CEILING((U181/$H181),1)*$H181),"")</f>
        <v/>
      </c>
      <c r="W181" s="42">
        <f>IFERROR(IF(V181=0,"",ROUNDUP(V181/H181,0)*0.00937),"")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SU002799</t>
        </is>
      </c>
      <c r="B182" s="64" t="inlineStr">
        <is>
          <t>P003217</t>
        </is>
      </c>
      <c r="C182" s="37" t="n">
        <v>4301051384</v>
      </c>
      <c r="D182" s="331" t="n">
        <v>4680115881211</v>
      </c>
      <c r="E182" s="648" t="n"/>
      <c r="F182" s="680" t="n">
        <v>0.4</v>
      </c>
      <c r="G182" s="38" t="n">
        <v>6</v>
      </c>
      <c r="H182" s="680" t="n">
        <v>2.4</v>
      </c>
      <c r="I182" s="680" t="n">
        <v>2.6</v>
      </c>
      <c r="J182" s="38" t="n">
        <v>156</v>
      </c>
      <c r="K182" s="39" t="inlineStr">
        <is>
          <t>СК2</t>
        </is>
      </c>
      <c r="L182" s="38" t="n">
        <v>45</v>
      </c>
      <c r="M182" s="78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82" s="682" t="n"/>
      <c r="O182" s="682" t="n"/>
      <c r="P182" s="682" t="n"/>
      <c r="Q182" s="648" t="n"/>
      <c r="R182" s="40" t="inlineStr"/>
      <c r="S182" s="40" t="inlineStr"/>
      <c r="T182" s="41" t="inlineStr">
        <is>
          <t>кг</t>
        </is>
      </c>
      <c r="U182" s="683" t="n">
        <v>0</v>
      </c>
      <c r="V182" s="68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SU002800</t>
        </is>
      </c>
      <c r="B183" s="64" t="inlineStr">
        <is>
          <t>P003201</t>
        </is>
      </c>
      <c r="C183" s="37" t="n">
        <v>4301051378</v>
      </c>
      <c r="D183" s="331" t="n">
        <v>4680115881020</v>
      </c>
      <c r="E183" s="648" t="n"/>
      <c r="F183" s="680" t="n">
        <v>0.84</v>
      </c>
      <c r="G183" s="38" t="n">
        <v>4</v>
      </c>
      <c r="H183" s="680" t="n">
        <v>3.36</v>
      </c>
      <c r="I183" s="680" t="n">
        <v>3.57</v>
      </c>
      <c r="J183" s="38" t="n">
        <v>120</v>
      </c>
      <c r="K183" s="39" t="inlineStr">
        <is>
          <t>СК2</t>
        </is>
      </c>
      <c r="L183" s="38" t="n">
        <v>45</v>
      </c>
      <c r="M183" s="78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83" s="682" t="n"/>
      <c r="O183" s="682" t="n"/>
      <c r="P183" s="682" t="n"/>
      <c r="Q183" s="648" t="n"/>
      <c r="R183" s="40" t="inlineStr"/>
      <c r="S183" s="40" t="inlineStr"/>
      <c r="T183" s="41" t="inlineStr">
        <is>
          <t>кг</t>
        </is>
      </c>
      <c r="U183" s="683" t="n">
        <v>0</v>
      </c>
      <c r="V183" s="684">
        <f>IFERROR(IF(U183="",0,CEILING((U183/$H183),1)*$H183),"")</f>
        <v/>
      </c>
      <c r="W183" s="42">
        <f>IFERROR(IF(V183=0,"",ROUNDUP(V183/H183,0)*0.00937),"")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SU002842</t>
        </is>
      </c>
      <c r="B184" s="64" t="inlineStr">
        <is>
          <t>P003262</t>
        </is>
      </c>
      <c r="C184" s="37" t="n">
        <v>4301051407</v>
      </c>
      <c r="D184" s="331" t="n">
        <v>4680115882195</v>
      </c>
      <c r="E184" s="648" t="n"/>
      <c r="F184" s="680" t="n">
        <v>0.4</v>
      </c>
      <c r="G184" s="38" t="n">
        <v>6</v>
      </c>
      <c r="H184" s="680" t="n">
        <v>2.4</v>
      </c>
      <c r="I184" s="680" t="n">
        <v>2.69</v>
      </c>
      <c r="J184" s="38" t="n">
        <v>156</v>
      </c>
      <c r="K184" s="39" t="inlineStr">
        <is>
          <t>СК3</t>
        </is>
      </c>
      <c r="L184" s="38" t="n">
        <v>40</v>
      </c>
      <c r="M184" s="78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4" s="682" t="n"/>
      <c r="O184" s="682" t="n"/>
      <c r="P184" s="682" t="n"/>
      <c r="Q184" s="648" t="n"/>
      <c r="R184" s="40" t="inlineStr"/>
      <c r="S184" s="40" t="inlineStr"/>
      <c r="T184" s="41" t="inlineStr">
        <is>
          <t>кг</t>
        </is>
      </c>
      <c r="U184" s="683" t="n">
        <v>0</v>
      </c>
      <c r="V184" s="684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31" t="n">
        <v>4680115880092</v>
      </c>
      <c r="E185" s="648" t="n"/>
      <c r="F185" s="680" t="n">
        <v>0.4</v>
      </c>
      <c r="G185" s="38" t="n">
        <v>6</v>
      </c>
      <c r="H185" s="680" t="n">
        <v>2.4</v>
      </c>
      <c r="I185" s="680" t="n">
        <v>2.672</v>
      </c>
      <c r="J185" s="38" t="n">
        <v>156</v>
      </c>
      <c r="K185" s="39" t="inlineStr">
        <is>
          <t>СК3</t>
        </is>
      </c>
      <c r="L185" s="38" t="n">
        <v>45</v>
      </c>
      <c r="M185" s="78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5" s="682" t="n"/>
      <c r="O185" s="682" t="n"/>
      <c r="P185" s="682" t="n"/>
      <c r="Q185" s="648" t="n"/>
      <c r="R185" s="40" t="inlineStr"/>
      <c r="S185" s="40" t="inlineStr"/>
      <c r="T185" s="41" t="inlineStr">
        <is>
          <t>кг</t>
        </is>
      </c>
      <c r="U185" s="683" t="n">
        <v>0</v>
      </c>
      <c r="V185" s="684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31" t="n">
        <v>4680115880221</v>
      </c>
      <c r="E186" s="648" t="n"/>
      <c r="F186" s="680" t="n">
        <v>0.4</v>
      </c>
      <c r="G186" s="38" t="n">
        <v>6</v>
      </c>
      <c r="H186" s="680" t="n">
        <v>2.4</v>
      </c>
      <c r="I186" s="680" t="n">
        <v>2.672</v>
      </c>
      <c r="J186" s="38" t="n">
        <v>156</v>
      </c>
      <c r="K186" s="39" t="inlineStr">
        <is>
          <t>СК3</t>
        </is>
      </c>
      <c r="L186" s="38" t="n">
        <v>45</v>
      </c>
      <c r="M186" s="78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6" s="682" t="n"/>
      <c r="O186" s="682" t="n"/>
      <c r="P186" s="682" t="n"/>
      <c r="Q186" s="648" t="n"/>
      <c r="R186" s="40" t="inlineStr"/>
      <c r="S186" s="40" t="inlineStr"/>
      <c r="T186" s="41" t="inlineStr">
        <is>
          <t>кг</t>
        </is>
      </c>
      <c r="U186" s="683" t="n">
        <v>0</v>
      </c>
      <c r="V186" s="684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31" t="n">
        <v>4680115882942</v>
      </c>
      <c r="E187" s="648" t="n"/>
      <c r="F187" s="680" t="n">
        <v>0.3</v>
      </c>
      <c r="G187" s="38" t="n">
        <v>6</v>
      </c>
      <c r="H187" s="680" t="n">
        <v>1.8</v>
      </c>
      <c r="I187" s="680" t="n">
        <v>2.072</v>
      </c>
      <c r="J187" s="38" t="n">
        <v>156</v>
      </c>
      <c r="K187" s="39" t="inlineStr">
        <is>
          <t>СК2</t>
        </is>
      </c>
      <c r="L187" s="38" t="n">
        <v>40</v>
      </c>
      <c r="M187" s="79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7" s="682" t="n"/>
      <c r="O187" s="682" t="n"/>
      <c r="P187" s="682" t="n"/>
      <c r="Q187" s="648" t="n"/>
      <c r="R187" s="40" t="inlineStr"/>
      <c r="S187" s="40" t="inlineStr"/>
      <c r="T187" s="41" t="inlineStr">
        <is>
          <t>кг</t>
        </is>
      </c>
      <c r="U187" s="683" t="n">
        <v>0</v>
      </c>
      <c r="V187" s="68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31" t="n">
        <v>4680115880504</v>
      </c>
      <c r="E188" s="648" t="n"/>
      <c r="F188" s="680" t="n">
        <v>0.4</v>
      </c>
      <c r="G188" s="38" t="n">
        <v>6</v>
      </c>
      <c r="H188" s="680" t="n">
        <v>2.4</v>
      </c>
      <c r="I188" s="68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9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8" s="682" t="n"/>
      <c r="O188" s="682" t="n"/>
      <c r="P188" s="682" t="n"/>
      <c r="Q188" s="648" t="n"/>
      <c r="R188" s="40" t="inlineStr"/>
      <c r="S188" s="40" t="inlineStr"/>
      <c r="T188" s="41" t="inlineStr">
        <is>
          <t>кг</t>
        </is>
      </c>
      <c r="U188" s="683" t="n">
        <v>0</v>
      </c>
      <c r="V188" s="68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31" t="n">
        <v>4680115882164</v>
      </c>
      <c r="E189" s="648" t="n"/>
      <c r="F189" s="680" t="n">
        <v>0.4</v>
      </c>
      <c r="G189" s="38" t="n">
        <v>6</v>
      </c>
      <c r="H189" s="680" t="n">
        <v>2.4</v>
      </c>
      <c r="I189" s="680" t="n">
        <v>2.678</v>
      </c>
      <c r="J189" s="38" t="n">
        <v>156</v>
      </c>
      <c r="K189" s="39" t="inlineStr">
        <is>
          <t>СК3</t>
        </is>
      </c>
      <c r="L189" s="38" t="n">
        <v>40</v>
      </c>
      <c r="M189" s="79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9" s="682" t="n"/>
      <c r="O189" s="682" t="n"/>
      <c r="P189" s="682" t="n"/>
      <c r="Q189" s="648" t="n"/>
      <c r="R189" s="40" t="inlineStr"/>
      <c r="S189" s="40" t="inlineStr"/>
      <c r="T189" s="41" t="inlineStr">
        <is>
          <t>кг</t>
        </is>
      </c>
      <c r="U189" s="683" t="n">
        <v>0</v>
      </c>
      <c r="V189" s="684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7" t="inlineStr">
        <is>
          <t>КИ</t>
        </is>
      </c>
    </row>
    <row r="190">
      <c r="A190" s="325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85" t="n"/>
      <c r="M190" s="686" t="inlineStr">
        <is>
          <t>Итого</t>
        </is>
      </c>
      <c r="N190" s="656" t="n"/>
      <c r="O190" s="656" t="n"/>
      <c r="P190" s="656" t="n"/>
      <c r="Q190" s="656" t="n"/>
      <c r="R190" s="656" t="n"/>
      <c r="S190" s="657" t="n"/>
      <c r="T190" s="43" t="inlineStr">
        <is>
          <t>кор</t>
        </is>
      </c>
      <c r="U190" s="687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/>
      </c>
      <c r="V190" s="68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687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/>
      </c>
      <c r="X190" s="688" t="n"/>
      <c r="Y190" s="688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85" t="n"/>
      <c r="M191" s="686" t="inlineStr">
        <is>
          <t>Итого</t>
        </is>
      </c>
      <c r="N191" s="656" t="n"/>
      <c r="O191" s="656" t="n"/>
      <c r="P191" s="656" t="n"/>
      <c r="Q191" s="656" t="n"/>
      <c r="R191" s="656" t="n"/>
      <c r="S191" s="657" t="n"/>
      <c r="T191" s="43" t="inlineStr">
        <is>
          <t>кг</t>
        </is>
      </c>
      <c r="U191" s="687">
        <f>IFERROR(SUM(U172:U189),"0")</f>
        <v/>
      </c>
      <c r="V191" s="687">
        <f>IFERROR(SUM(V172:V189),"0")</f>
        <v/>
      </c>
      <c r="W191" s="43" t="n"/>
      <c r="X191" s="688" t="n"/>
      <c r="Y191" s="688" t="n"/>
    </row>
    <row r="192" ht="14.25" customHeight="1">
      <c r="A192" s="330" t="inlineStr">
        <is>
          <t>Сардельки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0" t="n"/>
      <c r="Y192" s="330" t="n"/>
    </row>
    <row r="193" ht="16.5" customHeight="1">
      <c r="A193" s="64" t="inlineStr">
        <is>
          <t>SU002758</t>
        </is>
      </c>
      <c r="B193" s="64" t="inlineStr">
        <is>
          <t>P003129</t>
        </is>
      </c>
      <c r="C193" s="37" t="n">
        <v>4301060338</v>
      </c>
      <c r="D193" s="331" t="n">
        <v>4680115880801</v>
      </c>
      <c r="E193" s="648" t="n"/>
      <c r="F193" s="680" t="n">
        <v>0.4</v>
      </c>
      <c r="G193" s="38" t="n">
        <v>6</v>
      </c>
      <c r="H193" s="680" t="n">
        <v>2.4</v>
      </c>
      <c r="I193" s="680" t="n">
        <v>2.672</v>
      </c>
      <c r="J193" s="38" t="n">
        <v>156</v>
      </c>
      <c r="K193" s="39" t="inlineStr">
        <is>
          <t>СК2</t>
        </is>
      </c>
      <c r="L193" s="38" t="n">
        <v>40</v>
      </c>
      <c r="M193" s="79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93" s="682" t="n"/>
      <c r="O193" s="682" t="n"/>
      <c r="P193" s="682" t="n"/>
      <c r="Q193" s="648" t="n"/>
      <c r="R193" s="40" t="inlineStr"/>
      <c r="S193" s="40" t="inlineStr"/>
      <c r="T193" s="41" t="inlineStr">
        <is>
          <t>кг</t>
        </is>
      </c>
      <c r="U193" s="683" t="n">
        <v>0</v>
      </c>
      <c r="V193" s="684">
        <f>IFERROR(IF(U193="",0,CEILING((U193/$H193),1)*$H193),"")</f>
        <v/>
      </c>
      <c r="W193" s="42">
        <f>IFERROR(IF(V193=0,"",ROUNDUP(V193/H193,0)*0.00753),"")</f>
        <v/>
      </c>
      <c r="X193" s="69" t="inlineStr"/>
      <c r="Y193" s="70" t="inlineStr"/>
      <c r="AC193" s="71" t="n"/>
      <c r="AZ193" s="178" t="inlineStr">
        <is>
          <t>КИ</t>
        </is>
      </c>
    </row>
    <row r="194" ht="27" customHeight="1">
      <c r="A194" s="64" t="inlineStr">
        <is>
          <t>SU002759</t>
        </is>
      </c>
      <c r="B194" s="64" t="inlineStr">
        <is>
          <t>P003130</t>
        </is>
      </c>
      <c r="C194" s="37" t="n">
        <v>4301060339</v>
      </c>
      <c r="D194" s="331" t="n">
        <v>4680115880818</v>
      </c>
      <c r="E194" s="648" t="n"/>
      <c r="F194" s="680" t="n">
        <v>0.4</v>
      </c>
      <c r="G194" s="38" t="n">
        <v>6</v>
      </c>
      <c r="H194" s="680" t="n">
        <v>2.4</v>
      </c>
      <c r="I194" s="680" t="n">
        <v>2.672</v>
      </c>
      <c r="J194" s="38" t="n">
        <v>156</v>
      </c>
      <c r="K194" s="39" t="inlineStr">
        <is>
          <t>СК2</t>
        </is>
      </c>
      <c r="L194" s="38" t="n">
        <v>40</v>
      </c>
      <c r="M194" s="79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4" s="682" t="n"/>
      <c r="O194" s="682" t="n"/>
      <c r="P194" s="682" t="n"/>
      <c r="Q194" s="648" t="n"/>
      <c r="R194" s="40" t="inlineStr"/>
      <c r="S194" s="40" t="inlineStr"/>
      <c r="T194" s="41" t="inlineStr">
        <is>
          <t>кг</t>
        </is>
      </c>
      <c r="U194" s="683" t="n">
        <v>0</v>
      </c>
      <c r="V194" s="684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71" t="n"/>
      <c r="AZ194" s="179" t="inlineStr">
        <is>
          <t>КИ</t>
        </is>
      </c>
    </row>
    <row r="195">
      <c r="A195" s="325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685" t="n"/>
      <c r="M195" s="686" t="inlineStr">
        <is>
          <t>Итого</t>
        </is>
      </c>
      <c r="N195" s="656" t="n"/>
      <c r="O195" s="656" t="n"/>
      <c r="P195" s="656" t="n"/>
      <c r="Q195" s="656" t="n"/>
      <c r="R195" s="656" t="n"/>
      <c r="S195" s="657" t="n"/>
      <c r="T195" s="43" t="inlineStr">
        <is>
          <t>кор</t>
        </is>
      </c>
      <c r="U195" s="687">
        <f>IFERROR(U193/H193,"0")+IFERROR(U194/H194,"0")</f>
        <v/>
      </c>
      <c r="V195" s="687">
        <f>IFERROR(V193/H193,"0")+IFERROR(V194/H194,"0")</f>
        <v/>
      </c>
      <c r="W195" s="687">
        <f>IFERROR(IF(W193="",0,W193),"0")+IFERROR(IF(W194="",0,W194),"0")</f>
        <v/>
      </c>
      <c r="X195" s="688" t="n"/>
      <c r="Y195" s="688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685" t="n"/>
      <c r="M196" s="686" t="inlineStr">
        <is>
          <t>Итого</t>
        </is>
      </c>
      <c r="N196" s="656" t="n"/>
      <c r="O196" s="656" t="n"/>
      <c r="P196" s="656" t="n"/>
      <c r="Q196" s="656" t="n"/>
      <c r="R196" s="656" t="n"/>
      <c r="S196" s="657" t="n"/>
      <c r="T196" s="43" t="inlineStr">
        <is>
          <t>кг</t>
        </is>
      </c>
      <c r="U196" s="687">
        <f>IFERROR(SUM(U193:U194),"0")</f>
        <v/>
      </c>
      <c r="V196" s="687">
        <f>IFERROR(SUM(V193:V194),"0")</f>
        <v/>
      </c>
      <c r="W196" s="43" t="n"/>
      <c r="X196" s="688" t="n"/>
      <c r="Y196" s="688" t="n"/>
    </row>
    <row r="197" ht="16.5" customHeight="1">
      <c r="A197" s="338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338" t="n"/>
      <c r="Y197" s="338" t="n"/>
    </row>
    <row r="198" ht="14.25" customHeight="1">
      <c r="A198" s="330" t="inlineStr">
        <is>
          <t>Вареные колбасы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330" t="n"/>
      <c r="Y198" s="330" t="n"/>
    </row>
    <row r="199" ht="27" customHeight="1">
      <c r="A199" s="64" t="inlineStr">
        <is>
          <t>SU000057</t>
        </is>
      </c>
      <c r="B199" s="64" t="inlineStr">
        <is>
          <t>P002047</t>
        </is>
      </c>
      <c r="C199" s="37" t="n">
        <v>4301011346</v>
      </c>
      <c r="D199" s="331" t="n">
        <v>4607091387445</v>
      </c>
      <c r="E199" s="648" t="n"/>
      <c r="F199" s="680" t="n">
        <v>0.9</v>
      </c>
      <c r="G199" s="38" t="n">
        <v>10</v>
      </c>
      <c r="H199" s="680" t="n">
        <v>9</v>
      </c>
      <c r="I199" s="680" t="n">
        <v>9.630000000000001</v>
      </c>
      <c r="J199" s="38" t="n">
        <v>56</v>
      </c>
      <c r="K199" s="39" t="inlineStr">
        <is>
          <t>СК1</t>
        </is>
      </c>
      <c r="L199" s="38" t="n">
        <v>31</v>
      </c>
      <c r="M199" s="79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9" s="682" t="n"/>
      <c r="O199" s="682" t="n"/>
      <c r="P199" s="682" t="n"/>
      <c r="Q199" s="648" t="n"/>
      <c r="R199" s="40" t="inlineStr"/>
      <c r="S199" s="40" t="inlineStr"/>
      <c r="T199" s="41" t="inlineStr">
        <is>
          <t>кг</t>
        </is>
      </c>
      <c r="U199" s="683" t="n">
        <v>0</v>
      </c>
      <c r="V199" s="68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P002226</t>
        </is>
      </c>
      <c r="C200" s="37" t="n">
        <v>4301011362</v>
      </c>
      <c r="D200" s="331" t="n">
        <v>4607091386004</v>
      </c>
      <c r="E200" s="648" t="n"/>
      <c r="F200" s="680" t="n">
        <v>1.35</v>
      </c>
      <c r="G200" s="38" t="n">
        <v>8</v>
      </c>
      <c r="H200" s="680" t="n">
        <v>10.8</v>
      </c>
      <c r="I200" s="680" t="n">
        <v>11.28</v>
      </c>
      <c r="J200" s="38" t="n">
        <v>48</v>
      </c>
      <c r="K200" s="39" t="inlineStr">
        <is>
          <t>ВЗ</t>
        </is>
      </c>
      <c r="L200" s="38" t="n">
        <v>55</v>
      </c>
      <c r="M200" s="79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200" s="682" t="n"/>
      <c r="O200" s="682" t="n"/>
      <c r="P200" s="682" t="n"/>
      <c r="Q200" s="648" t="n"/>
      <c r="R200" s="40" t="inlineStr"/>
      <c r="S200" s="40" t="inlineStr"/>
      <c r="T200" s="41" t="inlineStr">
        <is>
          <t>кг</t>
        </is>
      </c>
      <c r="U200" s="683" t="n">
        <v>0</v>
      </c>
      <c r="V200" s="684">
        <f>IFERROR(IF(U200="",0,CEILING((U200/$H200),1)*$H200),"")</f>
        <v/>
      </c>
      <c r="W200" s="42">
        <f>IFERROR(IF(V200=0,"",ROUNDUP(V200/H200,0)*0.02039),"")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SU001777</t>
        </is>
      </c>
      <c r="B201" s="64" t="inlineStr">
        <is>
          <t>P001777</t>
        </is>
      </c>
      <c r="C201" s="37" t="n">
        <v>4301011308</v>
      </c>
      <c r="D201" s="331" t="n">
        <v>4607091386004</v>
      </c>
      <c r="E201" s="648" t="n"/>
      <c r="F201" s="680" t="n">
        <v>1.35</v>
      </c>
      <c r="G201" s="38" t="n">
        <v>8</v>
      </c>
      <c r="H201" s="680" t="n">
        <v>10.8</v>
      </c>
      <c r="I201" s="680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201" s="682" t="n"/>
      <c r="O201" s="682" t="n"/>
      <c r="P201" s="682" t="n"/>
      <c r="Q201" s="648" t="n"/>
      <c r="R201" s="40" t="inlineStr"/>
      <c r="S201" s="40" t="inlineStr"/>
      <c r="T201" s="41" t="inlineStr">
        <is>
          <t>кг</t>
        </is>
      </c>
      <c r="U201" s="683" t="n">
        <v>0</v>
      </c>
      <c r="V201" s="684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SU000058</t>
        </is>
      </c>
      <c r="B202" s="64" t="inlineStr">
        <is>
          <t>P002048</t>
        </is>
      </c>
      <c r="C202" s="37" t="n">
        <v>4301011347</v>
      </c>
      <c r="D202" s="331" t="n">
        <v>4607091386073</v>
      </c>
      <c r="E202" s="648" t="n"/>
      <c r="F202" s="680" t="n">
        <v>0.9</v>
      </c>
      <c r="G202" s="38" t="n">
        <v>10</v>
      </c>
      <c r="H202" s="680" t="n">
        <v>9</v>
      </c>
      <c r="I202" s="680" t="n">
        <v>9.630000000000001</v>
      </c>
      <c r="J202" s="38" t="n">
        <v>56</v>
      </c>
      <c r="K202" s="39" t="inlineStr">
        <is>
          <t>СК1</t>
        </is>
      </c>
      <c r="L202" s="38" t="n">
        <v>31</v>
      </c>
      <c r="M202" s="79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202" s="682" t="n"/>
      <c r="O202" s="682" t="n"/>
      <c r="P202" s="682" t="n"/>
      <c r="Q202" s="648" t="n"/>
      <c r="R202" s="40" t="inlineStr"/>
      <c r="S202" s="40" t="inlineStr"/>
      <c r="T202" s="41" t="inlineStr">
        <is>
          <t>кг</t>
        </is>
      </c>
      <c r="U202" s="683" t="n">
        <v>0</v>
      </c>
      <c r="V202" s="684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31" t="n">
        <v>4607091387322</v>
      </c>
      <c r="E203" s="648" t="n"/>
      <c r="F203" s="680" t="n">
        <v>1.35</v>
      </c>
      <c r="G203" s="38" t="n">
        <v>8</v>
      </c>
      <c r="H203" s="680" t="n">
        <v>10.8</v>
      </c>
      <c r="I203" s="680" t="n">
        <v>11.28</v>
      </c>
      <c r="J203" s="38" t="n">
        <v>48</v>
      </c>
      <c r="K203" s="39" t="inlineStr">
        <is>
          <t>ВЗ</t>
        </is>
      </c>
      <c r="L203" s="38" t="n">
        <v>55</v>
      </c>
      <c r="M203" s="79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203" s="682" t="n"/>
      <c r="O203" s="682" t="n"/>
      <c r="P203" s="682" t="n"/>
      <c r="Q203" s="648" t="n"/>
      <c r="R203" s="40" t="inlineStr"/>
      <c r="S203" s="40" t="inlineStr"/>
      <c r="T203" s="41" t="inlineStr">
        <is>
          <t>кг</t>
        </is>
      </c>
      <c r="U203" s="683" t="n">
        <v>0</v>
      </c>
      <c r="V203" s="684">
        <f>IFERROR(IF(U203="",0,CEILING((U203/$H203),1)*$H203),"")</f>
        <v/>
      </c>
      <c r="W203" s="42">
        <f>IFERROR(IF(V203=0,"",ROUNDUP(V203/H203,0)*0.02039),"")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SU001780</t>
        </is>
      </c>
      <c r="B204" s="64" t="inlineStr">
        <is>
          <t>P001780</t>
        </is>
      </c>
      <c r="C204" s="37" t="n">
        <v>4301010928</v>
      </c>
      <c r="D204" s="331" t="n">
        <v>4607091387322</v>
      </c>
      <c r="E204" s="648" t="n"/>
      <c r="F204" s="680" t="n">
        <v>1.35</v>
      </c>
      <c r="G204" s="38" t="n">
        <v>8</v>
      </c>
      <c r="H204" s="680" t="n">
        <v>10.8</v>
      </c>
      <c r="I204" s="680" t="n">
        <v>11.28</v>
      </c>
      <c r="J204" s="38" t="n">
        <v>56</v>
      </c>
      <c r="K204" s="39" t="inlineStr">
        <is>
          <t>СК1</t>
        </is>
      </c>
      <c r="L204" s="38" t="n">
        <v>55</v>
      </c>
      <c r="M204" s="80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4" s="682" t="n"/>
      <c r="O204" s="682" t="n"/>
      <c r="P204" s="682" t="n"/>
      <c r="Q204" s="648" t="n"/>
      <c r="R204" s="40" t="inlineStr"/>
      <c r="S204" s="40" t="inlineStr"/>
      <c r="T204" s="41" t="inlineStr">
        <is>
          <t>кг</t>
        </is>
      </c>
      <c r="U204" s="683" t="n">
        <v>0</v>
      </c>
      <c r="V204" s="684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SU001778</t>
        </is>
      </c>
      <c r="B205" s="64" t="inlineStr">
        <is>
          <t>P001778</t>
        </is>
      </c>
      <c r="C205" s="37" t="n">
        <v>4301011311</v>
      </c>
      <c r="D205" s="331" t="n">
        <v>4607091387377</v>
      </c>
      <c r="E205" s="648" t="n"/>
      <c r="F205" s="680" t="n">
        <v>1.35</v>
      </c>
      <c r="G205" s="38" t="n">
        <v>8</v>
      </c>
      <c r="H205" s="680" t="n">
        <v>10.8</v>
      </c>
      <c r="I205" s="680" t="n">
        <v>11.28</v>
      </c>
      <c r="J205" s="38" t="n">
        <v>56</v>
      </c>
      <c r="K205" s="39" t="inlineStr">
        <is>
          <t>СК1</t>
        </is>
      </c>
      <c r="L205" s="38" t="n">
        <v>55</v>
      </c>
      <c r="M205" s="80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5" s="682" t="n"/>
      <c r="O205" s="682" t="n"/>
      <c r="P205" s="682" t="n"/>
      <c r="Q205" s="648" t="n"/>
      <c r="R205" s="40" t="inlineStr"/>
      <c r="S205" s="40" t="inlineStr"/>
      <c r="T205" s="41" t="inlineStr">
        <is>
          <t>кг</t>
        </is>
      </c>
      <c r="U205" s="683" t="n">
        <v>0</v>
      </c>
      <c r="V205" s="684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SU000043</t>
        </is>
      </c>
      <c r="B206" s="64" t="inlineStr">
        <is>
          <t>P001807</t>
        </is>
      </c>
      <c r="C206" s="37" t="n">
        <v>4301010945</v>
      </c>
      <c r="D206" s="331" t="n">
        <v>4607091387353</v>
      </c>
      <c r="E206" s="648" t="n"/>
      <c r="F206" s="680" t="n">
        <v>1.35</v>
      </c>
      <c r="G206" s="38" t="n">
        <v>8</v>
      </c>
      <c r="H206" s="680" t="n">
        <v>10.8</v>
      </c>
      <c r="I206" s="680" t="n">
        <v>11.28</v>
      </c>
      <c r="J206" s="38" t="n">
        <v>56</v>
      </c>
      <c r="K206" s="39" t="inlineStr">
        <is>
          <t>СК1</t>
        </is>
      </c>
      <c r="L206" s="38" t="n">
        <v>55</v>
      </c>
      <c r="M206" s="80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6" s="682" t="n"/>
      <c r="O206" s="682" t="n"/>
      <c r="P206" s="682" t="n"/>
      <c r="Q206" s="648" t="n"/>
      <c r="R206" s="40" t="inlineStr"/>
      <c r="S206" s="40" t="inlineStr"/>
      <c r="T206" s="41" t="inlineStr">
        <is>
          <t>кг</t>
        </is>
      </c>
      <c r="U206" s="683" t="n">
        <v>0</v>
      </c>
      <c r="V206" s="684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SU001800</t>
        </is>
      </c>
      <c r="B207" s="64" t="inlineStr">
        <is>
          <t>P001800</t>
        </is>
      </c>
      <c r="C207" s="37" t="n">
        <v>4301011328</v>
      </c>
      <c r="D207" s="331" t="n">
        <v>4607091386011</v>
      </c>
      <c r="E207" s="648" t="n"/>
      <c r="F207" s="680" t="n">
        <v>0.5</v>
      </c>
      <c r="G207" s="38" t="n">
        <v>10</v>
      </c>
      <c r="H207" s="680" t="n">
        <v>5</v>
      </c>
      <c r="I207" s="680" t="n">
        <v>5.21</v>
      </c>
      <c r="J207" s="38" t="n">
        <v>120</v>
      </c>
      <c r="K207" s="39" t="inlineStr">
        <is>
          <t>СК2</t>
        </is>
      </c>
      <c r="L207" s="38" t="n">
        <v>55</v>
      </c>
      <c r="M207" s="80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7" s="682" t="n"/>
      <c r="O207" s="682" t="n"/>
      <c r="P207" s="682" t="n"/>
      <c r="Q207" s="648" t="n"/>
      <c r="R207" s="40" t="inlineStr"/>
      <c r="S207" s="40" t="inlineStr"/>
      <c r="T207" s="41" t="inlineStr">
        <is>
          <t>кг</t>
        </is>
      </c>
      <c r="U207" s="683" t="n">
        <v>0</v>
      </c>
      <c r="V207" s="68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SU001805</t>
        </is>
      </c>
      <c r="B208" s="64" t="inlineStr">
        <is>
          <t>P001805</t>
        </is>
      </c>
      <c r="C208" s="37" t="n">
        <v>4301011329</v>
      </c>
      <c r="D208" s="331" t="n">
        <v>4607091387308</v>
      </c>
      <c r="E208" s="648" t="n"/>
      <c r="F208" s="680" t="n">
        <v>0.5</v>
      </c>
      <c r="G208" s="38" t="n">
        <v>10</v>
      </c>
      <c r="H208" s="680" t="n">
        <v>5</v>
      </c>
      <c r="I208" s="680" t="n">
        <v>5.21</v>
      </c>
      <c r="J208" s="38" t="n">
        <v>120</v>
      </c>
      <c r="K208" s="39" t="inlineStr">
        <is>
          <t>СК2</t>
        </is>
      </c>
      <c r="L208" s="38" t="n">
        <v>55</v>
      </c>
      <c r="M208" s="80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8" s="682" t="n"/>
      <c r="O208" s="682" t="n"/>
      <c r="P208" s="682" t="n"/>
      <c r="Q208" s="648" t="n"/>
      <c r="R208" s="40" t="inlineStr"/>
      <c r="S208" s="40" t="inlineStr"/>
      <c r="T208" s="41" t="inlineStr">
        <is>
          <t>кг</t>
        </is>
      </c>
      <c r="U208" s="683" t="n">
        <v>0</v>
      </c>
      <c r="V208" s="684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SU001829</t>
        </is>
      </c>
      <c r="B209" s="64" t="inlineStr">
        <is>
          <t>P001829</t>
        </is>
      </c>
      <c r="C209" s="37" t="n">
        <v>4301011049</v>
      </c>
      <c r="D209" s="331" t="n">
        <v>4607091387339</v>
      </c>
      <c r="E209" s="648" t="n"/>
      <c r="F209" s="680" t="n">
        <v>0.5</v>
      </c>
      <c r="G209" s="38" t="n">
        <v>10</v>
      </c>
      <c r="H209" s="680" t="n">
        <v>5</v>
      </c>
      <c r="I209" s="680" t="n">
        <v>5.24</v>
      </c>
      <c r="J209" s="38" t="n">
        <v>120</v>
      </c>
      <c r="K209" s="39" t="inlineStr">
        <is>
          <t>СК1</t>
        </is>
      </c>
      <c r="L209" s="38" t="n">
        <v>55</v>
      </c>
      <c r="M209" s="80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9" s="682" t="n"/>
      <c r="O209" s="682" t="n"/>
      <c r="P209" s="682" t="n"/>
      <c r="Q209" s="648" t="n"/>
      <c r="R209" s="40" t="inlineStr"/>
      <c r="S209" s="40" t="inlineStr"/>
      <c r="T209" s="41" t="inlineStr">
        <is>
          <t>кг</t>
        </is>
      </c>
      <c r="U209" s="683" t="n">
        <v>0</v>
      </c>
      <c r="V209" s="684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 ht="27" customHeight="1">
      <c r="A210" s="64" t="inlineStr">
        <is>
          <t>SU002787</t>
        </is>
      </c>
      <c r="B210" s="64" t="inlineStr">
        <is>
          <t>P003189</t>
        </is>
      </c>
      <c r="C210" s="37" t="n">
        <v>4301011433</v>
      </c>
      <c r="D210" s="331" t="n">
        <v>4680115882638</v>
      </c>
      <c r="E210" s="648" t="n"/>
      <c r="F210" s="680" t="n">
        <v>0.4</v>
      </c>
      <c r="G210" s="38" t="n">
        <v>10</v>
      </c>
      <c r="H210" s="680" t="n">
        <v>4</v>
      </c>
      <c r="I210" s="680" t="n">
        <v>4.24</v>
      </c>
      <c r="J210" s="38" t="n">
        <v>120</v>
      </c>
      <c r="K210" s="39" t="inlineStr">
        <is>
          <t>СК1</t>
        </is>
      </c>
      <c r="L210" s="38" t="n">
        <v>90</v>
      </c>
      <c r="M210" s="80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10" s="682" t="n"/>
      <c r="O210" s="682" t="n"/>
      <c r="P210" s="682" t="n"/>
      <c r="Q210" s="648" t="n"/>
      <c r="R210" s="40" t="inlineStr"/>
      <c r="S210" s="40" t="inlineStr"/>
      <c r="T210" s="41" t="inlineStr">
        <is>
          <t>кг</t>
        </is>
      </c>
      <c r="U210" s="683" t="n">
        <v>0</v>
      </c>
      <c r="V210" s="684">
        <f>IFERROR(IF(U210="",0,CEILING((U210/$H210),1)*$H210),"")</f>
        <v/>
      </c>
      <c r="W210" s="42">
        <f>IFERROR(IF(V210=0,"",ROUNDUP(V210/H210,0)*0.00937),"")</f>
        <v/>
      </c>
      <c r="X210" s="69" t="inlineStr"/>
      <c r="Y210" s="70" t="inlineStr"/>
      <c r="AC210" s="71" t="n"/>
      <c r="AZ210" s="191" t="inlineStr">
        <is>
          <t>КИ</t>
        </is>
      </c>
    </row>
    <row r="211" ht="27" customHeight="1">
      <c r="A211" s="64" t="inlineStr">
        <is>
          <t>SU002894</t>
        </is>
      </c>
      <c r="B211" s="64" t="inlineStr">
        <is>
          <t>P003314</t>
        </is>
      </c>
      <c r="C211" s="37" t="n">
        <v>4301011573</v>
      </c>
      <c r="D211" s="331" t="n">
        <v>4680115881938</v>
      </c>
      <c r="E211" s="648" t="n"/>
      <c r="F211" s="680" t="n">
        <v>0.4</v>
      </c>
      <c r="G211" s="38" t="n">
        <v>10</v>
      </c>
      <c r="H211" s="680" t="n">
        <v>4</v>
      </c>
      <c r="I211" s="68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80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11" s="682" t="n"/>
      <c r="O211" s="682" t="n"/>
      <c r="P211" s="682" t="n"/>
      <c r="Q211" s="648" t="n"/>
      <c r="R211" s="40" t="inlineStr"/>
      <c r="S211" s="40" t="inlineStr"/>
      <c r="T211" s="41" t="inlineStr">
        <is>
          <t>кг</t>
        </is>
      </c>
      <c r="U211" s="683" t="n">
        <v>0</v>
      </c>
      <c r="V211" s="68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92" t="inlineStr">
        <is>
          <t>КИ</t>
        </is>
      </c>
    </row>
    <row r="212" ht="27" customHeight="1">
      <c r="A212" s="64" t="inlineStr">
        <is>
          <t>SU000078</t>
        </is>
      </c>
      <c r="B212" s="64" t="inlineStr">
        <is>
          <t>P001806</t>
        </is>
      </c>
      <c r="C212" s="37" t="n">
        <v>4301010944</v>
      </c>
      <c r="D212" s="331" t="n">
        <v>4607091387346</v>
      </c>
      <c r="E212" s="648" t="n"/>
      <c r="F212" s="680" t="n">
        <v>0.4</v>
      </c>
      <c r="G212" s="38" t="n">
        <v>10</v>
      </c>
      <c r="H212" s="680" t="n">
        <v>4</v>
      </c>
      <c r="I212" s="680" t="n">
        <v>4.24</v>
      </c>
      <c r="J212" s="38" t="n">
        <v>120</v>
      </c>
      <c r="K212" s="39" t="inlineStr">
        <is>
          <t>СК1</t>
        </is>
      </c>
      <c r="L212" s="38" t="n">
        <v>55</v>
      </c>
      <c r="M212" s="80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12" s="682" t="n"/>
      <c r="O212" s="682" t="n"/>
      <c r="P212" s="682" t="n"/>
      <c r="Q212" s="648" t="n"/>
      <c r="R212" s="40" t="inlineStr"/>
      <c r="S212" s="40" t="inlineStr"/>
      <c r="T212" s="41" t="inlineStr">
        <is>
          <t>кг</t>
        </is>
      </c>
      <c r="U212" s="683" t="n">
        <v>0</v>
      </c>
      <c r="V212" s="684">
        <f>IFERROR(IF(U212="",0,CEILING((U212/$H212),1)*$H212),"")</f>
        <v/>
      </c>
      <c r="W212" s="42">
        <f>IFERROR(IF(V212=0,"",ROUNDUP(V212/H212,0)*0.00937),"")</f>
        <v/>
      </c>
      <c r="X212" s="69" t="inlineStr"/>
      <c r="Y212" s="70" t="inlineStr"/>
      <c r="AC212" s="71" t="n"/>
      <c r="AZ212" s="193" t="inlineStr">
        <is>
          <t>КИ</t>
        </is>
      </c>
    </row>
    <row r="213" ht="27" customHeight="1">
      <c r="A213" s="64" t="inlineStr">
        <is>
          <t>SU002616</t>
        </is>
      </c>
      <c r="B213" s="64" t="inlineStr">
        <is>
          <t>P002950</t>
        </is>
      </c>
      <c r="C213" s="37" t="n">
        <v>4301011353</v>
      </c>
      <c r="D213" s="331" t="n">
        <v>4607091389807</v>
      </c>
      <c r="E213" s="648" t="n"/>
      <c r="F213" s="680" t="n">
        <v>0.4</v>
      </c>
      <c r="G213" s="38" t="n">
        <v>10</v>
      </c>
      <c r="H213" s="680" t="n">
        <v>4</v>
      </c>
      <c r="I213" s="680" t="n">
        <v>4.24</v>
      </c>
      <c r="J213" s="38" t="n">
        <v>120</v>
      </c>
      <c r="K213" s="39" t="inlineStr">
        <is>
          <t>СК1</t>
        </is>
      </c>
      <c r="L213" s="38" t="n">
        <v>55</v>
      </c>
      <c r="M213" s="80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13" s="682" t="n"/>
      <c r="O213" s="682" t="n"/>
      <c r="P213" s="682" t="n"/>
      <c r="Q213" s="648" t="n"/>
      <c r="R213" s="40" t="inlineStr"/>
      <c r="S213" s="40" t="inlineStr"/>
      <c r="T213" s="41" t="inlineStr">
        <is>
          <t>кг</t>
        </is>
      </c>
      <c r="U213" s="683" t="n">
        <v>0</v>
      </c>
      <c r="V213" s="684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4" t="inlineStr">
        <is>
          <t>КИ</t>
        </is>
      </c>
    </row>
    <row r="214">
      <c r="A214" s="325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85" t="n"/>
      <c r="M214" s="686" t="inlineStr">
        <is>
          <t>Итого</t>
        </is>
      </c>
      <c r="N214" s="656" t="n"/>
      <c r="O214" s="656" t="n"/>
      <c r="P214" s="656" t="n"/>
      <c r="Q214" s="656" t="n"/>
      <c r="R214" s="656" t="n"/>
      <c r="S214" s="657" t="n"/>
      <c r="T214" s="43" t="inlineStr">
        <is>
          <t>кор</t>
        </is>
      </c>
      <c r="U214" s="687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/>
      </c>
      <c r="V214" s="687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/>
      </c>
      <c r="W214" s="687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/>
      </c>
      <c r="X214" s="688" t="n"/>
      <c r="Y214" s="688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85" t="n"/>
      <c r="M215" s="686" t="inlineStr">
        <is>
          <t>Итого</t>
        </is>
      </c>
      <c r="N215" s="656" t="n"/>
      <c r="O215" s="656" t="n"/>
      <c r="P215" s="656" t="n"/>
      <c r="Q215" s="656" t="n"/>
      <c r="R215" s="656" t="n"/>
      <c r="S215" s="657" t="n"/>
      <c r="T215" s="43" t="inlineStr">
        <is>
          <t>кг</t>
        </is>
      </c>
      <c r="U215" s="687">
        <f>IFERROR(SUM(U199:U213),"0")</f>
        <v/>
      </c>
      <c r="V215" s="687">
        <f>IFERROR(SUM(V199:V213),"0")</f>
        <v/>
      </c>
      <c r="W215" s="43" t="n"/>
      <c r="X215" s="688" t="n"/>
      <c r="Y215" s="688" t="n"/>
    </row>
    <row r="216" ht="14.25" customHeight="1">
      <c r="A216" s="330" t="inlineStr">
        <is>
          <t>Ветчины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30" t="n"/>
      <c r="Y216" s="330" t="n"/>
    </row>
    <row r="217" ht="27" customHeight="1">
      <c r="A217" s="64" t="inlineStr">
        <is>
          <t>SU002788</t>
        </is>
      </c>
      <c r="B217" s="64" t="inlineStr">
        <is>
          <t>P003190</t>
        </is>
      </c>
      <c r="C217" s="37" t="n">
        <v>4301020254</v>
      </c>
      <c r="D217" s="331" t="n">
        <v>4680115881914</v>
      </c>
      <c r="E217" s="648" t="n"/>
      <c r="F217" s="680" t="n">
        <v>0.4</v>
      </c>
      <c r="G217" s="38" t="n">
        <v>10</v>
      </c>
      <c r="H217" s="680" t="n">
        <v>4</v>
      </c>
      <c r="I217" s="680" t="n">
        <v>4.24</v>
      </c>
      <c r="J217" s="38" t="n">
        <v>120</v>
      </c>
      <c r="K217" s="39" t="inlineStr">
        <is>
          <t>СК1</t>
        </is>
      </c>
      <c r="L217" s="38" t="n">
        <v>90</v>
      </c>
      <c r="M217" s="81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7" s="682" t="n"/>
      <c r="O217" s="682" t="n"/>
      <c r="P217" s="682" t="n"/>
      <c r="Q217" s="648" t="n"/>
      <c r="R217" s="40" t="inlineStr"/>
      <c r="S217" s="40" t="inlineStr"/>
      <c r="T217" s="41" t="inlineStr">
        <is>
          <t>кг</t>
        </is>
      </c>
      <c r="U217" s="683" t="n">
        <v>0</v>
      </c>
      <c r="V217" s="684">
        <f>IFERROR(IF(U217="",0,CEILING((U217/$H217),1)*$H217),"")</f>
        <v/>
      </c>
      <c r="W217" s="42">
        <f>IFERROR(IF(V217=0,"",ROUNDUP(V217/H217,0)*0.00937),"")</f>
        <v/>
      </c>
      <c r="X217" s="69" t="inlineStr"/>
      <c r="Y217" s="70" t="inlineStr"/>
      <c r="AC217" s="71" t="n"/>
      <c r="AZ217" s="195" t="inlineStr">
        <is>
          <t>КИ</t>
        </is>
      </c>
    </row>
    <row r="218">
      <c r="A218" s="325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85" t="n"/>
      <c r="M218" s="686" t="inlineStr">
        <is>
          <t>Итого</t>
        </is>
      </c>
      <c r="N218" s="656" t="n"/>
      <c r="O218" s="656" t="n"/>
      <c r="P218" s="656" t="n"/>
      <c r="Q218" s="656" t="n"/>
      <c r="R218" s="656" t="n"/>
      <c r="S218" s="657" t="n"/>
      <c r="T218" s="43" t="inlineStr">
        <is>
          <t>кор</t>
        </is>
      </c>
      <c r="U218" s="687">
        <f>IFERROR(U217/H217,"0")</f>
        <v/>
      </c>
      <c r="V218" s="687">
        <f>IFERROR(V217/H217,"0")</f>
        <v/>
      </c>
      <c r="W218" s="687">
        <f>IFERROR(IF(W217="",0,W217),"0")</f>
        <v/>
      </c>
      <c r="X218" s="688" t="n"/>
      <c r="Y218" s="688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85" t="n"/>
      <c r="M219" s="686" t="inlineStr">
        <is>
          <t>Итого</t>
        </is>
      </c>
      <c r="N219" s="656" t="n"/>
      <c r="O219" s="656" t="n"/>
      <c r="P219" s="656" t="n"/>
      <c r="Q219" s="656" t="n"/>
      <c r="R219" s="656" t="n"/>
      <c r="S219" s="657" t="n"/>
      <c r="T219" s="43" t="inlineStr">
        <is>
          <t>кг</t>
        </is>
      </c>
      <c r="U219" s="687">
        <f>IFERROR(SUM(U217:U217),"0")</f>
        <v/>
      </c>
      <c r="V219" s="687">
        <f>IFERROR(SUM(V217:V217),"0")</f>
        <v/>
      </c>
      <c r="W219" s="43" t="n"/>
      <c r="X219" s="688" t="n"/>
      <c r="Y219" s="688" t="n"/>
    </row>
    <row r="220" ht="14.25" customHeight="1">
      <c r="A220" s="330" t="inlineStr">
        <is>
          <t>Копченые колбасы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330" t="n"/>
      <c r="Y220" s="330" t="n"/>
    </row>
    <row r="221" ht="27" customHeight="1">
      <c r="A221" s="64" t="inlineStr">
        <is>
          <t>SU001820</t>
        </is>
      </c>
      <c r="B221" s="64" t="inlineStr">
        <is>
          <t>P001820</t>
        </is>
      </c>
      <c r="C221" s="37" t="n">
        <v>4301030878</v>
      </c>
      <c r="D221" s="331" t="n">
        <v>4607091387193</v>
      </c>
      <c r="E221" s="648" t="n"/>
      <c r="F221" s="680" t="n">
        <v>0.7</v>
      </c>
      <c r="G221" s="38" t="n">
        <v>6</v>
      </c>
      <c r="H221" s="680" t="n">
        <v>4.2</v>
      </c>
      <c r="I221" s="680" t="n">
        <v>4.46</v>
      </c>
      <c r="J221" s="38" t="n">
        <v>156</v>
      </c>
      <c r="K221" s="39" t="inlineStr">
        <is>
          <t>СК2</t>
        </is>
      </c>
      <c r="L221" s="38" t="n">
        <v>35</v>
      </c>
      <c r="M221" s="81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21" s="682" t="n"/>
      <c r="O221" s="682" t="n"/>
      <c r="P221" s="682" t="n"/>
      <c r="Q221" s="648" t="n"/>
      <c r="R221" s="40" t="inlineStr"/>
      <c r="S221" s="40" t="inlineStr"/>
      <c r="T221" s="41" t="inlineStr">
        <is>
          <t>кг</t>
        </is>
      </c>
      <c r="U221" s="683" t="n">
        <v>0</v>
      </c>
      <c r="V221" s="684">
        <f>IFERROR(IF(U221="",0,CEILING((U221/$H221),1)*$H221),"")</f>
        <v/>
      </c>
      <c r="W221" s="42">
        <f>IFERROR(IF(V221=0,"",ROUNDUP(V221/H221,0)*0.00753),"")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SU001822</t>
        </is>
      </c>
      <c r="B222" s="64" t="inlineStr">
        <is>
          <t>P003013</t>
        </is>
      </c>
      <c r="C222" s="37" t="n">
        <v>4301031153</v>
      </c>
      <c r="D222" s="331" t="n">
        <v>4607091387230</v>
      </c>
      <c r="E222" s="648" t="n"/>
      <c r="F222" s="680" t="n">
        <v>0.7</v>
      </c>
      <c r="G222" s="38" t="n">
        <v>6</v>
      </c>
      <c r="H222" s="680" t="n">
        <v>4.2</v>
      </c>
      <c r="I222" s="680" t="n">
        <v>4.46</v>
      </c>
      <c r="J222" s="38" t="n">
        <v>156</v>
      </c>
      <c r="K222" s="39" t="inlineStr">
        <is>
          <t>СК2</t>
        </is>
      </c>
      <c r="L222" s="38" t="n">
        <v>40</v>
      </c>
      <c r="M222" s="81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22" s="682" t="n"/>
      <c r="O222" s="682" t="n"/>
      <c r="P222" s="682" t="n"/>
      <c r="Q222" s="648" t="n"/>
      <c r="R222" s="40" t="inlineStr"/>
      <c r="S222" s="40" t="inlineStr"/>
      <c r="T222" s="41" t="inlineStr">
        <is>
          <t>кг</t>
        </is>
      </c>
      <c r="U222" s="683" t="n">
        <v>0</v>
      </c>
      <c r="V222" s="684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SU002579</t>
        </is>
      </c>
      <c r="B223" s="64" t="inlineStr">
        <is>
          <t>P003012</t>
        </is>
      </c>
      <c r="C223" s="37" t="n">
        <v>4301031152</v>
      </c>
      <c r="D223" s="331" t="n">
        <v>4607091387285</v>
      </c>
      <c r="E223" s="648" t="n"/>
      <c r="F223" s="680" t="n">
        <v>0.35</v>
      </c>
      <c r="G223" s="38" t="n">
        <v>6</v>
      </c>
      <c r="H223" s="680" t="n">
        <v>2.1</v>
      </c>
      <c r="I223" s="680" t="n">
        <v>2.23</v>
      </c>
      <c r="J223" s="38" t="n">
        <v>234</v>
      </c>
      <c r="K223" s="39" t="inlineStr">
        <is>
          <t>СК2</t>
        </is>
      </c>
      <c r="L223" s="38" t="n">
        <v>40</v>
      </c>
      <c r="M223" s="81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23" s="682" t="n"/>
      <c r="O223" s="682" t="n"/>
      <c r="P223" s="682" t="n"/>
      <c r="Q223" s="648" t="n"/>
      <c r="R223" s="40" t="inlineStr"/>
      <c r="S223" s="40" t="inlineStr"/>
      <c r="T223" s="41" t="inlineStr">
        <is>
          <t>кг</t>
        </is>
      </c>
      <c r="U223" s="683" t="n">
        <v>0</v>
      </c>
      <c r="V223" s="684">
        <f>IFERROR(IF(U223="",0,CEILING((U223/$H223),1)*$H223),"")</f>
        <v/>
      </c>
      <c r="W223" s="42">
        <f>IFERROR(IF(V223=0,"",ROUNDUP(V223/H223,0)*0.00502),"")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SU002617</t>
        </is>
      </c>
      <c r="B224" s="64" t="inlineStr">
        <is>
          <t>P002951</t>
        </is>
      </c>
      <c r="C224" s="37" t="n">
        <v>4301031151</v>
      </c>
      <c r="D224" s="331" t="n">
        <v>4607091389845</v>
      </c>
      <c r="E224" s="648" t="n"/>
      <c r="F224" s="680" t="n">
        <v>0.35</v>
      </c>
      <c r="G224" s="38" t="n">
        <v>6</v>
      </c>
      <c r="H224" s="680" t="n">
        <v>2.1</v>
      </c>
      <c r="I224" s="680" t="n">
        <v>2.2</v>
      </c>
      <c r="J224" s="38" t="n">
        <v>234</v>
      </c>
      <c r="K224" s="39" t="inlineStr">
        <is>
          <t>СК2</t>
        </is>
      </c>
      <c r="L224" s="38" t="n">
        <v>40</v>
      </c>
      <c r="M224" s="81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4" s="682" t="n"/>
      <c r="O224" s="682" t="n"/>
      <c r="P224" s="682" t="n"/>
      <c r="Q224" s="648" t="n"/>
      <c r="R224" s="40" t="inlineStr"/>
      <c r="S224" s="40" t="inlineStr"/>
      <c r="T224" s="41" t="inlineStr">
        <is>
          <t>кг</t>
        </is>
      </c>
      <c r="U224" s="683" t="n">
        <v>0</v>
      </c>
      <c r="V224" s="684">
        <f>IFERROR(IF(U224="",0,CEILING((U224/$H224),1)*$H224),"")</f>
        <v/>
      </c>
      <c r="W224" s="42">
        <f>IFERROR(IF(V224=0,"",ROUNDUP(V224/H224,0)*0.00502),"")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5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85" t="n"/>
      <c r="M225" s="686" t="inlineStr">
        <is>
          <t>Итого</t>
        </is>
      </c>
      <c r="N225" s="656" t="n"/>
      <c r="O225" s="656" t="n"/>
      <c r="P225" s="656" t="n"/>
      <c r="Q225" s="656" t="n"/>
      <c r="R225" s="656" t="n"/>
      <c r="S225" s="657" t="n"/>
      <c r="T225" s="43" t="inlineStr">
        <is>
          <t>кор</t>
        </is>
      </c>
      <c r="U225" s="687">
        <f>IFERROR(U221/H221,"0")+IFERROR(U222/H222,"0")+IFERROR(U223/H223,"0")+IFERROR(U224/H224,"0")</f>
        <v/>
      </c>
      <c r="V225" s="687">
        <f>IFERROR(V221/H221,"0")+IFERROR(V222/H222,"0")+IFERROR(V223/H223,"0")+IFERROR(V224/H224,"0")</f>
        <v/>
      </c>
      <c r="W225" s="687">
        <f>IFERROR(IF(W221="",0,W221),"0")+IFERROR(IF(W222="",0,W222),"0")+IFERROR(IF(W223="",0,W223),"0")+IFERROR(IF(W224="",0,W224),"0")</f>
        <v/>
      </c>
      <c r="X225" s="688" t="n"/>
      <c r="Y225" s="688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85" t="n"/>
      <c r="M226" s="686" t="inlineStr">
        <is>
          <t>Итого</t>
        </is>
      </c>
      <c r="N226" s="656" t="n"/>
      <c r="O226" s="656" t="n"/>
      <c r="P226" s="656" t="n"/>
      <c r="Q226" s="656" t="n"/>
      <c r="R226" s="656" t="n"/>
      <c r="S226" s="657" t="n"/>
      <c r="T226" s="43" t="inlineStr">
        <is>
          <t>кг</t>
        </is>
      </c>
      <c r="U226" s="687">
        <f>IFERROR(SUM(U221:U224),"0")</f>
        <v/>
      </c>
      <c r="V226" s="687">
        <f>IFERROR(SUM(V221:V224),"0")</f>
        <v/>
      </c>
      <c r="W226" s="43" t="n"/>
      <c r="X226" s="688" t="n"/>
      <c r="Y226" s="688" t="n"/>
    </row>
    <row r="227" ht="14.25" customHeight="1">
      <c r="A227" s="330" t="inlineStr">
        <is>
          <t>Сосиски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SU001340</t>
        </is>
      </c>
      <c r="B228" s="64" t="inlineStr">
        <is>
          <t>P002209</t>
        </is>
      </c>
      <c r="C228" s="37" t="n">
        <v>4301051100</v>
      </c>
      <c r="D228" s="331" t="n">
        <v>4607091387766</v>
      </c>
      <c r="E228" s="648" t="n"/>
      <c r="F228" s="680" t="n">
        <v>1.35</v>
      </c>
      <c r="G228" s="38" t="n">
        <v>6</v>
      </c>
      <c r="H228" s="680" t="n">
        <v>8.1</v>
      </c>
      <c r="I228" s="680" t="n">
        <v>8.657999999999999</v>
      </c>
      <c r="J228" s="38" t="n">
        <v>56</v>
      </c>
      <c r="K228" s="39" t="inlineStr">
        <is>
          <t>СК3</t>
        </is>
      </c>
      <c r="L228" s="38" t="n">
        <v>40</v>
      </c>
      <c r="M228" s="815">
        <f>HYPERLINK("https://abi.ru/products/Охлажденные/Стародворье/Бордо/Сосиски/P002209/","Сосиски Ганноверские Бордо Весовые П/а мгс Баварушка")</f>
        <v/>
      </c>
      <c r="N228" s="682" t="n"/>
      <c r="O228" s="682" t="n"/>
      <c r="P228" s="682" t="n"/>
      <c r="Q228" s="648" t="n"/>
      <c r="R228" s="40" t="inlineStr"/>
      <c r="S228" s="40" t="inlineStr"/>
      <c r="T228" s="41" t="inlineStr">
        <is>
          <t>кг</t>
        </is>
      </c>
      <c r="U228" s="683" t="n">
        <v>0</v>
      </c>
      <c r="V228" s="684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SU001727</t>
        </is>
      </c>
      <c r="B229" s="64" t="inlineStr">
        <is>
          <t>P002205</t>
        </is>
      </c>
      <c r="C229" s="37" t="n">
        <v>4301051116</v>
      </c>
      <c r="D229" s="331" t="n">
        <v>4607091387957</v>
      </c>
      <c r="E229" s="648" t="n"/>
      <c r="F229" s="680" t="n">
        <v>1.3</v>
      </c>
      <c r="G229" s="38" t="n">
        <v>6</v>
      </c>
      <c r="H229" s="680" t="n">
        <v>7.8</v>
      </c>
      <c r="I229" s="680" t="n">
        <v>8.364000000000001</v>
      </c>
      <c r="J229" s="38" t="n">
        <v>56</v>
      </c>
      <c r="K229" s="39" t="inlineStr">
        <is>
          <t>СК2</t>
        </is>
      </c>
      <c r="L229" s="38" t="n">
        <v>40</v>
      </c>
      <c r="M229" s="81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9" s="682" t="n"/>
      <c r="O229" s="682" t="n"/>
      <c r="P229" s="682" t="n"/>
      <c r="Q229" s="648" t="n"/>
      <c r="R229" s="40" t="inlineStr"/>
      <c r="S229" s="40" t="inlineStr"/>
      <c r="T229" s="41" t="inlineStr">
        <is>
          <t>кг</t>
        </is>
      </c>
      <c r="U229" s="683" t="n">
        <v>0</v>
      </c>
      <c r="V229" s="684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SU001728</t>
        </is>
      </c>
      <c r="B230" s="64" t="inlineStr">
        <is>
          <t>P002207</t>
        </is>
      </c>
      <c r="C230" s="37" t="n">
        <v>4301051115</v>
      </c>
      <c r="D230" s="331" t="n">
        <v>4607091387964</v>
      </c>
      <c r="E230" s="648" t="n"/>
      <c r="F230" s="680" t="n">
        <v>1.35</v>
      </c>
      <c r="G230" s="38" t="n">
        <v>6</v>
      </c>
      <c r="H230" s="680" t="n">
        <v>8.1</v>
      </c>
      <c r="I230" s="680" t="n">
        <v>8.646000000000001</v>
      </c>
      <c r="J230" s="38" t="n">
        <v>56</v>
      </c>
      <c r="K230" s="39" t="inlineStr">
        <is>
          <t>СК2</t>
        </is>
      </c>
      <c r="L230" s="38" t="n">
        <v>40</v>
      </c>
      <c r="M230" s="81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30" s="682" t="n"/>
      <c r="O230" s="682" t="n"/>
      <c r="P230" s="682" t="n"/>
      <c r="Q230" s="648" t="n"/>
      <c r="R230" s="40" t="inlineStr"/>
      <c r="S230" s="40" t="inlineStr"/>
      <c r="T230" s="41" t="inlineStr">
        <is>
          <t>кг</t>
        </is>
      </c>
      <c r="U230" s="683" t="n">
        <v>0</v>
      </c>
      <c r="V230" s="684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SU001341</t>
        </is>
      </c>
      <c r="B231" s="64" t="inlineStr">
        <is>
          <t>P002204</t>
        </is>
      </c>
      <c r="C231" s="37" t="n">
        <v>4301051134</v>
      </c>
      <c r="D231" s="331" t="n">
        <v>4607091381672</v>
      </c>
      <c r="E231" s="648" t="n"/>
      <c r="F231" s="680" t="n">
        <v>0.6</v>
      </c>
      <c r="G231" s="38" t="n">
        <v>6</v>
      </c>
      <c r="H231" s="680" t="n">
        <v>3.6</v>
      </c>
      <c r="I231" s="680" t="n">
        <v>3.876</v>
      </c>
      <c r="J231" s="38" t="n">
        <v>120</v>
      </c>
      <c r="K231" s="39" t="inlineStr">
        <is>
          <t>СК2</t>
        </is>
      </c>
      <c r="L231" s="38" t="n">
        <v>40</v>
      </c>
      <c r="M231" s="81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31" s="682" t="n"/>
      <c r="O231" s="682" t="n"/>
      <c r="P231" s="682" t="n"/>
      <c r="Q231" s="648" t="n"/>
      <c r="R231" s="40" t="inlineStr"/>
      <c r="S231" s="40" t="inlineStr"/>
      <c r="T231" s="41" t="inlineStr">
        <is>
          <t>кг</t>
        </is>
      </c>
      <c r="U231" s="683" t="n">
        <v>0</v>
      </c>
      <c r="V231" s="684">
        <f>IFERROR(IF(U231="",0,CEILING((U231/$H231),1)*$H231),"")</f>
        <v/>
      </c>
      <c r="W231" s="42">
        <f>IFERROR(IF(V231=0,"",ROUNDUP(V231/H231,0)*0.00937),"")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27" customHeight="1">
      <c r="A232" s="64" t="inlineStr">
        <is>
          <t>SU001763</t>
        </is>
      </c>
      <c r="B232" s="64" t="inlineStr">
        <is>
          <t>P002206</t>
        </is>
      </c>
      <c r="C232" s="37" t="n">
        <v>4301051130</v>
      </c>
      <c r="D232" s="331" t="n">
        <v>4607091387537</v>
      </c>
      <c r="E232" s="648" t="n"/>
      <c r="F232" s="680" t="n">
        <v>0.45</v>
      </c>
      <c r="G232" s="38" t="n">
        <v>6</v>
      </c>
      <c r="H232" s="680" t="n">
        <v>2.7</v>
      </c>
      <c r="I232" s="680" t="n">
        <v>2.99</v>
      </c>
      <c r="J232" s="38" t="n">
        <v>156</v>
      </c>
      <c r="K232" s="39" t="inlineStr">
        <is>
          <t>СК2</t>
        </is>
      </c>
      <c r="L232" s="38" t="n">
        <v>40</v>
      </c>
      <c r="M232" s="81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32" s="682" t="n"/>
      <c r="O232" s="682" t="n"/>
      <c r="P232" s="682" t="n"/>
      <c r="Q232" s="648" t="n"/>
      <c r="R232" s="40" t="inlineStr"/>
      <c r="S232" s="40" t="inlineStr"/>
      <c r="T232" s="41" t="inlineStr">
        <is>
          <t>кг</t>
        </is>
      </c>
      <c r="U232" s="683" t="n">
        <v>0</v>
      </c>
      <c r="V232" s="684">
        <f>IFERROR(IF(U232="",0,CEILING((U232/$H232),1)*$H232),"")</f>
        <v/>
      </c>
      <c r="W232" s="42">
        <f>IFERROR(IF(V232=0,"",ROUNDUP(V232/H232,0)*0.00753),"")</f>
        <v/>
      </c>
      <c r="X232" s="69" t="inlineStr"/>
      <c r="Y232" s="70" t="inlineStr"/>
      <c r="AC232" s="71" t="n"/>
      <c r="AZ232" s="204" t="inlineStr">
        <is>
          <t>КИ</t>
        </is>
      </c>
    </row>
    <row r="233" ht="27" customHeight="1">
      <c r="A233" s="64" t="inlineStr">
        <is>
          <t>SU001762</t>
        </is>
      </c>
      <c r="B233" s="64" t="inlineStr">
        <is>
          <t>P002208</t>
        </is>
      </c>
      <c r="C233" s="37" t="n">
        <v>4301051132</v>
      </c>
      <c r="D233" s="331" t="n">
        <v>4607091387513</v>
      </c>
      <c r="E233" s="648" t="n"/>
      <c r="F233" s="680" t="n">
        <v>0.45</v>
      </c>
      <c r="G233" s="38" t="n">
        <v>6</v>
      </c>
      <c r="H233" s="680" t="n">
        <v>2.7</v>
      </c>
      <c r="I233" s="680" t="n">
        <v>2.978</v>
      </c>
      <c r="J233" s="38" t="n">
        <v>156</v>
      </c>
      <c r="K233" s="39" t="inlineStr">
        <is>
          <t>СК2</t>
        </is>
      </c>
      <c r="L233" s="38" t="n">
        <v>40</v>
      </c>
      <c r="M233" s="82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33" s="682" t="n"/>
      <c r="O233" s="682" t="n"/>
      <c r="P233" s="682" t="n"/>
      <c r="Q233" s="648" t="n"/>
      <c r="R233" s="40" t="inlineStr"/>
      <c r="S233" s="40" t="inlineStr"/>
      <c r="T233" s="41" t="inlineStr">
        <is>
          <t>кг</t>
        </is>
      </c>
      <c r="U233" s="683" t="n">
        <v>0</v>
      </c>
      <c r="V233" s="684">
        <f>IFERROR(IF(U233="",0,CEILING((U233/$H233),1)*$H233),"")</f>
        <v/>
      </c>
      <c r="W233" s="42">
        <f>IFERROR(IF(V233=0,"",ROUNDUP(V233/H233,0)*0.00753),"")</f>
        <v/>
      </c>
      <c r="X233" s="69" t="inlineStr"/>
      <c r="Y233" s="70" t="inlineStr"/>
      <c r="AC233" s="71" t="n"/>
      <c r="AZ233" s="205" t="inlineStr">
        <is>
          <t>КИ</t>
        </is>
      </c>
    </row>
    <row r="234">
      <c r="A234" s="325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85" t="n"/>
      <c r="M234" s="686" t="inlineStr">
        <is>
          <t>Итого</t>
        </is>
      </c>
      <c r="N234" s="656" t="n"/>
      <c r="O234" s="656" t="n"/>
      <c r="P234" s="656" t="n"/>
      <c r="Q234" s="656" t="n"/>
      <c r="R234" s="656" t="n"/>
      <c r="S234" s="657" t="n"/>
      <c r="T234" s="43" t="inlineStr">
        <is>
          <t>кор</t>
        </is>
      </c>
      <c r="U234" s="687">
        <f>IFERROR(U228/H228,"0")+IFERROR(U229/H229,"0")+IFERROR(U230/H230,"0")+IFERROR(U231/H231,"0")+IFERROR(U232/H232,"0")+IFERROR(U233/H233,"0")</f>
        <v/>
      </c>
      <c r="V234" s="687">
        <f>IFERROR(V228/H228,"0")+IFERROR(V229/H229,"0")+IFERROR(V230/H230,"0")+IFERROR(V231/H231,"0")+IFERROR(V232/H232,"0")+IFERROR(V233/H233,"0")</f>
        <v/>
      </c>
      <c r="W234" s="687">
        <f>IFERROR(IF(W228="",0,W228),"0")+IFERROR(IF(W229="",0,W229),"0")+IFERROR(IF(W230="",0,W230),"0")+IFERROR(IF(W231="",0,W231),"0")+IFERROR(IF(W232="",0,W232),"0")+IFERROR(IF(W233="",0,W233),"0")</f>
        <v/>
      </c>
      <c r="X234" s="688" t="n"/>
      <c r="Y234" s="688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85" t="n"/>
      <c r="M235" s="686" t="inlineStr">
        <is>
          <t>Итого</t>
        </is>
      </c>
      <c r="N235" s="656" t="n"/>
      <c r="O235" s="656" t="n"/>
      <c r="P235" s="656" t="n"/>
      <c r="Q235" s="656" t="n"/>
      <c r="R235" s="656" t="n"/>
      <c r="S235" s="657" t="n"/>
      <c r="T235" s="43" t="inlineStr">
        <is>
          <t>кг</t>
        </is>
      </c>
      <c r="U235" s="687">
        <f>IFERROR(SUM(U228:U233),"0")</f>
        <v/>
      </c>
      <c r="V235" s="687">
        <f>IFERROR(SUM(V228:V233),"0")</f>
        <v/>
      </c>
      <c r="W235" s="43" t="n"/>
      <c r="X235" s="688" t="n"/>
      <c r="Y235" s="688" t="n"/>
    </row>
    <row r="236" ht="14.25" customHeight="1">
      <c r="A236" s="330" t="inlineStr">
        <is>
          <t>Сардельки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30" t="n"/>
      <c r="Y236" s="330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1" t="n">
        <v>4607091380880</v>
      </c>
      <c r="E237" s="648" t="n"/>
      <c r="F237" s="680" t="n">
        <v>1.4</v>
      </c>
      <c r="G237" s="38" t="n">
        <v>6</v>
      </c>
      <c r="H237" s="680" t="n">
        <v>8.4</v>
      </c>
      <c r="I237" s="680" t="n">
        <v>8.964</v>
      </c>
      <c r="J237" s="38" t="n">
        <v>56</v>
      </c>
      <c r="K237" s="39" t="inlineStr">
        <is>
          <t>СК2</t>
        </is>
      </c>
      <c r="L237" s="38" t="n">
        <v>30</v>
      </c>
      <c r="M237" s="821">
        <f>HYPERLINK("https://abi.ru/products/Охлажденные/Стародворье/Бордо/Сардельки/P002061/","Сардельки Нежные Бордо Весовые н/о мгс Стародворье")</f>
        <v/>
      </c>
      <c r="N237" s="682" t="n"/>
      <c r="O237" s="682" t="n"/>
      <c r="P237" s="682" t="n"/>
      <c r="Q237" s="648" t="n"/>
      <c r="R237" s="40" t="inlineStr"/>
      <c r="S237" s="40" t="inlineStr"/>
      <c r="T237" s="41" t="inlineStr">
        <is>
          <t>кг</t>
        </is>
      </c>
      <c r="U237" s="683" t="n">
        <v>0</v>
      </c>
      <c r="V237" s="684">
        <f>IFERROR(IF(U237="",0,CEILING((U237/$H237),1)*$H237),"")</f>
        <v/>
      </c>
      <c r="W237" s="42">
        <f>IFERROR(IF(V237=0,"",ROUNDUP(V237/H237,0)*0.02175),"")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1" t="n">
        <v>4607091384482</v>
      </c>
      <c r="E238" s="648" t="n"/>
      <c r="F238" s="680" t="n">
        <v>1.3</v>
      </c>
      <c r="G238" s="38" t="n">
        <v>6</v>
      </c>
      <c r="H238" s="680" t="n">
        <v>7.8</v>
      </c>
      <c r="I238" s="680" t="n">
        <v>8.364000000000001</v>
      </c>
      <c r="J238" s="38" t="n">
        <v>56</v>
      </c>
      <c r="K238" s="39" t="inlineStr">
        <is>
          <t>СК2</t>
        </is>
      </c>
      <c r="L238" s="38" t="n">
        <v>30</v>
      </c>
      <c r="M238" s="8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8" s="682" t="n"/>
      <c r="O238" s="682" t="n"/>
      <c r="P238" s="682" t="n"/>
      <c r="Q238" s="648" t="n"/>
      <c r="R238" s="40" t="inlineStr"/>
      <c r="S238" s="40" t="inlineStr"/>
      <c r="T238" s="41" t="inlineStr">
        <is>
          <t>кг</t>
        </is>
      </c>
      <c r="U238" s="683" t="n">
        <v>0</v>
      </c>
      <c r="V238" s="684">
        <f>IFERROR(IF(U238="",0,CEILING((U238/$H238),1)*$H238),"")</f>
        <v/>
      </c>
      <c r="W238" s="42">
        <f>IFERROR(IF(V238=0,"",ROUNDUP(V238/H238,0)*0.02175),"")</f>
        <v/>
      </c>
      <c r="X238" s="69" t="inlineStr"/>
      <c r="Y238" s="70" t="inlineStr"/>
      <c r="AC238" s="71" t="n"/>
      <c r="AZ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1" t="n">
        <v>4607091380897</v>
      </c>
      <c r="E239" s="648" t="n"/>
      <c r="F239" s="680" t="n">
        <v>1.4</v>
      </c>
      <c r="G239" s="38" t="n">
        <v>6</v>
      </c>
      <c r="H239" s="680" t="n">
        <v>8.4</v>
      </c>
      <c r="I239" s="680" t="n">
        <v>8.964</v>
      </c>
      <c r="J239" s="38" t="n">
        <v>56</v>
      </c>
      <c r="K239" s="39" t="inlineStr">
        <is>
          <t>СК2</t>
        </is>
      </c>
      <c r="L239" s="38" t="n">
        <v>30</v>
      </c>
      <c r="M239" s="823">
        <f>HYPERLINK("https://abi.ru/products/Охлажденные/Стародворье/Бордо/Сардельки/P002036/","Сардельки Шпикачки Бордо Весовые NDX мгс Стародворье")</f>
        <v/>
      </c>
      <c r="N239" s="682" t="n"/>
      <c r="O239" s="682" t="n"/>
      <c r="P239" s="682" t="n"/>
      <c r="Q239" s="648" t="n"/>
      <c r="R239" s="40" t="inlineStr"/>
      <c r="S239" s="40" t="inlineStr"/>
      <c r="T239" s="41" t="inlineStr">
        <is>
          <t>кг</t>
        </is>
      </c>
      <c r="U239" s="683" t="n">
        <v>0</v>
      </c>
      <c r="V239" s="684">
        <f>IFERROR(IF(U239="",0,CEILING((U239/$H239),1)*$H239),"")</f>
        <v/>
      </c>
      <c r="W239" s="42">
        <f>IFERROR(IF(V239=0,"",ROUNDUP(V239/H239,0)*0.02175),"")</f>
        <v/>
      </c>
      <c r="X239" s="69" t="inlineStr"/>
      <c r="Y239" s="70" t="inlineStr"/>
      <c r="AC239" s="71" t="n"/>
      <c r="AZ239" s="208" t="inlineStr">
        <is>
          <t>КИ</t>
        </is>
      </c>
    </row>
    <row r="240">
      <c r="A240" s="325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85" t="n"/>
      <c r="M240" s="686" t="inlineStr">
        <is>
          <t>Итого</t>
        </is>
      </c>
      <c r="N240" s="656" t="n"/>
      <c r="O240" s="656" t="n"/>
      <c r="P240" s="656" t="n"/>
      <c r="Q240" s="656" t="n"/>
      <c r="R240" s="656" t="n"/>
      <c r="S240" s="657" t="n"/>
      <c r="T240" s="43" t="inlineStr">
        <is>
          <t>кор</t>
        </is>
      </c>
      <c r="U240" s="687">
        <f>IFERROR(U237/H237,"0")+IFERROR(U238/H238,"0")+IFERROR(U239/H239,"0")</f>
        <v/>
      </c>
      <c r="V240" s="687">
        <f>IFERROR(V237/H237,"0")+IFERROR(V238/H238,"0")+IFERROR(V239/H239,"0")</f>
        <v/>
      </c>
      <c r="W240" s="687">
        <f>IFERROR(IF(W237="",0,W237),"0")+IFERROR(IF(W238="",0,W238),"0")+IFERROR(IF(W239="",0,W239),"0")</f>
        <v/>
      </c>
      <c r="X240" s="688" t="n"/>
      <c r="Y240" s="688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85" t="n"/>
      <c r="M241" s="686" t="inlineStr">
        <is>
          <t>Итого</t>
        </is>
      </c>
      <c r="N241" s="656" t="n"/>
      <c r="O241" s="656" t="n"/>
      <c r="P241" s="656" t="n"/>
      <c r="Q241" s="656" t="n"/>
      <c r="R241" s="656" t="n"/>
      <c r="S241" s="657" t="n"/>
      <c r="T241" s="43" t="inlineStr">
        <is>
          <t>кг</t>
        </is>
      </c>
      <c r="U241" s="687">
        <f>IFERROR(SUM(U237:U239),"0")</f>
        <v/>
      </c>
      <c r="V241" s="687">
        <f>IFERROR(SUM(V237:V239),"0")</f>
        <v/>
      </c>
      <c r="W241" s="43" t="n"/>
      <c r="X241" s="688" t="n"/>
      <c r="Y241" s="688" t="n"/>
    </row>
    <row r="242" ht="14.25" customHeight="1">
      <c r="A242" s="330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30" t="n"/>
      <c r="Y242" s="330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1" t="n">
        <v>4607091388374</v>
      </c>
      <c r="E243" s="648" t="n"/>
      <c r="F243" s="680" t="n">
        <v>0.38</v>
      </c>
      <c r="G243" s="38" t="n">
        <v>8</v>
      </c>
      <c r="H243" s="680" t="n">
        <v>3.04</v>
      </c>
      <c r="I243" s="680" t="n">
        <v>3.28</v>
      </c>
      <c r="J243" s="38" t="n">
        <v>156</v>
      </c>
      <c r="K243" s="39" t="inlineStr">
        <is>
          <t>АК</t>
        </is>
      </c>
      <c r="L243" s="38" t="n">
        <v>180</v>
      </c>
      <c r="M243" s="824" t="inlineStr">
        <is>
          <t>С/к колбасы Княжеская Бордо Весовые б/о терм/п Стародворье</t>
        </is>
      </c>
      <c r="N243" s="682" t="n"/>
      <c r="O243" s="682" t="n"/>
      <c r="P243" s="682" t="n"/>
      <c r="Q243" s="648" t="n"/>
      <c r="R243" s="40" t="inlineStr"/>
      <c r="S243" s="40" t="inlineStr"/>
      <c r="T243" s="41" t="inlineStr">
        <is>
          <t>кг</t>
        </is>
      </c>
      <c r="U243" s="683" t="n">
        <v>0</v>
      </c>
      <c r="V243" s="684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1" t="n">
        <v>4607091388381</v>
      </c>
      <c r="E244" s="648" t="n"/>
      <c r="F244" s="680" t="n">
        <v>0.38</v>
      </c>
      <c r="G244" s="38" t="n">
        <v>8</v>
      </c>
      <c r="H244" s="680" t="n">
        <v>3.04</v>
      </c>
      <c r="I244" s="680" t="n">
        <v>3.32</v>
      </c>
      <c r="J244" s="38" t="n">
        <v>156</v>
      </c>
      <c r="K244" s="39" t="inlineStr">
        <is>
          <t>АК</t>
        </is>
      </c>
      <c r="L244" s="38" t="n">
        <v>180</v>
      </c>
      <c r="M244" s="825" t="inlineStr">
        <is>
          <t>С/к колбасы Салями Охотничья Бордо Весовые б/о терм/п 180 Стародворье</t>
        </is>
      </c>
      <c r="N244" s="682" t="n"/>
      <c r="O244" s="682" t="n"/>
      <c r="P244" s="682" t="n"/>
      <c r="Q244" s="648" t="n"/>
      <c r="R244" s="40" t="inlineStr"/>
      <c r="S244" s="40" t="inlineStr"/>
      <c r="T244" s="41" t="inlineStr">
        <is>
          <t>кг</t>
        </is>
      </c>
      <c r="U244" s="683" t="n">
        <v>0</v>
      </c>
      <c r="V244" s="684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71" t="n"/>
      <c r="AZ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1" t="n">
        <v>4607091388404</v>
      </c>
      <c r="E245" s="648" t="n"/>
      <c r="F245" s="680" t="n">
        <v>0.17</v>
      </c>
      <c r="G245" s="38" t="n">
        <v>15</v>
      </c>
      <c r="H245" s="680" t="n">
        <v>2.55</v>
      </c>
      <c r="I245" s="680" t="n">
        <v>2.9</v>
      </c>
      <c r="J245" s="38" t="n">
        <v>156</v>
      </c>
      <c r="K245" s="39" t="inlineStr">
        <is>
          <t>АК</t>
        </is>
      </c>
      <c r="L245" s="38" t="n">
        <v>180</v>
      </c>
      <c r="M245" s="8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5" s="682" t="n"/>
      <c r="O245" s="682" t="n"/>
      <c r="P245" s="682" t="n"/>
      <c r="Q245" s="648" t="n"/>
      <c r="R245" s="40" t="inlineStr"/>
      <c r="S245" s="40" t="inlineStr"/>
      <c r="T245" s="41" t="inlineStr">
        <is>
          <t>кг</t>
        </is>
      </c>
      <c r="U245" s="683" t="n">
        <v>0</v>
      </c>
      <c r="V245" s="684">
        <f>IFERROR(IF(U245="",0,CEILING((U245/$H245),1)*$H245),"")</f>
        <v/>
      </c>
      <c r="W245" s="42">
        <f>IFERROR(IF(V245=0,"",ROUNDUP(V245/H245,0)*0.00753),"")</f>
        <v/>
      </c>
      <c r="X245" s="69" t="inlineStr"/>
      <c r="Y245" s="70" t="inlineStr"/>
      <c r="AC245" s="71" t="n"/>
      <c r="AZ245" s="211" t="inlineStr">
        <is>
          <t>КИ</t>
        </is>
      </c>
    </row>
    <row r="246">
      <c r="A246" s="325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85" t="n"/>
      <c r="M246" s="686" t="inlineStr">
        <is>
          <t>Итого</t>
        </is>
      </c>
      <c r="N246" s="656" t="n"/>
      <c r="O246" s="656" t="n"/>
      <c r="P246" s="656" t="n"/>
      <c r="Q246" s="656" t="n"/>
      <c r="R246" s="656" t="n"/>
      <c r="S246" s="657" t="n"/>
      <c r="T246" s="43" t="inlineStr">
        <is>
          <t>кор</t>
        </is>
      </c>
      <c r="U246" s="687">
        <f>IFERROR(U243/H243,"0")+IFERROR(U244/H244,"0")+IFERROR(U245/H245,"0")</f>
        <v/>
      </c>
      <c r="V246" s="687">
        <f>IFERROR(V243/H243,"0")+IFERROR(V244/H244,"0")+IFERROR(V245/H245,"0")</f>
        <v/>
      </c>
      <c r="W246" s="687">
        <f>IFERROR(IF(W243="",0,W243),"0")+IFERROR(IF(W244="",0,W244),"0")+IFERROR(IF(W245="",0,W245),"0")</f>
        <v/>
      </c>
      <c r="X246" s="688" t="n"/>
      <c r="Y246" s="688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85" t="n"/>
      <c r="M247" s="686" t="inlineStr">
        <is>
          <t>Итого</t>
        </is>
      </c>
      <c r="N247" s="656" t="n"/>
      <c r="O247" s="656" t="n"/>
      <c r="P247" s="656" t="n"/>
      <c r="Q247" s="656" t="n"/>
      <c r="R247" s="656" t="n"/>
      <c r="S247" s="657" t="n"/>
      <c r="T247" s="43" t="inlineStr">
        <is>
          <t>кг</t>
        </is>
      </c>
      <c r="U247" s="687">
        <f>IFERROR(SUM(U243:U245),"0")</f>
        <v/>
      </c>
      <c r="V247" s="687">
        <f>IFERROR(SUM(V243:V245),"0")</f>
        <v/>
      </c>
      <c r="W247" s="43" t="n"/>
      <c r="X247" s="688" t="n"/>
      <c r="Y247" s="688" t="n"/>
    </row>
    <row r="248" ht="14.25" customHeight="1">
      <c r="A248" s="330" t="inlineStr">
        <is>
          <t>Паштеты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0" t="n"/>
      <c r="Y248" s="330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1" t="n">
        <v>4680115881808</v>
      </c>
      <c r="E249" s="648" t="n"/>
      <c r="F249" s="680" t="n">
        <v>0.1</v>
      </c>
      <c r="G249" s="38" t="n">
        <v>20</v>
      </c>
      <c r="H249" s="680" t="n">
        <v>2</v>
      </c>
      <c r="I249" s="680" t="n">
        <v>2.24</v>
      </c>
      <c r="J249" s="38" t="n">
        <v>238</v>
      </c>
      <c r="K249" s="39" t="inlineStr">
        <is>
          <t>РК</t>
        </is>
      </c>
      <c r="L249" s="38" t="n">
        <v>730</v>
      </c>
      <c r="M249" s="8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9" s="682" t="n"/>
      <c r="O249" s="682" t="n"/>
      <c r="P249" s="682" t="n"/>
      <c r="Q249" s="648" t="n"/>
      <c r="R249" s="40" t="inlineStr"/>
      <c r="S249" s="40" t="inlineStr"/>
      <c r="T249" s="41" t="inlineStr">
        <is>
          <t>кг</t>
        </is>
      </c>
      <c r="U249" s="683" t="n">
        <v>0</v>
      </c>
      <c r="V249" s="684">
        <f>IFERROR(IF(U249="",0,CEILING((U249/$H249),1)*$H249),"")</f>
        <v/>
      </c>
      <c r="W249" s="42">
        <f>IFERROR(IF(V249=0,"",ROUNDUP(V249/H249,0)*0.00474),"")</f>
        <v/>
      </c>
      <c r="X249" s="69" t="inlineStr"/>
      <c r="Y249" s="70" t="inlineStr"/>
      <c r="AC249" s="71" t="n"/>
      <c r="AZ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1" t="n">
        <v>4680115881822</v>
      </c>
      <c r="E250" s="648" t="n"/>
      <c r="F250" s="680" t="n">
        <v>0.1</v>
      </c>
      <c r="G250" s="38" t="n">
        <v>20</v>
      </c>
      <c r="H250" s="680" t="n">
        <v>2</v>
      </c>
      <c r="I250" s="680" t="n">
        <v>2.24</v>
      </c>
      <c r="J250" s="38" t="n">
        <v>238</v>
      </c>
      <c r="K250" s="39" t="inlineStr">
        <is>
          <t>РК</t>
        </is>
      </c>
      <c r="L250" s="38" t="n">
        <v>730</v>
      </c>
      <c r="M250" s="8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50" s="682" t="n"/>
      <c r="O250" s="682" t="n"/>
      <c r="P250" s="682" t="n"/>
      <c r="Q250" s="648" t="n"/>
      <c r="R250" s="40" t="inlineStr"/>
      <c r="S250" s="40" t="inlineStr"/>
      <c r="T250" s="41" t="inlineStr">
        <is>
          <t>кг</t>
        </is>
      </c>
      <c r="U250" s="683" t="n">
        <v>0</v>
      </c>
      <c r="V250" s="684">
        <f>IFERROR(IF(U250="",0,CEILING((U250/$H250),1)*$H250),"")</f>
        <v/>
      </c>
      <c r="W250" s="42">
        <f>IFERROR(IF(V250=0,"",ROUNDUP(V250/H250,0)*0.00474),"")</f>
        <v/>
      </c>
      <c r="X250" s="69" t="inlineStr"/>
      <c r="Y250" s="70" t="inlineStr"/>
      <c r="AC250" s="71" t="n"/>
      <c r="AZ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1" t="n">
        <v>4680115880016</v>
      </c>
      <c r="E251" s="648" t="n"/>
      <c r="F251" s="680" t="n">
        <v>0.1</v>
      </c>
      <c r="G251" s="38" t="n">
        <v>20</v>
      </c>
      <c r="H251" s="680" t="n">
        <v>2</v>
      </c>
      <c r="I251" s="680" t="n">
        <v>2.24</v>
      </c>
      <c r="J251" s="38" t="n">
        <v>238</v>
      </c>
      <c r="K251" s="39" t="inlineStr">
        <is>
          <t>РК</t>
        </is>
      </c>
      <c r="L251" s="38" t="n">
        <v>730</v>
      </c>
      <c r="M251" s="8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51" s="682" t="n"/>
      <c r="O251" s="682" t="n"/>
      <c r="P251" s="682" t="n"/>
      <c r="Q251" s="648" t="n"/>
      <c r="R251" s="40" t="inlineStr"/>
      <c r="S251" s="40" t="inlineStr"/>
      <c r="T251" s="41" t="inlineStr">
        <is>
          <t>кг</t>
        </is>
      </c>
      <c r="U251" s="683" t="n">
        <v>0</v>
      </c>
      <c r="V251" s="684">
        <f>IFERROR(IF(U251="",0,CEILING((U251/$H251),1)*$H251),"")</f>
        <v/>
      </c>
      <c r="W251" s="42">
        <f>IFERROR(IF(V251=0,"",ROUNDUP(V251/H251,0)*0.00474),"")</f>
        <v/>
      </c>
      <c r="X251" s="69" t="inlineStr"/>
      <c r="Y251" s="70" t="inlineStr"/>
      <c r="AC251" s="71" t="n"/>
      <c r="AZ251" s="214" t="inlineStr">
        <is>
          <t>КИ</t>
        </is>
      </c>
    </row>
    <row r="252">
      <c r="A252" s="32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85" t="n"/>
      <c r="M252" s="686" t="inlineStr">
        <is>
          <t>Итого</t>
        </is>
      </c>
      <c r="N252" s="656" t="n"/>
      <c r="O252" s="656" t="n"/>
      <c r="P252" s="656" t="n"/>
      <c r="Q252" s="656" t="n"/>
      <c r="R252" s="656" t="n"/>
      <c r="S252" s="657" t="n"/>
      <c r="T252" s="43" t="inlineStr">
        <is>
          <t>кор</t>
        </is>
      </c>
      <c r="U252" s="687">
        <f>IFERROR(U249/H249,"0")+IFERROR(U250/H250,"0")+IFERROR(U251/H251,"0")</f>
        <v/>
      </c>
      <c r="V252" s="687">
        <f>IFERROR(V249/H249,"0")+IFERROR(V250/H250,"0")+IFERROR(V251/H251,"0")</f>
        <v/>
      </c>
      <c r="W252" s="687">
        <f>IFERROR(IF(W249="",0,W249),"0")+IFERROR(IF(W250="",0,W250),"0")+IFERROR(IF(W251="",0,W251),"0")</f>
        <v/>
      </c>
      <c r="X252" s="688" t="n"/>
      <c r="Y252" s="688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685" t="n"/>
      <c r="M253" s="686" t="inlineStr">
        <is>
          <t>Итого</t>
        </is>
      </c>
      <c r="N253" s="656" t="n"/>
      <c r="O253" s="656" t="n"/>
      <c r="P253" s="656" t="n"/>
      <c r="Q253" s="656" t="n"/>
      <c r="R253" s="656" t="n"/>
      <c r="S253" s="657" t="n"/>
      <c r="T253" s="43" t="inlineStr">
        <is>
          <t>кг</t>
        </is>
      </c>
      <c r="U253" s="687">
        <f>IFERROR(SUM(U249:U251),"0")</f>
        <v/>
      </c>
      <c r="V253" s="687">
        <f>IFERROR(SUM(V249:V251),"0")</f>
        <v/>
      </c>
      <c r="W253" s="43" t="n"/>
      <c r="X253" s="688" t="n"/>
      <c r="Y253" s="688" t="n"/>
    </row>
    <row r="254" ht="16.5" customHeight="1">
      <c r="A254" s="338" t="inlineStr">
        <is>
          <t>Фирменная</t>
        </is>
      </c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338" t="n"/>
      <c r="Y254" s="338" t="n"/>
    </row>
    <row r="255" ht="14.25" customHeight="1">
      <c r="A255" s="330" t="inlineStr">
        <is>
          <t>Вареные колбасы</t>
        </is>
      </c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330" t="n"/>
      <c r="Y255" s="330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1" t="n">
        <v>4607091387421</v>
      </c>
      <c r="E256" s="648" t="n"/>
      <c r="F256" s="680" t="n">
        <v>1.35</v>
      </c>
      <c r="G256" s="38" t="n">
        <v>8</v>
      </c>
      <c r="H256" s="680" t="n">
        <v>10.8</v>
      </c>
      <c r="I256" s="680" t="n">
        <v>11.28</v>
      </c>
      <c r="J256" s="38" t="n">
        <v>56</v>
      </c>
      <c r="K256" s="39" t="inlineStr">
        <is>
          <t>СК1</t>
        </is>
      </c>
      <c r="L256" s="38" t="n">
        <v>55</v>
      </c>
      <c r="M256" s="8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6" s="682" t="n"/>
      <c r="O256" s="682" t="n"/>
      <c r="P256" s="682" t="n"/>
      <c r="Q256" s="648" t="n"/>
      <c r="R256" s="40" t="inlineStr"/>
      <c r="S256" s="40" t="inlineStr"/>
      <c r="T256" s="41" t="inlineStr">
        <is>
          <t>кг</t>
        </is>
      </c>
      <c r="U256" s="683" t="n">
        <v>0</v>
      </c>
      <c r="V256" s="684">
        <f>IFERROR(IF(U256="",0,CEILING((U256/$H256),1)*$H256),"")</f>
        <v/>
      </c>
      <c r="W256" s="42">
        <f>IFERROR(IF(V256=0,"",ROUNDUP(V256/H256,0)*0.02175),"")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1" t="n">
        <v>4607091387421</v>
      </c>
      <c r="E257" s="648" t="n"/>
      <c r="F257" s="680" t="n">
        <v>1.35</v>
      </c>
      <c r="G257" s="38" t="n">
        <v>8</v>
      </c>
      <c r="H257" s="680" t="n">
        <v>10.8</v>
      </c>
      <c r="I257" s="680" t="n">
        <v>11.28</v>
      </c>
      <c r="J257" s="38" t="n">
        <v>48</v>
      </c>
      <c r="K257" s="39" t="inlineStr">
        <is>
          <t>ВЗ</t>
        </is>
      </c>
      <c r="L257" s="38" t="n">
        <v>55</v>
      </c>
      <c r="M257" s="8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7" s="682" t="n"/>
      <c r="O257" s="682" t="n"/>
      <c r="P257" s="682" t="n"/>
      <c r="Q257" s="648" t="n"/>
      <c r="R257" s="40" t="inlineStr"/>
      <c r="S257" s="40" t="inlineStr"/>
      <c r="T257" s="41" t="inlineStr">
        <is>
          <t>кг</t>
        </is>
      </c>
      <c r="U257" s="683" t="n">
        <v>0</v>
      </c>
      <c r="V257" s="684">
        <f>IFERROR(IF(U257="",0,CEILING((U257/$H257),1)*$H257),"")</f>
        <v/>
      </c>
      <c r="W257" s="42">
        <f>IFERROR(IF(V257=0,"",ROUNDUP(V257/H257,0)*0.02039),"")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31" t="n">
        <v>4607091387452</v>
      </c>
      <c r="E258" s="648" t="n"/>
      <c r="F258" s="680" t="n">
        <v>1.45</v>
      </c>
      <c r="G258" s="38" t="n">
        <v>8</v>
      </c>
      <c r="H258" s="680" t="n">
        <v>11.6</v>
      </c>
      <c r="I258" s="680" t="n">
        <v>12.08</v>
      </c>
      <c r="J258" s="38" t="n">
        <v>56</v>
      </c>
      <c r="K258" s="39" t="inlineStr">
        <is>
          <t>СК1</t>
        </is>
      </c>
      <c r="L258" s="38" t="n">
        <v>55</v>
      </c>
      <c r="M258" s="832" t="inlineStr">
        <is>
          <t>Вареные колбасы Молочная По-стародворски Фирменная Весовые П/а Стародворье</t>
        </is>
      </c>
      <c r="N258" s="682" t="n"/>
      <c r="O258" s="682" t="n"/>
      <c r="P258" s="682" t="n"/>
      <c r="Q258" s="648" t="n"/>
      <c r="R258" s="40" t="inlineStr"/>
      <c r="S258" s="40" t="inlineStr"/>
      <c r="T258" s="41" t="inlineStr">
        <is>
          <t>кг</t>
        </is>
      </c>
      <c r="U258" s="683" t="n">
        <v>0</v>
      </c>
      <c r="V258" s="684">
        <f>IFERROR(IF(U258="",0,CEILING((U258/$H258),1)*$H258),"")</f>
        <v/>
      </c>
      <c r="W258" s="42">
        <f>IFERROR(IF(V258=0,"",ROUNDUP(V258/H258,0)*0.02175),"")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31" t="n">
        <v>4607091387452</v>
      </c>
      <c r="E259" s="648" t="n"/>
      <c r="F259" s="680" t="n">
        <v>1.35</v>
      </c>
      <c r="G259" s="38" t="n">
        <v>8</v>
      </c>
      <c r="H259" s="680" t="n">
        <v>10.8</v>
      </c>
      <c r="I259" s="680" t="n">
        <v>11.28</v>
      </c>
      <c r="J259" s="38" t="n">
        <v>48</v>
      </c>
      <c r="K259" s="39" t="inlineStr">
        <is>
          <t>ВЗ</t>
        </is>
      </c>
      <c r="L259" s="38" t="n">
        <v>55</v>
      </c>
      <c r="M259" s="83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9" s="682" t="n"/>
      <c r="O259" s="682" t="n"/>
      <c r="P259" s="682" t="n"/>
      <c r="Q259" s="648" t="n"/>
      <c r="R259" s="40" t="inlineStr"/>
      <c r="S259" s="40" t="inlineStr"/>
      <c r="T259" s="41" t="inlineStr">
        <is>
          <t>кг</t>
        </is>
      </c>
      <c r="U259" s="683" t="n">
        <v>0</v>
      </c>
      <c r="V259" s="684">
        <f>IFERROR(IF(U259="",0,CEILING((U259/$H259),1)*$H259),"")</f>
        <v/>
      </c>
      <c r="W259" s="42">
        <f>IFERROR(IF(V259=0,"",ROUNDUP(V259/H259,0)*0.02039),"")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1" t="n">
        <v>4607091385984</v>
      </c>
      <c r="E260" s="648" t="n"/>
      <c r="F260" s="680" t="n">
        <v>1.35</v>
      </c>
      <c r="G260" s="38" t="n">
        <v>8</v>
      </c>
      <c r="H260" s="680" t="n">
        <v>10.8</v>
      </c>
      <c r="I260" s="680" t="n">
        <v>11.28</v>
      </c>
      <c r="J260" s="38" t="n">
        <v>56</v>
      </c>
      <c r="K260" s="39" t="inlineStr">
        <is>
          <t>СК1</t>
        </is>
      </c>
      <c r="L260" s="38" t="n">
        <v>55</v>
      </c>
      <c r="M260" s="83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60" s="682" t="n"/>
      <c r="O260" s="682" t="n"/>
      <c r="P260" s="682" t="n"/>
      <c r="Q260" s="648" t="n"/>
      <c r="R260" s="40" t="inlineStr"/>
      <c r="S260" s="40" t="inlineStr"/>
      <c r="T260" s="41" t="inlineStr">
        <is>
          <t>кг</t>
        </is>
      </c>
      <c r="U260" s="683" t="n">
        <v>0</v>
      </c>
      <c r="V260" s="684">
        <f>IFERROR(IF(U260="",0,CEILING((U260/$H260),1)*$H260),"")</f>
        <v/>
      </c>
      <c r="W260" s="42">
        <f>IFERROR(IF(V260=0,"",ROUNDUP(V260/H260,0)*0.02175),"")</f>
        <v/>
      </c>
      <c r="X260" s="69" t="inlineStr"/>
      <c r="Y260" s="70" t="inlineStr"/>
      <c r="AC260" s="71" t="n"/>
      <c r="AZ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1" t="n">
        <v>4607091387438</v>
      </c>
      <c r="E261" s="648" t="n"/>
      <c r="F261" s="680" t="n">
        <v>0.5</v>
      </c>
      <c r="G261" s="38" t="n">
        <v>10</v>
      </c>
      <c r="H261" s="680" t="n">
        <v>5</v>
      </c>
      <c r="I261" s="680" t="n">
        <v>5.24</v>
      </c>
      <c r="J261" s="38" t="n">
        <v>120</v>
      </c>
      <c r="K261" s="39" t="inlineStr">
        <is>
          <t>СК1</t>
        </is>
      </c>
      <c r="L261" s="38" t="n">
        <v>55</v>
      </c>
      <c r="M261" s="83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61" s="682" t="n"/>
      <c r="O261" s="682" t="n"/>
      <c r="P261" s="682" t="n"/>
      <c r="Q261" s="648" t="n"/>
      <c r="R261" s="40" t="inlineStr"/>
      <c r="S261" s="40" t="inlineStr"/>
      <c r="T261" s="41" t="inlineStr">
        <is>
          <t>кг</t>
        </is>
      </c>
      <c r="U261" s="683" t="n">
        <v>0</v>
      </c>
      <c r="V261" s="684">
        <f>IFERROR(IF(U261="",0,CEILING((U261/$H261),1)*$H261),"")</f>
        <v/>
      </c>
      <c r="W261" s="42">
        <f>IFERROR(IF(V261=0,"",ROUNDUP(V261/H261,0)*0.00937),"")</f>
        <v/>
      </c>
      <c r="X261" s="69" t="inlineStr"/>
      <c r="Y261" s="70" t="inlineStr"/>
      <c r="AC261" s="71" t="n"/>
      <c r="AZ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1" t="n">
        <v>4607091387469</v>
      </c>
      <c r="E262" s="648" t="n"/>
      <c r="F262" s="680" t="n">
        <v>0.5</v>
      </c>
      <c r="G262" s="38" t="n">
        <v>10</v>
      </c>
      <c r="H262" s="680" t="n">
        <v>5</v>
      </c>
      <c r="I262" s="680" t="n">
        <v>5.21</v>
      </c>
      <c r="J262" s="38" t="n">
        <v>120</v>
      </c>
      <c r="K262" s="39" t="inlineStr">
        <is>
          <t>СК2</t>
        </is>
      </c>
      <c r="L262" s="38" t="n">
        <v>55</v>
      </c>
      <c r="M262" s="83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62" s="682" t="n"/>
      <c r="O262" s="682" t="n"/>
      <c r="P262" s="682" t="n"/>
      <c r="Q262" s="648" t="n"/>
      <c r="R262" s="40" t="inlineStr"/>
      <c r="S262" s="40" t="inlineStr"/>
      <c r="T262" s="41" t="inlineStr">
        <is>
          <t>кг</t>
        </is>
      </c>
      <c r="U262" s="683" t="n">
        <v>0</v>
      </c>
      <c r="V262" s="684">
        <f>IFERROR(IF(U262="",0,CEILING((U262/$H262),1)*$H262),"")</f>
        <v/>
      </c>
      <c r="W262" s="42">
        <f>IFERROR(IF(V262=0,"",ROUNDUP(V262/H262,0)*0.00937),"")</f>
        <v/>
      </c>
      <c r="X262" s="69" t="inlineStr"/>
      <c r="Y262" s="70" t="inlineStr"/>
      <c r="AC262" s="71" t="n"/>
      <c r="AZ262" s="221" t="inlineStr">
        <is>
          <t>КИ</t>
        </is>
      </c>
    </row>
    <row r="263">
      <c r="A263" s="325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85" t="n"/>
      <c r="M263" s="686" t="inlineStr">
        <is>
          <t>Итого</t>
        </is>
      </c>
      <c r="N263" s="656" t="n"/>
      <c r="O263" s="656" t="n"/>
      <c r="P263" s="656" t="n"/>
      <c r="Q263" s="656" t="n"/>
      <c r="R263" s="656" t="n"/>
      <c r="S263" s="657" t="n"/>
      <c r="T263" s="43" t="inlineStr">
        <is>
          <t>кор</t>
        </is>
      </c>
      <c r="U263" s="687">
        <f>IFERROR(U256/H256,"0")+IFERROR(U257/H257,"0")+IFERROR(U258/H258,"0")+IFERROR(U259/H259,"0")+IFERROR(U260/H260,"0")+IFERROR(U261/H261,"0")+IFERROR(U262/H262,"0")</f>
        <v/>
      </c>
      <c r="V263" s="687">
        <f>IFERROR(V256/H256,"0")+IFERROR(V257/H257,"0")+IFERROR(V258/H258,"0")+IFERROR(V259/H259,"0")+IFERROR(V260/H260,"0")+IFERROR(V261/H261,"0")+IFERROR(V262/H262,"0")</f>
        <v/>
      </c>
      <c r="W263" s="687">
        <f>IFERROR(IF(W256="",0,W256),"0")+IFERROR(IF(W257="",0,W257),"0")+IFERROR(IF(W258="",0,W258),"0")+IFERROR(IF(W259="",0,W259),"0")+IFERROR(IF(W260="",0,W260),"0")+IFERROR(IF(W261="",0,W261),"0")+IFERROR(IF(W262="",0,W262),"0")</f>
        <v/>
      </c>
      <c r="X263" s="688" t="n"/>
      <c r="Y263" s="68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85" t="n"/>
      <c r="M264" s="686" t="inlineStr">
        <is>
          <t>Итого</t>
        </is>
      </c>
      <c r="N264" s="656" t="n"/>
      <c r="O264" s="656" t="n"/>
      <c r="P264" s="656" t="n"/>
      <c r="Q264" s="656" t="n"/>
      <c r="R264" s="656" t="n"/>
      <c r="S264" s="657" t="n"/>
      <c r="T264" s="43" t="inlineStr">
        <is>
          <t>кг</t>
        </is>
      </c>
      <c r="U264" s="687">
        <f>IFERROR(SUM(U256:U262),"0")</f>
        <v/>
      </c>
      <c r="V264" s="687">
        <f>IFERROR(SUM(V256:V262),"0")</f>
        <v/>
      </c>
      <c r="W264" s="43" t="n"/>
      <c r="X264" s="688" t="n"/>
      <c r="Y264" s="688" t="n"/>
    </row>
    <row r="265" ht="14.25" customHeight="1">
      <c r="A265" s="330" t="inlineStr">
        <is>
          <t>Копченые колбасы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0" t="n"/>
      <c r="Y265" s="330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1" t="n">
        <v>4607091387292</v>
      </c>
      <c r="E266" s="648" t="n"/>
      <c r="F266" s="680" t="n">
        <v>0.73</v>
      </c>
      <c r="G266" s="38" t="n">
        <v>6</v>
      </c>
      <c r="H266" s="680" t="n">
        <v>4.38</v>
      </c>
      <c r="I266" s="680" t="n">
        <v>4.64</v>
      </c>
      <c r="J266" s="38" t="n">
        <v>156</v>
      </c>
      <c r="K266" s="39" t="inlineStr">
        <is>
          <t>СК2</t>
        </is>
      </c>
      <c r="L266" s="38" t="n">
        <v>45</v>
      </c>
      <c r="M266" s="83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6" s="682" t="n"/>
      <c r="O266" s="682" t="n"/>
      <c r="P266" s="682" t="n"/>
      <c r="Q266" s="648" t="n"/>
      <c r="R266" s="40" t="inlineStr"/>
      <c r="S266" s="40" t="inlineStr"/>
      <c r="T266" s="41" t="inlineStr">
        <is>
          <t>кг</t>
        </is>
      </c>
      <c r="U266" s="683" t="n">
        <v>0</v>
      </c>
      <c r="V266" s="684">
        <f>IFERROR(IF(U266="",0,CEILING((U266/$H266),1)*$H266),"")</f>
        <v/>
      </c>
      <c r="W266" s="42">
        <f>IFERROR(IF(V266=0,"",ROUNDUP(V266/H266,0)*0.00753),"")</f>
        <v/>
      </c>
      <c r="X266" s="69" t="inlineStr"/>
      <c r="Y266" s="70" t="inlineStr"/>
      <c r="AC266" s="71" t="n"/>
      <c r="AZ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1" t="n">
        <v>4607091387315</v>
      </c>
      <c r="E267" s="648" t="n"/>
      <c r="F267" s="680" t="n">
        <v>0.7</v>
      </c>
      <c r="G267" s="38" t="n">
        <v>4</v>
      </c>
      <c r="H267" s="680" t="n">
        <v>2.8</v>
      </c>
      <c r="I267" s="680" t="n">
        <v>3.048</v>
      </c>
      <c r="J267" s="38" t="n">
        <v>156</v>
      </c>
      <c r="K267" s="39" t="inlineStr">
        <is>
          <t>СК2</t>
        </is>
      </c>
      <c r="L267" s="38" t="n">
        <v>45</v>
      </c>
      <c r="M267" s="83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7" s="682" t="n"/>
      <c r="O267" s="682" t="n"/>
      <c r="P267" s="682" t="n"/>
      <c r="Q267" s="648" t="n"/>
      <c r="R267" s="40" t="inlineStr"/>
      <c r="S267" s="40" t="inlineStr"/>
      <c r="T267" s="41" t="inlineStr">
        <is>
          <t>кг</t>
        </is>
      </c>
      <c r="U267" s="683" t="n">
        <v>0</v>
      </c>
      <c r="V267" s="68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23" t="inlineStr">
        <is>
          <t>КИ</t>
        </is>
      </c>
    </row>
    <row r="268">
      <c r="A268" s="325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685" t="n"/>
      <c r="M268" s="686" t="inlineStr">
        <is>
          <t>Итого</t>
        </is>
      </c>
      <c r="N268" s="656" t="n"/>
      <c r="O268" s="656" t="n"/>
      <c r="P268" s="656" t="n"/>
      <c r="Q268" s="656" t="n"/>
      <c r="R268" s="656" t="n"/>
      <c r="S268" s="657" t="n"/>
      <c r="T268" s="43" t="inlineStr">
        <is>
          <t>кор</t>
        </is>
      </c>
      <c r="U268" s="687">
        <f>IFERROR(U266/H266,"0")+IFERROR(U267/H267,"0")</f>
        <v/>
      </c>
      <c r="V268" s="687">
        <f>IFERROR(V266/H266,"0")+IFERROR(V267/H267,"0")</f>
        <v/>
      </c>
      <c r="W268" s="687">
        <f>IFERROR(IF(W266="",0,W266),"0")+IFERROR(IF(W267="",0,W267),"0")</f>
        <v/>
      </c>
      <c r="X268" s="688" t="n"/>
      <c r="Y268" s="688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85" t="n"/>
      <c r="M269" s="686" t="inlineStr">
        <is>
          <t>Итого</t>
        </is>
      </c>
      <c r="N269" s="656" t="n"/>
      <c r="O269" s="656" t="n"/>
      <c r="P269" s="656" t="n"/>
      <c r="Q269" s="656" t="n"/>
      <c r="R269" s="656" t="n"/>
      <c r="S269" s="657" t="n"/>
      <c r="T269" s="43" t="inlineStr">
        <is>
          <t>кг</t>
        </is>
      </c>
      <c r="U269" s="687">
        <f>IFERROR(SUM(U266:U267),"0")</f>
        <v/>
      </c>
      <c r="V269" s="687">
        <f>IFERROR(SUM(V266:V267),"0")</f>
        <v/>
      </c>
      <c r="W269" s="43" t="n"/>
      <c r="X269" s="688" t="n"/>
      <c r="Y269" s="688" t="n"/>
    </row>
    <row r="270" ht="16.5" customHeight="1">
      <c r="A270" s="338" t="inlineStr">
        <is>
          <t>Бавария</t>
        </is>
      </c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338" t="n"/>
      <c r="Y270" s="338" t="n"/>
    </row>
    <row r="271" ht="14.25" customHeight="1">
      <c r="A271" s="330" t="inlineStr">
        <is>
          <t>Копченые колбасы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0" t="n"/>
      <c r="Y271" s="330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1" t="n">
        <v>4607091383836</v>
      </c>
      <c r="E272" s="648" t="n"/>
      <c r="F272" s="680" t="n">
        <v>0.3</v>
      </c>
      <c r="G272" s="38" t="n">
        <v>6</v>
      </c>
      <c r="H272" s="680" t="n">
        <v>1.8</v>
      </c>
      <c r="I272" s="680" t="n">
        <v>2.048</v>
      </c>
      <c r="J272" s="38" t="n">
        <v>156</v>
      </c>
      <c r="K272" s="39" t="inlineStr">
        <is>
          <t>СК2</t>
        </is>
      </c>
      <c r="L272" s="38" t="n">
        <v>40</v>
      </c>
      <c r="M272" s="83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72" s="682" t="n"/>
      <c r="O272" s="682" t="n"/>
      <c r="P272" s="682" t="n"/>
      <c r="Q272" s="648" t="n"/>
      <c r="R272" s="40" t="inlineStr"/>
      <c r="S272" s="40" t="inlineStr"/>
      <c r="T272" s="41" t="inlineStr">
        <is>
          <t>кг</t>
        </is>
      </c>
      <c r="U272" s="683" t="n">
        <v>0</v>
      </c>
      <c r="V272" s="684">
        <f>IFERROR(IF(U272="",0,CEILING((U272/$H272),1)*$H272),"")</f>
        <v/>
      </c>
      <c r="W272" s="42">
        <f>IFERROR(IF(V272=0,"",ROUNDUP(V272/H272,0)*0.00753),"")</f>
        <v/>
      </c>
      <c r="X272" s="69" t="inlineStr"/>
      <c r="Y272" s="70" t="inlineStr"/>
      <c r="AC272" s="71" t="n"/>
      <c r="AZ272" s="224" t="inlineStr">
        <is>
          <t>КИ</t>
        </is>
      </c>
    </row>
    <row r="273">
      <c r="A273" s="325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85" t="n"/>
      <c r="M273" s="686" t="inlineStr">
        <is>
          <t>Итого</t>
        </is>
      </c>
      <c r="N273" s="656" t="n"/>
      <c r="O273" s="656" t="n"/>
      <c r="P273" s="656" t="n"/>
      <c r="Q273" s="656" t="n"/>
      <c r="R273" s="656" t="n"/>
      <c r="S273" s="657" t="n"/>
      <c r="T273" s="43" t="inlineStr">
        <is>
          <t>кор</t>
        </is>
      </c>
      <c r="U273" s="687">
        <f>IFERROR(U272/H272,"0")</f>
        <v/>
      </c>
      <c r="V273" s="687">
        <f>IFERROR(V272/H272,"0")</f>
        <v/>
      </c>
      <c r="W273" s="687">
        <f>IFERROR(IF(W272="",0,W272),"0")</f>
        <v/>
      </c>
      <c r="X273" s="688" t="n"/>
      <c r="Y273" s="688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685" t="n"/>
      <c r="M274" s="686" t="inlineStr">
        <is>
          <t>Итого</t>
        </is>
      </c>
      <c r="N274" s="656" t="n"/>
      <c r="O274" s="656" t="n"/>
      <c r="P274" s="656" t="n"/>
      <c r="Q274" s="656" t="n"/>
      <c r="R274" s="656" t="n"/>
      <c r="S274" s="657" t="n"/>
      <c r="T274" s="43" t="inlineStr">
        <is>
          <t>кг</t>
        </is>
      </c>
      <c r="U274" s="687">
        <f>IFERROR(SUM(U272:U272),"0")</f>
        <v/>
      </c>
      <c r="V274" s="687">
        <f>IFERROR(SUM(V272:V272),"0")</f>
        <v/>
      </c>
      <c r="W274" s="43" t="n"/>
      <c r="X274" s="688" t="n"/>
      <c r="Y274" s="688" t="n"/>
    </row>
    <row r="275" ht="14.25" customHeight="1">
      <c r="A275" s="330" t="inlineStr">
        <is>
          <t>Сосиски</t>
        </is>
      </c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330" t="n"/>
      <c r="Y275" s="330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1" t="n">
        <v>4607091387919</v>
      </c>
      <c r="E276" s="648" t="n"/>
      <c r="F276" s="680" t="n">
        <v>1.35</v>
      </c>
      <c r="G276" s="38" t="n">
        <v>6</v>
      </c>
      <c r="H276" s="680" t="n">
        <v>8.1</v>
      </c>
      <c r="I276" s="680" t="n">
        <v>8.664</v>
      </c>
      <c r="J276" s="38" t="n">
        <v>56</v>
      </c>
      <c r="K276" s="39" t="inlineStr">
        <is>
          <t>СК2</t>
        </is>
      </c>
      <c r="L276" s="38" t="n">
        <v>45</v>
      </c>
      <c r="M276" s="840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6" s="682" t="n"/>
      <c r="O276" s="682" t="n"/>
      <c r="P276" s="682" t="n"/>
      <c r="Q276" s="648" t="n"/>
      <c r="R276" s="40" t="inlineStr"/>
      <c r="S276" s="40" t="inlineStr"/>
      <c r="T276" s="41" t="inlineStr">
        <is>
          <t>кг</t>
        </is>
      </c>
      <c r="U276" s="683" t="n">
        <v>0</v>
      </c>
      <c r="V276" s="684">
        <f>IFERROR(IF(U276="",0,CEILING((U276/$H276),1)*$H276),"")</f>
        <v/>
      </c>
      <c r="W276" s="42">
        <f>IFERROR(IF(V276=0,"",ROUNDUP(V276/H276,0)*0.02175),"")</f>
        <v/>
      </c>
      <c r="X276" s="69" t="inlineStr"/>
      <c r="Y276" s="70" t="inlineStr"/>
      <c r="AC276" s="71" t="n"/>
      <c r="AZ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1" t="n">
        <v>4607091383942</v>
      </c>
      <c r="E277" s="648" t="n"/>
      <c r="F277" s="680" t="n">
        <v>0.42</v>
      </c>
      <c r="G277" s="38" t="n">
        <v>6</v>
      </c>
      <c r="H277" s="680" t="n">
        <v>2.52</v>
      </c>
      <c r="I277" s="680" t="n">
        <v>2.792</v>
      </c>
      <c r="J277" s="38" t="n">
        <v>156</v>
      </c>
      <c r="K277" s="39" t="inlineStr">
        <is>
          <t>СК3</t>
        </is>
      </c>
      <c r="L277" s="38" t="n">
        <v>45</v>
      </c>
      <c r="M277" s="84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7" s="682" t="n"/>
      <c r="O277" s="682" t="n"/>
      <c r="P277" s="682" t="n"/>
      <c r="Q277" s="648" t="n"/>
      <c r="R277" s="40" t="inlineStr"/>
      <c r="S277" s="40" t="inlineStr"/>
      <c r="T277" s="41" t="inlineStr">
        <is>
          <t>кг</t>
        </is>
      </c>
      <c r="U277" s="683" t="n">
        <v>2016</v>
      </c>
      <c r="V277" s="684">
        <f>IFERROR(IF(U277="",0,CEILING((U277/$H277),1)*$H277),"")</f>
        <v/>
      </c>
      <c r="W277" s="42">
        <f>IFERROR(IF(V277=0,"",ROUNDUP(V277/H277,0)*0.00753),"")</f>
        <v/>
      </c>
      <c r="X277" s="69" t="inlineStr"/>
      <c r="Y277" s="70" t="inlineStr"/>
      <c r="AC277" s="71" t="n"/>
      <c r="AZ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31" t="n">
        <v>4607091383959</v>
      </c>
      <c r="E278" s="648" t="n"/>
      <c r="F278" s="680" t="n">
        <v>0.42</v>
      </c>
      <c r="G278" s="38" t="n">
        <v>6</v>
      </c>
      <c r="H278" s="680" t="n">
        <v>2.52</v>
      </c>
      <c r="I278" s="680" t="n">
        <v>2.78</v>
      </c>
      <c r="J278" s="38" t="n">
        <v>156</v>
      </c>
      <c r="K278" s="39" t="inlineStr">
        <is>
          <t>СК2</t>
        </is>
      </c>
      <c r="L278" s="38" t="n">
        <v>40</v>
      </c>
      <c r="M278" s="842" t="inlineStr">
        <is>
          <t>Сосиски «Баварские с сыром» Фикс.вес 0,42 п/а ТМ «Стародворье»</t>
        </is>
      </c>
      <c r="N278" s="682" t="n"/>
      <c r="O278" s="682" t="n"/>
      <c r="P278" s="682" t="n"/>
      <c r="Q278" s="648" t="n"/>
      <c r="R278" s="40" t="inlineStr"/>
      <c r="S278" s="40" t="inlineStr"/>
      <c r="T278" s="41" t="inlineStr">
        <is>
          <t>кг</t>
        </is>
      </c>
      <c r="U278" s="683" t="n">
        <v>1355.76</v>
      </c>
      <c r="V278" s="68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7" t="inlineStr">
        <is>
          <t>КИ</t>
        </is>
      </c>
    </row>
    <row r="279">
      <c r="A279" s="325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85" t="n"/>
      <c r="M279" s="686" t="inlineStr">
        <is>
          <t>Итого</t>
        </is>
      </c>
      <c r="N279" s="656" t="n"/>
      <c r="O279" s="656" t="n"/>
      <c r="P279" s="656" t="n"/>
      <c r="Q279" s="656" t="n"/>
      <c r="R279" s="656" t="n"/>
      <c r="S279" s="657" t="n"/>
      <c r="T279" s="43" t="inlineStr">
        <is>
          <t>кор</t>
        </is>
      </c>
      <c r="U279" s="687">
        <f>IFERROR(U276/H276,"0")+IFERROR(U277/H277,"0")+IFERROR(U278/H278,"0")</f>
        <v/>
      </c>
      <c r="V279" s="687">
        <f>IFERROR(V276/H276,"0")+IFERROR(V277/H277,"0")+IFERROR(V278/H278,"0")</f>
        <v/>
      </c>
      <c r="W279" s="687">
        <f>IFERROR(IF(W276="",0,W276),"0")+IFERROR(IF(W277="",0,W277),"0")+IFERROR(IF(W278="",0,W278),"0")</f>
        <v/>
      </c>
      <c r="X279" s="688" t="n"/>
      <c r="Y279" s="68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85" t="n"/>
      <c r="M280" s="686" t="inlineStr">
        <is>
          <t>Итого</t>
        </is>
      </c>
      <c r="N280" s="656" t="n"/>
      <c r="O280" s="656" t="n"/>
      <c r="P280" s="656" t="n"/>
      <c r="Q280" s="656" t="n"/>
      <c r="R280" s="656" t="n"/>
      <c r="S280" s="657" t="n"/>
      <c r="T280" s="43" t="inlineStr">
        <is>
          <t>кг</t>
        </is>
      </c>
      <c r="U280" s="687">
        <f>IFERROR(SUM(U276:U278),"0")</f>
        <v/>
      </c>
      <c r="V280" s="687">
        <f>IFERROR(SUM(V276:V278),"0")</f>
        <v/>
      </c>
      <c r="W280" s="43" t="n"/>
      <c r="X280" s="688" t="n"/>
      <c r="Y280" s="688" t="n"/>
    </row>
    <row r="281" ht="14.25" customHeight="1">
      <c r="A281" s="330" t="inlineStr">
        <is>
          <t>Сардельки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0" t="n"/>
      <c r="Y281" s="330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31" t="n">
        <v>4607091388831</v>
      </c>
      <c r="E282" s="648" t="n"/>
      <c r="F282" s="680" t="n">
        <v>0.38</v>
      </c>
      <c r="G282" s="38" t="n">
        <v>6</v>
      </c>
      <c r="H282" s="680" t="n">
        <v>2.28</v>
      </c>
      <c r="I282" s="680" t="n">
        <v>2.552</v>
      </c>
      <c r="J282" s="38" t="n">
        <v>156</v>
      </c>
      <c r="K282" s="39" t="inlineStr">
        <is>
          <t>СК2</t>
        </is>
      </c>
      <c r="L282" s="38" t="n">
        <v>40</v>
      </c>
      <c r="M282" s="84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82" s="682" t="n"/>
      <c r="O282" s="682" t="n"/>
      <c r="P282" s="682" t="n"/>
      <c r="Q282" s="648" t="n"/>
      <c r="R282" s="40" t="inlineStr"/>
      <c r="S282" s="40" t="inlineStr"/>
      <c r="T282" s="41" t="inlineStr">
        <is>
          <t>кг</t>
        </is>
      </c>
      <c r="U282" s="683" t="n">
        <v>0</v>
      </c>
      <c r="V282" s="68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8" t="inlineStr">
        <is>
          <t>КИ</t>
        </is>
      </c>
    </row>
    <row r="283">
      <c r="A283" s="325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85" t="n"/>
      <c r="M283" s="686" t="inlineStr">
        <is>
          <t>Итого</t>
        </is>
      </c>
      <c r="N283" s="656" t="n"/>
      <c r="O283" s="656" t="n"/>
      <c r="P283" s="656" t="n"/>
      <c r="Q283" s="656" t="n"/>
      <c r="R283" s="656" t="n"/>
      <c r="S283" s="657" t="n"/>
      <c r="T283" s="43" t="inlineStr">
        <is>
          <t>кор</t>
        </is>
      </c>
      <c r="U283" s="687">
        <f>IFERROR(U282/H282,"0")</f>
        <v/>
      </c>
      <c r="V283" s="687">
        <f>IFERROR(V282/H282,"0")</f>
        <v/>
      </c>
      <c r="W283" s="687">
        <f>IFERROR(IF(W282="",0,W282),"0")</f>
        <v/>
      </c>
      <c r="X283" s="688" t="n"/>
      <c r="Y283" s="68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85" t="n"/>
      <c r="M284" s="686" t="inlineStr">
        <is>
          <t>Итого</t>
        </is>
      </c>
      <c r="N284" s="656" t="n"/>
      <c r="O284" s="656" t="n"/>
      <c r="P284" s="656" t="n"/>
      <c r="Q284" s="656" t="n"/>
      <c r="R284" s="656" t="n"/>
      <c r="S284" s="657" t="n"/>
      <c r="T284" s="43" t="inlineStr">
        <is>
          <t>кг</t>
        </is>
      </c>
      <c r="U284" s="687">
        <f>IFERROR(SUM(U282:U282),"0")</f>
        <v/>
      </c>
      <c r="V284" s="687">
        <f>IFERROR(SUM(V282:V282),"0")</f>
        <v/>
      </c>
      <c r="W284" s="43" t="n"/>
      <c r="X284" s="688" t="n"/>
      <c r="Y284" s="688" t="n"/>
    </row>
    <row r="285" ht="14.25" customHeight="1">
      <c r="A285" s="330" t="inlineStr">
        <is>
          <t>Сырокопченые колбасы</t>
        </is>
      </c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330" t="n"/>
      <c r="Y285" s="330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31" t="n">
        <v>4607091383102</v>
      </c>
      <c r="E286" s="648" t="n"/>
      <c r="F286" s="680" t="n">
        <v>0.17</v>
      </c>
      <c r="G286" s="38" t="n">
        <v>15</v>
      </c>
      <c r="H286" s="680" t="n">
        <v>2.55</v>
      </c>
      <c r="I286" s="680" t="n">
        <v>2.975</v>
      </c>
      <c r="J286" s="38" t="n">
        <v>156</v>
      </c>
      <c r="K286" s="39" t="inlineStr">
        <is>
          <t>АК</t>
        </is>
      </c>
      <c r="L286" s="38" t="n">
        <v>180</v>
      </c>
      <c r="M286" s="84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6" s="682" t="n"/>
      <c r="O286" s="682" t="n"/>
      <c r="P286" s="682" t="n"/>
      <c r="Q286" s="648" t="n"/>
      <c r="R286" s="40" t="inlineStr"/>
      <c r="S286" s="40" t="inlineStr"/>
      <c r="T286" s="41" t="inlineStr">
        <is>
          <t>кг</t>
        </is>
      </c>
      <c r="U286" s="683" t="n">
        <v>0</v>
      </c>
      <c r="V286" s="684">
        <f>IFERROR(IF(U286="",0,CEILING((U286/$H286),1)*$H286),"")</f>
        <v/>
      </c>
      <c r="W286" s="42">
        <f>IFERROR(IF(V286=0,"",ROUNDUP(V286/H286,0)*0.00753),"")</f>
        <v/>
      </c>
      <c r="X286" s="69" t="inlineStr"/>
      <c r="Y286" s="70" t="inlineStr"/>
      <c r="AC286" s="71" t="n"/>
      <c r="AZ286" s="229" t="inlineStr">
        <is>
          <t>КИ</t>
        </is>
      </c>
    </row>
    <row r="287">
      <c r="A287" s="325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85" t="n"/>
      <c r="M287" s="686" t="inlineStr">
        <is>
          <t>Итого</t>
        </is>
      </c>
      <c r="N287" s="656" t="n"/>
      <c r="O287" s="656" t="n"/>
      <c r="P287" s="656" t="n"/>
      <c r="Q287" s="656" t="n"/>
      <c r="R287" s="656" t="n"/>
      <c r="S287" s="657" t="n"/>
      <c r="T287" s="43" t="inlineStr">
        <is>
          <t>кор</t>
        </is>
      </c>
      <c r="U287" s="687">
        <f>IFERROR(U286/H286,"0")</f>
        <v/>
      </c>
      <c r="V287" s="687">
        <f>IFERROR(V286/H286,"0")</f>
        <v/>
      </c>
      <c r="W287" s="687">
        <f>IFERROR(IF(W286="",0,W286),"0")</f>
        <v/>
      </c>
      <c r="X287" s="688" t="n"/>
      <c r="Y287" s="688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85" t="n"/>
      <c r="M288" s="686" t="inlineStr">
        <is>
          <t>Итого</t>
        </is>
      </c>
      <c r="N288" s="656" t="n"/>
      <c r="O288" s="656" t="n"/>
      <c r="P288" s="656" t="n"/>
      <c r="Q288" s="656" t="n"/>
      <c r="R288" s="656" t="n"/>
      <c r="S288" s="657" t="n"/>
      <c r="T288" s="43" t="inlineStr">
        <is>
          <t>кг</t>
        </is>
      </c>
      <c r="U288" s="687">
        <f>IFERROR(SUM(U286:U286),"0")</f>
        <v/>
      </c>
      <c r="V288" s="687">
        <f>IFERROR(SUM(V286:V286),"0")</f>
        <v/>
      </c>
      <c r="W288" s="43" t="n"/>
      <c r="X288" s="688" t="n"/>
      <c r="Y288" s="688" t="n"/>
    </row>
    <row r="289" ht="27.75" customHeight="1">
      <c r="A289" s="344" t="inlineStr">
        <is>
          <t>Особый рецепт</t>
        </is>
      </c>
      <c r="B289" s="679" t="n"/>
      <c r="C289" s="679" t="n"/>
      <c r="D289" s="679" t="n"/>
      <c r="E289" s="679" t="n"/>
      <c r="F289" s="679" t="n"/>
      <c r="G289" s="679" t="n"/>
      <c r="H289" s="679" t="n"/>
      <c r="I289" s="679" t="n"/>
      <c r="J289" s="679" t="n"/>
      <c r="K289" s="679" t="n"/>
      <c r="L289" s="679" t="n"/>
      <c r="M289" s="679" t="n"/>
      <c r="N289" s="679" t="n"/>
      <c r="O289" s="679" t="n"/>
      <c r="P289" s="679" t="n"/>
      <c r="Q289" s="679" t="n"/>
      <c r="R289" s="679" t="n"/>
      <c r="S289" s="679" t="n"/>
      <c r="T289" s="679" t="n"/>
      <c r="U289" s="679" t="n"/>
      <c r="V289" s="679" t="n"/>
      <c r="W289" s="679" t="n"/>
      <c r="X289" s="55" t="n"/>
      <c r="Y289" s="55" t="n"/>
    </row>
    <row r="290" ht="16.5" customHeight="1">
      <c r="A290" s="338" t="inlineStr">
        <is>
          <t>Особая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38" t="n"/>
      <c r="Y290" s="338" t="n"/>
    </row>
    <row r="291" ht="14.25" customHeight="1">
      <c r="A291" s="330" t="inlineStr">
        <is>
          <t>Вареные колбасы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30" t="n"/>
      <c r="Y291" s="330" t="n"/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1" t="n">
        <v>4607091383997</v>
      </c>
      <c r="E292" s="648" t="n"/>
      <c r="F292" s="680" t="n">
        <v>2.5</v>
      </c>
      <c r="G292" s="38" t="n">
        <v>6</v>
      </c>
      <c r="H292" s="680" t="n">
        <v>15</v>
      </c>
      <c r="I292" s="680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92" s="682" t="n"/>
      <c r="O292" s="682" t="n"/>
      <c r="P292" s="682" t="n"/>
      <c r="Q292" s="648" t="n"/>
      <c r="R292" s="40" t="inlineStr"/>
      <c r="S292" s="40" t="inlineStr"/>
      <c r="T292" s="41" t="inlineStr">
        <is>
          <t>кг</t>
        </is>
      </c>
      <c r="U292" s="683" t="n">
        <v>0</v>
      </c>
      <c r="V292" s="684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31" t="n">
        <v>4607091383997</v>
      </c>
      <c r="E293" s="648" t="n"/>
      <c r="F293" s="680" t="n">
        <v>2.5</v>
      </c>
      <c r="G293" s="38" t="n">
        <v>6</v>
      </c>
      <c r="H293" s="680" t="n">
        <v>15</v>
      </c>
      <c r="I293" s="680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3" s="682" t="n"/>
      <c r="O293" s="682" t="n"/>
      <c r="P293" s="682" t="n"/>
      <c r="Q293" s="648" t="n"/>
      <c r="R293" s="40" t="inlineStr"/>
      <c r="S293" s="40" t="inlineStr"/>
      <c r="T293" s="41" t="inlineStr">
        <is>
          <t>кг</t>
        </is>
      </c>
      <c r="U293" s="683" t="n">
        <v>5300</v>
      </c>
      <c r="V293" s="684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31" t="n">
        <v>4607091384130</v>
      </c>
      <c r="E294" s="648" t="n"/>
      <c r="F294" s="680" t="n">
        <v>2.5</v>
      </c>
      <c r="G294" s="38" t="n">
        <v>6</v>
      </c>
      <c r="H294" s="680" t="n">
        <v>15</v>
      </c>
      <c r="I294" s="680" t="n">
        <v>15.48</v>
      </c>
      <c r="J294" s="38" t="n">
        <v>48</v>
      </c>
      <c r="K294" s="39" t="inlineStr">
        <is>
          <t>СК2</t>
        </is>
      </c>
      <c r="L294" s="38" t="n">
        <v>60</v>
      </c>
      <c r="M294" s="8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4" s="682" t="n"/>
      <c r="O294" s="682" t="n"/>
      <c r="P294" s="682" t="n"/>
      <c r="Q294" s="648" t="n"/>
      <c r="R294" s="40" t="inlineStr"/>
      <c r="S294" s="40" t="inlineStr"/>
      <c r="T294" s="41" t="inlineStr">
        <is>
          <t>кг</t>
        </is>
      </c>
      <c r="U294" s="683" t="n">
        <v>1500</v>
      </c>
      <c r="V294" s="684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31" t="n">
        <v>4607091384130</v>
      </c>
      <c r="E295" s="648" t="n"/>
      <c r="F295" s="680" t="n">
        <v>2.5</v>
      </c>
      <c r="G295" s="38" t="n">
        <v>6</v>
      </c>
      <c r="H295" s="680" t="n">
        <v>15</v>
      </c>
      <c r="I295" s="680" t="n">
        <v>15.48</v>
      </c>
      <c r="J295" s="38" t="n">
        <v>48</v>
      </c>
      <c r="K295" s="39" t="inlineStr">
        <is>
          <t>ВЗ</t>
        </is>
      </c>
      <c r="L295" s="38" t="n">
        <v>60</v>
      </c>
      <c r="M295" s="84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5" s="682" t="n"/>
      <c r="O295" s="682" t="n"/>
      <c r="P295" s="682" t="n"/>
      <c r="Q295" s="648" t="n"/>
      <c r="R295" s="40" t="inlineStr"/>
      <c r="S295" s="40" t="inlineStr"/>
      <c r="T295" s="41" t="inlineStr">
        <is>
          <t>кг</t>
        </is>
      </c>
      <c r="U295" s="683" t="n">
        <v>0</v>
      </c>
      <c r="V295" s="684">
        <f>IFERROR(IF(U295="",0,CEILING((U295/$H295),1)*$H295),"")</f>
        <v/>
      </c>
      <c r="W295" s="42">
        <f>IFERROR(IF(V295=0,"",ROUNDUP(V295/H295,0)*0.02039),"")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31" t="n">
        <v>4607091384147</v>
      </c>
      <c r="E296" s="648" t="n"/>
      <c r="F296" s="680" t="n">
        <v>2.5</v>
      </c>
      <c r="G296" s="38" t="n">
        <v>6</v>
      </c>
      <c r="H296" s="680" t="n">
        <v>15</v>
      </c>
      <c r="I296" s="680" t="n">
        <v>15.48</v>
      </c>
      <c r="J296" s="38" t="n">
        <v>48</v>
      </c>
      <c r="K296" s="39" t="inlineStr">
        <is>
          <t>СК2</t>
        </is>
      </c>
      <c r="L296" s="38" t="n">
        <v>60</v>
      </c>
      <c r="M296" s="8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6" s="682" t="n"/>
      <c r="O296" s="682" t="n"/>
      <c r="P296" s="682" t="n"/>
      <c r="Q296" s="648" t="n"/>
      <c r="R296" s="40" t="inlineStr"/>
      <c r="S296" s="40" t="inlineStr"/>
      <c r="T296" s="41" t="inlineStr">
        <is>
          <t>кг</t>
        </is>
      </c>
      <c r="U296" s="683" t="n">
        <v>1800</v>
      </c>
      <c r="V296" s="684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31" t="n">
        <v>4607091384147</v>
      </c>
      <c r="E297" s="648" t="n"/>
      <c r="F297" s="680" t="n">
        <v>2.5</v>
      </c>
      <c r="G297" s="38" t="n">
        <v>6</v>
      </c>
      <c r="H297" s="680" t="n">
        <v>15</v>
      </c>
      <c r="I297" s="680" t="n">
        <v>15.48</v>
      </c>
      <c r="J297" s="38" t="n">
        <v>48</v>
      </c>
      <c r="K297" s="39" t="inlineStr">
        <is>
          <t>ВЗ</t>
        </is>
      </c>
      <c r="L297" s="38" t="n">
        <v>60</v>
      </c>
      <c r="M297" s="850" t="inlineStr">
        <is>
          <t>Вареные колбасы Особая Особая Весовые П/а Особый рецепт</t>
        </is>
      </c>
      <c r="N297" s="682" t="n"/>
      <c r="O297" s="682" t="n"/>
      <c r="P297" s="682" t="n"/>
      <c r="Q297" s="648" t="n"/>
      <c r="R297" s="40" t="inlineStr"/>
      <c r="S297" s="40" t="inlineStr"/>
      <c r="T297" s="41" t="inlineStr">
        <is>
          <t>кг</t>
        </is>
      </c>
      <c r="U297" s="683" t="n">
        <v>0</v>
      </c>
      <c r="V297" s="684">
        <f>IFERROR(IF(U297="",0,CEILING((U297/$H297),1)*$H297),"")</f>
        <v/>
      </c>
      <c r="W297" s="42">
        <f>IFERROR(IF(V297=0,"",ROUNDUP(V297/H297,0)*0.02039),"")</f>
        <v/>
      </c>
      <c r="X297" s="69" t="inlineStr"/>
      <c r="Y297" s="70" t="inlineStr"/>
      <c r="AC297" s="71" t="n"/>
      <c r="AZ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31" t="n">
        <v>4607091384154</v>
      </c>
      <c r="E298" s="648" t="n"/>
      <c r="F298" s="680" t="n">
        <v>0.5</v>
      </c>
      <c r="G298" s="38" t="n">
        <v>10</v>
      </c>
      <c r="H298" s="680" t="n">
        <v>5</v>
      </c>
      <c r="I298" s="680" t="n">
        <v>5.21</v>
      </c>
      <c r="J298" s="38" t="n">
        <v>120</v>
      </c>
      <c r="K298" s="39" t="inlineStr">
        <is>
          <t>СК2</t>
        </is>
      </c>
      <c r="L298" s="38" t="n">
        <v>60</v>
      </c>
      <c r="M298" s="85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8" s="682" t="n"/>
      <c r="O298" s="682" t="n"/>
      <c r="P298" s="682" t="n"/>
      <c r="Q298" s="648" t="n"/>
      <c r="R298" s="40" t="inlineStr"/>
      <c r="S298" s="40" t="inlineStr"/>
      <c r="T298" s="41" t="inlineStr">
        <is>
          <t>кг</t>
        </is>
      </c>
      <c r="U298" s="683" t="n">
        <v>0</v>
      </c>
      <c r="V298" s="684">
        <f>IFERROR(IF(U298="",0,CEILING((U298/$H298),1)*$H298),"")</f>
        <v/>
      </c>
      <c r="W298" s="42">
        <f>IFERROR(IF(V298=0,"",ROUNDUP(V298/H298,0)*0.00937),"")</f>
        <v/>
      </c>
      <c r="X298" s="69" t="inlineStr"/>
      <c r="Y298" s="70" t="inlineStr"/>
      <c r="AC298" s="71" t="n"/>
      <c r="AZ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31" t="n">
        <v>4607091384161</v>
      </c>
      <c r="E299" s="648" t="n"/>
      <c r="F299" s="680" t="n">
        <v>0.5</v>
      </c>
      <c r="G299" s="38" t="n">
        <v>10</v>
      </c>
      <c r="H299" s="680" t="n">
        <v>5</v>
      </c>
      <c r="I299" s="680" t="n">
        <v>5.21</v>
      </c>
      <c r="J299" s="38" t="n">
        <v>120</v>
      </c>
      <c r="K299" s="39" t="inlineStr">
        <is>
          <t>СК2</t>
        </is>
      </c>
      <c r="L299" s="38" t="n">
        <v>60</v>
      </c>
      <c r="M299" s="85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9" s="682" t="n"/>
      <c r="O299" s="682" t="n"/>
      <c r="P299" s="682" t="n"/>
      <c r="Q299" s="648" t="n"/>
      <c r="R299" s="40" t="inlineStr"/>
      <c r="S299" s="40" t="inlineStr"/>
      <c r="T299" s="41" t="inlineStr">
        <is>
          <t>кг</t>
        </is>
      </c>
      <c r="U299" s="683" t="n">
        <v>0</v>
      </c>
      <c r="V299" s="684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71" t="n"/>
      <c r="AZ299" s="237" t="inlineStr">
        <is>
          <t>КИ</t>
        </is>
      </c>
    </row>
    <row r="300">
      <c r="A300" s="325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85" t="n"/>
      <c r="M300" s="686" t="inlineStr">
        <is>
          <t>Итого</t>
        </is>
      </c>
      <c r="N300" s="656" t="n"/>
      <c r="O300" s="656" t="n"/>
      <c r="P300" s="656" t="n"/>
      <c r="Q300" s="656" t="n"/>
      <c r="R300" s="656" t="n"/>
      <c r="S300" s="657" t="n"/>
      <c r="T300" s="43" t="inlineStr">
        <is>
          <t>кор</t>
        </is>
      </c>
      <c r="U300" s="687">
        <f>IFERROR(U292/H292,"0")+IFERROR(U293/H293,"0")+IFERROR(U294/H294,"0")+IFERROR(U295/H295,"0")+IFERROR(U296/H296,"0")+IFERROR(U297/H297,"0")+IFERROR(U298/H298,"0")+IFERROR(U299/H299,"0")</f>
        <v/>
      </c>
      <c r="V300" s="687">
        <f>IFERROR(V292/H292,"0")+IFERROR(V293/H293,"0")+IFERROR(V294/H294,"0")+IFERROR(V295/H295,"0")+IFERROR(V296/H296,"0")+IFERROR(V297/H297,"0")+IFERROR(V298/H298,"0")+IFERROR(V299/H299,"0")</f>
        <v/>
      </c>
      <c r="W300" s="687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/>
      </c>
      <c r="X300" s="688" t="n"/>
      <c r="Y300" s="688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85" t="n"/>
      <c r="M301" s="686" t="inlineStr">
        <is>
          <t>Итого</t>
        </is>
      </c>
      <c r="N301" s="656" t="n"/>
      <c r="O301" s="656" t="n"/>
      <c r="P301" s="656" t="n"/>
      <c r="Q301" s="656" t="n"/>
      <c r="R301" s="656" t="n"/>
      <c r="S301" s="657" t="n"/>
      <c r="T301" s="43" t="inlineStr">
        <is>
          <t>кг</t>
        </is>
      </c>
      <c r="U301" s="687">
        <f>IFERROR(SUM(U292:U299),"0")</f>
        <v/>
      </c>
      <c r="V301" s="687">
        <f>IFERROR(SUM(V292:V299),"0")</f>
        <v/>
      </c>
      <c r="W301" s="43" t="n"/>
      <c r="X301" s="688" t="n"/>
      <c r="Y301" s="688" t="n"/>
    </row>
    <row r="302" ht="14.25" customHeight="1">
      <c r="A302" s="330" t="inlineStr">
        <is>
          <t>Ветчины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30" t="n"/>
      <c r="Y302" s="330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31" t="n">
        <v>4607091383980</v>
      </c>
      <c r="E303" s="648" t="n"/>
      <c r="F303" s="680" t="n">
        <v>2.5</v>
      </c>
      <c r="G303" s="38" t="n">
        <v>6</v>
      </c>
      <c r="H303" s="680" t="n">
        <v>15</v>
      </c>
      <c r="I303" s="680" t="n">
        <v>15.48</v>
      </c>
      <c r="J303" s="38" t="n">
        <v>48</v>
      </c>
      <c r="K303" s="39" t="inlineStr">
        <is>
          <t>СК1</t>
        </is>
      </c>
      <c r="L303" s="38" t="n">
        <v>50</v>
      </c>
      <c r="M303" s="85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3" s="682" t="n"/>
      <c r="O303" s="682" t="n"/>
      <c r="P303" s="682" t="n"/>
      <c r="Q303" s="648" t="n"/>
      <c r="R303" s="40" t="inlineStr"/>
      <c r="S303" s="40" t="inlineStr"/>
      <c r="T303" s="41" t="inlineStr">
        <is>
          <t>кг</t>
        </is>
      </c>
      <c r="U303" s="683" t="n">
        <v>2300</v>
      </c>
      <c r="V303" s="684">
        <f>IFERROR(IF(U303="",0,CEILING((U303/$H303),1)*$H303),"")</f>
        <v/>
      </c>
      <c r="W303" s="42">
        <f>IFERROR(IF(V303=0,"",ROUNDUP(V303/H303,0)*0.02175),"")</f>
        <v/>
      </c>
      <c r="X303" s="69" t="inlineStr"/>
      <c r="Y303" s="70" t="inlineStr"/>
      <c r="AC303" s="71" t="n"/>
      <c r="AZ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1" t="n">
        <v>4607091384178</v>
      </c>
      <c r="E304" s="648" t="n"/>
      <c r="F304" s="680" t="n">
        <v>0.4</v>
      </c>
      <c r="G304" s="38" t="n">
        <v>10</v>
      </c>
      <c r="H304" s="680" t="n">
        <v>4</v>
      </c>
      <c r="I304" s="680" t="n">
        <v>4.24</v>
      </c>
      <c r="J304" s="38" t="n">
        <v>120</v>
      </c>
      <c r="K304" s="39" t="inlineStr">
        <is>
          <t>СК1</t>
        </is>
      </c>
      <c r="L304" s="38" t="n">
        <v>50</v>
      </c>
      <c r="M304" s="8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4" s="682" t="n"/>
      <c r="O304" s="682" t="n"/>
      <c r="P304" s="682" t="n"/>
      <c r="Q304" s="648" t="n"/>
      <c r="R304" s="40" t="inlineStr"/>
      <c r="S304" s="40" t="inlineStr"/>
      <c r="T304" s="41" t="inlineStr">
        <is>
          <t>кг</t>
        </is>
      </c>
      <c r="U304" s="683" t="n">
        <v>0</v>
      </c>
      <c r="V304" s="684">
        <f>IFERROR(IF(U304="",0,CEILING((U304/$H304),1)*$H304),"")</f>
        <v/>
      </c>
      <c r="W304" s="42">
        <f>IFERROR(IF(V304=0,"",ROUNDUP(V304/H304,0)*0.00937),"")</f>
        <v/>
      </c>
      <c r="X304" s="69" t="inlineStr"/>
      <c r="Y304" s="70" t="inlineStr"/>
      <c r="AC304" s="71" t="n"/>
      <c r="AZ304" s="239" t="inlineStr">
        <is>
          <t>КИ</t>
        </is>
      </c>
    </row>
    <row r="305">
      <c r="A305" s="325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85" t="n"/>
      <c r="M305" s="686" t="inlineStr">
        <is>
          <t>Итого</t>
        </is>
      </c>
      <c r="N305" s="656" t="n"/>
      <c r="O305" s="656" t="n"/>
      <c r="P305" s="656" t="n"/>
      <c r="Q305" s="656" t="n"/>
      <c r="R305" s="656" t="n"/>
      <c r="S305" s="657" t="n"/>
      <c r="T305" s="43" t="inlineStr">
        <is>
          <t>кор</t>
        </is>
      </c>
      <c r="U305" s="687">
        <f>IFERROR(U303/H303,"0")+IFERROR(U304/H304,"0")</f>
        <v/>
      </c>
      <c r="V305" s="687">
        <f>IFERROR(V303/H303,"0")+IFERROR(V304/H304,"0")</f>
        <v/>
      </c>
      <c r="W305" s="687">
        <f>IFERROR(IF(W303="",0,W303),"0")+IFERROR(IF(W304="",0,W304),"0")</f>
        <v/>
      </c>
      <c r="X305" s="688" t="n"/>
      <c r="Y305" s="68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85" t="n"/>
      <c r="M306" s="686" t="inlineStr">
        <is>
          <t>Итого</t>
        </is>
      </c>
      <c r="N306" s="656" t="n"/>
      <c r="O306" s="656" t="n"/>
      <c r="P306" s="656" t="n"/>
      <c r="Q306" s="656" t="n"/>
      <c r="R306" s="656" t="n"/>
      <c r="S306" s="657" t="n"/>
      <c r="T306" s="43" t="inlineStr">
        <is>
          <t>кг</t>
        </is>
      </c>
      <c r="U306" s="687">
        <f>IFERROR(SUM(U303:U304),"0")</f>
        <v/>
      </c>
      <c r="V306" s="687">
        <f>IFERROR(SUM(V303:V304),"0")</f>
        <v/>
      </c>
      <c r="W306" s="43" t="n"/>
      <c r="X306" s="688" t="n"/>
      <c r="Y306" s="688" t="n"/>
    </row>
    <row r="307" ht="14.25" customHeight="1">
      <c r="A307" s="33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0" t="n"/>
      <c r="Y307" s="330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1" t="n">
        <v>4607091384260</v>
      </c>
      <c r="E308" s="648" t="n"/>
      <c r="F308" s="680" t="n">
        <v>1.3</v>
      </c>
      <c r="G308" s="38" t="n">
        <v>6</v>
      </c>
      <c r="H308" s="680" t="n">
        <v>7.8</v>
      </c>
      <c r="I308" s="68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82" t="n"/>
      <c r="O308" s="682" t="n"/>
      <c r="P308" s="682" t="n"/>
      <c r="Q308" s="648" t="n"/>
      <c r="R308" s="40" t="inlineStr"/>
      <c r="S308" s="40" t="inlineStr"/>
      <c r="T308" s="41" t="inlineStr">
        <is>
          <t>кг</t>
        </is>
      </c>
      <c r="U308" s="683" t="n">
        <v>0</v>
      </c>
      <c r="V308" s="68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40" t="inlineStr">
        <is>
          <t>КИ</t>
        </is>
      </c>
    </row>
    <row r="309">
      <c r="A309" s="325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85" t="n"/>
      <c r="M309" s="686" t="inlineStr">
        <is>
          <t>Итого</t>
        </is>
      </c>
      <c r="N309" s="656" t="n"/>
      <c r="O309" s="656" t="n"/>
      <c r="P309" s="656" t="n"/>
      <c r="Q309" s="656" t="n"/>
      <c r="R309" s="656" t="n"/>
      <c r="S309" s="657" t="n"/>
      <c r="T309" s="43" t="inlineStr">
        <is>
          <t>кор</t>
        </is>
      </c>
      <c r="U309" s="687">
        <f>IFERROR(U308/H308,"0")</f>
        <v/>
      </c>
      <c r="V309" s="687">
        <f>IFERROR(V308/H308,"0")</f>
        <v/>
      </c>
      <c r="W309" s="687">
        <f>IFERROR(IF(W308="",0,W308),"0")</f>
        <v/>
      </c>
      <c r="X309" s="688" t="n"/>
      <c r="Y309" s="68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85" t="n"/>
      <c r="M310" s="686" t="inlineStr">
        <is>
          <t>Итого</t>
        </is>
      </c>
      <c r="N310" s="656" t="n"/>
      <c r="O310" s="656" t="n"/>
      <c r="P310" s="656" t="n"/>
      <c r="Q310" s="656" t="n"/>
      <c r="R310" s="656" t="n"/>
      <c r="S310" s="657" t="n"/>
      <c r="T310" s="43" t="inlineStr">
        <is>
          <t>кг</t>
        </is>
      </c>
      <c r="U310" s="687">
        <f>IFERROR(SUM(U308:U308),"0")</f>
        <v/>
      </c>
      <c r="V310" s="687">
        <f>IFERROR(SUM(V308:V308),"0")</f>
        <v/>
      </c>
      <c r="W310" s="43" t="n"/>
      <c r="X310" s="688" t="n"/>
      <c r="Y310" s="688" t="n"/>
    </row>
    <row r="311" ht="14.25" customHeight="1">
      <c r="A311" s="330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1" t="n">
        <v>4607091384673</v>
      </c>
      <c r="E312" s="648" t="n"/>
      <c r="F312" s="680" t="n">
        <v>1.3</v>
      </c>
      <c r="G312" s="38" t="n">
        <v>6</v>
      </c>
      <c r="H312" s="680" t="n">
        <v>7.8</v>
      </c>
      <c r="I312" s="68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82" t="n"/>
      <c r="O312" s="682" t="n"/>
      <c r="P312" s="682" t="n"/>
      <c r="Q312" s="648" t="n"/>
      <c r="R312" s="40" t="inlineStr"/>
      <c r="S312" s="40" t="inlineStr"/>
      <c r="T312" s="41" t="inlineStr">
        <is>
          <t>кг</t>
        </is>
      </c>
      <c r="U312" s="683" t="n">
        <v>0</v>
      </c>
      <c r="V312" s="68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1" t="inlineStr">
        <is>
          <t>КИ</t>
        </is>
      </c>
    </row>
    <row r="313">
      <c r="A313" s="325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85" t="n"/>
      <c r="M313" s="686" t="inlineStr">
        <is>
          <t>Итого</t>
        </is>
      </c>
      <c r="N313" s="656" t="n"/>
      <c r="O313" s="656" t="n"/>
      <c r="P313" s="656" t="n"/>
      <c r="Q313" s="656" t="n"/>
      <c r="R313" s="656" t="n"/>
      <c r="S313" s="657" t="n"/>
      <c r="T313" s="43" t="inlineStr">
        <is>
          <t>кор</t>
        </is>
      </c>
      <c r="U313" s="687">
        <f>IFERROR(U312/H312,"0")</f>
        <v/>
      </c>
      <c r="V313" s="687">
        <f>IFERROR(V312/H312,"0")</f>
        <v/>
      </c>
      <c r="W313" s="687">
        <f>IFERROR(IF(W312="",0,W312),"0")</f>
        <v/>
      </c>
      <c r="X313" s="688" t="n"/>
      <c r="Y313" s="68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85" t="n"/>
      <c r="M314" s="686" t="inlineStr">
        <is>
          <t>Итого</t>
        </is>
      </c>
      <c r="N314" s="656" t="n"/>
      <c r="O314" s="656" t="n"/>
      <c r="P314" s="656" t="n"/>
      <c r="Q314" s="656" t="n"/>
      <c r="R314" s="656" t="n"/>
      <c r="S314" s="657" t="n"/>
      <c r="T314" s="43" t="inlineStr">
        <is>
          <t>кг</t>
        </is>
      </c>
      <c r="U314" s="687">
        <f>IFERROR(SUM(U312:U312),"0")</f>
        <v/>
      </c>
      <c r="V314" s="687">
        <f>IFERROR(SUM(V312:V312),"0")</f>
        <v/>
      </c>
      <c r="W314" s="43" t="n"/>
      <c r="X314" s="688" t="n"/>
      <c r="Y314" s="688" t="n"/>
    </row>
    <row r="315" ht="16.5" customHeight="1">
      <c r="A315" s="338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8" t="n"/>
      <c r="Y315" s="338" t="n"/>
    </row>
    <row r="316" ht="14.25" customHeight="1">
      <c r="A316" s="330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0" t="n"/>
      <c r="Y316" s="330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1" t="n">
        <v>4607091384185</v>
      </c>
      <c r="E317" s="648" t="n"/>
      <c r="F317" s="680" t="n">
        <v>0.8</v>
      </c>
      <c r="G317" s="38" t="n">
        <v>15</v>
      </c>
      <c r="H317" s="680" t="n">
        <v>12</v>
      </c>
      <c r="I317" s="68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82" t="n"/>
      <c r="O317" s="682" t="n"/>
      <c r="P317" s="682" t="n"/>
      <c r="Q317" s="648" t="n"/>
      <c r="R317" s="40" t="inlineStr"/>
      <c r="S317" s="40" t="inlineStr"/>
      <c r="T317" s="41" t="inlineStr">
        <is>
          <t>кг</t>
        </is>
      </c>
      <c r="U317" s="683" t="n">
        <v>0</v>
      </c>
      <c r="V317" s="68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1" t="n">
        <v>4607091384192</v>
      </c>
      <c r="E318" s="648" t="n"/>
      <c r="F318" s="680" t="n">
        <v>1.8</v>
      </c>
      <c r="G318" s="38" t="n">
        <v>6</v>
      </c>
      <c r="H318" s="680" t="n">
        <v>10.8</v>
      </c>
      <c r="I318" s="68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82" t="n"/>
      <c r="O318" s="682" t="n"/>
      <c r="P318" s="682" t="n"/>
      <c r="Q318" s="648" t="n"/>
      <c r="R318" s="40" t="inlineStr"/>
      <c r="S318" s="40" t="inlineStr"/>
      <c r="T318" s="41" t="inlineStr">
        <is>
          <t>кг</t>
        </is>
      </c>
      <c r="U318" s="683" t="n">
        <v>0</v>
      </c>
      <c r="V318" s="68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1" t="n">
        <v>4680115881907</v>
      </c>
      <c r="E319" s="648" t="n"/>
      <c r="F319" s="680" t="n">
        <v>1.8</v>
      </c>
      <c r="G319" s="38" t="n">
        <v>6</v>
      </c>
      <c r="H319" s="680" t="n">
        <v>10.8</v>
      </c>
      <c r="I319" s="68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5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82" t="n"/>
      <c r="O319" s="682" t="n"/>
      <c r="P319" s="682" t="n"/>
      <c r="Q319" s="648" t="n"/>
      <c r="R319" s="40" t="inlineStr"/>
      <c r="S319" s="40" t="inlineStr"/>
      <c r="T319" s="41" t="inlineStr">
        <is>
          <t>кг</t>
        </is>
      </c>
      <c r="U319" s="683" t="n">
        <v>0</v>
      </c>
      <c r="V319" s="68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1" t="n">
        <v>4607091384680</v>
      </c>
      <c r="E320" s="648" t="n"/>
      <c r="F320" s="680" t="n">
        <v>0.4</v>
      </c>
      <c r="G320" s="38" t="n">
        <v>10</v>
      </c>
      <c r="H320" s="680" t="n">
        <v>4</v>
      </c>
      <c r="I320" s="68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82" t="n"/>
      <c r="O320" s="682" t="n"/>
      <c r="P320" s="682" t="n"/>
      <c r="Q320" s="648" t="n"/>
      <c r="R320" s="40" t="inlineStr"/>
      <c r="S320" s="40" t="inlineStr"/>
      <c r="T320" s="41" t="inlineStr">
        <is>
          <t>кг</t>
        </is>
      </c>
      <c r="U320" s="683" t="n">
        <v>0</v>
      </c>
      <c r="V320" s="68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5" t="inlineStr">
        <is>
          <t>КИ</t>
        </is>
      </c>
    </row>
    <row r="321">
      <c r="A321" s="325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85" t="n"/>
      <c r="M321" s="686" t="inlineStr">
        <is>
          <t>Итого</t>
        </is>
      </c>
      <c r="N321" s="656" t="n"/>
      <c r="O321" s="656" t="n"/>
      <c r="P321" s="656" t="n"/>
      <c r="Q321" s="656" t="n"/>
      <c r="R321" s="656" t="n"/>
      <c r="S321" s="657" t="n"/>
      <c r="T321" s="43" t="inlineStr">
        <is>
          <t>кор</t>
        </is>
      </c>
      <c r="U321" s="687">
        <f>IFERROR(U317/H317,"0")+IFERROR(U318/H318,"0")+IFERROR(U319/H319,"0")+IFERROR(U320/H320,"0")</f>
        <v/>
      </c>
      <c r="V321" s="687">
        <f>IFERROR(V317/H317,"0")+IFERROR(V318/H318,"0")+IFERROR(V319/H319,"0")+IFERROR(V320/H320,"0")</f>
        <v/>
      </c>
      <c r="W321" s="687">
        <f>IFERROR(IF(W317="",0,W317),"0")+IFERROR(IF(W318="",0,W318),"0")+IFERROR(IF(W319="",0,W319),"0")+IFERROR(IF(W320="",0,W320),"0")</f>
        <v/>
      </c>
      <c r="X321" s="688" t="n"/>
      <c r="Y321" s="68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85" t="n"/>
      <c r="M322" s="686" t="inlineStr">
        <is>
          <t>Итого</t>
        </is>
      </c>
      <c r="N322" s="656" t="n"/>
      <c r="O322" s="656" t="n"/>
      <c r="P322" s="656" t="n"/>
      <c r="Q322" s="656" t="n"/>
      <c r="R322" s="656" t="n"/>
      <c r="S322" s="657" t="n"/>
      <c r="T322" s="43" t="inlineStr">
        <is>
          <t>кг</t>
        </is>
      </c>
      <c r="U322" s="687">
        <f>IFERROR(SUM(U317:U320),"0")</f>
        <v/>
      </c>
      <c r="V322" s="687">
        <f>IFERROR(SUM(V317:V320),"0")</f>
        <v/>
      </c>
      <c r="W322" s="43" t="n"/>
      <c r="X322" s="688" t="n"/>
      <c r="Y322" s="688" t="n"/>
    </row>
    <row r="323" ht="14.25" customHeight="1">
      <c r="A323" s="330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0" t="n"/>
      <c r="Y323" s="330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1" t="n">
        <v>4607091384802</v>
      </c>
      <c r="E324" s="648" t="n"/>
      <c r="F324" s="680" t="n">
        <v>0.73</v>
      </c>
      <c r="G324" s="38" t="n">
        <v>6</v>
      </c>
      <c r="H324" s="680" t="n">
        <v>4.38</v>
      </c>
      <c r="I324" s="68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82" t="n"/>
      <c r="O324" s="682" t="n"/>
      <c r="P324" s="682" t="n"/>
      <c r="Q324" s="648" t="n"/>
      <c r="R324" s="40" t="inlineStr"/>
      <c r="S324" s="40" t="inlineStr"/>
      <c r="T324" s="41" t="inlineStr">
        <is>
          <t>кг</t>
        </is>
      </c>
      <c r="U324" s="683" t="n">
        <v>0</v>
      </c>
      <c r="V324" s="68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1" t="n">
        <v>4607091384826</v>
      </c>
      <c r="E325" s="648" t="n"/>
      <c r="F325" s="680" t="n">
        <v>0.35</v>
      </c>
      <c r="G325" s="38" t="n">
        <v>8</v>
      </c>
      <c r="H325" s="680" t="n">
        <v>2.8</v>
      </c>
      <c r="I325" s="68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82" t="n"/>
      <c r="O325" s="682" t="n"/>
      <c r="P325" s="682" t="n"/>
      <c r="Q325" s="648" t="n"/>
      <c r="R325" s="40" t="inlineStr"/>
      <c r="S325" s="40" t="inlineStr"/>
      <c r="T325" s="41" t="inlineStr">
        <is>
          <t>кг</t>
        </is>
      </c>
      <c r="U325" s="683" t="n">
        <v>0</v>
      </c>
      <c r="V325" s="68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5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85" t="n"/>
      <c r="M326" s="686" t="inlineStr">
        <is>
          <t>Итого</t>
        </is>
      </c>
      <c r="N326" s="656" t="n"/>
      <c r="O326" s="656" t="n"/>
      <c r="P326" s="656" t="n"/>
      <c r="Q326" s="656" t="n"/>
      <c r="R326" s="656" t="n"/>
      <c r="S326" s="657" t="n"/>
      <c r="T326" s="43" t="inlineStr">
        <is>
          <t>кор</t>
        </is>
      </c>
      <c r="U326" s="687">
        <f>IFERROR(U324/H324,"0")+IFERROR(U325/H325,"0")</f>
        <v/>
      </c>
      <c r="V326" s="687">
        <f>IFERROR(V324/H324,"0")+IFERROR(V325/H325,"0")</f>
        <v/>
      </c>
      <c r="W326" s="687">
        <f>IFERROR(IF(W324="",0,W324),"0")+IFERROR(IF(W325="",0,W325),"0")</f>
        <v/>
      </c>
      <c r="X326" s="688" t="n"/>
      <c r="Y326" s="68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85" t="n"/>
      <c r="M327" s="686" t="inlineStr">
        <is>
          <t>Итого</t>
        </is>
      </c>
      <c r="N327" s="656" t="n"/>
      <c r="O327" s="656" t="n"/>
      <c r="P327" s="656" t="n"/>
      <c r="Q327" s="656" t="n"/>
      <c r="R327" s="656" t="n"/>
      <c r="S327" s="657" t="n"/>
      <c r="T327" s="43" t="inlineStr">
        <is>
          <t>кг</t>
        </is>
      </c>
      <c r="U327" s="687">
        <f>IFERROR(SUM(U324:U325),"0")</f>
        <v/>
      </c>
      <c r="V327" s="687">
        <f>IFERROR(SUM(V324:V325),"0")</f>
        <v/>
      </c>
      <c r="W327" s="43" t="n"/>
      <c r="X327" s="688" t="n"/>
      <c r="Y327" s="688" t="n"/>
    </row>
    <row r="328" ht="14.25" customHeight="1">
      <c r="A328" s="330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0" t="n"/>
      <c r="Y328" s="330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1" t="n">
        <v>4607091384246</v>
      </c>
      <c r="E329" s="648" t="n"/>
      <c r="F329" s="680" t="n">
        <v>1.3</v>
      </c>
      <c r="G329" s="38" t="n">
        <v>6</v>
      </c>
      <c r="H329" s="680" t="n">
        <v>7.8</v>
      </c>
      <c r="I329" s="68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82" t="n"/>
      <c r="O329" s="682" t="n"/>
      <c r="P329" s="682" t="n"/>
      <c r="Q329" s="648" t="n"/>
      <c r="R329" s="40" t="inlineStr"/>
      <c r="S329" s="40" t="inlineStr"/>
      <c r="T329" s="41" t="inlineStr">
        <is>
          <t>кг</t>
        </is>
      </c>
      <c r="U329" s="683" t="n">
        <v>0</v>
      </c>
      <c r="V329" s="68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1" t="n">
        <v>4680115881976</v>
      </c>
      <c r="E330" s="648" t="n"/>
      <c r="F330" s="680" t="n">
        <v>1.3</v>
      </c>
      <c r="G330" s="38" t="n">
        <v>6</v>
      </c>
      <c r="H330" s="680" t="n">
        <v>7.8</v>
      </c>
      <c r="I330" s="68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6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82" t="n"/>
      <c r="O330" s="682" t="n"/>
      <c r="P330" s="682" t="n"/>
      <c r="Q330" s="648" t="n"/>
      <c r="R330" s="40" t="inlineStr"/>
      <c r="S330" s="40" t="inlineStr"/>
      <c r="T330" s="41" t="inlineStr">
        <is>
          <t>кг</t>
        </is>
      </c>
      <c r="U330" s="683" t="n">
        <v>0</v>
      </c>
      <c r="V330" s="68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1" t="n">
        <v>4607091384253</v>
      </c>
      <c r="E331" s="648" t="n"/>
      <c r="F331" s="680" t="n">
        <v>0.4</v>
      </c>
      <c r="G331" s="38" t="n">
        <v>6</v>
      </c>
      <c r="H331" s="680" t="n">
        <v>2.4</v>
      </c>
      <c r="I331" s="68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82" t="n"/>
      <c r="O331" s="682" t="n"/>
      <c r="P331" s="682" t="n"/>
      <c r="Q331" s="648" t="n"/>
      <c r="R331" s="40" t="inlineStr"/>
      <c r="S331" s="40" t="inlineStr"/>
      <c r="T331" s="41" t="inlineStr">
        <is>
          <t>кг</t>
        </is>
      </c>
      <c r="U331" s="683" t="n">
        <v>0</v>
      </c>
      <c r="V331" s="68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1" t="n">
        <v>4680115881969</v>
      </c>
      <c r="E332" s="648" t="n"/>
      <c r="F332" s="680" t="n">
        <v>0.4</v>
      </c>
      <c r="G332" s="38" t="n">
        <v>6</v>
      </c>
      <c r="H332" s="680" t="n">
        <v>2.4</v>
      </c>
      <c r="I332" s="68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6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82" t="n"/>
      <c r="O332" s="682" t="n"/>
      <c r="P332" s="682" t="n"/>
      <c r="Q332" s="648" t="n"/>
      <c r="R332" s="40" t="inlineStr"/>
      <c r="S332" s="40" t="inlineStr"/>
      <c r="T332" s="41" t="inlineStr">
        <is>
          <t>кг</t>
        </is>
      </c>
      <c r="U332" s="683" t="n">
        <v>0</v>
      </c>
      <c r="V332" s="68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51" t="inlineStr">
        <is>
          <t>КИ</t>
        </is>
      </c>
    </row>
    <row r="333">
      <c r="A333" s="325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85" t="n"/>
      <c r="M333" s="686" t="inlineStr">
        <is>
          <t>Итого</t>
        </is>
      </c>
      <c r="N333" s="656" t="n"/>
      <c r="O333" s="656" t="n"/>
      <c r="P333" s="656" t="n"/>
      <c r="Q333" s="656" t="n"/>
      <c r="R333" s="656" t="n"/>
      <c r="S333" s="657" t="n"/>
      <c r="T333" s="43" t="inlineStr">
        <is>
          <t>кор</t>
        </is>
      </c>
      <c r="U333" s="687">
        <f>IFERROR(U329/H329,"0")+IFERROR(U330/H330,"0")+IFERROR(U331/H331,"0")+IFERROR(U332/H332,"0")</f>
        <v/>
      </c>
      <c r="V333" s="687">
        <f>IFERROR(V329/H329,"0")+IFERROR(V330/H330,"0")+IFERROR(V331/H331,"0")+IFERROR(V332/H332,"0")</f>
        <v/>
      </c>
      <c r="W333" s="687">
        <f>IFERROR(IF(W329="",0,W329),"0")+IFERROR(IF(W330="",0,W330),"0")+IFERROR(IF(W331="",0,W331),"0")+IFERROR(IF(W332="",0,W332),"0")</f>
        <v/>
      </c>
      <c r="X333" s="688" t="n"/>
      <c r="Y333" s="68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85" t="n"/>
      <c r="M334" s="686" t="inlineStr">
        <is>
          <t>Итого</t>
        </is>
      </c>
      <c r="N334" s="656" t="n"/>
      <c r="O334" s="656" t="n"/>
      <c r="P334" s="656" t="n"/>
      <c r="Q334" s="656" t="n"/>
      <c r="R334" s="656" t="n"/>
      <c r="S334" s="657" t="n"/>
      <c r="T334" s="43" t="inlineStr">
        <is>
          <t>кг</t>
        </is>
      </c>
      <c r="U334" s="687">
        <f>IFERROR(SUM(U329:U332),"0")</f>
        <v/>
      </c>
      <c r="V334" s="687">
        <f>IFERROR(SUM(V329:V332),"0")</f>
        <v/>
      </c>
      <c r="W334" s="43" t="n"/>
      <c r="X334" s="688" t="n"/>
      <c r="Y334" s="688" t="n"/>
    </row>
    <row r="335" ht="14.25" customHeight="1">
      <c r="A335" s="330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0" t="n"/>
      <c r="Y335" s="330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1" t="n">
        <v>4607091389357</v>
      </c>
      <c r="E336" s="648" t="n"/>
      <c r="F336" s="680" t="n">
        <v>1.3</v>
      </c>
      <c r="G336" s="38" t="n">
        <v>6</v>
      </c>
      <c r="H336" s="680" t="n">
        <v>7.8</v>
      </c>
      <c r="I336" s="68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6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82" t="n"/>
      <c r="O336" s="682" t="n"/>
      <c r="P336" s="682" t="n"/>
      <c r="Q336" s="648" t="n"/>
      <c r="R336" s="40" t="inlineStr"/>
      <c r="S336" s="40" t="inlineStr"/>
      <c r="T336" s="41" t="inlineStr">
        <is>
          <t>кг</t>
        </is>
      </c>
      <c r="U336" s="683" t="n">
        <v>0</v>
      </c>
      <c r="V336" s="68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52" t="inlineStr">
        <is>
          <t>КИ</t>
        </is>
      </c>
    </row>
    <row r="337">
      <c r="A337" s="325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85" t="n"/>
      <c r="M337" s="686" t="inlineStr">
        <is>
          <t>Итого</t>
        </is>
      </c>
      <c r="N337" s="656" t="n"/>
      <c r="O337" s="656" t="n"/>
      <c r="P337" s="656" t="n"/>
      <c r="Q337" s="656" t="n"/>
      <c r="R337" s="656" t="n"/>
      <c r="S337" s="657" t="n"/>
      <c r="T337" s="43" t="inlineStr">
        <is>
          <t>кор</t>
        </is>
      </c>
      <c r="U337" s="687">
        <f>IFERROR(U336/H336,"0")</f>
        <v/>
      </c>
      <c r="V337" s="687">
        <f>IFERROR(V336/H336,"0")</f>
        <v/>
      </c>
      <c r="W337" s="687">
        <f>IFERROR(IF(W336="",0,W336),"0")</f>
        <v/>
      </c>
      <c r="X337" s="688" t="n"/>
      <c r="Y337" s="68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85" t="n"/>
      <c r="M338" s="686" t="inlineStr">
        <is>
          <t>Итого</t>
        </is>
      </c>
      <c r="N338" s="656" t="n"/>
      <c r="O338" s="656" t="n"/>
      <c r="P338" s="656" t="n"/>
      <c r="Q338" s="656" t="n"/>
      <c r="R338" s="656" t="n"/>
      <c r="S338" s="657" t="n"/>
      <c r="T338" s="43" t="inlineStr">
        <is>
          <t>кг</t>
        </is>
      </c>
      <c r="U338" s="687">
        <f>IFERROR(SUM(U336:U336),"0")</f>
        <v/>
      </c>
      <c r="V338" s="687">
        <f>IFERROR(SUM(V336:V336),"0")</f>
        <v/>
      </c>
      <c r="W338" s="43" t="n"/>
      <c r="X338" s="688" t="n"/>
      <c r="Y338" s="688" t="n"/>
    </row>
    <row r="339" ht="27.75" customHeight="1">
      <c r="A339" s="344" t="inlineStr">
        <is>
          <t>Баварушка</t>
        </is>
      </c>
      <c r="B339" s="679" t="n"/>
      <c r="C339" s="679" t="n"/>
      <c r="D339" s="679" t="n"/>
      <c r="E339" s="679" t="n"/>
      <c r="F339" s="679" t="n"/>
      <c r="G339" s="679" t="n"/>
      <c r="H339" s="679" t="n"/>
      <c r="I339" s="679" t="n"/>
      <c r="J339" s="679" t="n"/>
      <c r="K339" s="679" t="n"/>
      <c r="L339" s="679" t="n"/>
      <c r="M339" s="679" t="n"/>
      <c r="N339" s="679" t="n"/>
      <c r="O339" s="679" t="n"/>
      <c r="P339" s="679" t="n"/>
      <c r="Q339" s="679" t="n"/>
      <c r="R339" s="679" t="n"/>
      <c r="S339" s="679" t="n"/>
      <c r="T339" s="679" t="n"/>
      <c r="U339" s="679" t="n"/>
      <c r="V339" s="679" t="n"/>
      <c r="W339" s="679" t="n"/>
      <c r="X339" s="55" t="n"/>
      <c r="Y339" s="55" t="n"/>
    </row>
    <row r="340" ht="16.5" customHeight="1">
      <c r="A340" s="338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8" t="n"/>
      <c r="Y340" s="338" t="n"/>
    </row>
    <row r="341" ht="14.25" customHeight="1">
      <c r="A341" s="330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0" t="n"/>
      <c r="Y341" s="330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1" t="n">
        <v>4607091389708</v>
      </c>
      <c r="E342" s="648" t="n"/>
      <c r="F342" s="680" t="n">
        <v>0.45</v>
      </c>
      <c r="G342" s="38" t="n">
        <v>6</v>
      </c>
      <c r="H342" s="680" t="n">
        <v>2.7</v>
      </c>
      <c r="I342" s="68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82" t="n"/>
      <c r="O342" s="682" t="n"/>
      <c r="P342" s="682" t="n"/>
      <c r="Q342" s="648" t="n"/>
      <c r="R342" s="40" t="inlineStr"/>
      <c r="S342" s="40" t="inlineStr"/>
      <c r="T342" s="41" t="inlineStr">
        <is>
          <t>кг</t>
        </is>
      </c>
      <c r="U342" s="683" t="n">
        <v>0</v>
      </c>
      <c r="V342" s="68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1" t="n">
        <v>4607091389692</v>
      </c>
      <c r="E343" s="648" t="n"/>
      <c r="F343" s="680" t="n">
        <v>0.45</v>
      </c>
      <c r="G343" s="38" t="n">
        <v>6</v>
      </c>
      <c r="H343" s="680" t="n">
        <v>2.7</v>
      </c>
      <c r="I343" s="68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6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82" t="n"/>
      <c r="O343" s="682" t="n"/>
      <c r="P343" s="682" t="n"/>
      <c r="Q343" s="648" t="n"/>
      <c r="R343" s="40" t="inlineStr"/>
      <c r="S343" s="40" t="inlineStr"/>
      <c r="T343" s="41" t="inlineStr">
        <is>
          <t>кг</t>
        </is>
      </c>
      <c r="U343" s="683" t="n">
        <v>0</v>
      </c>
      <c r="V343" s="68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>
      <c r="A344" s="325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85" t="n"/>
      <c r="M344" s="686" t="inlineStr">
        <is>
          <t>Итого</t>
        </is>
      </c>
      <c r="N344" s="656" t="n"/>
      <c r="O344" s="656" t="n"/>
      <c r="P344" s="656" t="n"/>
      <c r="Q344" s="656" t="n"/>
      <c r="R344" s="656" t="n"/>
      <c r="S344" s="657" t="n"/>
      <c r="T344" s="43" t="inlineStr">
        <is>
          <t>кор</t>
        </is>
      </c>
      <c r="U344" s="687">
        <f>IFERROR(U342/H342,"0")+IFERROR(U343/H343,"0")</f>
        <v/>
      </c>
      <c r="V344" s="687">
        <f>IFERROR(V342/H342,"0")+IFERROR(V343/H343,"0")</f>
        <v/>
      </c>
      <c r="W344" s="687">
        <f>IFERROR(IF(W342="",0,W342),"0")+IFERROR(IF(W343="",0,W343),"0")</f>
        <v/>
      </c>
      <c r="X344" s="688" t="n"/>
      <c r="Y344" s="68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85" t="n"/>
      <c r="M345" s="686" t="inlineStr">
        <is>
          <t>Итого</t>
        </is>
      </c>
      <c r="N345" s="656" t="n"/>
      <c r="O345" s="656" t="n"/>
      <c r="P345" s="656" t="n"/>
      <c r="Q345" s="656" t="n"/>
      <c r="R345" s="656" t="n"/>
      <c r="S345" s="657" t="n"/>
      <c r="T345" s="43" t="inlineStr">
        <is>
          <t>кг</t>
        </is>
      </c>
      <c r="U345" s="687">
        <f>IFERROR(SUM(U342:U343),"0")</f>
        <v/>
      </c>
      <c r="V345" s="687">
        <f>IFERROR(SUM(V342:V343),"0")</f>
        <v/>
      </c>
      <c r="W345" s="43" t="n"/>
      <c r="X345" s="688" t="n"/>
      <c r="Y345" s="688" t="n"/>
    </row>
    <row r="346" ht="14.25" customHeight="1">
      <c r="A346" s="330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0" t="n"/>
      <c r="Y346" s="330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1" t="n">
        <v>4607091389753</v>
      </c>
      <c r="E347" s="648" t="n"/>
      <c r="F347" s="680" t="n">
        <v>0.7</v>
      </c>
      <c r="G347" s="38" t="n">
        <v>6</v>
      </c>
      <c r="H347" s="680" t="n">
        <v>4.2</v>
      </c>
      <c r="I347" s="68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7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82" t="n"/>
      <c r="O347" s="682" t="n"/>
      <c r="P347" s="682" t="n"/>
      <c r="Q347" s="648" t="n"/>
      <c r="R347" s="40" t="inlineStr"/>
      <c r="S347" s="40" t="inlineStr"/>
      <c r="T347" s="41" t="inlineStr">
        <is>
          <t>кг</t>
        </is>
      </c>
      <c r="U347" s="683" t="n">
        <v>0</v>
      </c>
      <c r="V347" s="68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1" t="n">
        <v>4607091389760</v>
      </c>
      <c r="E348" s="648" t="n"/>
      <c r="F348" s="680" t="n">
        <v>0.7</v>
      </c>
      <c r="G348" s="38" t="n">
        <v>6</v>
      </c>
      <c r="H348" s="680" t="n">
        <v>4.2</v>
      </c>
      <c r="I348" s="68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7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82" t="n"/>
      <c r="O348" s="682" t="n"/>
      <c r="P348" s="682" t="n"/>
      <c r="Q348" s="648" t="n"/>
      <c r="R348" s="40" t="inlineStr"/>
      <c r="S348" s="40" t="inlineStr"/>
      <c r="T348" s="41" t="inlineStr">
        <is>
          <t>кг</t>
        </is>
      </c>
      <c r="U348" s="683" t="n">
        <v>0</v>
      </c>
      <c r="V348" s="68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1" t="n">
        <v>4607091389746</v>
      </c>
      <c r="E349" s="648" t="n"/>
      <c r="F349" s="680" t="n">
        <v>0.7</v>
      </c>
      <c r="G349" s="38" t="n">
        <v>6</v>
      </c>
      <c r="H349" s="680" t="n">
        <v>4.2</v>
      </c>
      <c r="I349" s="68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7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82" t="n"/>
      <c r="O349" s="682" t="n"/>
      <c r="P349" s="682" t="n"/>
      <c r="Q349" s="648" t="n"/>
      <c r="R349" s="40" t="inlineStr"/>
      <c r="S349" s="40" t="inlineStr"/>
      <c r="T349" s="41" t="inlineStr">
        <is>
          <t>кг</t>
        </is>
      </c>
      <c r="U349" s="683" t="n">
        <v>0</v>
      </c>
      <c r="V349" s="68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1" t="n">
        <v>4680115882928</v>
      </c>
      <c r="E350" s="648" t="n"/>
      <c r="F350" s="680" t="n">
        <v>0.28</v>
      </c>
      <c r="G350" s="38" t="n">
        <v>6</v>
      </c>
      <c r="H350" s="680" t="n">
        <v>1.68</v>
      </c>
      <c r="I350" s="68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7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82" t="n"/>
      <c r="O350" s="682" t="n"/>
      <c r="P350" s="682" t="n"/>
      <c r="Q350" s="648" t="n"/>
      <c r="R350" s="40" t="inlineStr"/>
      <c r="S350" s="40" t="inlineStr"/>
      <c r="T350" s="41" t="inlineStr">
        <is>
          <t>кг</t>
        </is>
      </c>
      <c r="U350" s="683" t="n">
        <v>0</v>
      </c>
      <c r="V350" s="68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1" t="n">
        <v>4680115883147</v>
      </c>
      <c r="E351" s="648" t="n"/>
      <c r="F351" s="680" t="n">
        <v>0.28</v>
      </c>
      <c r="G351" s="38" t="n">
        <v>6</v>
      </c>
      <c r="H351" s="680" t="n">
        <v>1.68</v>
      </c>
      <c r="I351" s="68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7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82" t="n"/>
      <c r="O351" s="682" t="n"/>
      <c r="P351" s="682" t="n"/>
      <c r="Q351" s="648" t="n"/>
      <c r="R351" s="40" t="inlineStr"/>
      <c r="S351" s="40" t="inlineStr"/>
      <c r="T351" s="41" t="inlineStr">
        <is>
          <t>кг</t>
        </is>
      </c>
      <c r="U351" s="683" t="n">
        <v>0</v>
      </c>
      <c r="V351" s="68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1" t="n">
        <v>4607091384338</v>
      </c>
      <c r="E352" s="648" t="n"/>
      <c r="F352" s="680" t="n">
        <v>0.35</v>
      </c>
      <c r="G352" s="38" t="n">
        <v>6</v>
      </c>
      <c r="H352" s="680" t="n">
        <v>2.1</v>
      </c>
      <c r="I352" s="68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7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82" t="n"/>
      <c r="O352" s="682" t="n"/>
      <c r="P352" s="682" t="n"/>
      <c r="Q352" s="648" t="n"/>
      <c r="R352" s="40" t="inlineStr"/>
      <c r="S352" s="40" t="inlineStr"/>
      <c r="T352" s="41" t="inlineStr">
        <is>
          <t>кг</t>
        </is>
      </c>
      <c r="U352" s="683" t="n">
        <v>0</v>
      </c>
      <c r="V352" s="68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1" t="n">
        <v>4680115883154</v>
      </c>
      <c r="E353" s="648" t="n"/>
      <c r="F353" s="680" t="n">
        <v>0.28</v>
      </c>
      <c r="G353" s="38" t="n">
        <v>6</v>
      </c>
      <c r="H353" s="680" t="n">
        <v>1.68</v>
      </c>
      <c r="I353" s="68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7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82" t="n"/>
      <c r="O353" s="682" t="n"/>
      <c r="P353" s="682" t="n"/>
      <c r="Q353" s="648" t="n"/>
      <c r="R353" s="40" t="inlineStr"/>
      <c r="S353" s="40" t="inlineStr"/>
      <c r="T353" s="41" t="inlineStr">
        <is>
          <t>кг</t>
        </is>
      </c>
      <c r="U353" s="683" t="n">
        <v>0</v>
      </c>
      <c r="V353" s="68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1" t="n">
        <v>4607091389524</v>
      </c>
      <c r="E354" s="648" t="n"/>
      <c r="F354" s="680" t="n">
        <v>0.35</v>
      </c>
      <c r="G354" s="38" t="n">
        <v>6</v>
      </c>
      <c r="H354" s="680" t="n">
        <v>2.1</v>
      </c>
      <c r="I354" s="68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7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82" t="n"/>
      <c r="O354" s="682" t="n"/>
      <c r="P354" s="682" t="n"/>
      <c r="Q354" s="648" t="n"/>
      <c r="R354" s="40" t="inlineStr"/>
      <c r="S354" s="40" t="inlineStr"/>
      <c r="T354" s="41" t="inlineStr">
        <is>
          <t>кг</t>
        </is>
      </c>
      <c r="U354" s="683" t="n">
        <v>359.1</v>
      </c>
      <c r="V354" s="68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1" t="n">
        <v>4680115883161</v>
      </c>
      <c r="E355" s="648" t="n"/>
      <c r="F355" s="680" t="n">
        <v>0.28</v>
      </c>
      <c r="G355" s="38" t="n">
        <v>6</v>
      </c>
      <c r="H355" s="680" t="n">
        <v>1.68</v>
      </c>
      <c r="I355" s="68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7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82" t="n"/>
      <c r="O355" s="682" t="n"/>
      <c r="P355" s="682" t="n"/>
      <c r="Q355" s="648" t="n"/>
      <c r="R355" s="40" t="inlineStr"/>
      <c r="S355" s="40" t="inlineStr"/>
      <c r="T355" s="41" t="inlineStr">
        <is>
          <t>кг</t>
        </is>
      </c>
      <c r="U355" s="683" t="n">
        <v>0</v>
      </c>
      <c r="V355" s="68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1" t="n">
        <v>4607091384345</v>
      </c>
      <c r="E356" s="648" t="n"/>
      <c r="F356" s="680" t="n">
        <v>0.35</v>
      </c>
      <c r="G356" s="38" t="n">
        <v>6</v>
      </c>
      <c r="H356" s="680" t="n">
        <v>2.1</v>
      </c>
      <c r="I356" s="68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7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82" t="n"/>
      <c r="O356" s="682" t="n"/>
      <c r="P356" s="682" t="n"/>
      <c r="Q356" s="648" t="n"/>
      <c r="R356" s="40" t="inlineStr"/>
      <c r="S356" s="40" t="inlineStr"/>
      <c r="T356" s="41" t="inlineStr">
        <is>
          <t>кг</t>
        </is>
      </c>
      <c r="U356" s="683" t="n">
        <v>0</v>
      </c>
      <c r="V356" s="68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1" t="n">
        <v>4680115883178</v>
      </c>
      <c r="E357" s="648" t="n"/>
      <c r="F357" s="680" t="n">
        <v>0.28</v>
      </c>
      <c r="G357" s="38" t="n">
        <v>6</v>
      </c>
      <c r="H357" s="680" t="n">
        <v>1.68</v>
      </c>
      <c r="I357" s="68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8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82" t="n"/>
      <c r="O357" s="682" t="n"/>
      <c r="P357" s="682" t="n"/>
      <c r="Q357" s="648" t="n"/>
      <c r="R357" s="40" t="inlineStr"/>
      <c r="S357" s="40" t="inlineStr"/>
      <c r="T357" s="41" t="inlineStr">
        <is>
          <t>кг</t>
        </is>
      </c>
      <c r="U357" s="683" t="n">
        <v>0</v>
      </c>
      <c r="V357" s="68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1" t="n">
        <v>4607091389531</v>
      </c>
      <c r="E358" s="648" t="n"/>
      <c r="F358" s="680" t="n">
        <v>0.35</v>
      </c>
      <c r="G358" s="38" t="n">
        <v>6</v>
      </c>
      <c r="H358" s="680" t="n">
        <v>2.1</v>
      </c>
      <c r="I358" s="68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8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82" t="n"/>
      <c r="O358" s="682" t="n"/>
      <c r="P358" s="682" t="n"/>
      <c r="Q358" s="648" t="n"/>
      <c r="R358" s="40" t="inlineStr"/>
      <c r="S358" s="40" t="inlineStr"/>
      <c r="T358" s="41" t="inlineStr">
        <is>
          <t>кг</t>
        </is>
      </c>
      <c r="U358" s="683" t="n">
        <v>0</v>
      </c>
      <c r="V358" s="68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1" t="n">
        <v>4680115883185</v>
      </c>
      <c r="E359" s="648" t="n"/>
      <c r="F359" s="680" t="n">
        <v>0.28</v>
      </c>
      <c r="G359" s="38" t="n">
        <v>6</v>
      </c>
      <c r="H359" s="680" t="n">
        <v>1.68</v>
      </c>
      <c r="I359" s="68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82" t="inlineStr">
        <is>
          <t>В/к колбасы «Филейбургская с душистым чесноком» срез Фикс.вес 0,28 фиброуз в/у Баварушка</t>
        </is>
      </c>
      <c r="N359" s="682" t="n"/>
      <c r="O359" s="682" t="n"/>
      <c r="P359" s="682" t="n"/>
      <c r="Q359" s="648" t="n"/>
      <c r="R359" s="40" t="inlineStr"/>
      <c r="S359" s="40" t="inlineStr"/>
      <c r="T359" s="41" t="inlineStr">
        <is>
          <t>кг</t>
        </is>
      </c>
      <c r="U359" s="683" t="n">
        <v>0</v>
      </c>
      <c r="V359" s="68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5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85" t="n"/>
      <c r="M360" s="686" t="inlineStr">
        <is>
          <t>Итого</t>
        </is>
      </c>
      <c r="N360" s="656" t="n"/>
      <c r="O360" s="656" t="n"/>
      <c r="P360" s="656" t="n"/>
      <c r="Q360" s="656" t="n"/>
      <c r="R360" s="656" t="n"/>
      <c r="S360" s="657" t="n"/>
      <c r="T360" s="43" t="inlineStr">
        <is>
          <t>кор</t>
        </is>
      </c>
      <c r="U360" s="68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8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88" t="n"/>
      <c r="Y360" s="68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85" t="n"/>
      <c r="M361" s="686" t="inlineStr">
        <is>
          <t>Итого</t>
        </is>
      </c>
      <c r="N361" s="656" t="n"/>
      <c r="O361" s="656" t="n"/>
      <c r="P361" s="656" t="n"/>
      <c r="Q361" s="656" t="n"/>
      <c r="R361" s="656" t="n"/>
      <c r="S361" s="657" t="n"/>
      <c r="T361" s="43" t="inlineStr">
        <is>
          <t>кг</t>
        </is>
      </c>
      <c r="U361" s="687">
        <f>IFERROR(SUM(U347:U359),"0")</f>
        <v/>
      </c>
      <c r="V361" s="687">
        <f>IFERROR(SUM(V347:V359),"0")</f>
        <v/>
      </c>
      <c r="W361" s="43" t="n"/>
      <c r="X361" s="688" t="n"/>
      <c r="Y361" s="688" t="n"/>
    </row>
    <row r="362" ht="14.25" customHeight="1">
      <c r="A362" s="330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0" t="n"/>
      <c r="Y362" s="330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1" t="n">
        <v>4607091389685</v>
      </c>
      <c r="E363" s="648" t="n"/>
      <c r="F363" s="680" t="n">
        <v>1.3</v>
      </c>
      <c r="G363" s="38" t="n">
        <v>6</v>
      </c>
      <c r="H363" s="680" t="n">
        <v>7.8</v>
      </c>
      <c r="I363" s="68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82" t="n"/>
      <c r="O363" s="682" t="n"/>
      <c r="P363" s="682" t="n"/>
      <c r="Q363" s="648" t="n"/>
      <c r="R363" s="40" t="inlineStr"/>
      <c r="S363" s="40" t="inlineStr"/>
      <c r="T363" s="41" t="inlineStr">
        <is>
          <t>кг</t>
        </is>
      </c>
      <c r="U363" s="683" t="n">
        <v>0</v>
      </c>
      <c r="V363" s="68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1" t="n">
        <v>4607091389654</v>
      </c>
      <c r="E364" s="648" t="n"/>
      <c r="F364" s="680" t="n">
        <v>0.33</v>
      </c>
      <c r="G364" s="38" t="n">
        <v>6</v>
      </c>
      <c r="H364" s="680" t="n">
        <v>1.98</v>
      </c>
      <c r="I364" s="68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8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82" t="n"/>
      <c r="O364" s="682" t="n"/>
      <c r="P364" s="682" t="n"/>
      <c r="Q364" s="648" t="n"/>
      <c r="R364" s="40" t="inlineStr"/>
      <c r="S364" s="40" t="inlineStr"/>
      <c r="T364" s="41" t="inlineStr">
        <is>
          <t>кг</t>
        </is>
      </c>
      <c r="U364" s="683" t="n">
        <v>0</v>
      </c>
      <c r="V364" s="68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1" t="n">
        <v>4607091384352</v>
      </c>
      <c r="E365" s="648" t="n"/>
      <c r="F365" s="680" t="n">
        <v>0.6</v>
      </c>
      <c r="G365" s="38" t="n">
        <v>4</v>
      </c>
      <c r="H365" s="680" t="n">
        <v>2.4</v>
      </c>
      <c r="I365" s="68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82" t="n"/>
      <c r="O365" s="682" t="n"/>
      <c r="P365" s="682" t="n"/>
      <c r="Q365" s="648" t="n"/>
      <c r="R365" s="40" t="inlineStr"/>
      <c r="S365" s="40" t="inlineStr"/>
      <c r="T365" s="41" t="inlineStr">
        <is>
          <t>кг</t>
        </is>
      </c>
      <c r="U365" s="683" t="n">
        <v>0</v>
      </c>
      <c r="V365" s="68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1" t="n">
        <v>4607091389661</v>
      </c>
      <c r="E366" s="648" t="n"/>
      <c r="F366" s="680" t="n">
        <v>0.55</v>
      </c>
      <c r="G366" s="38" t="n">
        <v>4</v>
      </c>
      <c r="H366" s="680" t="n">
        <v>2.2</v>
      </c>
      <c r="I366" s="68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82" t="n"/>
      <c r="O366" s="682" t="n"/>
      <c r="P366" s="682" t="n"/>
      <c r="Q366" s="648" t="n"/>
      <c r="R366" s="40" t="inlineStr"/>
      <c r="S366" s="40" t="inlineStr"/>
      <c r="T366" s="41" t="inlineStr">
        <is>
          <t>кг</t>
        </is>
      </c>
      <c r="U366" s="683" t="n">
        <v>0</v>
      </c>
      <c r="V366" s="68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71" t="inlineStr">
        <is>
          <t>КИ</t>
        </is>
      </c>
    </row>
    <row r="367">
      <c r="A367" s="325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85" t="n"/>
      <c r="M367" s="686" t="inlineStr">
        <is>
          <t>Итого</t>
        </is>
      </c>
      <c r="N367" s="656" t="n"/>
      <c r="O367" s="656" t="n"/>
      <c r="P367" s="656" t="n"/>
      <c r="Q367" s="656" t="n"/>
      <c r="R367" s="656" t="n"/>
      <c r="S367" s="657" t="n"/>
      <c r="T367" s="43" t="inlineStr">
        <is>
          <t>кор</t>
        </is>
      </c>
      <c r="U367" s="687">
        <f>IFERROR(U363/H363,"0")+IFERROR(U364/H364,"0")+IFERROR(U365/H365,"0")+IFERROR(U366/H366,"0")</f>
        <v/>
      </c>
      <c r="V367" s="687">
        <f>IFERROR(V363/H363,"0")+IFERROR(V364/H364,"0")+IFERROR(V365/H365,"0")+IFERROR(V366/H366,"0")</f>
        <v/>
      </c>
      <c r="W367" s="687">
        <f>IFERROR(IF(W363="",0,W363),"0")+IFERROR(IF(W364="",0,W364),"0")+IFERROR(IF(W365="",0,W365),"0")+IFERROR(IF(W366="",0,W366),"0")</f>
        <v/>
      </c>
      <c r="X367" s="688" t="n"/>
      <c r="Y367" s="68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85" t="n"/>
      <c r="M368" s="686" t="inlineStr">
        <is>
          <t>Итого</t>
        </is>
      </c>
      <c r="N368" s="656" t="n"/>
      <c r="O368" s="656" t="n"/>
      <c r="P368" s="656" t="n"/>
      <c r="Q368" s="656" t="n"/>
      <c r="R368" s="656" t="n"/>
      <c r="S368" s="657" t="n"/>
      <c r="T368" s="43" t="inlineStr">
        <is>
          <t>кг</t>
        </is>
      </c>
      <c r="U368" s="687">
        <f>IFERROR(SUM(U363:U366),"0")</f>
        <v/>
      </c>
      <c r="V368" s="687">
        <f>IFERROR(SUM(V363:V366),"0")</f>
        <v/>
      </c>
      <c r="W368" s="43" t="n"/>
      <c r="X368" s="688" t="n"/>
      <c r="Y368" s="688" t="n"/>
    </row>
    <row r="369" ht="14.25" customHeight="1">
      <c r="A369" s="330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0" t="n"/>
      <c r="Y369" s="330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1" t="n">
        <v>4680115881648</v>
      </c>
      <c r="E370" s="648" t="n"/>
      <c r="F370" s="680" t="n">
        <v>1</v>
      </c>
      <c r="G370" s="38" t="n">
        <v>4</v>
      </c>
      <c r="H370" s="680" t="n">
        <v>4</v>
      </c>
      <c r="I370" s="68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8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82" t="n"/>
      <c r="O370" s="682" t="n"/>
      <c r="P370" s="682" t="n"/>
      <c r="Q370" s="648" t="n"/>
      <c r="R370" s="40" t="inlineStr"/>
      <c r="S370" s="40" t="inlineStr"/>
      <c r="T370" s="41" t="inlineStr">
        <is>
          <t>кг</t>
        </is>
      </c>
      <c r="U370" s="683" t="n">
        <v>0</v>
      </c>
      <c r="V370" s="68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72" t="inlineStr">
        <is>
          <t>КИ</t>
        </is>
      </c>
    </row>
    <row r="371">
      <c r="A371" s="325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85" t="n"/>
      <c r="M371" s="686" t="inlineStr">
        <is>
          <t>Итого</t>
        </is>
      </c>
      <c r="N371" s="656" t="n"/>
      <c r="O371" s="656" t="n"/>
      <c r="P371" s="656" t="n"/>
      <c r="Q371" s="656" t="n"/>
      <c r="R371" s="656" t="n"/>
      <c r="S371" s="657" t="n"/>
      <c r="T371" s="43" t="inlineStr">
        <is>
          <t>кор</t>
        </is>
      </c>
      <c r="U371" s="687">
        <f>IFERROR(U370/H370,"0")</f>
        <v/>
      </c>
      <c r="V371" s="687">
        <f>IFERROR(V370/H370,"0")</f>
        <v/>
      </c>
      <c r="W371" s="687">
        <f>IFERROR(IF(W370="",0,W370),"0")</f>
        <v/>
      </c>
      <c r="X371" s="688" t="n"/>
      <c r="Y371" s="68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85" t="n"/>
      <c r="M372" s="686" t="inlineStr">
        <is>
          <t>Итого</t>
        </is>
      </c>
      <c r="N372" s="656" t="n"/>
      <c r="O372" s="656" t="n"/>
      <c r="P372" s="656" t="n"/>
      <c r="Q372" s="656" t="n"/>
      <c r="R372" s="656" t="n"/>
      <c r="S372" s="657" t="n"/>
      <c r="T372" s="43" t="inlineStr">
        <is>
          <t>кг</t>
        </is>
      </c>
      <c r="U372" s="687">
        <f>IFERROR(SUM(U370:U370),"0")</f>
        <v/>
      </c>
      <c r="V372" s="687">
        <f>IFERROR(SUM(V370:V370),"0")</f>
        <v/>
      </c>
      <c r="W372" s="43" t="n"/>
      <c r="X372" s="688" t="n"/>
      <c r="Y372" s="688" t="n"/>
    </row>
    <row r="373" ht="14.25" customHeight="1">
      <c r="A373" s="330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0" t="n"/>
      <c r="Y373" s="330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31" t="n">
        <v>4680115883017</v>
      </c>
      <c r="E374" s="648" t="n"/>
      <c r="F374" s="680" t="n">
        <v>0.03</v>
      </c>
      <c r="G374" s="38" t="n">
        <v>20</v>
      </c>
      <c r="H374" s="680" t="n">
        <v>0.6</v>
      </c>
      <c r="I374" s="680" t="n">
        <v>0.9</v>
      </c>
      <c r="J374" s="38" t="n">
        <v>350</v>
      </c>
      <c r="K374" s="39" t="inlineStr">
        <is>
          <t>ДК</t>
        </is>
      </c>
      <c r="L374" s="38" t="n">
        <v>60</v>
      </c>
      <c r="M374" s="888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82" t="n"/>
      <c r="O374" s="682" t="n"/>
      <c r="P374" s="682" t="n"/>
      <c r="Q374" s="648" t="n"/>
      <c r="R374" s="40" t="inlineStr"/>
      <c r="S374" s="40" t="inlineStr"/>
      <c r="T374" s="41" t="inlineStr">
        <is>
          <t>кг</t>
        </is>
      </c>
      <c r="U374" s="683" t="n">
        <v>0</v>
      </c>
      <c r="V374" s="68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3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31" t="n">
        <v>4680115883031</v>
      </c>
      <c r="E375" s="648" t="n"/>
      <c r="F375" s="680" t="n">
        <v>0.03</v>
      </c>
      <c r="G375" s="38" t="n">
        <v>20</v>
      </c>
      <c r="H375" s="680" t="n">
        <v>0.6</v>
      </c>
      <c r="I375" s="680" t="n">
        <v>0.9</v>
      </c>
      <c r="J375" s="38" t="n">
        <v>350</v>
      </c>
      <c r="K375" s="39" t="inlineStr">
        <is>
          <t>ДК</t>
        </is>
      </c>
      <c r="L375" s="38" t="n">
        <v>60</v>
      </c>
      <c r="M375" s="889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82" t="n"/>
      <c r="O375" s="682" t="n"/>
      <c r="P375" s="682" t="n"/>
      <c r="Q375" s="648" t="n"/>
      <c r="R375" s="40" t="inlineStr"/>
      <c r="S375" s="40" t="inlineStr"/>
      <c r="T375" s="41" t="inlineStr">
        <is>
          <t>кг</t>
        </is>
      </c>
      <c r="U375" s="683" t="n">
        <v>0</v>
      </c>
      <c r="V375" s="68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4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31" t="n">
        <v>4680115883024</v>
      </c>
      <c r="E376" s="648" t="n"/>
      <c r="F376" s="680" t="n">
        <v>0.03</v>
      </c>
      <c r="G376" s="38" t="n">
        <v>20</v>
      </c>
      <c r="H376" s="680" t="n">
        <v>0.6</v>
      </c>
      <c r="I376" s="680" t="n">
        <v>0.9</v>
      </c>
      <c r="J376" s="38" t="n">
        <v>350</v>
      </c>
      <c r="K376" s="39" t="inlineStr">
        <is>
          <t>ДК</t>
        </is>
      </c>
      <c r="L376" s="38" t="n">
        <v>60</v>
      </c>
      <c r="M376" s="890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82" t="n"/>
      <c r="O376" s="682" t="n"/>
      <c r="P376" s="682" t="n"/>
      <c r="Q376" s="648" t="n"/>
      <c r="R376" s="40" t="inlineStr"/>
      <c r="S376" s="40" t="inlineStr"/>
      <c r="T376" s="41" t="inlineStr">
        <is>
          <t>кг</t>
        </is>
      </c>
      <c r="U376" s="683" t="n">
        <v>0</v>
      </c>
      <c r="V376" s="68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5" t="inlineStr">
        <is>
          <t>КИ</t>
        </is>
      </c>
    </row>
    <row r="377">
      <c r="A377" s="325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85" t="n"/>
      <c r="M377" s="686" t="inlineStr">
        <is>
          <t>Итого</t>
        </is>
      </c>
      <c r="N377" s="656" t="n"/>
      <c r="O377" s="656" t="n"/>
      <c r="P377" s="656" t="n"/>
      <c r="Q377" s="656" t="n"/>
      <c r="R377" s="656" t="n"/>
      <c r="S377" s="657" t="n"/>
      <c r="T377" s="43" t="inlineStr">
        <is>
          <t>кор</t>
        </is>
      </c>
      <c r="U377" s="687">
        <f>IFERROR(U374/H374,"0")+IFERROR(U375/H375,"0")+IFERROR(U376/H376,"0")</f>
        <v/>
      </c>
      <c r="V377" s="687">
        <f>IFERROR(V374/H374,"0")+IFERROR(V375/H375,"0")+IFERROR(V376/H376,"0")</f>
        <v/>
      </c>
      <c r="W377" s="687">
        <f>IFERROR(IF(W374="",0,W374),"0")+IFERROR(IF(W375="",0,W375),"0")+IFERROR(IF(W376="",0,W376),"0")</f>
        <v/>
      </c>
      <c r="X377" s="688" t="n"/>
      <c r="Y377" s="68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85" t="n"/>
      <c r="M378" s="686" t="inlineStr">
        <is>
          <t>Итого</t>
        </is>
      </c>
      <c r="N378" s="656" t="n"/>
      <c r="O378" s="656" t="n"/>
      <c r="P378" s="656" t="n"/>
      <c r="Q378" s="656" t="n"/>
      <c r="R378" s="656" t="n"/>
      <c r="S378" s="657" t="n"/>
      <c r="T378" s="43" t="inlineStr">
        <is>
          <t>кг</t>
        </is>
      </c>
      <c r="U378" s="687">
        <f>IFERROR(SUM(U374:U376),"0")</f>
        <v/>
      </c>
      <c r="V378" s="687">
        <f>IFERROR(SUM(V374:V376),"0")</f>
        <v/>
      </c>
      <c r="W378" s="43" t="n"/>
      <c r="X378" s="688" t="n"/>
      <c r="Y378" s="688" t="n"/>
    </row>
    <row r="379" ht="14.25" customHeight="1">
      <c r="A379" s="330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31" t="n">
        <v>4680115882997</v>
      </c>
      <c r="E380" s="648" t="n"/>
      <c r="F380" s="680" t="n">
        <v>0.13</v>
      </c>
      <c r="G380" s="38" t="n">
        <v>10</v>
      </c>
      <c r="H380" s="680" t="n">
        <v>1.3</v>
      </c>
      <c r="I380" s="68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91" t="inlineStr">
        <is>
          <t>с/в колбасы «Филейбургская с филе сочного окорока» ф/в 0,13 н/о ТМ «Баварушка»</t>
        </is>
      </c>
      <c r="N380" s="682" t="n"/>
      <c r="O380" s="682" t="n"/>
      <c r="P380" s="682" t="n"/>
      <c r="Q380" s="648" t="n"/>
      <c r="R380" s="40" t="inlineStr"/>
      <c r="S380" s="40" t="inlineStr"/>
      <c r="T380" s="41" t="inlineStr">
        <is>
          <t>кг</t>
        </is>
      </c>
      <c r="U380" s="683" t="n">
        <v>0</v>
      </c>
      <c r="V380" s="68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6" t="inlineStr">
        <is>
          <t>КИ</t>
        </is>
      </c>
    </row>
    <row r="381">
      <c r="A381" s="325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85" t="n"/>
      <c r="M381" s="686" t="inlineStr">
        <is>
          <t>Итого</t>
        </is>
      </c>
      <c r="N381" s="656" t="n"/>
      <c r="O381" s="656" t="n"/>
      <c r="P381" s="656" t="n"/>
      <c r="Q381" s="656" t="n"/>
      <c r="R381" s="656" t="n"/>
      <c r="S381" s="657" t="n"/>
      <c r="T381" s="43" t="inlineStr">
        <is>
          <t>кор</t>
        </is>
      </c>
      <c r="U381" s="687">
        <f>IFERROR(U380/H380,"0")</f>
        <v/>
      </c>
      <c r="V381" s="687">
        <f>IFERROR(V380/H380,"0")</f>
        <v/>
      </c>
      <c r="W381" s="687">
        <f>IFERROR(IF(W380="",0,W380),"0")</f>
        <v/>
      </c>
      <c r="X381" s="688" t="n"/>
      <c r="Y381" s="68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85" t="n"/>
      <c r="M382" s="686" t="inlineStr">
        <is>
          <t>Итого</t>
        </is>
      </c>
      <c r="N382" s="656" t="n"/>
      <c r="O382" s="656" t="n"/>
      <c r="P382" s="656" t="n"/>
      <c r="Q382" s="656" t="n"/>
      <c r="R382" s="656" t="n"/>
      <c r="S382" s="657" t="n"/>
      <c r="T382" s="43" t="inlineStr">
        <is>
          <t>кг</t>
        </is>
      </c>
      <c r="U382" s="687">
        <f>IFERROR(SUM(U380:U380),"0")</f>
        <v/>
      </c>
      <c r="V382" s="687">
        <f>IFERROR(SUM(V380:V380),"0")</f>
        <v/>
      </c>
      <c r="W382" s="43" t="n"/>
      <c r="X382" s="688" t="n"/>
      <c r="Y382" s="688" t="n"/>
    </row>
    <row r="383" ht="16.5" customHeight="1">
      <c r="A383" s="338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8" t="n"/>
      <c r="Y383" s="338" t="n"/>
    </row>
    <row r="384" ht="14.25" customHeight="1">
      <c r="A384" s="330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0" t="n"/>
      <c r="Y384" s="330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31" t="n">
        <v>4607091389388</v>
      </c>
      <c r="E385" s="648" t="n"/>
      <c r="F385" s="680" t="n">
        <v>1.3</v>
      </c>
      <c r="G385" s="38" t="n">
        <v>4</v>
      </c>
      <c r="H385" s="680" t="n">
        <v>5.2</v>
      </c>
      <c r="I385" s="68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9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82" t="n"/>
      <c r="O385" s="682" t="n"/>
      <c r="P385" s="682" t="n"/>
      <c r="Q385" s="648" t="n"/>
      <c r="R385" s="40" t="inlineStr"/>
      <c r="S385" s="40" t="inlineStr"/>
      <c r="T385" s="41" t="inlineStr">
        <is>
          <t>кг</t>
        </is>
      </c>
      <c r="U385" s="683" t="n">
        <v>0</v>
      </c>
      <c r="V385" s="68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31" t="n">
        <v>4607091389364</v>
      </c>
      <c r="E386" s="648" t="n"/>
      <c r="F386" s="680" t="n">
        <v>0.42</v>
      </c>
      <c r="G386" s="38" t="n">
        <v>6</v>
      </c>
      <c r="H386" s="680" t="n">
        <v>2.52</v>
      </c>
      <c r="I386" s="68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9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82" t="n"/>
      <c r="O386" s="682" t="n"/>
      <c r="P386" s="682" t="n"/>
      <c r="Q386" s="648" t="n"/>
      <c r="R386" s="40" t="inlineStr"/>
      <c r="S386" s="40" t="inlineStr"/>
      <c r="T386" s="41" t="inlineStr">
        <is>
          <t>кг</t>
        </is>
      </c>
      <c r="U386" s="683" t="n">
        <v>0</v>
      </c>
      <c r="V386" s="68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8" t="inlineStr">
        <is>
          <t>КИ</t>
        </is>
      </c>
    </row>
    <row r="387">
      <c r="A387" s="325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85" t="n"/>
      <c r="M387" s="686" t="inlineStr">
        <is>
          <t>Итого</t>
        </is>
      </c>
      <c r="N387" s="656" t="n"/>
      <c r="O387" s="656" t="n"/>
      <c r="P387" s="656" t="n"/>
      <c r="Q387" s="656" t="n"/>
      <c r="R387" s="656" t="n"/>
      <c r="S387" s="657" t="n"/>
      <c r="T387" s="43" t="inlineStr">
        <is>
          <t>кор</t>
        </is>
      </c>
      <c r="U387" s="687">
        <f>IFERROR(U385/H385,"0")+IFERROR(U386/H386,"0")</f>
        <v/>
      </c>
      <c r="V387" s="687">
        <f>IFERROR(V385/H385,"0")+IFERROR(V386/H386,"0")</f>
        <v/>
      </c>
      <c r="W387" s="687">
        <f>IFERROR(IF(W385="",0,W385),"0")+IFERROR(IF(W386="",0,W386),"0")</f>
        <v/>
      </c>
      <c r="X387" s="688" t="n"/>
      <c r="Y387" s="68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85" t="n"/>
      <c r="M388" s="686" t="inlineStr">
        <is>
          <t>Итого</t>
        </is>
      </c>
      <c r="N388" s="656" t="n"/>
      <c r="O388" s="656" t="n"/>
      <c r="P388" s="656" t="n"/>
      <c r="Q388" s="656" t="n"/>
      <c r="R388" s="656" t="n"/>
      <c r="S388" s="657" t="n"/>
      <c r="T388" s="43" t="inlineStr">
        <is>
          <t>кг</t>
        </is>
      </c>
      <c r="U388" s="687">
        <f>IFERROR(SUM(U385:U386),"0")</f>
        <v/>
      </c>
      <c r="V388" s="687">
        <f>IFERROR(SUM(V385:V386),"0")</f>
        <v/>
      </c>
      <c r="W388" s="43" t="n"/>
      <c r="X388" s="688" t="n"/>
      <c r="Y388" s="688" t="n"/>
    </row>
    <row r="389" ht="14.25" customHeight="1">
      <c r="A389" s="330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0" t="n"/>
      <c r="Y389" s="330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4301031212</v>
      </c>
      <c r="D390" s="331" t="n">
        <v>4607091389739</v>
      </c>
      <c r="E390" s="648" t="n"/>
      <c r="F390" s="680" t="n">
        <v>0.7</v>
      </c>
      <c r="G390" s="38" t="n">
        <v>6</v>
      </c>
      <c r="H390" s="680" t="n">
        <v>4.2</v>
      </c>
      <c r="I390" s="680" t="n">
        <v>4.43</v>
      </c>
      <c r="J390" s="38" t="n">
        <v>156</v>
      </c>
      <c r="K390" s="39" t="inlineStr">
        <is>
          <t>СК1</t>
        </is>
      </c>
      <c r="L390" s="38" t="n">
        <v>45</v>
      </c>
      <c r="M390" s="89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82" t="n"/>
      <c r="O390" s="682" t="n"/>
      <c r="P390" s="682" t="n"/>
      <c r="Q390" s="648" t="n"/>
      <c r="R390" s="40" t="inlineStr"/>
      <c r="S390" s="40" t="inlineStr"/>
      <c r="T390" s="41" t="inlineStr">
        <is>
          <t>кг</t>
        </is>
      </c>
      <c r="U390" s="683" t="n">
        <v>0</v>
      </c>
      <c r="V390" s="68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31" t="n">
        <v>4680115883048</v>
      </c>
      <c r="E391" s="648" t="n"/>
      <c r="F391" s="680" t="n">
        <v>1</v>
      </c>
      <c r="G391" s="38" t="n">
        <v>4</v>
      </c>
      <c r="H391" s="680" t="n">
        <v>4</v>
      </c>
      <c r="I391" s="68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9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82" t="n"/>
      <c r="O391" s="682" t="n"/>
      <c r="P391" s="682" t="n"/>
      <c r="Q391" s="648" t="n"/>
      <c r="R391" s="40" t="inlineStr"/>
      <c r="S391" s="40" t="inlineStr"/>
      <c r="T391" s="41" t="inlineStr">
        <is>
          <t>кг</t>
        </is>
      </c>
      <c r="U391" s="683" t="n">
        <v>0</v>
      </c>
      <c r="V391" s="68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31" t="n">
        <v>4607091389425</v>
      </c>
      <c r="E392" s="648" t="n"/>
      <c r="F392" s="680" t="n">
        <v>0.35</v>
      </c>
      <c r="G392" s="38" t="n">
        <v>6</v>
      </c>
      <c r="H392" s="680" t="n">
        <v>2.1</v>
      </c>
      <c r="I392" s="68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82" t="n"/>
      <c r="O392" s="682" t="n"/>
      <c r="P392" s="682" t="n"/>
      <c r="Q392" s="648" t="n"/>
      <c r="R392" s="40" t="inlineStr"/>
      <c r="S392" s="40" t="inlineStr"/>
      <c r="T392" s="41" t="inlineStr">
        <is>
          <t>кг</t>
        </is>
      </c>
      <c r="U392" s="683" t="n">
        <v>0</v>
      </c>
      <c r="V392" s="68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31" t="n">
        <v>4680115882911</v>
      </c>
      <c r="E393" s="648" t="n"/>
      <c r="F393" s="680" t="n">
        <v>0.4</v>
      </c>
      <c r="G393" s="38" t="n">
        <v>6</v>
      </c>
      <c r="H393" s="680" t="n">
        <v>2.4</v>
      </c>
      <c r="I393" s="68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97" t="inlineStr">
        <is>
          <t>П/к колбасы «Балыкбургская по-баварски» Фикс.вес 0,4 н/о мгс ТМ «Баварушка»</t>
        </is>
      </c>
      <c r="N393" s="682" t="n"/>
      <c r="O393" s="682" t="n"/>
      <c r="P393" s="682" t="n"/>
      <c r="Q393" s="648" t="n"/>
      <c r="R393" s="40" t="inlineStr"/>
      <c r="S393" s="40" t="inlineStr"/>
      <c r="T393" s="41" t="inlineStr">
        <is>
          <t>кг</t>
        </is>
      </c>
      <c r="U393" s="683" t="n">
        <v>0</v>
      </c>
      <c r="V393" s="68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31" t="n">
        <v>4680115880771</v>
      </c>
      <c r="E394" s="648" t="n"/>
      <c r="F394" s="680" t="n">
        <v>0.28</v>
      </c>
      <c r="G394" s="38" t="n">
        <v>6</v>
      </c>
      <c r="H394" s="680" t="n">
        <v>1.68</v>
      </c>
      <c r="I394" s="68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9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82" t="n"/>
      <c r="O394" s="682" t="n"/>
      <c r="P394" s="682" t="n"/>
      <c r="Q394" s="648" t="n"/>
      <c r="R394" s="40" t="inlineStr"/>
      <c r="S394" s="40" t="inlineStr"/>
      <c r="T394" s="41" t="inlineStr">
        <is>
          <t>кг</t>
        </is>
      </c>
      <c r="U394" s="683" t="n">
        <v>0</v>
      </c>
      <c r="V394" s="68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3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31" t="n">
        <v>4607091389500</v>
      </c>
      <c r="E395" s="648" t="n"/>
      <c r="F395" s="680" t="n">
        <v>0.35</v>
      </c>
      <c r="G395" s="38" t="n">
        <v>6</v>
      </c>
      <c r="H395" s="680" t="n">
        <v>2.1</v>
      </c>
      <c r="I395" s="68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9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82" t="n"/>
      <c r="O395" s="682" t="n"/>
      <c r="P395" s="682" t="n"/>
      <c r="Q395" s="648" t="n"/>
      <c r="R395" s="40" t="inlineStr"/>
      <c r="S395" s="40" t="inlineStr"/>
      <c r="T395" s="41" t="inlineStr">
        <is>
          <t>кг</t>
        </is>
      </c>
      <c r="U395" s="683" t="n">
        <v>357</v>
      </c>
      <c r="V395" s="68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4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31" t="n">
        <v>4680115881983</v>
      </c>
      <c r="E396" s="648" t="n"/>
      <c r="F396" s="680" t="n">
        <v>0.28</v>
      </c>
      <c r="G396" s="38" t="n">
        <v>4</v>
      </c>
      <c r="H396" s="680" t="n">
        <v>1.12</v>
      </c>
      <c r="I396" s="68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90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82" t="n"/>
      <c r="O396" s="682" t="n"/>
      <c r="P396" s="682" t="n"/>
      <c r="Q396" s="648" t="n"/>
      <c r="R396" s="40" t="inlineStr"/>
      <c r="S396" s="40" t="inlineStr"/>
      <c r="T396" s="41" t="inlineStr">
        <is>
          <t>кг</t>
        </is>
      </c>
      <c r="U396" s="683" t="n">
        <v>0</v>
      </c>
      <c r="V396" s="68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5" t="inlineStr">
        <is>
          <t>КИ</t>
        </is>
      </c>
    </row>
    <row r="397">
      <c r="A397" s="325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85" t="n"/>
      <c r="M397" s="686" t="inlineStr">
        <is>
          <t>Итого</t>
        </is>
      </c>
      <c r="N397" s="656" t="n"/>
      <c r="O397" s="656" t="n"/>
      <c r="P397" s="656" t="n"/>
      <c r="Q397" s="656" t="n"/>
      <c r="R397" s="656" t="n"/>
      <c r="S397" s="657" t="n"/>
      <c r="T397" s="43" t="inlineStr">
        <is>
          <t>кор</t>
        </is>
      </c>
      <c r="U397" s="687">
        <f>IFERROR(U390/H390,"0")+IFERROR(U391/H391,"0")+IFERROR(U392/H392,"0")+IFERROR(U393/H393,"0")+IFERROR(U394/H394,"0")+IFERROR(U395/H395,"0")+IFERROR(U396/H396,"0")</f>
        <v/>
      </c>
      <c r="V397" s="687">
        <f>IFERROR(V390/H390,"0")+IFERROR(V391/H391,"0")+IFERROR(V392/H392,"0")+IFERROR(V393/H393,"0")+IFERROR(V394/H394,"0")+IFERROR(V395/H395,"0")+IFERROR(V396/H396,"0")</f>
        <v/>
      </c>
      <c r="W397" s="68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88" t="n"/>
      <c r="Y397" s="68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85" t="n"/>
      <c r="M398" s="686" t="inlineStr">
        <is>
          <t>Итого</t>
        </is>
      </c>
      <c r="N398" s="656" t="n"/>
      <c r="O398" s="656" t="n"/>
      <c r="P398" s="656" t="n"/>
      <c r="Q398" s="656" t="n"/>
      <c r="R398" s="656" t="n"/>
      <c r="S398" s="657" t="n"/>
      <c r="T398" s="43" t="inlineStr">
        <is>
          <t>кг</t>
        </is>
      </c>
      <c r="U398" s="687">
        <f>IFERROR(SUM(U390:U396),"0")</f>
        <v/>
      </c>
      <c r="V398" s="687">
        <f>IFERROR(SUM(V390:V396),"0")</f>
        <v/>
      </c>
      <c r="W398" s="43" t="n"/>
      <c r="X398" s="688" t="n"/>
      <c r="Y398" s="688" t="n"/>
    </row>
    <row r="399" ht="14.25" customHeight="1">
      <c r="A399" s="330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0" t="n"/>
      <c r="Y399" s="330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31" t="n">
        <v>4680115883000</v>
      </c>
      <c r="E400" s="648" t="n"/>
      <c r="F400" s="680" t="n">
        <v>0.03</v>
      </c>
      <c r="G400" s="38" t="n">
        <v>20</v>
      </c>
      <c r="H400" s="680" t="n">
        <v>0.6</v>
      </c>
      <c r="I400" s="680" t="n">
        <v>0.9</v>
      </c>
      <c r="J400" s="38" t="n">
        <v>350</v>
      </c>
      <c r="K400" s="39" t="inlineStr">
        <is>
          <t>ДК</t>
        </is>
      </c>
      <c r="L400" s="38" t="n">
        <v>60</v>
      </c>
      <c r="M400" s="901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82" t="n"/>
      <c r="O400" s="682" t="n"/>
      <c r="P400" s="682" t="n"/>
      <c r="Q400" s="648" t="n"/>
      <c r="R400" s="40" t="inlineStr"/>
      <c r="S400" s="40" t="inlineStr"/>
      <c r="T400" s="41" t="inlineStr">
        <is>
          <t>кг</t>
        </is>
      </c>
      <c r="U400" s="683" t="n">
        <v>0</v>
      </c>
      <c r="V400" s="68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6" t="inlineStr">
        <is>
          <t>КИ</t>
        </is>
      </c>
    </row>
    <row r="401">
      <c r="A401" s="325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85" t="n"/>
      <c r="M401" s="686" t="inlineStr">
        <is>
          <t>Итого</t>
        </is>
      </c>
      <c r="N401" s="656" t="n"/>
      <c r="O401" s="656" t="n"/>
      <c r="P401" s="656" t="n"/>
      <c r="Q401" s="656" t="n"/>
      <c r="R401" s="656" t="n"/>
      <c r="S401" s="657" t="n"/>
      <c r="T401" s="43" t="inlineStr">
        <is>
          <t>кор</t>
        </is>
      </c>
      <c r="U401" s="687">
        <f>IFERROR(U400/H400,"0")</f>
        <v/>
      </c>
      <c r="V401" s="687">
        <f>IFERROR(V400/H400,"0")</f>
        <v/>
      </c>
      <c r="W401" s="687">
        <f>IFERROR(IF(W400="",0,W400),"0")</f>
        <v/>
      </c>
      <c r="X401" s="688" t="n"/>
      <c r="Y401" s="68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85" t="n"/>
      <c r="M402" s="686" t="inlineStr">
        <is>
          <t>Итого</t>
        </is>
      </c>
      <c r="N402" s="656" t="n"/>
      <c r="O402" s="656" t="n"/>
      <c r="P402" s="656" t="n"/>
      <c r="Q402" s="656" t="n"/>
      <c r="R402" s="656" t="n"/>
      <c r="S402" s="657" t="n"/>
      <c r="T402" s="43" t="inlineStr">
        <is>
          <t>кг</t>
        </is>
      </c>
      <c r="U402" s="687">
        <f>IFERROR(SUM(U400:U400),"0")</f>
        <v/>
      </c>
      <c r="V402" s="687">
        <f>IFERROR(SUM(V400:V400),"0")</f>
        <v/>
      </c>
      <c r="W402" s="43" t="n"/>
      <c r="X402" s="688" t="n"/>
      <c r="Y402" s="688" t="n"/>
    </row>
    <row r="403" ht="14.25" customHeight="1">
      <c r="A403" s="330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0" t="n"/>
      <c r="Y403" s="330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31" t="n">
        <v>4680115882980</v>
      </c>
      <c r="E404" s="648" t="n"/>
      <c r="F404" s="680" t="n">
        <v>0.13</v>
      </c>
      <c r="G404" s="38" t="n">
        <v>10</v>
      </c>
      <c r="H404" s="680" t="n">
        <v>1.3</v>
      </c>
      <c r="I404" s="68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82" t="n"/>
      <c r="O404" s="682" t="n"/>
      <c r="P404" s="682" t="n"/>
      <c r="Q404" s="648" t="n"/>
      <c r="R404" s="40" t="inlineStr"/>
      <c r="S404" s="40" t="inlineStr"/>
      <c r="T404" s="41" t="inlineStr">
        <is>
          <t>кг</t>
        </is>
      </c>
      <c r="U404" s="683" t="n">
        <v>0</v>
      </c>
      <c r="V404" s="68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7" t="inlineStr">
        <is>
          <t>КИ</t>
        </is>
      </c>
    </row>
    <row r="405">
      <c r="A405" s="325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85" t="n"/>
      <c r="M405" s="686" t="inlineStr">
        <is>
          <t>Итого</t>
        </is>
      </c>
      <c r="N405" s="656" t="n"/>
      <c r="O405" s="656" t="n"/>
      <c r="P405" s="656" t="n"/>
      <c r="Q405" s="656" t="n"/>
      <c r="R405" s="656" t="n"/>
      <c r="S405" s="657" t="n"/>
      <c r="T405" s="43" t="inlineStr">
        <is>
          <t>кор</t>
        </is>
      </c>
      <c r="U405" s="687">
        <f>IFERROR(U404/H404,"0")</f>
        <v/>
      </c>
      <c r="V405" s="687">
        <f>IFERROR(V404/H404,"0")</f>
        <v/>
      </c>
      <c r="W405" s="687">
        <f>IFERROR(IF(W404="",0,W404),"0")</f>
        <v/>
      </c>
      <c r="X405" s="688" t="n"/>
      <c r="Y405" s="68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85" t="n"/>
      <c r="M406" s="686" t="inlineStr">
        <is>
          <t>Итого</t>
        </is>
      </c>
      <c r="N406" s="656" t="n"/>
      <c r="O406" s="656" t="n"/>
      <c r="P406" s="656" t="n"/>
      <c r="Q406" s="656" t="n"/>
      <c r="R406" s="656" t="n"/>
      <c r="S406" s="657" t="n"/>
      <c r="T406" s="43" t="inlineStr">
        <is>
          <t>кг</t>
        </is>
      </c>
      <c r="U406" s="687">
        <f>IFERROR(SUM(U404:U404),"0")</f>
        <v/>
      </c>
      <c r="V406" s="687">
        <f>IFERROR(SUM(V404:V404),"0")</f>
        <v/>
      </c>
      <c r="W406" s="43" t="n"/>
      <c r="X406" s="688" t="n"/>
      <c r="Y406" s="688" t="n"/>
    </row>
    <row r="407" ht="27.75" customHeight="1">
      <c r="A407" s="344" t="inlineStr">
        <is>
          <t>Дугушка</t>
        </is>
      </c>
      <c r="B407" s="679" t="n"/>
      <c r="C407" s="679" t="n"/>
      <c r="D407" s="679" t="n"/>
      <c r="E407" s="679" t="n"/>
      <c r="F407" s="679" t="n"/>
      <c r="G407" s="679" t="n"/>
      <c r="H407" s="679" t="n"/>
      <c r="I407" s="679" t="n"/>
      <c r="J407" s="679" t="n"/>
      <c r="K407" s="679" t="n"/>
      <c r="L407" s="679" t="n"/>
      <c r="M407" s="679" t="n"/>
      <c r="N407" s="679" t="n"/>
      <c r="O407" s="679" t="n"/>
      <c r="P407" s="679" t="n"/>
      <c r="Q407" s="679" t="n"/>
      <c r="R407" s="679" t="n"/>
      <c r="S407" s="679" t="n"/>
      <c r="T407" s="679" t="n"/>
      <c r="U407" s="679" t="n"/>
      <c r="V407" s="679" t="n"/>
      <c r="W407" s="679" t="n"/>
      <c r="X407" s="55" t="n"/>
      <c r="Y407" s="55" t="n"/>
    </row>
    <row r="408" ht="16.5" customHeight="1">
      <c r="A408" s="338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8" t="n"/>
      <c r="Y408" s="338" t="n"/>
    </row>
    <row r="409" ht="14.25" customHeight="1">
      <c r="A409" s="330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0" t="n"/>
      <c r="Y409" s="330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31" t="n">
        <v>4607091389067</v>
      </c>
      <c r="E410" s="648" t="n"/>
      <c r="F410" s="680" t="n">
        <v>0.88</v>
      </c>
      <c r="G410" s="38" t="n">
        <v>6</v>
      </c>
      <c r="H410" s="680" t="n">
        <v>5.28</v>
      </c>
      <c r="I410" s="68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82" t="n"/>
      <c r="O410" s="682" t="n"/>
      <c r="P410" s="682" t="n"/>
      <c r="Q410" s="648" t="n"/>
      <c r="R410" s="40" t="inlineStr"/>
      <c r="S410" s="40" t="inlineStr"/>
      <c r="T410" s="41" t="inlineStr">
        <is>
          <t>кг</t>
        </is>
      </c>
      <c r="U410" s="683" t="n">
        <v>0</v>
      </c>
      <c r="V410" s="68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31" t="n">
        <v>4607091383522</v>
      </c>
      <c r="E411" s="648" t="n"/>
      <c r="F411" s="680" t="n">
        <v>0.88</v>
      </c>
      <c r="G411" s="38" t="n">
        <v>6</v>
      </c>
      <c r="H411" s="680" t="n">
        <v>5.28</v>
      </c>
      <c r="I411" s="68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82" t="n"/>
      <c r="O411" s="682" t="n"/>
      <c r="P411" s="682" t="n"/>
      <c r="Q411" s="648" t="n"/>
      <c r="R411" s="40" t="inlineStr"/>
      <c r="S411" s="40" t="inlineStr"/>
      <c r="T411" s="41" t="inlineStr">
        <is>
          <t>кг</t>
        </is>
      </c>
      <c r="U411" s="683" t="n">
        <v>0</v>
      </c>
      <c r="V411" s="68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31" t="n">
        <v>4607091384437</v>
      </c>
      <c r="E412" s="648" t="n"/>
      <c r="F412" s="680" t="n">
        <v>0.88</v>
      </c>
      <c r="G412" s="38" t="n">
        <v>6</v>
      </c>
      <c r="H412" s="680" t="n">
        <v>5.28</v>
      </c>
      <c r="I412" s="68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82" t="n"/>
      <c r="O412" s="682" t="n"/>
      <c r="P412" s="682" t="n"/>
      <c r="Q412" s="648" t="n"/>
      <c r="R412" s="40" t="inlineStr"/>
      <c r="S412" s="40" t="inlineStr"/>
      <c r="T412" s="41" t="inlineStr">
        <is>
          <t>кг</t>
        </is>
      </c>
      <c r="U412" s="683" t="n">
        <v>0</v>
      </c>
      <c r="V412" s="68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31" t="n">
        <v>4607091389104</v>
      </c>
      <c r="E413" s="648" t="n"/>
      <c r="F413" s="680" t="n">
        <v>0.88</v>
      </c>
      <c r="G413" s="38" t="n">
        <v>6</v>
      </c>
      <c r="H413" s="680" t="n">
        <v>5.28</v>
      </c>
      <c r="I413" s="68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82" t="n"/>
      <c r="O413" s="682" t="n"/>
      <c r="P413" s="682" t="n"/>
      <c r="Q413" s="648" t="n"/>
      <c r="R413" s="40" t="inlineStr"/>
      <c r="S413" s="40" t="inlineStr"/>
      <c r="T413" s="41" t="inlineStr">
        <is>
          <t>кг</t>
        </is>
      </c>
      <c r="U413" s="683" t="n">
        <v>0</v>
      </c>
      <c r="V413" s="68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31" t="n">
        <v>4680115880603</v>
      </c>
      <c r="E414" s="648" t="n"/>
      <c r="F414" s="680" t="n">
        <v>0.6</v>
      </c>
      <c r="G414" s="38" t="n">
        <v>6</v>
      </c>
      <c r="H414" s="680" t="n">
        <v>3.6</v>
      </c>
      <c r="I414" s="68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82" t="n"/>
      <c r="O414" s="682" t="n"/>
      <c r="P414" s="682" t="n"/>
      <c r="Q414" s="648" t="n"/>
      <c r="R414" s="40" t="inlineStr"/>
      <c r="S414" s="40" t="inlineStr"/>
      <c r="T414" s="41" t="inlineStr">
        <is>
          <t>кг</t>
        </is>
      </c>
      <c r="U414" s="683" t="n">
        <v>0</v>
      </c>
      <c r="V414" s="68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31" t="n">
        <v>4607091389999</v>
      </c>
      <c r="E415" s="648" t="n"/>
      <c r="F415" s="680" t="n">
        <v>0.6</v>
      </c>
      <c r="G415" s="38" t="n">
        <v>6</v>
      </c>
      <c r="H415" s="680" t="n">
        <v>3.6</v>
      </c>
      <c r="I415" s="68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82" t="n"/>
      <c r="O415" s="682" t="n"/>
      <c r="P415" s="682" t="n"/>
      <c r="Q415" s="648" t="n"/>
      <c r="R415" s="40" t="inlineStr"/>
      <c r="S415" s="40" t="inlineStr"/>
      <c r="T415" s="41" t="inlineStr">
        <is>
          <t>кг</t>
        </is>
      </c>
      <c r="U415" s="683" t="n">
        <v>0</v>
      </c>
      <c r="V415" s="68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31" t="n">
        <v>4680115882782</v>
      </c>
      <c r="E416" s="648" t="n"/>
      <c r="F416" s="680" t="n">
        <v>0.6</v>
      </c>
      <c r="G416" s="38" t="n">
        <v>6</v>
      </c>
      <c r="H416" s="680" t="n">
        <v>3.6</v>
      </c>
      <c r="I416" s="68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82" t="n"/>
      <c r="O416" s="682" t="n"/>
      <c r="P416" s="682" t="n"/>
      <c r="Q416" s="648" t="n"/>
      <c r="R416" s="40" t="inlineStr"/>
      <c r="S416" s="40" t="inlineStr"/>
      <c r="T416" s="41" t="inlineStr">
        <is>
          <t>кг</t>
        </is>
      </c>
      <c r="U416" s="683" t="n">
        <v>0</v>
      </c>
      <c r="V416" s="68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31" t="n">
        <v>4607091389098</v>
      </c>
      <c r="E417" s="648" t="n"/>
      <c r="F417" s="680" t="n">
        <v>0.4</v>
      </c>
      <c r="G417" s="38" t="n">
        <v>6</v>
      </c>
      <c r="H417" s="680" t="n">
        <v>2.4</v>
      </c>
      <c r="I417" s="68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82" t="n"/>
      <c r="O417" s="682" t="n"/>
      <c r="P417" s="682" t="n"/>
      <c r="Q417" s="648" t="n"/>
      <c r="R417" s="40" t="inlineStr"/>
      <c r="S417" s="40" t="inlineStr"/>
      <c r="T417" s="41" t="inlineStr">
        <is>
          <t>кг</t>
        </is>
      </c>
      <c r="U417" s="683" t="n">
        <v>0</v>
      </c>
      <c r="V417" s="68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5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31" t="n">
        <v>4607091389982</v>
      </c>
      <c r="E418" s="648" t="n"/>
      <c r="F418" s="680" t="n">
        <v>0.6</v>
      </c>
      <c r="G418" s="38" t="n">
        <v>6</v>
      </c>
      <c r="H418" s="680" t="n">
        <v>3.6</v>
      </c>
      <c r="I418" s="68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82" t="n"/>
      <c r="O418" s="682" t="n"/>
      <c r="P418" s="682" t="n"/>
      <c r="Q418" s="648" t="n"/>
      <c r="R418" s="40" t="inlineStr"/>
      <c r="S418" s="40" t="inlineStr"/>
      <c r="T418" s="41" t="inlineStr">
        <is>
          <t>кг</t>
        </is>
      </c>
      <c r="U418" s="683" t="n">
        <v>0</v>
      </c>
      <c r="V418" s="68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6" t="inlineStr">
        <is>
          <t>КИ</t>
        </is>
      </c>
    </row>
    <row r="419">
      <c r="A419" s="325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85" t="n"/>
      <c r="M419" s="686" t="inlineStr">
        <is>
          <t>Итого</t>
        </is>
      </c>
      <c r="N419" s="656" t="n"/>
      <c r="O419" s="656" t="n"/>
      <c r="P419" s="656" t="n"/>
      <c r="Q419" s="656" t="n"/>
      <c r="R419" s="656" t="n"/>
      <c r="S419" s="657" t="n"/>
      <c r="T419" s="43" t="inlineStr">
        <is>
          <t>кор</t>
        </is>
      </c>
      <c r="U419" s="687">
        <f>IFERROR(U410/H410,"0")+IFERROR(U411/H411,"0")+IFERROR(U412/H412,"0")+IFERROR(U413/H413,"0")+IFERROR(U414/H414,"0")+IFERROR(U415/H415,"0")+IFERROR(U416/H416,"0")+IFERROR(U417/H417,"0")+IFERROR(U418/H418,"0")</f>
        <v/>
      </c>
      <c r="V419" s="687">
        <f>IFERROR(V410/H410,"0")+IFERROR(V411/H411,"0")+IFERROR(V412/H412,"0")+IFERROR(V413/H413,"0")+IFERROR(V414/H414,"0")+IFERROR(V415/H415,"0")+IFERROR(V416/H416,"0")+IFERROR(V417/H417,"0")+IFERROR(V418/H418,"0")</f>
        <v/>
      </c>
      <c r="W419" s="68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88" t="n"/>
      <c r="Y419" s="68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85" t="n"/>
      <c r="M420" s="686" t="inlineStr">
        <is>
          <t>Итого</t>
        </is>
      </c>
      <c r="N420" s="656" t="n"/>
      <c r="O420" s="656" t="n"/>
      <c r="P420" s="656" t="n"/>
      <c r="Q420" s="656" t="n"/>
      <c r="R420" s="656" t="n"/>
      <c r="S420" s="657" t="n"/>
      <c r="T420" s="43" t="inlineStr">
        <is>
          <t>кг</t>
        </is>
      </c>
      <c r="U420" s="687">
        <f>IFERROR(SUM(U410:U418),"0")</f>
        <v/>
      </c>
      <c r="V420" s="687">
        <f>IFERROR(SUM(V410:V418),"0")</f>
        <v/>
      </c>
      <c r="W420" s="43" t="n"/>
      <c r="X420" s="688" t="n"/>
      <c r="Y420" s="688" t="n"/>
    </row>
    <row r="421" ht="14.25" customHeight="1">
      <c r="A421" s="330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0" t="n"/>
      <c r="Y421" s="330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31" t="n">
        <v>4607091388930</v>
      </c>
      <c r="E422" s="648" t="n"/>
      <c r="F422" s="680" t="n">
        <v>0.88</v>
      </c>
      <c r="G422" s="38" t="n">
        <v>6</v>
      </c>
      <c r="H422" s="680" t="n">
        <v>5.28</v>
      </c>
      <c r="I422" s="68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912">
        <f>HYPERLINK("https://abi.ru/products/Охлажденные/Дугушка/Дугушка/Ветчины/P003146/","Ветчины Дугушка Дугушка Вес б/о Дугушка")</f>
        <v/>
      </c>
      <c r="N422" s="682" t="n"/>
      <c r="O422" s="682" t="n"/>
      <c r="P422" s="682" t="n"/>
      <c r="Q422" s="648" t="n"/>
      <c r="R422" s="40" t="inlineStr"/>
      <c r="S422" s="40" t="inlineStr"/>
      <c r="T422" s="41" t="inlineStr">
        <is>
          <t>кг</t>
        </is>
      </c>
      <c r="U422" s="683" t="n">
        <v>0</v>
      </c>
      <c r="V422" s="68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31" t="n">
        <v>4680115880054</v>
      </c>
      <c r="E423" s="648" t="n"/>
      <c r="F423" s="680" t="n">
        <v>0.6</v>
      </c>
      <c r="G423" s="38" t="n">
        <v>6</v>
      </c>
      <c r="H423" s="680" t="n">
        <v>3.6</v>
      </c>
      <c r="I423" s="68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13">
        <f>HYPERLINK("https://abi.ru/products/Охлажденные/Дугушка/Дугушка/Ветчины/P002993/","Ветчины «Дугушка» Фикс.вес 0,6 П/а ТМ «Дугушка»")</f>
        <v/>
      </c>
      <c r="N423" s="682" t="n"/>
      <c r="O423" s="682" t="n"/>
      <c r="P423" s="682" t="n"/>
      <c r="Q423" s="648" t="n"/>
      <c r="R423" s="40" t="inlineStr"/>
      <c r="S423" s="40" t="inlineStr"/>
      <c r="T423" s="41" t="inlineStr">
        <is>
          <t>кг</t>
        </is>
      </c>
      <c r="U423" s="683" t="n">
        <v>0</v>
      </c>
      <c r="V423" s="68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>
      <c r="A424" s="325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85" t="n"/>
      <c r="M424" s="686" t="inlineStr">
        <is>
          <t>Итого</t>
        </is>
      </c>
      <c r="N424" s="656" t="n"/>
      <c r="O424" s="656" t="n"/>
      <c r="P424" s="656" t="n"/>
      <c r="Q424" s="656" t="n"/>
      <c r="R424" s="656" t="n"/>
      <c r="S424" s="657" t="n"/>
      <c r="T424" s="43" t="inlineStr">
        <is>
          <t>кор</t>
        </is>
      </c>
      <c r="U424" s="687">
        <f>IFERROR(U422/H422,"0")+IFERROR(U423/H423,"0")</f>
        <v/>
      </c>
      <c r="V424" s="687">
        <f>IFERROR(V422/H422,"0")+IFERROR(V423/H423,"0")</f>
        <v/>
      </c>
      <c r="W424" s="687">
        <f>IFERROR(IF(W422="",0,W422),"0")+IFERROR(IF(W423="",0,W423),"0")</f>
        <v/>
      </c>
      <c r="X424" s="688" t="n"/>
      <c r="Y424" s="68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85" t="n"/>
      <c r="M425" s="686" t="inlineStr">
        <is>
          <t>Итого</t>
        </is>
      </c>
      <c r="N425" s="656" t="n"/>
      <c r="O425" s="656" t="n"/>
      <c r="P425" s="656" t="n"/>
      <c r="Q425" s="656" t="n"/>
      <c r="R425" s="656" t="n"/>
      <c r="S425" s="657" t="n"/>
      <c r="T425" s="43" t="inlineStr">
        <is>
          <t>кг</t>
        </is>
      </c>
      <c r="U425" s="687">
        <f>IFERROR(SUM(U422:U423),"0")</f>
        <v/>
      </c>
      <c r="V425" s="687">
        <f>IFERROR(SUM(V422:V423),"0")</f>
        <v/>
      </c>
      <c r="W425" s="43" t="n"/>
      <c r="X425" s="688" t="n"/>
      <c r="Y425" s="688" t="n"/>
    </row>
    <row r="426" ht="14.25" customHeight="1">
      <c r="A426" s="330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0" t="n"/>
      <c r="Y426" s="330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31" t="n">
        <v>4680115883116</v>
      </c>
      <c r="E427" s="648" t="n"/>
      <c r="F427" s="680" t="n">
        <v>0.88</v>
      </c>
      <c r="G427" s="38" t="n">
        <v>6</v>
      </c>
      <c r="H427" s="680" t="n">
        <v>5.28</v>
      </c>
      <c r="I427" s="68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82" t="n"/>
      <c r="O427" s="682" t="n"/>
      <c r="P427" s="682" t="n"/>
      <c r="Q427" s="648" t="n"/>
      <c r="R427" s="40" t="inlineStr"/>
      <c r="S427" s="40" t="inlineStr"/>
      <c r="T427" s="41" t="inlineStr">
        <is>
          <t>кг</t>
        </is>
      </c>
      <c r="U427" s="683" t="n">
        <v>0</v>
      </c>
      <c r="V427" s="68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31" t="n">
        <v>4680115883093</v>
      </c>
      <c r="E428" s="648" t="n"/>
      <c r="F428" s="680" t="n">
        <v>0.88</v>
      </c>
      <c r="G428" s="38" t="n">
        <v>6</v>
      </c>
      <c r="H428" s="680" t="n">
        <v>5.28</v>
      </c>
      <c r="I428" s="68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82" t="n"/>
      <c r="O428" s="682" t="n"/>
      <c r="P428" s="682" t="n"/>
      <c r="Q428" s="648" t="n"/>
      <c r="R428" s="40" t="inlineStr"/>
      <c r="S428" s="40" t="inlineStr"/>
      <c r="T428" s="41" t="inlineStr">
        <is>
          <t>кг</t>
        </is>
      </c>
      <c r="U428" s="683" t="n">
        <v>0</v>
      </c>
      <c r="V428" s="68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31" t="n">
        <v>4680115883109</v>
      </c>
      <c r="E429" s="648" t="n"/>
      <c r="F429" s="680" t="n">
        <v>0.88</v>
      </c>
      <c r="G429" s="38" t="n">
        <v>6</v>
      </c>
      <c r="H429" s="680" t="n">
        <v>5.28</v>
      </c>
      <c r="I429" s="68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82" t="n"/>
      <c r="O429" s="682" t="n"/>
      <c r="P429" s="682" t="n"/>
      <c r="Q429" s="648" t="n"/>
      <c r="R429" s="40" t="inlineStr"/>
      <c r="S429" s="40" t="inlineStr"/>
      <c r="T429" s="41" t="inlineStr">
        <is>
          <t>кг</t>
        </is>
      </c>
      <c r="U429" s="683" t="n">
        <v>0</v>
      </c>
      <c r="V429" s="68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31" t="n">
        <v>4680115882072</v>
      </c>
      <c r="E430" s="648" t="n"/>
      <c r="F430" s="680" t="n">
        <v>0.6</v>
      </c>
      <c r="G430" s="38" t="n">
        <v>6</v>
      </c>
      <c r="H430" s="680" t="n">
        <v>3.6</v>
      </c>
      <c r="I430" s="68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17" t="inlineStr">
        <is>
          <t>В/к колбасы «Рубленая Запеченная» Фикс.вес 0,6 Вектор ТМ «Дугушка»</t>
        </is>
      </c>
      <c r="N430" s="682" t="n"/>
      <c r="O430" s="682" t="n"/>
      <c r="P430" s="682" t="n"/>
      <c r="Q430" s="648" t="n"/>
      <c r="R430" s="40" t="inlineStr"/>
      <c r="S430" s="40" t="inlineStr"/>
      <c r="T430" s="41" t="inlineStr">
        <is>
          <t>кг</t>
        </is>
      </c>
      <c r="U430" s="683" t="n">
        <v>0</v>
      </c>
      <c r="V430" s="68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302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31" t="n">
        <v>4680115882102</v>
      </c>
      <c r="E431" s="648" t="n"/>
      <c r="F431" s="680" t="n">
        <v>0.6</v>
      </c>
      <c r="G431" s="38" t="n">
        <v>6</v>
      </c>
      <c r="H431" s="680" t="n">
        <v>3.6</v>
      </c>
      <c r="I431" s="68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18" t="inlineStr">
        <is>
          <t>В/к колбасы «Салями Запеченая» Фикс.вес 0,6 Вектор ТМ «Дугушка»</t>
        </is>
      </c>
      <c r="N431" s="682" t="n"/>
      <c r="O431" s="682" t="n"/>
      <c r="P431" s="682" t="n"/>
      <c r="Q431" s="648" t="n"/>
      <c r="R431" s="40" t="inlineStr"/>
      <c r="S431" s="40" t="inlineStr"/>
      <c r="T431" s="41" t="inlineStr">
        <is>
          <t>кг</t>
        </is>
      </c>
      <c r="U431" s="683" t="n">
        <v>0</v>
      </c>
      <c r="V431" s="68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3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31" t="n">
        <v>4680115882096</v>
      </c>
      <c r="E432" s="648" t="n"/>
      <c r="F432" s="680" t="n">
        <v>0.6</v>
      </c>
      <c r="G432" s="38" t="n">
        <v>6</v>
      </c>
      <c r="H432" s="680" t="n">
        <v>3.6</v>
      </c>
      <c r="I432" s="68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19" t="inlineStr">
        <is>
          <t>В/к колбасы «Сервелат Запеченный» Фикс.вес 0,6 Вектор ТМ «Дугушка»</t>
        </is>
      </c>
      <c r="N432" s="682" t="n"/>
      <c r="O432" s="682" t="n"/>
      <c r="P432" s="682" t="n"/>
      <c r="Q432" s="648" t="n"/>
      <c r="R432" s="40" t="inlineStr"/>
      <c r="S432" s="40" t="inlineStr"/>
      <c r="T432" s="41" t="inlineStr">
        <is>
          <t>кг</t>
        </is>
      </c>
      <c r="U432" s="683" t="n">
        <v>0</v>
      </c>
      <c r="V432" s="68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4" t="inlineStr">
        <is>
          <t>КИ</t>
        </is>
      </c>
    </row>
    <row r="433">
      <c r="A433" s="325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85" t="n"/>
      <c r="M433" s="686" t="inlineStr">
        <is>
          <t>Итого</t>
        </is>
      </c>
      <c r="N433" s="656" t="n"/>
      <c r="O433" s="656" t="n"/>
      <c r="P433" s="656" t="n"/>
      <c r="Q433" s="656" t="n"/>
      <c r="R433" s="656" t="n"/>
      <c r="S433" s="657" t="n"/>
      <c r="T433" s="43" t="inlineStr">
        <is>
          <t>кор</t>
        </is>
      </c>
      <c r="U433" s="687">
        <f>IFERROR(U427/H427,"0")+IFERROR(U428/H428,"0")+IFERROR(U429/H429,"0")+IFERROR(U430/H430,"0")+IFERROR(U431/H431,"0")+IFERROR(U432/H432,"0")</f>
        <v/>
      </c>
      <c r="V433" s="687">
        <f>IFERROR(V427/H427,"0")+IFERROR(V428/H428,"0")+IFERROR(V429/H429,"0")+IFERROR(V430/H430,"0")+IFERROR(V431/H431,"0")+IFERROR(V432/H432,"0")</f>
        <v/>
      </c>
      <c r="W433" s="687">
        <f>IFERROR(IF(W427="",0,W427),"0")+IFERROR(IF(W428="",0,W428),"0")+IFERROR(IF(W429="",0,W429),"0")+IFERROR(IF(W430="",0,W430),"0")+IFERROR(IF(W431="",0,W431),"0")+IFERROR(IF(W432="",0,W432),"0")</f>
        <v/>
      </c>
      <c r="X433" s="688" t="n"/>
      <c r="Y433" s="68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85" t="n"/>
      <c r="M434" s="686" t="inlineStr">
        <is>
          <t>Итого</t>
        </is>
      </c>
      <c r="N434" s="656" t="n"/>
      <c r="O434" s="656" t="n"/>
      <c r="P434" s="656" t="n"/>
      <c r="Q434" s="656" t="n"/>
      <c r="R434" s="656" t="n"/>
      <c r="S434" s="657" t="n"/>
      <c r="T434" s="43" t="inlineStr">
        <is>
          <t>кг</t>
        </is>
      </c>
      <c r="U434" s="687">
        <f>IFERROR(SUM(U427:U432),"0")</f>
        <v/>
      </c>
      <c r="V434" s="687">
        <f>IFERROR(SUM(V427:V432),"0")</f>
        <v/>
      </c>
      <c r="W434" s="43" t="n"/>
      <c r="X434" s="688" t="n"/>
      <c r="Y434" s="688" t="n"/>
    </row>
    <row r="435" ht="14.25" customHeight="1">
      <c r="A435" s="330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0" t="n"/>
      <c r="Y435" s="330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31" t="n">
        <v>4607091383409</v>
      </c>
      <c r="E436" s="648" t="n"/>
      <c r="F436" s="680" t="n">
        <v>1.3</v>
      </c>
      <c r="G436" s="38" t="n">
        <v>6</v>
      </c>
      <c r="H436" s="680" t="n">
        <v>7.8</v>
      </c>
      <c r="I436" s="68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82" t="n"/>
      <c r="O436" s="682" t="n"/>
      <c r="P436" s="682" t="n"/>
      <c r="Q436" s="648" t="n"/>
      <c r="R436" s="40" t="inlineStr"/>
      <c r="S436" s="40" t="inlineStr"/>
      <c r="T436" s="41" t="inlineStr">
        <is>
          <t>кг</t>
        </is>
      </c>
      <c r="U436" s="683" t="n">
        <v>0</v>
      </c>
      <c r="V436" s="68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5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31" t="n">
        <v>4607091383416</v>
      </c>
      <c r="E437" s="648" t="n"/>
      <c r="F437" s="680" t="n">
        <v>1.3</v>
      </c>
      <c r="G437" s="38" t="n">
        <v>6</v>
      </c>
      <c r="H437" s="680" t="n">
        <v>7.8</v>
      </c>
      <c r="I437" s="68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82" t="n"/>
      <c r="O437" s="682" t="n"/>
      <c r="P437" s="682" t="n"/>
      <c r="Q437" s="648" t="n"/>
      <c r="R437" s="40" t="inlineStr"/>
      <c r="S437" s="40" t="inlineStr"/>
      <c r="T437" s="41" t="inlineStr">
        <is>
          <t>кг</t>
        </is>
      </c>
      <c r="U437" s="683" t="n">
        <v>0</v>
      </c>
      <c r="V437" s="68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6" t="inlineStr">
        <is>
          <t>КИ</t>
        </is>
      </c>
    </row>
    <row r="438">
      <c r="A438" s="325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85" t="n"/>
      <c r="M438" s="686" t="inlineStr">
        <is>
          <t>Итого</t>
        </is>
      </c>
      <c r="N438" s="656" t="n"/>
      <c r="O438" s="656" t="n"/>
      <c r="P438" s="656" t="n"/>
      <c r="Q438" s="656" t="n"/>
      <c r="R438" s="656" t="n"/>
      <c r="S438" s="657" t="n"/>
      <c r="T438" s="43" t="inlineStr">
        <is>
          <t>кор</t>
        </is>
      </c>
      <c r="U438" s="687">
        <f>IFERROR(U436/H436,"0")+IFERROR(U437/H437,"0")</f>
        <v/>
      </c>
      <c r="V438" s="687">
        <f>IFERROR(V436/H436,"0")+IFERROR(V437/H437,"0")</f>
        <v/>
      </c>
      <c r="W438" s="687">
        <f>IFERROR(IF(W436="",0,W436),"0")+IFERROR(IF(W437="",0,W437),"0")</f>
        <v/>
      </c>
      <c r="X438" s="688" t="n"/>
      <c r="Y438" s="68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85" t="n"/>
      <c r="M439" s="686" t="inlineStr">
        <is>
          <t>Итого</t>
        </is>
      </c>
      <c r="N439" s="656" t="n"/>
      <c r="O439" s="656" t="n"/>
      <c r="P439" s="656" t="n"/>
      <c r="Q439" s="656" t="n"/>
      <c r="R439" s="656" t="n"/>
      <c r="S439" s="657" t="n"/>
      <c r="T439" s="43" t="inlineStr">
        <is>
          <t>кг</t>
        </is>
      </c>
      <c r="U439" s="687">
        <f>IFERROR(SUM(U436:U437),"0")</f>
        <v/>
      </c>
      <c r="V439" s="687">
        <f>IFERROR(SUM(V436:V437),"0")</f>
        <v/>
      </c>
      <c r="W439" s="43" t="n"/>
      <c r="X439" s="688" t="n"/>
      <c r="Y439" s="688" t="n"/>
    </row>
    <row r="440" ht="27.75" customHeight="1">
      <c r="A440" s="344" t="inlineStr">
        <is>
          <t>Зареченские</t>
        </is>
      </c>
      <c r="B440" s="679" t="n"/>
      <c r="C440" s="679" t="n"/>
      <c r="D440" s="679" t="n"/>
      <c r="E440" s="679" t="n"/>
      <c r="F440" s="679" t="n"/>
      <c r="G440" s="679" t="n"/>
      <c r="H440" s="679" t="n"/>
      <c r="I440" s="679" t="n"/>
      <c r="J440" s="679" t="n"/>
      <c r="K440" s="679" t="n"/>
      <c r="L440" s="679" t="n"/>
      <c r="M440" s="679" t="n"/>
      <c r="N440" s="679" t="n"/>
      <c r="O440" s="679" t="n"/>
      <c r="P440" s="679" t="n"/>
      <c r="Q440" s="679" t="n"/>
      <c r="R440" s="679" t="n"/>
      <c r="S440" s="679" t="n"/>
      <c r="T440" s="679" t="n"/>
      <c r="U440" s="679" t="n"/>
      <c r="V440" s="679" t="n"/>
      <c r="W440" s="679" t="n"/>
      <c r="X440" s="55" t="n"/>
      <c r="Y440" s="55" t="n"/>
    </row>
    <row r="441" ht="16.5" customHeight="1">
      <c r="A441" s="338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8" t="n"/>
      <c r="Y441" s="338" t="n"/>
    </row>
    <row r="442" ht="14.25" customHeight="1">
      <c r="A442" s="330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0" t="n"/>
      <c r="Y442" s="330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31" t="n">
        <v>4680115881099</v>
      </c>
      <c r="E443" s="648" t="n"/>
      <c r="F443" s="680" t="n">
        <v>1.5</v>
      </c>
      <c r="G443" s="38" t="n">
        <v>8</v>
      </c>
      <c r="H443" s="680" t="n">
        <v>12</v>
      </c>
      <c r="I443" s="68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22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82" t="n"/>
      <c r="O443" s="682" t="n"/>
      <c r="P443" s="682" t="n"/>
      <c r="Q443" s="648" t="n"/>
      <c r="R443" s="40" t="inlineStr"/>
      <c r="S443" s="40" t="inlineStr"/>
      <c r="T443" s="41" t="inlineStr">
        <is>
          <t>кг</t>
        </is>
      </c>
      <c r="U443" s="683" t="n">
        <v>0</v>
      </c>
      <c r="V443" s="68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7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31" t="n">
        <v>4680115881150</v>
      </c>
      <c r="E444" s="648" t="n"/>
      <c r="F444" s="680" t="n">
        <v>1.5</v>
      </c>
      <c r="G444" s="38" t="n">
        <v>8</v>
      </c>
      <c r="H444" s="680" t="n">
        <v>12</v>
      </c>
      <c r="I444" s="68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23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82" t="n"/>
      <c r="O444" s="682" t="n"/>
      <c r="P444" s="682" t="n"/>
      <c r="Q444" s="648" t="n"/>
      <c r="R444" s="40" t="inlineStr"/>
      <c r="S444" s="40" t="inlineStr"/>
      <c r="T444" s="41" t="inlineStr">
        <is>
          <t>кг</t>
        </is>
      </c>
      <c r="U444" s="683" t="n">
        <v>0</v>
      </c>
      <c r="V444" s="68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8" t="inlineStr">
        <is>
          <t>КИ</t>
        </is>
      </c>
    </row>
    <row r="445">
      <c r="A445" s="325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85" t="n"/>
      <c r="M445" s="686" t="inlineStr">
        <is>
          <t>Итого</t>
        </is>
      </c>
      <c r="N445" s="656" t="n"/>
      <c r="O445" s="656" t="n"/>
      <c r="P445" s="656" t="n"/>
      <c r="Q445" s="656" t="n"/>
      <c r="R445" s="656" t="n"/>
      <c r="S445" s="657" t="n"/>
      <c r="T445" s="43" t="inlineStr">
        <is>
          <t>кор</t>
        </is>
      </c>
      <c r="U445" s="687">
        <f>IFERROR(U443/H443,"0")+IFERROR(U444/H444,"0")</f>
        <v/>
      </c>
      <c r="V445" s="687">
        <f>IFERROR(V443/H443,"0")+IFERROR(V444/H444,"0")</f>
        <v/>
      </c>
      <c r="W445" s="687">
        <f>IFERROR(IF(W443="",0,W443),"0")+IFERROR(IF(W444="",0,W444),"0")</f>
        <v/>
      </c>
      <c r="X445" s="688" t="n"/>
      <c r="Y445" s="68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85" t="n"/>
      <c r="M446" s="686" t="inlineStr">
        <is>
          <t>Итого</t>
        </is>
      </c>
      <c r="N446" s="656" t="n"/>
      <c r="O446" s="656" t="n"/>
      <c r="P446" s="656" t="n"/>
      <c r="Q446" s="656" t="n"/>
      <c r="R446" s="656" t="n"/>
      <c r="S446" s="657" t="n"/>
      <c r="T446" s="43" t="inlineStr">
        <is>
          <t>кг</t>
        </is>
      </c>
      <c r="U446" s="687">
        <f>IFERROR(SUM(U443:U444),"0")</f>
        <v/>
      </c>
      <c r="V446" s="687">
        <f>IFERROR(SUM(V443:V444),"0")</f>
        <v/>
      </c>
      <c r="W446" s="43" t="n"/>
      <c r="X446" s="688" t="n"/>
      <c r="Y446" s="688" t="n"/>
    </row>
    <row r="447" ht="14.25" customHeight="1">
      <c r="A447" s="330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0" t="n"/>
      <c r="Y447" s="330" t="n"/>
    </row>
    <row r="448" ht="27" customHeight="1">
      <c r="A448" s="64" t="inlineStr">
        <is>
          <t>SU002811</t>
        </is>
      </c>
      <c r="B448" s="64" t="inlineStr">
        <is>
          <t>P003588</t>
        </is>
      </c>
      <c r="C448" s="37" t="n">
        <v>4301020260</v>
      </c>
      <c r="D448" s="331" t="n">
        <v>4640242180526</v>
      </c>
      <c r="E448" s="648" t="n"/>
      <c r="F448" s="680" t="n">
        <v>1.8</v>
      </c>
      <c r="G448" s="38" t="n">
        <v>6</v>
      </c>
      <c r="H448" s="680" t="n">
        <v>10.8</v>
      </c>
      <c r="I448" s="68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24" t="inlineStr">
        <is>
          <t>Ветчины «Нежная» Весовой п/а ТМ «Зареченские» большой батон</t>
        </is>
      </c>
      <c r="N448" s="682" t="n"/>
      <c r="O448" s="682" t="n"/>
      <c r="P448" s="682" t="n"/>
      <c r="Q448" s="648" t="n"/>
      <c r="R448" s="40" t="inlineStr"/>
      <c r="S448" s="40" t="inlineStr"/>
      <c r="T448" s="41" t="inlineStr">
        <is>
          <t>кг</t>
        </is>
      </c>
      <c r="U448" s="683" t="n">
        <v>0</v>
      </c>
      <c r="V448" s="68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9" t="inlineStr">
        <is>
          <t>КИ</t>
        </is>
      </c>
    </row>
    <row r="449" ht="16.5" customHeight="1">
      <c r="A449" s="64" t="inlineStr">
        <is>
          <t>SU002806</t>
        </is>
      </c>
      <c r="B449" s="64" t="inlineStr">
        <is>
          <t>P003591</t>
        </is>
      </c>
      <c r="C449" s="37" t="n">
        <v>4301020269</v>
      </c>
      <c r="D449" s="331" t="n">
        <v>4640242180519</v>
      </c>
      <c r="E449" s="648" t="n"/>
      <c r="F449" s="680" t="n">
        <v>1.35</v>
      </c>
      <c r="G449" s="38" t="n">
        <v>8</v>
      </c>
      <c r="H449" s="680" t="n">
        <v>10.8</v>
      </c>
      <c r="I449" s="680" t="n">
        <v>11.28</v>
      </c>
      <c r="J449" s="38" t="n">
        <v>56</v>
      </c>
      <c r="K449" s="39" t="inlineStr">
        <is>
          <t>СК3</t>
        </is>
      </c>
      <c r="L449" s="38" t="n">
        <v>50</v>
      </c>
      <c r="M449" s="925" t="inlineStr">
        <is>
          <t>Ветчины «Нежная» Весовой п/а ТМ «Зареченские»</t>
        </is>
      </c>
      <c r="N449" s="682" t="n"/>
      <c r="O449" s="682" t="n"/>
      <c r="P449" s="682" t="n"/>
      <c r="Q449" s="648" t="n"/>
      <c r="R449" s="40" t="inlineStr"/>
      <c r="S449" s="40" t="inlineStr"/>
      <c r="T449" s="41" t="inlineStr">
        <is>
          <t>кг</t>
        </is>
      </c>
      <c r="U449" s="683" t="n">
        <v>0</v>
      </c>
      <c r="V449" s="68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10" t="inlineStr">
        <is>
          <t>КИ</t>
        </is>
      </c>
    </row>
    <row r="450" ht="16.5" customHeight="1">
      <c r="A450" s="64" t="inlineStr">
        <is>
          <t>SU002806</t>
        </is>
      </c>
      <c r="B450" s="64" t="inlineStr">
        <is>
          <t>P003207</t>
        </is>
      </c>
      <c r="C450" s="37" t="n">
        <v>4301020230</v>
      </c>
      <c r="D450" s="331" t="n">
        <v>4680115881112</v>
      </c>
      <c r="E450" s="648" t="n"/>
      <c r="F450" s="680" t="n">
        <v>1.35</v>
      </c>
      <c r="G450" s="38" t="n">
        <v>8</v>
      </c>
      <c r="H450" s="680" t="n">
        <v>10.8</v>
      </c>
      <c r="I450" s="680" t="n">
        <v>11.28</v>
      </c>
      <c r="J450" s="38" t="n">
        <v>56</v>
      </c>
      <c r="K450" s="39" t="inlineStr">
        <is>
          <t>СК1</t>
        </is>
      </c>
      <c r="L450" s="38" t="n">
        <v>50</v>
      </c>
      <c r="M450" s="92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50" s="682" t="n"/>
      <c r="O450" s="682" t="n"/>
      <c r="P450" s="682" t="n"/>
      <c r="Q450" s="648" t="n"/>
      <c r="R450" s="40" t="inlineStr"/>
      <c r="S450" s="40" t="inlineStr"/>
      <c r="T450" s="41" t="inlineStr">
        <is>
          <t>кг</t>
        </is>
      </c>
      <c r="U450" s="683" t="n">
        <v>0</v>
      </c>
      <c r="V450" s="684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11" t="inlineStr">
        <is>
          <t>КИ</t>
        </is>
      </c>
    </row>
    <row r="451">
      <c r="A451" s="325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85" t="n"/>
      <c r="M451" s="686" t="inlineStr">
        <is>
          <t>Итого</t>
        </is>
      </c>
      <c r="N451" s="656" t="n"/>
      <c r="O451" s="656" t="n"/>
      <c r="P451" s="656" t="n"/>
      <c r="Q451" s="656" t="n"/>
      <c r="R451" s="656" t="n"/>
      <c r="S451" s="657" t="n"/>
      <c r="T451" s="43" t="inlineStr">
        <is>
          <t>кор</t>
        </is>
      </c>
      <c r="U451" s="687">
        <f>IFERROR(U448/H448,"0")+IFERROR(U449/H449,"0")+IFERROR(U450/H450,"0")</f>
        <v/>
      </c>
      <c r="V451" s="687">
        <f>IFERROR(V448/H448,"0")+IFERROR(V449/H449,"0")+IFERROR(V450/H450,"0")</f>
        <v/>
      </c>
      <c r="W451" s="687">
        <f>IFERROR(IF(W448="",0,W448),"0")+IFERROR(IF(W449="",0,W449),"0")+IFERROR(IF(W450="",0,W450),"0")</f>
        <v/>
      </c>
      <c r="X451" s="688" t="n"/>
      <c r="Y451" s="688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85" t="n"/>
      <c r="M452" s="686" t="inlineStr">
        <is>
          <t>Итого</t>
        </is>
      </c>
      <c r="N452" s="656" t="n"/>
      <c r="O452" s="656" t="n"/>
      <c r="P452" s="656" t="n"/>
      <c r="Q452" s="656" t="n"/>
      <c r="R452" s="656" t="n"/>
      <c r="S452" s="657" t="n"/>
      <c r="T452" s="43" t="inlineStr">
        <is>
          <t>кг</t>
        </is>
      </c>
      <c r="U452" s="687">
        <f>IFERROR(SUM(U448:U450),"0")</f>
        <v/>
      </c>
      <c r="V452" s="687">
        <f>IFERROR(SUM(V448:V450),"0")</f>
        <v/>
      </c>
      <c r="W452" s="43" t="n"/>
      <c r="X452" s="688" t="n"/>
      <c r="Y452" s="688" t="n"/>
    </row>
    <row r="453" ht="14.25" customHeight="1">
      <c r="A453" s="330" t="inlineStr">
        <is>
          <t>Копченые колбасы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0" t="n"/>
      <c r="Y453" s="330" t="n"/>
    </row>
    <row r="454" ht="27" customHeight="1">
      <c r="A454" s="64" t="inlineStr">
        <is>
          <t>SU002805</t>
        </is>
      </c>
      <c r="B454" s="64" t="inlineStr">
        <is>
          <t>P003206</t>
        </is>
      </c>
      <c r="C454" s="37" t="n">
        <v>4301031192</v>
      </c>
      <c r="D454" s="331" t="n">
        <v>4680115881167</v>
      </c>
      <c r="E454" s="648" t="n"/>
      <c r="F454" s="680" t="n">
        <v>0.73</v>
      </c>
      <c r="G454" s="38" t="n">
        <v>6</v>
      </c>
      <c r="H454" s="680" t="n">
        <v>4.38</v>
      </c>
      <c r="I454" s="68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2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4" s="682" t="n"/>
      <c r="O454" s="682" t="n"/>
      <c r="P454" s="682" t="n"/>
      <c r="Q454" s="648" t="n"/>
      <c r="R454" s="40" t="inlineStr"/>
      <c r="S454" s="40" t="inlineStr"/>
      <c r="T454" s="41" t="inlineStr">
        <is>
          <t>кг</t>
        </is>
      </c>
      <c r="U454" s="683" t="n">
        <v>0</v>
      </c>
      <c r="V454" s="68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12" t="inlineStr">
        <is>
          <t>КИ</t>
        </is>
      </c>
    </row>
    <row r="455" ht="27" customHeight="1">
      <c r="A455" s="64" t="inlineStr">
        <is>
          <t>SU002809</t>
        </is>
      </c>
      <c r="B455" s="64" t="inlineStr">
        <is>
          <t>P003586</t>
        </is>
      </c>
      <c r="C455" s="37" t="n">
        <v>4301031244</v>
      </c>
      <c r="D455" s="331" t="n">
        <v>4640242180595</v>
      </c>
      <c r="E455" s="648" t="n"/>
      <c r="F455" s="680" t="n">
        <v>0.7</v>
      </c>
      <c r="G455" s="38" t="n">
        <v>6</v>
      </c>
      <c r="H455" s="680" t="n">
        <v>4.2</v>
      </c>
      <c r="I455" s="680" t="n">
        <v>4.46</v>
      </c>
      <c r="J455" s="38" t="n">
        <v>156</v>
      </c>
      <c r="K455" s="39" t="inlineStr">
        <is>
          <t>СК2</t>
        </is>
      </c>
      <c r="L455" s="38" t="n">
        <v>40</v>
      </c>
      <c r="M455" s="928" t="inlineStr">
        <is>
          <t>В/к колбасы «Сервелат Рижский» НТУ Весовые Фиброуз в/у ТМ «Зареченские»</t>
        </is>
      </c>
      <c r="N455" s="682" t="n"/>
      <c r="O455" s="682" t="n"/>
      <c r="P455" s="682" t="n"/>
      <c r="Q455" s="648" t="n"/>
      <c r="R455" s="40" t="inlineStr"/>
      <c r="S455" s="40" t="inlineStr"/>
      <c r="T455" s="41" t="inlineStr">
        <is>
          <t>кг</t>
        </is>
      </c>
      <c r="U455" s="683" t="n">
        <v>0</v>
      </c>
      <c r="V455" s="684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3" t="inlineStr">
        <is>
          <t>КИ</t>
        </is>
      </c>
    </row>
    <row r="456">
      <c r="A456" s="325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85" t="n"/>
      <c r="M456" s="686" t="inlineStr">
        <is>
          <t>Итого</t>
        </is>
      </c>
      <c r="N456" s="656" t="n"/>
      <c r="O456" s="656" t="n"/>
      <c r="P456" s="656" t="n"/>
      <c r="Q456" s="656" t="n"/>
      <c r="R456" s="656" t="n"/>
      <c r="S456" s="657" t="n"/>
      <c r="T456" s="43" t="inlineStr">
        <is>
          <t>кор</t>
        </is>
      </c>
      <c r="U456" s="687">
        <f>IFERROR(U454/H454,"0")+IFERROR(U455/H455,"0")</f>
        <v/>
      </c>
      <c r="V456" s="687">
        <f>IFERROR(V454/H454,"0")+IFERROR(V455/H455,"0")</f>
        <v/>
      </c>
      <c r="W456" s="687">
        <f>IFERROR(IF(W454="",0,W454),"0")+IFERROR(IF(W455="",0,W455),"0")</f>
        <v/>
      </c>
      <c r="X456" s="688" t="n"/>
      <c r="Y456" s="688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85" t="n"/>
      <c r="M457" s="686" t="inlineStr">
        <is>
          <t>Итого</t>
        </is>
      </c>
      <c r="N457" s="656" t="n"/>
      <c r="O457" s="656" t="n"/>
      <c r="P457" s="656" t="n"/>
      <c r="Q457" s="656" t="n"/>
      <c r="R457" s="656" t="n"/>
      <c r="S457" s="657" t="n"/>
      <c r="T457" s="43" t="inlineStr">
        <is>
          <t>кг</t>
        </is>
      </c>
      <c r="U457" s="687">
        <f>IFERROR(SUM(U454:U455),"0")</f>
        <v/>
      </c>
      <c r="V457" s="687">
        <f>IFERROR(SUM(V454:V455),"0")</f>
        <v/>
      </c>
      <c r="W457" s="43" t="n"/>
      <c r="X457" s="688" t="n"/>
      <c r="Y457" s="688" t="n"/>
    </row>
    <row r="458" ht="14.25" customHeight="1">
      <c r="A458" s="330" t="inlineStr">
        <is>
          <t>Сосиски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31" t="n">
        <v>4680115881068</v>
      </c>
      <c r="E459" s="648" t="n"/>
      <c r="F459" s="680" t="n">
        <v>1.3</v>
      </c>
      <c r="G459" s="38" t="n">
        <v>6</v>
      </c>
      <c r="H459" s="680" t="n">
        <v>7.8</v>
      </c>
      <c r="I459" s="68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2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82" t="n"/>
      <c r="O459" s="682" t="n"/>
      <c r="P459" s="682" t="n"/>
      <c r="Q459" s="648" t="n"/>
      <c r="R459" s="40" t="inlineStr"/>
      <c r="S459" s="40" t="inlineStr"/>
      <c r="T459" s="41" t="inlineStr">
        <is>
          <t>кг</t>
        </is>
      </c>
      <c r="U459" s="683" t="n">
        <v>0</v>
      </c>
      <c r="V459" s="68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4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31" t="n">
        <v>4680115881075</v>
      </c>
      <c r="E460" s="648" t="n"/>
      <c r="F460" s="680" t="n">
        <v>0.5</v>
      </c>
      <c r="G460" s="38" t="n">
        <v>6</v>
      </c>
      <c r="H460" s="680" t="n">
        <v>3</v>
      </c>
      <c r="I460" s="68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3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82" t="n"/>
      <c r="O460" s="682" t="n"/>
      <c r="P460" s="682" t="n"/>
      <c r="Q460" s="648" t="n"/>
      <c r="R460" s="40" t="inlineStr"/>
      <c r="S460" s="40" t="inlineStr"/>
      <c r="T460" s="41" t="inlineStr">
        <is>
          <t>кг</t>
        </is>
      </c>
      <c r="U460" s="683" t="n">
        <v>0</v>
      </c>
      <c r="V460" s="68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5" t="inlineStr">
        <is>
          <t>КИ</t>
        </is>
      </c>
    </row>
    <row r="461">
      <c r="A461" s="325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85" t="n"/>
      <c r="M461" s="686" t="inlineStr">
        <is>
          <t>Итого</t>
        </is>
      </c>
      <c r="N461" s="656" t="n"/>
      <c r="O461" s="656" t="n"/>
      <c r="P461" s="656" t="n"/>
      <c r="Q461" s="656" t="n"/>
      <c r="R461" s="656" t="n"/>
      <c r="S461" s="657" t="n"/>
      <c r="T461" s="43" t="inlineStr">
        <is>
          <t>кор</t>
        </is>
      </c>
      <c r="U461" s="687">
        <f>IFERROR(U459/H459,"0")+IFERROR(U460/H460,"0")</f>
        <v/>
      </c>
      <c r="V461" s="687">
        <f>IFERROR(V459/H459,"0")+IFERROR(V460/H460,"0")</f>
        <v/>
      </c>
      <c r="W461" s="687">
        <f>IFERROR(IF(W459="",0,W459),"0")+IFERROR(IF(W460="",0,W460),"0")</f>
        <v/>
      </c>
      <c r="X461" s="688" t="n"/>
      <c r="Y461" s="68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85" t="n"/>
      <c r="M462" s="686" t="inlineStr">
        <is>
          <t>Итого</t>
        </is>
      </c>
      <c r="N462" s="656" t="n"/>
      <c r="O462" s="656" t="n"/>
      <c r="P462" s="656" t="n"/>
      <c r="Q462" s="656" t="n"/>
      <c r="R462" s="656" t="n"/>
      <c r="S462" s="657" t="n"/>
      <c r="T462" s="43" t="inlineStr">
        <is>
          <t>кг</t>
        </is>
      </c>
      <c r="U462" s="687">
        <f>IFERROR(SUM(U459:U460),"0")</f>
        <v/>
      </c>
      <c r="V462" s="687">
        <f>IFERROR(SUM(V459:V460),"0")</f>
        <v/>
      </c>
      <c r="W462" s="43" t="n"/>
      <c r="X462" s="688" t="n"/>
      <c r="Y462" s="688" t="n"/>
    </row>
    <row r="463" ht="16.5" customHeight="1">
      <c r="A463" s="338" t="inlineStr">
        <is>
          <t>Выгодная цена</t>
        </is>
      </c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338" t="n"/>
      <c r="Y463" s="338" t="n"/>
    </row>
    <row r="464" ht="14.25" customHeight="1">
      <c r="A464" s="330" t="inlineStr">
        <is>
          <t>Копченые колбасы</t>
        </is>
      </c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330" t="n"/>
      <c r="Y464" s="330" t="n"/>
    </row>
    <row r="465" ht="27" customHeight="1">
      <c r="A465" s="64" t="inlineStr">
        <is>
          <t>SU002654</t>
        </is>
      </c>
      <c r="B465" s="64" t="inlineStr">
        <is>
          <t>P003020</t>
        </is>
      </c>
      <c r="C465" s="37" t="n">
        <v>4301031156</v>
      </c>
      <c r="D465" s="331" t="n">
        <v>4680115880856</v>
      </c>
      <c r="E465" s="648" t="n"/>
      <c r="F465" s="680" t="n">
        <v>0.7</v>
      </c>
      <c r="G465" s="38" t="n">
        <v>6</v>
      </c>
      <c r="H465" s="680" t="n">
        <v>4.2</v>
      </c>
      <c r="I465" s="680" t="n">
        <v>4.46</v>
      </c>
      <c r="J465" s="38" t="n">
        <v>156</v>
      </c>
      <c r="K465" s="39" t="inlineStr">
        <is>
          <t>СК2</t>
        </is>
      </c>
      <c r="L465" s="38" t="n">
        <v>35</v>
      </c>
      <c r="M465" s="931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5" s="682" t="n"/>
      <c r="O465" s="682" t="n"/>
      <c r="P465" s="682" t="n"/>
      <c r="Q465" s="648" t="n"/>
      <c r="R465" s="40" t="inlineStr"/>
      <c r="S465" s="40" t="inlineStr"/>
      <c r="T465" s="41" t="inlineStr">
        <is>
          <t>кг</t>
        </is>
      </c>
      <c r="U465" s="683" t="n">
        <v>0</v>
      </c>
      <c r="V465" s="684">
        <f>IFERROR(IF(U465="",0,CEILING((U465/$H465),1)*$H465),"")</f>
        <v/>
      </c>
      <c r="W465" s="42">
        <f>IFERROR(IF(V465=0,"",ROUNDUP(V465/H465,0)*0.00753),"")</f>
        <v/>
      </c>
      <c r="X465" s="69" t="inlineStr"/>
      <c r="Y465" s="70" t="inlineStr"/>
      <c r="AC465" s="71" t="n"/>
      <c r="AZ465" s="316" t="inlineStr">
        <is>
          <t>КИ</t>
        </is>
      </c>
    </row>
    <row r="466">
      <c r="A466" s="325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85" t="n"/>
      <c r="M466" s="686" t="inlineStr">
        <is>
          <t>Итого</t>
        </is>
      </c>
      <c r="N466" s="656" t="n"/>
      <c r="O466" s="656" t="n"/>
      <c r="P466" s="656" t="n"/>
      <c r="Q466" s="656" t="n"/>
      <c r="R466" s="656" t="n"/>
      <c r="S466" s="657" t="n"/>
      <c r="T466" s="43" t="inlineStr">
        <is>
          <t>кор</t>
        </is>
      </c>
      <c r="U466" s="687">
        <f>IFERROR(U465/H465,"0")</f>
        <v/>
      </c>
      <c r="V466" s="687">
        <f>IFERROR(V465/H465,"0")</f>
        <v/>
      </c>
      <c r="W466" s="687">
        <f>IFERROR(IF(W465="",0,W465),"0")</f>
        <v/>
      </c>
      <c r="X466" s="688" t="n"/>
      <c r="Y466" s="68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85" t="n"/>
      <c r="M467" s="686" t="inlineStr">
        <is>
          <t>Итого</t>
        </is>
      </c>
      <c r="N467" s="656" t="n"/>
      <c r="O467" s="656" t="n"/>
      <c r="P467" s="656" t="n"/>
      <c r="Q467" s="656" t="n"/>
      <c r="R467" s="656" t="n"/>
      <c r="S467" s="657" t="n"/>
      <c r="T467" s="43" t="inlineStr">
        <is>
          <t>кг</t>
        </is>
      </c>
      <c r="U467" s="687">
        <f>IFERROR(SUM(U465:U465),"0")</f>
        <v/>
      </c>
      <c r="V467" s="687">
        <f>IFERROR(SUM(V465:V465),"0")</f>
        <v/>
      </c>
      <c r="W467" s="43" t="n"/>
      <c r="X467" s="688" t="n"/>
      <c r="Y467" s="688" t="n"/>
    </row>
    <row r="468" ht="14.25" customHeight="1">
      <c r="A468" s="330" t="inlineStr">
        <is>
          <t>Сосиски</t>
        </is>
      </c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330" t="n"/>
      <c r="Y468" s="330" t="n"/>
    </row>
    <row r="469" ht="16.5" customHeight="1">
      <c r="A469" s="64" t="inlineStr">
        <is>
          <t>SU002655</t>
        </is>
      </c>
      <c r="B469" s="64" t="inlineStr">
        <is>
          <t>P003022</t>
        </is>
      </c>
      <c r="C469" s="37" t="n">
        <v>4301051310</v>
      </c>
      <c r="D469" s="331" t="n">
        <v>4680115880870</v>
      </c>
      <c r="E469" s="648" t="n"/>
      <c r="F469" s="680" t="n">
        <v>1.3</v>
      </c>
      <c r="G469" s="38" t="n">
        <v>6</v>
      </c>
      <c r="H469" s="680" t="n">
        <v>7.8</v>
      </c>
      <c r="I469" s="680" t="n">
        <v>8.364000000000001</v>
      </c>
      <c r="J469" s="38" t="n">
        <v>56</v>
      </c>
      <c r="K469" s="39" t="inlineStr">
        <is>
          <t>СК3</t>
        </is>
      </c>
      <c r="L469" s="38" t="n">
        <v>40</v>
      </c>
      <c r="M469" s="932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9" s="682" t="n"/>
      <c r="O469" s="682" t="n"/>
      <c r="P469" s="682" t="n"/>
      <c r="Q469" s="648" t="n"/>
      <c r="R469" s="40" t="inlineStr"/>
      <c r="S469" s="40" t="inlineStr"/>
      <c r="T469" s="41" t="inlineStr">
        <is>
          <t>кг</t>
        </is>
      </c>
      <c r="U469" s="683" t="n">
        <v>0</v>
      </c>
      <c r="V469" s="684">
        <f>IFERROR(IF(U469="",0,CEILING((U469/$H469),1)*$H469),"")</f>
        <v/>
      </c>
      <c r="W469" s="42">
        <f>IFERROR(IF(V469=0,"",ROUNDUP(V469/H469,0)*0.02175),"")</f>
        <v/>
      </c>
      <c r="X469" s="69" t="inlineStr"/>
      <c r="Y469" s="70" t="inlineStr"/>
      <c r="AC469" s="71" t="n"/>
      <c r="AZ469" s="317" t="inlineStr">
        <is>
          <t>КИ</t>
        </is>
      </c>
    </row>
    <row r="470">
      <c r="A470" s="325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85" t="n"/>
      <c r="M470" s="686" t="inlineStr">
        <is>
          <t>Итого</t>
        </is>
      </c>
      <c r="N470" s="656" t="n"/>
      <c r="O470" s="656" t="n"/>
      <c r="P470" s="656" t="n"/>
      <c r="Q470" s="656" t="n"/>
      <c r="R470" s="656" t="n"/>
      <c r="S470" s="657" t="n"/>
      <c r="T470" s="43" t="inlineStr">
        <is>
          <t>кор</t>
        </is>
      </c>
      <c r="U470" s="687">
        <f>IFERROR(U469/H469,"0")</f>
        <v/>
      </c>
      <c r="V470" s="687">
        <f>IFERROR(V469/H469,"0")</f>
        <v/>
      </c>
      <c r="W470" s="687">
        <f>IFERROR(IF(W469="",0,W469),"0")</f>
        <v/>
      </c>
      <c r="X470" s="688" t="n"/>
      <c r="Y470" s="688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85" t="n"/>
      <c r="M471" s="686" t="inlineStr">
        <is>
          <t>Итого</t>
        </is>
      </c>
      <c r="N471" s="656" t="n"/>
      <c r="O471" s="656" t="n"/>
      <c r="P471" s="656" t="n"/>
      <c r="Q471" s="656" t="n"/>
      <c r="R471" s="656" t="n"/>
      <c r="S471" s="657" t="n"/>
      <c r="T471" s="43" t="inlineStr">
        <is>
          <t>кг</t>
        </is>
      </c>
      <c r="U471" s="687">
        <f>IFERROR(SUM(U469:U469),"0")</f>
        <v/>
      </c>
      <c r="V471" s="687">
        <f>IFERROR(SUM(V469:V469),"0")</f>
        <v/>
      </c>
      <c r="W471" s="43" t="n"/>
      <c r="X471" s="688" t="n"/>
      <c r="Y471" s="688" t="n"/>
    </row>
    <row r="472" ht="15" customHeight="1">
      <c r="A472" s="329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45" t="n"/>
      <c r="M472" s="933" t="inlineStr">
        <is>
          <t>ИТОГО НЕТТО</t>
        </is>
      </c>
      <c r="N472" s="639" t="n"/>
      <c r="O472" s="639" t="n"/>
      <c r="P472" s="639" t="n"/>
      <c r="Q472" s="639" t="n"/>
      <c r="R472" s="639" t="n"/>
      <c r="S472" s="640" t="n"/>
      <c r="T472" s="43" t="inlineStr">
        <is>
          <t>кг</t>
        </is>
      </c>
      <c r="U472" s="687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/>
      </c>
      <c r="V472" s="687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/>
      </c>
      <c r="W472" s="43" t="n"/>
      <c r="X472" s="688" t="n"/>
      <c r="Y472" s="688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45" t="n"/>
      <c r="M473" s="933" t="inlineStr">
        <is>
          <t>ИТОГО БРУТТО</t>
        </is>
      </c>
      <c r="N473" s="639" t="n"/>
      <c r="O473" s="639" t="n"/>
      <c r="P473" s="639" t="n"/>
      <c r="Q473" s="639" t="n"/>
      <c r="R473" s="639" t="n"/>
      <c r="S473" s="640" t="n"/>
      <c r="T473" s="43" t="inlineStr">
        <is>
          <t>кг</t>
        </is>
      </c>
      <c r="U473" s="687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/>
      </c>
      <c r="V473" s="68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/>
      </c>
      <c r="W473" s="43" t="n"/>
      <c r="X473" s="688" t="n"/>
      <c r="Y473" s="688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45" t="n"/>
      <c r="M474" s="933" t="inlineStr">
        <is>
          <t>Кол-во паллет</t>
        </is>
      </c>
      <c r="N474" s="639" t="n"/>
      <c r="O474" s="639" t="n"/>
      <c r="P474" s="639" t="n"/>
      <c r="Q474" s="639" t="n"/>
      <c r="R474" s="639" t="n"/>
      <c r="S474" s="640" t="n"/>
      <c r="T474" s="43" t="inlineStr">
        <is>
          <t>шт</t>
        </is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/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/>
      </c>
      <c r="W474" s="43" t="n"/>
      <c r="X474" s="688" t="n"/>
      <c r="Y474" s="688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645" t="n"/>
      <c r="M475" s="933" t="inlineStr">
        <is>
          <t>Вес брутто  с паллетами</t>
        </is>
      </c>
      <c r="N475" s="639" t="n"/>
      <c r="O475" s="639" t="n"/>
      <c r="P475" s="639" t="n"/>
      <c r="Q475" s="639" t="n"/>
      <c r="R475" s="639" t="n"/>
      <c r="S475" s="640" t="n"/>
      <c r="T475" s="43" t="inlineStr">
        <is>
          <t>кг</t>
        </is>
      </c>
      <c r="U475" s="687">
        <f>GrossWeightTotal+PalletQtyTotal*25</f>
        <v/>
      </c>
      <c r="V475" s="687">
        <f>GrossWeightTotalR+PalletQtyTotalR*25</f>
        <v/>
      </c>
      <c r="W475" s="43" t="n"/>
      <c r="X475" s="688" t="n"/>
      <c r="Y475" s="688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645" t="n"/>
      <c r="M476" s="933" t="inlineStr">
        <is>
          <t>Кол-во коробок</t>
        </is>
      </c>
      <c r="N476" s="639" t="n"/>
      <c r="O476" s="639" t="n"/>
      <c r="P476" s="639" t="n"/>
      <c r="Q476" s="639" t="n"/>
      <c r="R476" s="639" t="n"/>
      <c r="S476" s="640" t="n"/>
      <c r="T476" s="43" t="inlineStr">
        <is>
          <t>шт</t>
        </is>
      </c>
      <c r="U476" s="687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/>
      </c>
      <c r="V476" s="687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/>
      </c>
      <c r="W476" s="43" t="n"/>
      <c r="X476" s="688" t="n"/>
      <c r="Y476" s="688" t="n"/>
    </row>
    <row r="477" ht="14.25" customHeight="1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645" t="n"/>
      <c r="M477" s="933" t="inlineStr">
        <is>
          <t>Объем заказа</t>
        </is>
      </c>
      <c r="N477" s="639" t="n"/>
      <c r="O477" s="639" t="n"/>
      <c r="P477" s="639" t="n"/>
      <c r="Q477" s="639" t="n"/>
      <c r="R477" s="639" t="n"/>
      <c r="S477" s="640" t="n"/>
      <c r="T477" s="46" t="inlineStr">
        <is>
          <t>м3</t>
        </is>
      </c>
      <c r="U477" s="43" t="n"/>
      <c r="V477" s="43" t="n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/>
      </c>
      <c r="X477" s="688" t="n"/>
      <c r="Y477" s="688" t="n"/>
    </row>
    <row r="478" ht="13.5" customHeight="1" thickBot="1"/>
    <row r="479" ht="27" customHeight="1" thickBot="1" thickTop="1">
      <c r="A479" s="47" t="inlineStr">
        <is>
          <t>ТОРГОВАЯ МАРКА</t>
        </is>
      </c>
      <c r="B479" s="318" t="inlineStr">
        <is>
          <t>Ядрена копоть</t>
        </is>
      </c>
      <c r="C479" s="318" t="inlineStr">
        <is>
          <t>Вязанка</t>
        </is>
      </c>
      <c r="D479" s="934" t="n"/>
      <c r="E479" s="934" t="n"/>
      <c r="F479" s="935" t="n"/>
      <c r="G479" s="318" t="inlineStr">
        <is>
          <t>Стародворье</t>
        </is>
      </c>
      <c r="H479" s="934" t="n"/>
      <c r="I479" s="934" t="n"/>
      <c r="J479" s="934" t="n"/>
      <c r="K479" s="934" t="n"/>
      <c r="L479" s="935" t="n"/>
      <c r="M479" s="318" t="inlineStr">
        <is>
          <t>Особый рецепт</t>
        </is>
      </c>
      <c r="N479" s="935" t="n"/>
      <c r="O479" s="318" t="inlineStr">
        <is>
          <t>Баварушка</t>
        </is>
      </c>
      <c r="P479" s="935" t="n"/>
      <c r="Q479" s="318" t="inlineStr">
        <is>
          <t>Дугушка</t>
        </is>
      </c>
      <c r="R479" s="318" t="inlineStr">
        <is>
          <t>Зареченские</t>
        </is>
      </c>
      <c r="S479" s="935" t="n"/>
      <c r="T479" s="1" t="n"/>
      <c r="Y479" s="61" t="n"/>
      <c r="AB479" s="1" t="n"/>
    </row>
    <row r="480" ht="14.25" customHeight="1" thickTop="1">
      <c r="A480" s="319" t="inlineStr">
        <is>
          <t>СЕРИЯ</t>
        </is>
      </c>
      <c r="B480" s="318" t="inlineStr">
        <is>
          <t>Ядрена копоть</t>
        </is>
      </c>
      <c r="C480" s="318" t="inlineStr">
        <is>
          <t>Столичная</t>
        </is>
      </c>
      <c r="D480" s="318" t="inlineStr">
        <is>
          <t>Классическая</t>
        </is>
      </c>
      <c r="E480" s="318" t="inlineStr">
        <is>
          <t>Вязанка</t>
        </is>
      </c>
      <c r="F480" s="318" t="inlineStr">
        <is>
          <t>Сливушки</t>
        </is>
      </c>
      <c r="G480" s="318" t="inlineStr">
        <is>
          <t>Золоченная в печи</t>
        </is>
      </c>
      <c r="H480" s="318" t="inlineStr">
        <is>
          <t>Мясорубская</t>
        </is>
      </c>
      <c r="I480" s="318" t="inlineStr">
        <is>
          <t>Сочинка</t>
        </is>
      </c>
      <c r="J480" s="318" t="inlineStr">
        <is>
          <t>Бордо</t>
        </is>
      </c>
      <c r="K480" s="318" t="inlineStr">
        <is>
          <t>Фирменная</t>
        </is>
      </c>
      <c r="L480" s="318" t="inlineStr">
        <is>
          <t>Бавария</t>
        </is>
      </c>
      <c r="M480" s="318" t="inlineStr">
        <is>
          <t>Особая</t>
        </is>
      </c>
      <c r="N480" s="318" t="inlineStr">
        <is>
          <t>Особая Без свинины</t>
        </is>
      </c>
      <c r="O480" s="318" t="inlineStr">
        <is>
          <t>Филейбургская</t>
        </is>
      </c>
      <c r="P480" s="318" t="inlineStr">
        <is>
          <t>Балыкбургская</t>
        </is>
      </c>
      <c r="Q480" s="318" t="inlineStr">
        <is>
          <t>Дугушка</t>
        </is>
      </c>
      <c r="R480" s="318" t="inlineStr">
        <is>
          <t>Зареченские продукты</t>
        </is>
      </c>
      <c r="S480" s="318" t="inlineStr">
        <is>
          <t>Выгодная цена</t>
        </is>
      </c>
      <c r="T480" s="1" t="n"/>
      <c r="Y480" s="61" t="n"/>
      <c r="AB480" s="1" t="n"/>
    </row>
    <row r="481" ht="13.5" customHeight="1" thickBot="1">
      <c r="A481" s="936" t="n"/>
      <c r="B481" s="937" t="n"/>
      <c r="C481" s="937" t="n"/>
      <c r="D481" s="937" t="n"/>
      <c r="E481" s="937" t="n"/>
      <c r="F481" s="937" t="n"/>
      <c r="G481" s="937" t="n"/>
      <c r="H481" s="937" t="n"/>
      <c r="I481" s="937" t="n"/>
      <c r="J481" s="937" t="n"/>
      <c r="K481" s="937" t="n"/>
      <c r="L481" s="937" t="n"/>
      <c r="M481" s="937" t="n"/>
      <c r="N481" s="937" t="n"/>
      <c r="O481" s="937" t="n"/>
      <c r="P481" s="937" t="n"/>
      <c r="Q481" s="937" t="n"/>
      <c r="R481" s="937" t="n"/>
      <c r="S481" s="937" t="n"/>
      <c r="T481" s="1" t="n"/>
      <c r="Y481" s="61" t="n"/>
      <c r="AB481" s="1" t="n"/>
    </row>
    <row r="482" ht="18" customHeight="1" thickBot="1" thickTop="1">
      <c r="A482" s="47" t="inlineStr">
        <is>
          <t>ИТОГО, кг</t>
        </is>
      </c>
      <c r="B482" s="53">
        <f>IFERROR(V22*1,"0")+IFERROR(V26*1,"0")+IFERROR(V27*1,"0")+IFERROR(V28*1,"0")+IFERROR(V29*1,"0")+IFERROR(V30*1,"0")+IFERROR(V31*1,"0")+IFERROR(V35*1,"0")+IFERROR(V39*1,"0")+IFERROR(V43*1,"0")</f>
        <v/>
      </c>
      <c r="C482" s="53">
        <f>IFERROR(V49*1,"0")+IFERROR(V50*1,"0")</f>
        <v/>
      </c>
      <c r="D482" s="53">
        <f>IFERROR(V55*1,"0")+IFERROR(V56*1,"0")+IFERROR(V57*1,"0")+IFERROR(V58*1,"0")</f>
        <v/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/>
      </c>
      <c r="F482" s="53">
        <f>IFERROR(V127*1,"0")+IFERROR(V128*1,"0")+IFERROR(V129*1,"0")+IFERROR(V130*1,"0")</f>
        <v/>
      </c>
      <c r="G482" s="53">
        <f>IFERROR(V136*1,"0")+IFERROR(V137*1,"0")+IFERROR(V138*1,"0")</f>
        <v/>
      </c>
      <c r="H482" s="53">
        <f>IFERROR(V143*1,"0")+IFERROR(V144*1,"0")+IFERROR(V145*1,"0")+IFERROR(V146*1,"0")+IFERROR(V147*1,"0")+IFERROR(V148*1,"0")+IFERROR(V149*1,"0")+IFERROR(V150*1,"0")</f>
        <v/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/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/>
      </c>
      <c r="K482" s="53">
        <f>IFERROR(V256*1,"0")+IFERROR(V257*1,"0")+IFERROR(V258*1,"0")+IFERROR(V259*1,"0")+IFERROR(V260*1,"0")+IFERROR(V261*1,"0")+IFERROR(V262*1,"0")+IFERROR(V266*1,"0")+IFERROR(V267*1,"0")</f>
        <v/>
      </c>
      <c r="L482" s="53">
        <f>IFERROR(V272*1,"0")+IFERROR(V276*1,"0")+IFERROR(V277*1,"0")+IFERROR(V278*1,"0")+IFERROR(V282*1,"0")+IFERROR(V286*1,"0")</f>
        <v/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/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82" s="53">
        <f>IFERROR(V443*1,"0")+IFERROR(V444*1,"0")+IFERROR(V448*1,"0")+IFERROR(V449*1,"0")+IFERROR(V450*1,"0")+IFERROR(V454*1,"0")+IFERROR(V455*1,"0")+IFERROR(V459*1,"0")+IFERROR(V460*1,"0")</f>
        <v/>
      </c>
      <c r="S482" s="53">
        <f>IFERROR(V465*1,"0")+IFERROR(V469*1,"0")</f>
        <v/>
      </c>
      <c r="T482" s="1" t="n"/>
      <c r="Y482" s="61" t="n"/>
      <c r="AB482" s="1" t="n"/>
    </row>
    <row r="4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zcCxD6Yaapmlp/D5v+QXQ==" formatRows="1" sort="0" spinCount="100000" hashValue="DU/x1pHGXDHyFdRs68Rt+Lf1m2EJ6j3YTuP6b/RywGCVrThsW8rnz+81946kTVv+b0eyseSKrX5dClcqh7RbI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JfRbrBzSDgd4Fc47JT6Iw==" formatRows="1" sort="0" spinCount="100000" hashValue="O82BXejj8WegQNMzAlRa7e6t75JQJKiogrqDLBqTmQ9XJQYKtgpw+dKK9EllYrNXFifuRCHzHNM2/A7ufDFo4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2023-10-13T08:40:58Z</dcterms:modified>
  <cp:lastModifiedBy>Admin</cp:lastModifiedBy>
</cp:coreProperties>
</file>