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810" windowHeight="13950" tabRatio="50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заказа'!$S$12</definedName>
    <definedName name="DeliveryConditionsList">Setting!$B$10:$B$20</definedName>
    <definedName name="DeliveryDate">'Бланк заказа'!$N$9</definedName>
    <definedName name="DeliveryMethodList">Setting!$B$3:$B$4</definedName>
    <definedName name="DeliveryNumAdressList">Setting!$D$6:$D$6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заказа'!$U$251:$U$251</definedName>
    <definedName name="GrossWeightTotalR">'Бланк заказа'!$V$251:$V$251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Setting!$B$9:$B$10</definedName>
    <definedName name="PalletQtyTotal">'Бланк заказа'!$U$252:$U$252</definedName>
    <definedName name="PalletQtyTotalR">'Бланк заказа'!$V$252:$V$252</definedName>
    <definedName name="PassportProxy">'Бланк заказа'!$J$9:$K$9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заказа'!$B$57:$B$57</definedName>
    <definedName name="ProductId2">'Бланк заказа'!$B$28:$B$28</definedName>
    <definedName name="ProductId20">'Бланк заказа'!$B$62:$B$62</definedName>
    <definedName name="ProductId21">'Бланк заказа'!$B$63:$B$63</definedName>
    <definedName name="ProductId22">'Бланк заказа'!$B$68:$B$68</definedName>
    <definedName name="ProductId23">'Бланк заказа'!$B$73:$B$73</definedName>
    <definedName name="ProductId24">'Бланк заказа'!$B$74:$B$74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заказа'!$B$85:$B$85</definedName>
    <definedName name="ProductId32">'Бланк заказа'!$B$90:$B$90</definedName>
    <definedName name="ProductId33">'Бланк заказа'!$B$91:$B$91</definedName>
    <definedName name="ProductId34">'Бланк заказа'!$B$92:$B$92</definedName>
    <definedName name="ProductId35">'Бланк заказа'!$B$97:$B$97</definedName>
    <definedName name="ProductId36">'Бланк заказа'!$B$98:$B$98</definedName>
    <definedName name="ProductId37">'Бланк заказа'!$B$99:$B$99</definedName>
    <definedName name="ProductId38">'Бланк заказа'!$B$100:$B$100</definedName>
    <definedName name="ProductId39">'Бланк заказа'!$B$105:$B$105</definedName>
    <definedName name="ProductId4">'Бланк заказа'!$B$30:$B$30</definedName>
    <definedName name="ProductId40">'Бланк заказа'!$B$106:$B$106</definedName>
    <definedName name="ProductId41">'Бланк заказа'!$B$111:$B$111</definedName>
    <definedName name="ProductId42">'Бланк заказа'!$B$116:$B$116</definedName>
    <definedName name="ProductId43">'Бланк заказа'!$B$117:$B$117</definedName>
    <definedName name="ProductId44">'Бланк заказа'!$B$118:$B$118</definedName>
    <definedName name="ProductId45">'Бланк заказа'!$B$119:$B$119</definedName>
    <definedName name="ProductId46">'Бланк заказа'!$B$124:$B$124</definedName>
    <definedName name="ProductId47">'Бланк заказа'!$B$129:$B$129</definedName>
    <definedName name="ProductId48">'Бланк заказа'!$B$130:$B$130</definedName>
    <definedName name="ProductId49">'Бланк заказа'!$B$135:$B$135</definedName>
    <definedName name="ProductId5">'Бланк заказа'!$B$31:$B$31</definedName>
    <definedName name="ProductId50">'Бланк заказа'!$B$141:$B$141</definedName>
    <definedName name="ProductId51">'Бланк заказа'!$B$145:$B$145</definedName>
    <definedName name="ProductId52">'Бланк заказа'!$B$149:$B$149</definedName>
    <definedName name="ProductId53">'Бланк заказа'!$B$150:$B$150</definedName>
    <definedName name="ProductId54">'Бланк заказа'!$B$151:$B$151</definedName>
    <definedName name="ProductId55">'Бланк заказа'!$B$152:$B$152</definedName>
    <definedName name="ProductId56">'Бланк заказа'!$B$156:$B$156</definedName>
    <definedName name="ProductId57">'Бланк заказа'!$B$157:$B$157</definedName>
    <definedName name="ProductId58">'Бланк заказа'!$B$158:$B$158</definedName>
    <definedName name="ProductId59">'Бланк заказа'!$B$159:$B$159</definedName>
    <definedName name="ProductId6">'Бланк заказа'!$B$36:$B$36</definedName>
    <definedName name="ProductId60">'Бланк заказа'!$B$160:$B$160</definedName>
    <definedName name="ProductId61">'Бланк заказа'!$B$161:$B$161</definedName>
    <definedName name="ProductId62">'Бланк заказа'!$B$162:$B$162</definedName>
    <definedName name="ProductId63">'Бланк заказа'!$B$163:$B$163</definedName>
    <definedName name="ProductId64">'Бланк заказа'!$B$164:$B$164</definedName>
    <definedName name="ProductId65">'Бланк заказа'!$B$165:$B$165</definedName>
    <definedName name="ProductId66">'Бланк заказа'!$B$170:$B$170</definedName>
    <definedName name="ProductId67">'Бланк заказа'!$B$175:$B$175</definedName>
    <definedName name="ProductId68">'Бланк заказа'!$B$176:$B$176</definedName>
    <definedName name="ProductId69">'Бланк заказа'!$B$177:$B$177</definedName>
    <definedName name="ProductId7">'Бланк заказа'!$B$37:$B$37</definedName>
    <definedName name="ProductId70">'Бланк заказа'!$B$178:$B$178</definedName>
    <definedName name="ProductId71">'Бланк заказа'!$B$182:$B$182</definedName>
    <definedName name="ProductId72">'Бланк заказа'!$B$183:$B$183</definedName>
    <definedName name="ProductId73">'Бланк заказа'!$B$189:$B$189</definedName>
    <definedName name="ProductId74">'Бланк заказа'!$B$190:$B$190</definedName>
    <definedName name="ProductId75">'Бланк заказа'!$B$195:$B$195</definedName>
    <definedName name="ProductId76">'Бланк заказа'!$B$200:$B$200</definedName>
    <definedName name="ProductId77">'Бланк заказа'!$B$206:$B$206</definedName>
    <definedName name="ProductId78">'Бланк заказа'!$B$211:$B$211</definedName>
    <definedName name="ProductId79">'Бланк заказа'!$B$216:$B$216</definedName>
    <definedName name="ProductId8">'Бланк заказа'!$B$38:$B$38</definedName>
    <definedName name="ProductId80">'Бланк заказа'!$B$217:$B$217</definedName>
    <definedName name="ProductId81">'Бланк заказа'!$B$218:$B$218</definedName>
    <definedName name="ProductId82">'Бланк заказа'!$B$219:$B$219</definedName>
    <definedName name="ProductId83">'Бланк заказа'!$B$224:$B$224</definedName>
    <definedName name="ProductId84">'Бланк заказа'!$B$229:$B$229</definedName>
    <definedName name="ProductId85">'Бланк заказа'!$B$230:$B$230</definedName>
    <definedName name="ProductId86">'Бланк заказа'!$B$236:$B$236</definedName>
    <definedName name="ProductId87">'Бланк заказа'!$B$242:$B$242</definedName>
    <definedName name="ProductId88">'Бланк заказа'!$B$247:$B$247</definedName>
    <definedName name="ProductId9">'Бланк заказа'!$B$39:$B$39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заказа'!$U$22:$U$22</definedName>
    <definedName name="SalesQty10">'Бланк заказа'!$U$44:$U$44</definedName>
    <definedName name="SalesQty11">'Бланк заказа'!$U$45:$U$45</definedName>
    <definedName name="SalesQty12">'Бланк заказа'!$U$50:$U$50</definedName>
    <definedName name="SalesQty13">'Бланк заказа'!$U$51:$U$51</definedName>
    <definedName name="SalesQty14">'Бланк заказа'!$U$52:$U$52</definedName>
    <definedName name="SalesQty15">'Бланк заказа'!$U$53:$U$53</definedName>
    <definedName name="SalesQty16">'Бланк заказа'!$U$54:$U$54</definedName>
    <definedName name="SalesQty17">'Бланк заказа'!$U$55:$U$55</definedName>
    <definedName name="SalesQty18">'Бланк заказа'!$U$56:$U$56</definedName>
    <definedName name="SalesQty19">'Бланк заказа'!$U$57:$U$57</definedName>
    <definedName name="SalesQty2">'Бланк заказа'!$U$28:$U$28</definedName>
    <definedName name="SalesQty20">'Бланк заказа'!$U$62:$U$62</definedName>
    <definedName name="SalesQty21">'Бланк заказа'!$U$63:$U$63</definedName>
    <definedName name="SalesQty22">'Бланк заказа'!$U$68:$U$68</definedName>
    <definedName name="SalesQty23">'Бланк заказа'!$U$73:$U$73</definedName>
    <definedName name="SalesQty24">'Бланк заказа'!$U$74:$U$74</definedName>
    <definedName name="SalesQty25">'Бланк заказа'!$U$79:$U$79</definedName>
    <definedName name="SalesQty26">'Бланк заказа'!$U$80:$U$80</definedName>
    <definedName name="SalesQty27">'Бланк заказа'!$U$81:$U$81</definedName>
    <definedName name="SalesQty28">'Бланк заказа'!$U$82:$U$82</definedName>
    <definedName name="SalesQty29">'Бланк заказа'!$U$83:$U$83</definedName>
    <definedName name="SalesQty3">'Бланк заказа'!$U$29:$U$29</definedName>
    <definedName name="SalesQty30">'Бланк заказа'!$U$84:$U$84</definedName>
    <definedName name="SalesQty31">'Бланк заказа'!$U$85:$U$85</definedName>
    <definedName name="SalesQty32">'Бланк заказа'!$U$90:$U$90</definedName>
    <definedName name="SalesQty33">'Бланк заказа'!$U$91:$U$91</definedName>
    <definedName name="SalesQty34">'Бланк заказа'!$U$92:$U$92</definedName>
    <definedName name="SalesQty35">'Бланк заказа'!$U$97:$U$97</definedName>
    <definedName name="SalesQty36">'Бланк заказа'!$U$98:$U$98</definedName>
    <definedName name="SalesQty37">'Бланк заказа'!$U$99:$U$99</definedName>
    <definedName name="SalesQty38">'Бланк заказа'!$U$100:$U$100</definedName>
    <definedName name="SalesQty39">'Бланк заказа'!$U$105:$U$105</definedName>
    <definedName name="SalesQty4">'Бланк заказа'!$U$30:$U$30</definedName>
    <definedName name="SalesQty40">'Бланк заказа'!$U$106:$U$106</definedName>
    <definedName name="SalesQty41">'Бланк заказа'!$U$111:$U$111</definedName>
    <definedName name="SalesQty42">'Бланк заказа'!$U$116:$U$116</definedName>
    <definedName name="SalesQty43">'Бланк заказа'!$U$117:$U$117</definedName>
    <definedName name="SalesQty44">'Бланк заказа'!$U$118:$U$118</definedName>
    <definedName name="SalesQty45">'Бланк заказа'!$U$119:$U$119</definedName>
    <definedName name="SalesQty46">'Бланк заказа'!$U$124:$U$124</definedName>
    <definedName name="SalesQty47">'Бланк заказа'!$U$129:$U$129</definedName>
    <definedName name="SalesQty48">'Бланк заказа'!$U$130:$U$130</definedName>
    <definedName name="SalesQty49">'Бланк заказа'!$U$135:$U$135</definedName>
    <definedName name="SalesQty5">'Бланк заказа'!$U$31:$U$31</definedName>
    <definedName name="SalesQty50">'Бланк заказа'!$U$141:$U$141</definedName>
    <definedName name="SalesQty51">'Бланк заказа'!$U$145:$U$145</definedName>
    <definedName name="SalesQty52">'Бланк заказа'!$U$149:$U$149</definedName>
    <definedName name="SalesQty53">'Бланк заказа'!$U$150:$U$150</definedName>
    <definedName name="SalesQty54">'Бланк заказа'!$U$151:$U$151</definedName>
    <definedName name="SalesQty55">'Бланк заказа'!$U$152:$U$152</definedName>
    <definedName name="SalesQty56">'Бланк заказа'!$U$156:$U$156</definedName>
    <definedName name="SalesQty57">'Бланк заказа'!$U$157:$U$157</definedName>
    <definedName name="SalesQty58">'Бланк заказа'!$U$158:$U$158</definedName>
    <definedName name="SalesQty59">'Бланк заказа'!$U$159:$U$159</definedName>
    <definedName name="SalesQty6">'Бланк заказа'!$U$36:$U$36</definedName>
    <definedName name="SalesQty60">'Бланк заказа'!$U$160:$U$160</definedName>
    <definedName name="SalesQty61">'Бланк заказа'!$U$161:$U$161</definedName>
    <definedName name="SalesQty62">'Бланк заказа'!$U$162:$U$162</definedName>
    <definedName name="SalesQty63">'Бланк заказа'!$U$163:$U$163</definedName>
    <definedName name="SalesQty64">'Бланк заказа'!$U$164:$U$164</definedName>
    <definedName name="SalesQty65">'Бланк заказа'!$U$165:$U$165</definedName>
    <definedName name="SalesQty66">'Бланк заказа'!$U$170:$U$170</definedName>
    <definedName name="SalesQty67">'Бланк заказа'!$U$175:$U$175</definedName>
    <definedName name="SalesQty68">'Бланк заказа'!$U$176:$U$176</definedName>
    <definedName name="SalesQty69">'Бланк заказа'!$U$177:$U$177</definedName>
    <definedName name="SalesQty7">'Бланк заказа'!$U$37:$U$37</definedName>
    <definedName name="SalesQty70">'Бланк заказа'!$U$178:$U$178</definedName>
    <definedName name="SalesQty71">'Бланк заказа'!$U$182:$U$182</definedName>
    <definedName name="SalesQty72">'Бланк заказа'!$U$183:$U$183</definedName>
    <definedName name="SalesQty73">'Бланк заказа'!$U$189:$U$189</definedName>
    <definedName name="SalesQty74">'Бланк заказа'!$U$190:$U$190</definedName>
    <definedName name="SalesQty75">'Бланк заказа'!$U$195:$U$195</definedName>
    <definedName name="SalesQty76">'Бланк заказа'!$U$200:$U$200</definedName>
    <definedName name="SalesQty77">'Бланк заказа'!$U$206:$U$206</definedName>
    <definedName name="SalesQty78">'Бланк заказа'!$U$211:$U$211</definedName>
    <definedName name="SalesQty79">'Бланк заказа'!$U$216:$U$216</definedName>
    <definedName name="SalesQty8">'Бланк заказа'!$U$38:$U$38</definedName>
    <definedName name="SalesQty80">'Бланк заказа'!$U$217:$U$217</definedName>
    <definedName name="SalesQty81">'Бланк заказа'!$U$218:$U$218</definedName>
    <definedName name="SalesQty82">'Бланк заказа'!$U$219:$U$219</definedName>
    <definedName name="SalesQty83">'Бланк заказа'!$U$224:$U$224</definedName>
    <definedName name="SalesQty84">'Бланк заказа'!$U$229:$U$229</definedName>
    <definedName name="SalesQty85">'Бланк заказа'!$U$230:$U$230</definedName>
    <definedName name="SalesQty86">'Бланк заказа'!$U$236:$U$236</definedName>
    <definedName name="SalesQty87">'Бланк заказа'!$U$242:$U$242</definedName>
    <definedName name="SalesQty88">'Бланк заказа'!$U$247:$U$247</definedName>
    <definedName name="SalesQty9">'Бланк заказа'!$U$39:$U$39</definedName>
    <definedName name="SalesRequestType">'Бланк заказа'!$S$11</definedName>
    <definedName name="SalesRoundBox1">'Бланк заказа'!$V$22:$V$22</definedName>
    <definedName name="SalesRoundBox10">'Бланк заказа'!$V$44:$V$44</definedName>
    <definedName name="SalesRoundBox11">'Бланк заказа'!$V$45:$V$45</definedName>
    <definedName name="SalesRoundBox12">'Бланк заказа'!$V$50:$V$50</definedName>
    <definedName name="SalesRoundBox13">'Бланк заказа'!$V$51:$V$51</definedName>
    <definedName name="SalesRoundBox14">'Бланк заказа'!$V$52:$V$52</definedName>
    <definedName name="SalesRoundBox15">'Бланк заказа'!$V$53:$V$53</definedName>
    <definedName name="SalesRoundBox16">'Бланк заказа'!$V$54:$V$54</definedName>
    <definedName name="SalesRoundBox17">'Бланк заказа'!$V$55:$V$55</definedName>
    <definedName name="SalesRoundBox18">'Бланк заказа'!$V$56:$V$56</definedName>
    <definedName name="SalesRoundBox19">'Бланк заказа'!$V$57:$V$57</definedName>
    <definedName name="SalesRoundBox2">'Бланк заказа'!$V$28:$V$28</definedName>
    <definedName name="SalesRoundBox20">'Бланк заказа'!$V$62:$V$62</definedName>
    <definedName name="SalesRoundBox21">'Бланк заказа'!$V$63:$V$63</definedName>
    <definedName name="SalesRoundBox22">'Бланк заказа'!$V$68:$V$68</definedName>
    <definedName name="SalesRoundBox23">'Бланк заказа'!$V$73:$V$73</definedName>
    <definedName name="SalesRoundBox24">'Бланк заказа'!$V$74:$V$74</definedName>
    <definedName name="SalesRoundBox25">'Бланк заказа'!$V$79:$V$79</definedName>
    <definedName name="SalesRoundBox26">'Бланк заказа'!$V$80:$V$80</definedName>
    <definedName name="SalesRoundBox27">'Бланк заказа'!$V$81:$V$81</definedName>
    <definedName name="SalesRoundBox28">'Бланк заказа'!$V$82:$V$82</definedName>
    <definedName name="SalesRoundBox29">'Бланк заказа'!$V$83:$V$83</definedName>
    <definedName name="SalesRoundBox3">'Бланк заказа'!$V$29:$V$29</definedName>
    <definedName name="SalesRoundBox30">'Бланк заказа'!$V$84:$V$84</definedName>
    <definedName name="SalesRoundBox31">'Бланк заказа'!$V$85:$V$85</definedName>
    <definedName name="SalesRoundBox32">'Бланк заказа'!$V$90:$V$90</definedName>
    <definedName name="SalesRoundBox33">'Бланк заказа'!$V$91:$V$91</definedName>
    <definedName name="SalesRoundBox34">'Бланк заказа'!$V$92:$V$92</definedName>
    <definedName name="SalesRoundBox35">'Бланк заказа'!$V$97:$V$97</definedName>
    <definedName name="SalesRoundBox36">'Бланк заказа'!$V$98:$V$98</definedName>
    <definedName name="SalesRoundBox37">'Бланк заказа'!$V$99:$V$99</definedName>
    <definedName name="SalesRoundBox38">'Бланк заказа'!$V$100:$V$100</definedName>
    <definedName name="SalesRoundBox39">'Бланк заказа'!$V$105:$V$105</definedName>
    <definedName name="SalesRoundBox4">'Бланк заказа'!$V$30:$V$30</definedName>
    <definedName name="SalesRoundBox40">'Бланк заказа'!$V$106:$V$106</definedName>
    <definedName name="SalesRoundBox41">'Бланк заказа'!$V$111:$V$111</definedName>
    <definedName name="SalesRoundBox42">'Бланк заказа'!$V$116:$V$116</definedName>
    <definedName name="SalesRoundBox43">'Бланк заказа'!$V$117:$V$117</definedName>
    <definedName name="SalesRoundBox44">'Бланк заказа'!$V$118:$V$118</definedName>
    <definedName name="SalesRoundBox45">'Бланк заказа'!$V$119:$V$119</definedName>
    <definedName name="SalesRoundBox46">'Бланк заказа'!$V$124:$V$124</definedName>
    <definedName name="SalesRoundBox47">'Бланк заказа'!$V$129:$V$129</definedName>
    <definedName name="SalesRoundBox48">'Бланк заказа'!$V$130:$V$130</definedName>
    <definedName name="SalesRoundBox49">'Бланк заказа'!$V$135:$V$135</definedName>
    <definedName name="SalesRoundBox5">'Бланк заказа'!$V$31:$V$31</definedName>
    <definedName name="SalesRoundBox50">'Бланк заказа'!$V$141:$V$141</definedName>
    <definedName name="SalesRoundBox51">'Бланк заказа'!$V$145:$V$145</definedName>
    <definedName name="SalesRoundBox52">'Бланк заказа'!$V$149:$V$149</definedName>
    <definedName name="SalesRoundBox53">'Бланк заказа'!$V$150:$V$150</definedName>
    <definedName name="SalesRoundBox54">'Бланк заказа'!$V$151:$V$151</definedName>
    <definedName name="SalesRoundBox55">'Бланк заказа'!$V$152:$V$152</definedName>
    <definedName name="SalesRoundBox56">'Бланк заказа'!$V$156:$V$156</definedName>
    <definedName name="SalesRoundBox57">'Бланк заказа'!$V$157:$V$157</definedName>
    <definedName name="SalesRoundBox58">'Бланк заказа'!$V$158:$V$158</definedName>
    <definedName name="SalesRoundBox59">'Бланк заказа'!$V$159:$V$159</definedName>
    <definedName name="SalesRoundBox6">'Бланк заказа'!$V$36:$V$36</definedName>
    <definedName name="SalesRoundBox60">'Бланк заказа'!$V$160:$V$160</definedName>
    <definedName name="SalesRoundBox61">'Бланк заказа'!$V$161:$V$161</definedName>
    <definedName name="SalesRoundBox62">'Бланк заказа'!$V$162:$V$162</definedName>
    <definedName name="SalesRoundBox63">'Бланк заказа'!$V$163:$V$163</definedName>
    <definedName name="SalesRoundBox64">'Бланк заказа'!$V$164:$V$164</definedName>
    <definedName name="SalesRoundBox65">'Бланк заказа'!$V$165:$V$165</definedName>
    <definedName name="SalesRoundBox66">'Бланк заказа'!$V$170:$V$170</definedName>
    <definedName name="SalesRoundBox67">'Бланк заказа'!$V$175:$V$175</definedName>
    <definedName name="SalesRoundBox68">'Бланк заказа'!$V$176:$V$176</definedName>
    <definedName name="SalesRoundBox69">'Бланк заказа'!$V$177:$V$177</definedName>
    <definedName name="SalesRoundBox7">'Бланк заказа'!$V$37:$V$37</definedName>
    <definedName name="SalesRoundBox70">'Бланк заказа'!$V$178:$V$178</definedName>
    <definedName name="SalesRoundBox71">'Бланк заказа'!$V$182:$V$182</definedName>
    <definedName name="SalesRoundBox72">'Бланк заказа'!$V$183:$V$183</definedName>
    <definedName name="SalesRoundBox73">'Бланк заказа'!$V$189:$V$189</definedName>
    <definedName name="SalesRoundBox74">'Бланк заказа'!$V$190:$V$190</definedName>
    <definedName name="SalesRoundBox75">'Бланк заказа'!$V$195:$V$195</definedName>
    <definedName name="SalesRoundBox76">'Бланк заказа'!$V$200:$V$200</definedName>
    <definedName name="SalesRoundBox77">'Бланк заказа'!$V$206:$V$206</definedName>
    <definedName name="SalesRoundBox78">'Бланк заказа'!$V$211:$V$211</definedName>
    <definedName name="SalesRoundBox79">'Бланк заказа'!$V$216:$V$216</definedName>
    <definedName name="SalesRoundBox8">'Бланк заказа'!$V$38:$V$38</definedName>
    <definedName name="SalesRoundBox80">'Бланк заказа'!$V$217:$V$217</definedName>
    <definedName name="SalesRoundBox81">'Бланк заказа'!$V$218:$V$218</definedName>
    <definedName name="SalesRoundBox82">'Бланк заказа'!$V$219:$V$219</definedName>
    <definedName name="SalesRoundBox83">'Бланк заказа'!$V$224:$V$224</definedName>
    <definedName name="SalesRoundBox84">'Бланк заказа'!$V$229:$V$229</definedName>
    <definedName name="SalesRoundBox85">'Бланк заказа'!$V$230:$V$230</definedName>
    <definedName name="SalesRoundBox86">'Бланк заказа'!$V$236:$V$236</definedName>
    <definedName name="SalesRoundBox87">'Бланк заказа'!$V$242:$V$242</definedName>
    <definedName name="SalesRoundBox88">'Бланк заказа'!$V$247:$V$247</definedName>
    <definedName name="SalesRoundBox9">'Бланк заказа'!$V$39:$V$39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заказа'!$T$44:$T$44</definedName>
    <definedName name="UnitOfMeasure11">'Бланк заказа'!$T$45:$T$45</definedName>
    <definedName name="UnitOfMeasure12">'Бланк заказа'!$T$50:$T$50</definedName>
    <definedName name="UnitOfMeasure13">'Бланк заказа'!$T$51:$T$51</definedName>
    <definedName name="UnitOfMeasure14">'Бланк заказа'!$T$52:$T$52</definedName>
    <definedName name="UnitOfMeasure15">'Бланк заказа'!$T$53:$T$53</definedName>
    <definedName name="UnitOfMeasure16">'Бланк заказа'!$T$54:$T$54</definedName>
    <definedName name="UnitOfMeasure17">'Бланк заказа'!$T$55:$T$55</definedName>
    <definedName name="UnitOfMeasure18">'Бланк заказа'!$T$56:$T$56</definedName>
    <definedName name="UnitOfMeasure19">'Бланк заказа'!$T$57:$T$57</definedName>
    <definedName name="UnitOfMeasure2">'Бланк заказа'!$T$28:$T$28</definedName>
    <definedName name="UnitOfMeasure20">'Бланк заказа'!$T$62:$T$62</definedName>
    <definedName name="UnitOfMeasure21">'Бланк заказа'!$T$63:$T$63</definedName>
    <definedName name="UnitOfMeasure22">'Бланк заказа'!$T$68:$T$68</definedName>
    <definedName name="UnitOfMeasure23">'Бланк заказа'!$T$73:$T$73</definedName>
    <definedName name="UnitOfMeasure24">'Бланк заказа'!$T$74:$T$74</definedName>
    <definedName name="UnitOfMeasure25">'Бланк заказа'!$T$79:$T$79</definedName>
    <definedName name="UnitOfMeasure26">'Бланк заказа'!$T$80:$T$80</definedName>
    <definedName name="UnitOfMeasure27">'Бланк заказа'!$T$81:$T$81</definedName>
    <definedName name="UnitOfMeasure28">'Бланк заказа'!$T$82:$T$82</definedName>
    <definedName name="UnitOfMeasure29">'Бланк заказа'!$T$83:$T$83</definedName>
    <definedName name="UnitOfMeasure3">'Бланк заказа'!$T$29:$T$29</definedName>
    <definedName name="UnitOfMeasure30">'Бланк заказа'!$T$84:$T$84</definedName>
    <definedName name="UnitOfMeasure31">'Бланк заказа'!$T$85:$T$85</definedName>
    <definedName name="UnitOfMeasure32">'Бланк заказа'!$T$90:$T$90</definedName>
    <definedName name="UnitOfMeasure33">'Бланк заказа'!$T$91:$T$91</definedName>
    <definedName name="UnitOfMeasure34">'Бланк заказа'!$T$92:$T$92</definedName>
    <definedName name="UnitOfMeasure35">'Бланк заказа'!$T$97:$T$97</definedName>
    <definedName name="UnitOfMeasure36">'Бланк заказа'!$T$98:$T$98</definedName>
    <definedName name="UnitOfMeasure37">'Бланк заказа'!$T$99:$T$99</definedName>
    <definedName name="UnitOfMeasure38">'Бланк заказа'!$T$100:$T$100</definedName>
    <definedName name="UnitOfMeasure39">'Бланк заказа'!$T$105:$T$105</definedName>
    <definedName name="UnitOfMeasure4">'Бланк заказа'!$T$30:$T$30</definedName>
    <definedName name="UnitOfMeasure40">'Бланк заказа'!$T$106:$T$106</definedName>
    <definedName name="UnitOfMeasure41">'Бланк заказа'!$T$111:$T$111</definedName>
    <definedName name="UnitOfMeasure42">'Бланк заказа'!$T$116:$T$116</definedName>
    <definedName name="UnitOfMeasure43">'Бланк заказа'!$T$117:$T$117</definedName>
    <definedName name="UnitOfMeasure44">'Бланк заказа'!$T$118:$T$118</definedName>
    <definedName name="UnitOfMeasure45">'Бланк заказа'!$T$119:$T$119</definedName>
    <definedName name="UnitOfMeasure46">'Бланк заказа'!$T$124:$T$124</definedName>
    <definedName name="UnitOfMeasure47">'Бланк заказа'!$T$129:$T$129</definedName>
    <definedName name="UnitOfMeasure48">'Бланк заказа'!$T$130:$T$130</definedName>
    <definedName name="UnitOfMeasure49">'Бланк заказа'!$T$135:$T$135</definedName>
    <definedName name="UnitOfMeasure5">'Бланк заказа'!$T$31:$T$31</definedName>
    <definedName name="UnitOfMeasure50">'Бланк заказа'!$T$141:$T$141</definedName>
    <definedName name="UnitOfMeasure51">'Бланк заказа'!$T$145:$T$145</definedName>
    <definedName name="UnitOfMeasure52">'Бланк заказа'!$T$149:$T$149</definedName>
    <definedName name="UnitOfMeasure53">'Бланк заказа'!$T$150:$T$150</definedName>
    <definedName name="UnitOfMeasure54">'Бланк заказа'!$T$151:$T$151</definedName>
    <definedName name="UnitOfMeasure55">'Бланк заказа'!$T$152:$T$152</definedName>
    <definedName name="UnitOfMeasure56">'Бланк заказа'!$T$156:$T$156</definedName>
    <definedName name="UnitOfMeasure57">'Бланк заказа'!$T$157:$T$157</definedName>
    <definedName name="UnitOfMeasure58">'Бланк заказа'!$T$158:$T$158</definedName>
    <definedName name="UnitOfMeasure59">'Бланк заказа'!$T$159:$T$159</definedName>
    <definedName name="UnitOfMeasure6">'Бланк заказа'!$T$36:$T$36</definedName>
    <definedName name="UnitOfMeasure60">'Бланк заказа'!$T$160:$T$160</definedName>
    <definedName name="UnitOfMeasure61">'Бланк заказа'!$T$161:$T$161</definedName>
    <definedName name="UnitOfMeasure62">'Бланк заказа'!$T$162:$T$162</definedName>
    <definedName name="UnitOfMeasure63">'Бланк заказа'!$T$163:$T$163</definedName>
    <definedName name="UnitOfMeasure64">'Бланк заказа'!$T$164:$T$164</definedName>
    <definedName name="UnitOfMeasure65">'Бланк заказа'!$T$165:$T$165</definedName>
    <definedName name="UnitOfMeasure66">'Бланк заказа'!$T$170:$T$170</definedName>
    <definedName name="UnitOfMeasure67">'Бланк заказа'!$T$175:$T$175</definedName>
    <definedName name="UnitOfMeasure68">'Бланк заказа'!$T$176:$T$176</definedName>
    <definedName name="UnitOfMeasure69">'Бланк заказа'!$T$177:$T$177</definedName>
    <definedName name="UnitOfMeasure7">'Бланк заказа'!$T$37:$T$37</definedName>
    <definedName name="UnitOfMeasure70">'Бланк заказа'!$T$178:$T$178</definedName>
    <definedName name="UnitOfMeasure71">'Бланк заказа'!$T$182:$T$182</definedName>
    <definedName name="UnitOfMeasure72">'Бланк заказа'!$T$183:$T$183</definedName>
    <definedName name="UnitOfMeasure73">'Бланк заказа'!$T$189:$T$189</definedName>
    <definedName name="UnitOfMeasure74">'Бланк заказа'!$T$190:$T$190</definedName>
    <definedName name="UnitOfMeasure75">'Бланк заказа'!$T$195:$T$195</definedName>
    <definedName name="UnitOfMeasure76">'Бланк заказа'!$T$200:$T$200</definedName>
    <definedName name="UnitOfMeasure77">'Бланк заказа'!$T$206:$T$206</definedName>
    <definedName name="UnitOfMeasure78">'Бланк заказа'!$T$211:$T$211</definedName>
    <definedName name="UnitOfMeasure79">'Бланк заказа'!$T$216:$T$216</definedName>
    <definedName name="UnitOfMeasure8">'Бланк заказа'!$T$38:$T$38</definedName>
    <definedName name="UnitOfMeasure80">'Бланк заказа'!$T$217:$T$217</definedName>
    <definedName name="UnitOfMeasure81">'Бланк заказа'!$T$218:$T$218</definedName>
    <definedName name="UnitOfMeasure82">'Бланк заказа'!$T$219:$T$219</definedName>
    <definedName name="UnitOfMeasure83">'Бланк заказа'!$T$224:$T$224</definedName>
    <definedName name="UnitOfMeasure84">'Бланк заказа'!$T$229:$T$229</definedName>
    <definedName name="UnitOfMeasure85">'Бланк заказа'!$T$230:$T$230</definedName>
    <definedName name="UnitOfMeasure86">'Бланк заказа'!$T$236:$T$236</definedName>
    <definedName name="UnitOfMeasure87">'Бланк заказа'!$T$242:$T$242</definedName>
    <definedName name="UnitOfMeasure88">'Бланк заказа'!$T$247:$T$247</definedName>
    <definedName name="UnitOfMeasure9">'Бланк заказа'!$T$39:$T$39</definedName>
    <definedName name="UnloadAddress">'Бланк заказа'!$D$8</definedName>
    <definedName name="UnloadAdressList0001">Setting!$B$8:$B$8</definedName>
    <definedName name="_xlnm._FilterDatabase" localSheetId="0" hidden="1">'Бланк заказа'!$B$18:$W$18</definedName>
  </definedNames>
  <calcPr calcId="144525" fullCalcOnLoad="1" refMode="R1C1"/>
</workbook>
</file>

<file path=xl/styles.xml><?xml version="1.0" encoding="utf-8"?>
<styleSheet xmlns="http://schemas.openxmlformats.org/spreadsheetml/2006/main">
  <numFmts count="6">
    <numFmt numFmtId="164" formatCode="#,##0_ ;[Red]\-#,##0\ "/>
    <numFmt numFmtId="165" formatCode="[$-419]dd/mm/yyyy"/>
    <numFmt numFmtId="166" formatCode="h:mm;@"/>
    <numFmt numFmtId="167" formatCode="0.000"/>
    <numFmt numFmtId="168" formatCode="#,##0.00_ ;[Red]\-#,##0.00\ "/>
    <numFmt numFmtId="169" formatCode="dd/mm/yy;@"/>
  </numFmts>
  <fonts count="61">
    <font>
      <name val="Arial Cyr"/>
      <charset val="204"/>
      <sz val="10"/>
    </font>
    <font>
      <name val="Calibri"/>
      <charset val="204"/>
      <family val="2"/>
      <color rgb="FF000000"/>
      <sz val="11"/>
    </font>
    <font>
      <name val="Calibri"/>
      <charset val="204"/>
      <family val="2"/>
      <color rgb="FFFFFFFF"/>
      <sz val="11"/>
    </font>
    <font>
      <name val="Calibri"/>
      <charset val="204"/>
      <family val="2"/>
      <color rgb="FF333399"/>
      <sz val="11"/>
    </font>
    <font>
      <name val="Calibri"/>
      <charset val="204"/>
      <family val="2"/>
      <b val="1"/>
      <color rgb="FF333333"/>
      <sz val="11"/>
    </font>
    <font>
      <name val="Calibri"/>
      <charset val="204"/>
      <family val="2"/>
      <b val="1"/>
      <color rgb="FFFF9900"/>
      <sz val="11"/>
    </font>
    <font>
      <name val="Calibri"/>
      <charset val="204"/>
      <family val="2"/>
      <b val="1"/>
      <color rgb="FF003366"/>
      <sz val="15"/>
    </font>
    <font>
      <name val="Calibri"/>
      <charset val="204"/>
      <family val="2"/>
      <b val="1"/>
      <color rgb="FF003366"/>
      <sz val="13"/>
    </font>
    <font>
      <name val="Calibri"/>
      <charset val="204"/>
      <family val="2"/>
      <b val="1"/>
      <color rgb="FF003366"/>
      <sz val="11"/>
    </font>
    <font>
      <name val="Calibri"/>
      <charset val="204"/>
      <family val="2"/>
      <b val="1"/>
      <color rgb="FF000000"/>
      <sz val="11"/>
    </font>
    <font>
      <name val="Calibri"/>
      <charset val="204"/>
      <family val="2"/>
      <b val="1"/>
      <color rgb="FFFFFFFF"/>
      <sz val="11"/>
    </font>
    <font>
      <name val="Cambria"/>
      <charset val="204"/>
      <family val="2"/>
      <b val="1"/>
      <color rgb="FF003366"/>
      <sz val="18"/>
    </font>
    <font>
      <name val="Calibri"/>
      <charset val="204"/>
      <family val="2"/>
      <color rgb="FF993300"/>
      <sz val="11"/>
    </font>
    <font>
      <name val="Calibri"/>
      <charset val="204"/>
      <family val="2"/>
      <color rgb="FF800080"/>
      <sz val="11"/>
    </font>
    <font>
      <name val="Calibri"/>
      <charset val="204"/>
      <family val="2"/>
      <i val="1"/>
      <color rgb="FF808080"/>
      <sz val="11"/>
    </font>
    <font>
      <name val="Calibri"/>
      <charset val="204"/>
      <family val="2"/>
      <color rgb="FFFF9900"/>
      <sz val="11"/>
    </font>
    <font>
      <name val="Calibri"/>
      <charset val="204"/>
      <family val="2"/>
      <color rgb="FFFF0000"/>
      <sz val="11"/>
    </font>
    <font>
      <name val="Calibri"/>
      <charset val="204"/>
      <family val="2"/>
      <color rgb="FF008000"/>
      <sz val="11"/>
    </font>
    <font>
      <name val="Arial Cyr"/>
      <charset val="204"/>
      <b val="1"/>
      <color rgb="FF000000"/>
      <sz val="10"/>
    </font>
    <font>
      <name val="Arial Cyr"/>
      <charset val="204"/>
      <b val="1"/>
      <color rgb="FF000000"/>
      <sz val="8"/>
    </font>
    <font>
      <name val="Calibri"/>
      <charset val="204"/>
      <family val="2"/>
      <b val="1"/>
      <color rgb="FF651C32"/>
      <sz val="16"/>
    </font>
    <font>
      <name val="Arial Cyr"/>
      <charset val="204"/>
      <color rgb="FF651C32"/>
      <sz val="10"/>
    </font>
    <font>
      <name val="Calibri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10"/>
    </font>
    <font>
      <name val="Calibri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</font>
    <font>
      <name val="Arial Narrow"/>
      <charset val="204"/>
      <family val="2"/>
      <color rgb="FF651C32"/>
      <sz val="11"/>
    </font>
    <font>
      <name val="Calibri"/>
      <charset val="204"/>
      <family val="2"/>
      <b val="1"/>
      <color rgb="FF651C32"/>
      <sz val="8"/>
    </font>
    <font>
      <name val="Calibri"/>
      <charset val="204"/>
      <family val="2"/>
      <color rgb="FF651C32"/>
      <sz val="8"/>
    </font>
    <font>
      <name val="Calibri"/>
      <charset val="204"/>
      <family val="2"/>
      <b val="1"/>
      <color rgb="FF651C32"/>
      <sz val="14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Narrow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Arial Narrow"/>
      <charset val="204"/>
      <family val="2"/>
      <color rgb="FF651C32"/>
      <sz val="9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color rgb="FF651C32"/>
      <sz val="11"/>
    </font>
    <font>
      <name val="Arial Narrow"/>
      <charset val="204"/>
      <family val="2"/>
      <b val="1"/>
      <color rgb="FF651C32"/>
      <sz val="10"/>
      <u val="single"/>
    </font>
    <font>
      <name val="Arial Narrow"/>
      <charset val="204"/>
      <family val="2"/>
      <b val="1"/>
      <sz val="10"/>
    </font>
    <font>
      <name val="Arial Cyr"/>
      <charset val="204"/>
      <sz val="8"/>
    </font>
    <font>
      <name val="Arial Cyr"/>
      <charset val="204"/>
      <family val="2"/>
      <b val="1"/>
      <sz val="10"/>
    </font>
    <font>
      <name val="Arial Cyr"/>
      <charset val="204"/>
      <family val="2"/>
      <b val="1"/>
      <color rgb="FF651C32"/>
      <sz val="8"/>
    </font>
    <font>
      <name val="Arial Cyr"/>
      <charset val="204"/>
      <family val="2"/>
      <b val="1"/>
      <color rgb="FF651C32"/>
      <sz val="7"/>
    </font>
    <font>
      <name val="Arial Cyr"/>
      <charset val="204"/>
      <color rgb="FFFFFFFF"/>
      <sz val="10"/>
    </font>
    <font>
      <name val="Arial Cyr"/>
      <charset val="204"/>
      <b val="1"/>
      <color rgb="FF651C32"/>
      <sz val="16"/>
    </font>
    <font>
      <name val="Arial Cyr"/>
      <charset val="204"/>
      <family val="2"/>
      <b val="1"/>
      <color rgb="FF651C32"/>
      <sz val="11"/>
    </font>
    <font>
      <name val="Arial Cyr"/>
      <charset val="204"/>
      <family val="2"/>
      <b val="1"/>
      <sz val="11"/>
    </font>
    <font>
      <name val="Calibri"/>
      <charset val="204"/>
      <family val="2"/>
      <color rgb="FF000000"/>
      <sz val="8"/>
    </font>
    <font>
      <name val="Arial Cyr"/>
      <charset val="204"/>
      <color rgb="FF0000FF"/>
      <sz val="8"/>
    </font>
    <font>
      <name val="Arial Cyr"/>
      <charset val="204"/>
      <color rgb="FF000000"/>
      <sz val="10"/>
    </font>
    <font>
      <name val="Arial Cyr"/>
      <charset val="204"/>
      <family val="2"/>
      <sz val="10"/>
    </font>
    <font>
      <name val="Arial Cyr"/>
      <charset val="204"/>
      <b val="1"/>
      <sz val="8"/>
    </font>
    <font>
      <name val="Gadugi"/>
      <charset val="1"/>
      <family val="2"/>
      <color rgb="FFC00000"/>
      <sz val="11"/>
    </font>
    <font>
      <name val="Arial Cyr"/>
      <charset val="204"/>
      <color rgb="FF000000"/>
      <sz val="8"/>
    </font>
    <font>
      <name val="Arial Cyr"/>
      <charset val="204"/>
      <color rgb="FF993366"/>
      <sz val="10"/>
    </font>
    <font>
      <name val="Arial Cyr"/>
      <charset val="204"/>
      <color rgb="FF993366"/>
      <sz val="10"/>
      <vertAlign val="superscript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Arial Cyr"/>
      <charset val="204"/>
      <b val="1"/>
      <sz val="10"/>
    </font>
    <font>
      <name val="Arial Cyr"/>
      <charset val="204"/>
      <sz val="10"/>
    </font>
  </fonts>
  <fills count="28">
    <fill>
      <patternFill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2DEA6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A1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A1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0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A100"/>
        <bgColor rgb="FFFF9900"/>
      </patternFill>
    </fill>
    <fill>
      <patternFill patternType="solid">
        <fgColor rgb="FFF1ECD7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2DEA6"/>
        <bgColor rgb="FFFFCC99"/>
      </patternFill>
    </fill>
  </fills>
  <borders count="4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double">
        <color rgb="FFFF9900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/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rgb="FF651C32"/>
      </top>
      <bottom/>
      <diagonal/>
    </border>
    <border>
      <left/>
      <right style="thin">
        <color auto="1"/>
      </right>
      <top/>
      <bottom/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rgb="FF651C32"/>
      </left>
      <right style="thick">
        <color rgb="FF808080"/>
      </right>
      <top style="thick">
        <color rgb="FF808080"/>
      </top>
      <bottom/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rgb="FF808080"/>
      </right>
      <top/>
      <bottom/>
      <diagonal/>
    </border>
    <border>
      <left/>
      <right/>
      <top style="thick">
        <color rgb="FF808080"/>
      </top>
      <bottom/>
      <diagonal/>
    </border>
    <border>
      <left/>
      <right style="thick">
        <color rgb="FF808080"/>
      </right>
      <top style="thick">
        <color rgb="FF808080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651C32"/>
      </left>
      <right style="thin">
        <color rgb="FF651C32"/>
      </right>
      <top/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651C32"/>
      </left>
      <right/>
      <top/>
      <bottom style="thin">
        <color rgb="FF651C32"/>
      </bottom>
      <diagonal/>
    </border>
  </borders>
  <cellStyleXfs count="52">
    <xf numFmtId="0" fontId="60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5" borderId="0"/>
    <xf numFmtId="0" fontId="1" fillId="8" borderId="0"/>
    <xf numFmtId="0" fontId="1" fillId="11" borderId="0"/>
    <xf numFmtId="0" fontId="2" fillId="12" borderId="0"/>
    <xf numFmtId="0" fontId="2" fillId="9" borderId="0"/>
    <xf numFmtId="0" fontId="2" fillId="10" borderId="0"/>
    <xf numFmtId="0" fontId="2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3" borderId="0"/>
    <xf numFmtId="0" fontId="2" fillId="14" borderId="0"/>
    <xf numFmtId="0" fontId="2" fillId="19" borderId="0"/>
    <xf numFmtId="0" fontId="3" fillId="7" borderId="1"/>
    <xf numFmtId="0" fontId="4" fillId="20" borderId="2"/>
    <xf numFmtId="0" fontId="5" fillId="20" borderId="1"/>
    <xf numFmtId="0" fontId="6" fillId="0" borderId="3"/>
    <xf numFmtId="0" fontId="7" fillId="0" borderId="4"/>
    <xf numFmtId="0" fontId="8" fillId="0" borderId="5"/>
    <xf numFmtId="0" fontId="8" fillId="0" borderId="0"/>
    <xf numFmtId="0" fontId="9" fillId="0" borderId="6"/>
    <xf numFmtId="0" fontId="10" fillId="21" borderId="7"/>
    <xf numFmtId="0" fontId="11" fillId="0" borderId="0"/>
    <xf numFmtId="0" fontId="12" fillId="22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" fillId="0" borderId="0"/>
    <xf numFmtId="0" fontId="1" fillId="0" borderId="0"/>
    <xf numFmtId="0" fontId="1" fillId="0" borderId="0"/>
    <xf numFmtId="0" fontId="13" fillId="3" borderId="0"/>
    <xf numFmtId="0" fontId="14" fillId="0" borderId="0"/>
    <xf numFmtId="0" fontId="60" fillId="23" borderId="8"/>
    <xf numFmtId="0" fontId="60" fillId="23" borderId="8"/>
    <xf numFmtId="0" fontId="15" fillId="0" borderId="9"/>
    <xf numFmtId="0" fontId="16" fillId="0" borderId="0"/>
    <xf numFmtId="0" fontId="17" fillId="4" borderId="0"/>
  </cellStyleXfs>
  <cellXfs count="176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164" fontId="18" fillId="0" borderId="0" applyAlignment="1" applyProtection="1" pivotButton="0" quotePrefix="0" xfId="0">
      <alignment horizontal="center"/>
      <protection locked="1" hidden="1"/>
    </xf>
    <xf numFmtId="0" fontId="18" fillId="0" borderId="0" applyAlignment="1" applyProtection="1" pivotButton="0" quotePrefix="0" xfId="0">
      <alignment horizontal="center"/>
      <protection locked="1" hidden="1"/>
    </xf>
    <xf numFmtId="0" fontId="19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0" fontId="0" fillId="0" borderId="0" applyProtection="1" pivotButton="0" quotePrefix="0" xfId="0">
      <protection locked="0" hidden="0"/>
    </xf>
    <xf numFmtId="0" fontId="20" fillId="24" borderId="0" applyAlignment="1" pivotButton="0" quotePrefix="0" xfId="39">
      <alignment vertical="center" wrapText="1"/>
    </xf>
    <xf numFmtId="0" fontId="20" fillId="24" borderId="0" applyAlignment="1" pivotButton="0" quotePrefix="0" xfId="39">
      <alignment horizontal="center" vertical="center"/>
    </xf>
    <xf numFmtId="165" fontId="20" fillId="24" borderId="0" applyAlignment="1" pivotButton="0" quotePrefix="0" xfId="39">
      <alignment vertical="center" wrapText="1"/>
    </xf>
    <xf numFmtId="165" fontId="20" fillId="24" borderId="0" applyAlignment="1" pivotButton="0" quotePrefix="0" xfId="39">
      <alignment horizontal="center" vertical="center" wrapText="1"/>
    </xf>
    <xf numFmtId="0" fontId="21" fillId="0" borderId="0" applyProtection="1" pivotButton="0" quotePrefix="0" xfId="0">
      <protection locked="1" hidden="1"/>
    </xf>
    <xf numFmtId="0" fontId="22" fillId="0" borderId="0" applyAlignment="1" pivotButton="0" quotePrefix="0" xfId="0">
      <alignment horizontal="left" vertical="top"/>
    </xf>
    <xf numFmtId="0" fontId="23" fillId="0" borderId="0" applyAlignment="1" pivotButton="0" quotePrefix="0" xfId="0">
      <alignment horizontal="left" vertical="top" wrapText="1"/>
    </xf>
    <xf numFmtId="0" fontId="24" fillId="0" borderId="0" applyAlignment="1" pivotButton="0" quotePrefix="0" xfId="0">
      <alignment horizontal="left" vertical="top" wrapText="1"/>
    </xf>
    <xf numFmtId="0" fontId="20" fillId="0" borderId="0" applyAlignment="1" pivotButton="0" quotePrefix="0" xfId="0">
      <alignment horizontal="center" vertical="center" wrapText="1"/>
    </xf>
    <xf numFmtId="0" fontId="24" fillId="0" borderId="0" applyAlignment="1" pivotButton="0" quotePrefix="0" xfId="0">
      <alignment vertical="center" wrapText="1"/>
    </xf>
    <xf numFmtId="0" fontId="21" fillId="0" borderId="0" applyProtection="1" pivotButton="0" quotePrefix="0" xfId="0">
      <protection locked="0" hidden="0"/>
    </xf>
    <xf numFmtId="49" fontId="26" fillId="25" borderId="10" applyAlignment="1" applyProtection="1" pivotButton="0" quotePrefix="0" xfId="39">
      <alignment horizontal="center" vertical="center"/>
      <protection locked="0" hidden="0"/>
    </xf>
    <xf numFmtId="49" fontId="27" fillId="0" borderId="11" applyAlignment="1" pivotButton="0" quotePrefix="0" xfId="39">
      <alignment horizontal="left" vertical="center"/>
    </xf>
    <xf numFmtId="49" fontId="27" fillId="0" borderId="0" applyAlignment="1" pivotButton="0" quotePrefix="0" xfId="39">
      <alignment horizontal="left" vertical="center"/>
    </xf>
    <xf numFmtId="49" fontId="26" fillId="0" borderId="10" applyAlignment="1" applyProtection="1" pivotButton="0" quotePrefix="0" xfId="39">
      <alignment horizontal="center" vertical="center"/>
      <protection locked="0" hidden="0"/>
    </xf>
    <xf numFmtId="49" fontId="28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 wrapText="1"/>
    </xf>
    <xf numFmtId="0" fontId="29" fillId="0" borderId="0" applyAlignment="1" pivotButton="0" quotePrefix="0" xfId="0">
      <alignment vertical="center" wrapText="1"/>
    </xf>
    <xf numFmtId="0" fontId="30" fillId="0" borderId="0" applyAlignment="1" applyProtection="1" pivotButton="0" quotePrefix="0" xfId="0">
      <alignment horizontal="right"/>
      <protection locked="1" hidden="1"/>
    </xf>
    <xf numFmtId="0" fontId="31" fillId="0" borderId="0" applyAlignment="1" pivotButton="0" quotePrefix="0" xfId="0">
      <alignment horizontal="right"/>
    </xf>
    <xf numFmtId="0" fontId="33" fillId="0" borderId="0" applyAlignment="1" applyProtection="1" pivotButton="0" quotePrefix="0" xfId="0">
      <alignment horizontal="right" vertical="center"/>
      <protection locked="1" hidden="1"/>
    </xf>
    <xf numFmtId="2" fontId="32" fillId="24" borderId="13" applyAlignment="1" applyProtection="1" pivotButton="0" quotePrefix="0" xfId="0">
      <alignment vertical="center" wrapText="1"/>
      <protection locked="1" hidden="1"/>
    </xf>
    <xf numFmtId="49" fontId="26" fillId="0" borderId="10" applyAlignment="1" applyProtection="1" pivotButton="0" quotePrefix="0" xfId="0">
      <alignment horizontal="center" vertical="center"/>
      <protection locked="0" hidden="0"/>
    </xf>
    <xf numFmtId="0" fontId="33" fillId="0" borderId="0" applyAlignment="1" pivotButton="0" quotePrefix="0" xfId="0">
      <alignment horizontal="right" vertical="center"/>
    </xf>
    <xf numFmtId="49" fontId="35" fillId="0" borderId="0" applyAlignment="1" pivotButton="0" quotePrefix="0" xfId="0">
      <alignment horizontal="center" vertical="center" wrapText="1"/>
    </xf>
    <xf numFmtId="49" fontId="26" fillId="0" borderId="0" applyAlignment="1" pivotButton="0" quotePrefix="0" xfId="0">
      <alignment horizontal="center" vertical="center"/>
    </xf>
    <xf numFmtId="0" fontId="30" fillId="0" borderId="0" applyAlignment="1" applyProtection="1" pivotButton="0" quotePrefix="0" xfId="0">
      <alignment horizontal="left"/>
      <protection locked="1" hidden="1"/>
    </xf>
    <xf numFmtId="0" fontId="21" fillId="0" borderId="0" applyAlignment="1" applyProtection="1" pivotButton="0" quotePrefix="0" xfId="0">
      <alignment horizontal="center"/>
      <protection locked="1" hidden="1"/>
    </xf>
    <xf numFmtId="166" fontId="26" fillId="0" borderId="0" applyAlignment="1" applyProtection="1" pivotButton="0" quotePrefix="0" xfId="0">
      <alignment horizontal="center" vertical="center"/>
      <protection locked="0" hidden="0"/>
    </xf>
    <xf numFmtId="2" fontId="34" fillId="0" borderId="0" applyAlignment="1" applyProtection="1" pivotButton="0" quotePrefix="0" xfId="0">
      <alignment horizontal="center" vertical="center" wrapText="1"/>
      <protection locked="1" hidden="1"/>
    </xf>
    <xf numFmtId="0" fontId="21" fillId="0" borderId="0" applyProtection="1" pivotButton="0" quotePrefix="0" xfId="0">
      <protection locked="1" hidden="1"/>
    </xf>
    <xf numFmtId="0" fontId="32" fillId="0" borderId="0" applyAlignment="1" applyProtection="1" pivotButton="0" quotePrefix="0" xfId="0">
      <alignment horizontal="center" vertical="center" wrapText="1"/>
      <protection locked="1" hidden="1"/>
    </xf>
    <xf numFmtId="4" fontId="37" fillId="0" borderId="0" applyAlignment="1" applyProtection="1" pivotButton="0" quotePrefix="0" xfId="39">
      <alignment horizontal="center" vertical="center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0" fillId="0" borderId="0" applyAlignment="1" applyProtection="1" pivotButton="0" quotePrefix="0" xfId="0">
      <alignment horizontal="right"/>
      <protection locked="1" hidden="1"/>
    </xf>
    <xf numFmtId="0" fontId="40" fillId="0" borderId="0" applyAlignment="1" applyProtection="1" pivotButton="0" quotePrefix="0" xfId="0">
      <alignment horizontal="center"/>
      <protection locked="1" hidden="1"/>
    </xf>
    <xf numFmtId="0" fontId="41" fillId="0" borderId="0" applyAlignment="1" pivotButton="0" quotePrefix="0" xfId="0">
      <alignment horizontal="right"/>
    </xf>
    <xf numFmtId="166" fontId="0" fillId="0" borderId="0" applyAlignment="1" pivotButton="0" quotePrefix="0" xfId="0">
      <alignment horizontal="center"/>
    </xf>
    <xf numFmtId="0" fontId="43" fillId="24" borderId="10" applyAlignment="1" applyProtection="1" pivotButton="0" quotePrefix="0" xfId="0">
      <alignment horizontal="center" vertical="center" wrapText="1"/>
      <protection locked="1" hidden="1"/>
    </xf>
    <xf numFmtId="2" fontId="45" fillId="0" borderId="0" applyAlignment="1" pivotButton="0" quotePrefix="0" xfId="0">
      <alignment horizontal="center" vertical="center"/>
    </xf>
    <xf numFmtId="0" fontId="46" fillId="27" borderId="0" applyAlignment="1" applyProtection="1" pivotButton="0" quotePrefix="0" xfId="0">
      <alignment horizontal="center"/>
      <protection locked="1" hidden="1"/>
    </xf>
    <xf numFmtId="2" fontId="47" fillId="27" borderId="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1" fontId="48" fillId="0" borderId="10" applyAlignment="1" pivotButton="0" quotePrefix="0" xfId="39">
      <alignment horizontal="center" vertical="center"/>
    </xf>
    <xf numFmtId="167" fontId="40" fillId="0" borderId="10" applyAlignment="1" applyProtection="1" pivotButton="0" quotePrefix="0" xfId="0">
      <alignment horizontal="center" vertical="center"/>
      <protection locked="1" hidden="1"/>
    </xf>
    <xf numFmtId="0" fontId="40" fillId="0" borderId="10" applyAlignment="1" applyProtection="1" pivotButton="0" quotePrefix="0" xfId="0">
      <alignment horizontal="center" vertical="center"/>
      <protection locked="1" hidden="1"/>
    </xf>
    <xf numFmtId="1" fontId="40" fillId="0" borderId="10" applyAlignment="1" pivotButton="0" quotePrefix="0" xfId="0">
      <alignment horizontal="center" vertical="center"/>
    </xf>
    <xf numFmtId="0" fontId="40" fillId="0" borderId="10" applyAlignment="1" pivotButton="0" quotePrefix="0" xfId="0">
      <alignment horizontal="left"/>
    </xf>
    <xf numFmtId="0" fontId="50" fillId="0" borderId="10" applyAlignment="1" applyProtection="1" pivotButton="0" quotePrefix="0" xfId="0">
      <alignment horizontal="center"/>
      <protection locked="1" hidden="1"/>
    </xf>
    <xf numFmtId="168" fontId="51" fillId="25" borderId="10" applyAlignment="1" applyProtection="1" pivotButton="0" quotePrefix="0" xfId="0">
      <alignment horizontal="right"/>
      <protection locked="0" hidden="0"/>
    </xf>
    <xf numFmtId="168" fontId="51" fillId="0" borderId="10" applyAlignment="1" pivotButton="0" quotePrefix="0" xfId="0">
      <alignment horizontal="right"/>
    </xf>
    <xf numFmtId="2" fontId="52" fillId="0" borderId="10" applyAlignment="1" pivotButton="0" quotePrefix="0" xfId="0">
      <alignment horizontal="center"/>
    </xf>
    <xf numFmtId="2" fontId="52" fillId="0" borderId="14" applyAlignment="1" pivotButton="0" quotePrefix="0" xfId="0">
      <alignment horizontal="center" wrapText="1"/>
    </xf>
    <xf numFmtId="0" fontId="53" fillId="0" borderId="14" applyProtection="1" pivotButton="0" quotePrefix="0" xfId="0">
      <protection locked="1" hidden="1"/>
    </xf>
    <xf numFmtId="0" fontId="44" fillId="0" borderId="0" applyProtection="1" pivotButton="0" quotePrefix="0" xfId="0">
      <protection locked="1" hidden="1"/>
    </xf>
    <xf numFmtId="0" fontId="44" fillId="0" borderId="0" pivotButton="0" quotePrefix="0" xfId="0"/>
    <xf numFmtId="0" fontId="21" fillId="24" borderId="10" applyAlignment="1" applyProtection="1" pivotButton="0" quotePrefix="0" xfId="0">
      <alignment horizontal="center"/>
      <protection locked="1" hidden="1"/>
    </xf>
    <xf numFmtId="168" fontId="33" fillId="24" borderId="10" applyAlignment="1" pivotButton="0" quotePrefix="0" xfId="0">
      <alignment horizontal="right"/>
    </xf>
    <xf numFmtId="168" fontId="33" fillId="24" borderId="0" applyAlignment="1" pivotButton="0" quotePrefix="0" xfId="0">
      <alignment horizontal="right"/>
    </xf>
    <xf numFmtId="164" fontId="33" fillId="24" borderId="10" applyAlignment="1" pivotButton="0" quotePrefix="0" xfId="0">
      <alignment horizontal="right"/>
    </xf>
    <xf numFmtId="0" fontId="55" fillId="24" borderId="10" applyAlignment="1" applyProtection="1" pivotButton="0" quotePrefix="0" xfId="0">
      <alignment horizontal="center"/>
      <protection locked="1" hidden="1"/>
    </xf>
    <xf numFmtId="0" fontId="32" fillId="24" borderId="20" applyAlignment="1" applyProtection="1" pivotButton="0" quotePrefix="0" xfId="0">
      <alignment horizontal="center" vertical="center" wrapText="1"/>
      <protection locked="1" hidden="1"/>
    </xf>
    <xf numFmtId="0" fontId="57" fillId="0" borderId="21" applyAlignment="1" applyProtection="1" pivotButton="0" quotePrefix="0" xfId="0">
      <alignment horizontal="center" vertical="center" wrapText="1"/>
      <protection locked="1" hidden="1"/>
    </xf>
    <xf numFmtId="4" fontId="58" fillId="0" borderId="23" applyAlignment="1" applyProtection="1" pivotButton="0" quotePrefix="0" xfId="39">
      <alignment horizontal="center" vertical="center"/>
      <protection locked="1" hidden="1"/>
    </xf>
    <xf numFmtId="0" fontId="59" fillId="24" borderId="14" applyAlignment="1" applyProtection="1" pivotButton="0" quotePrefix="0" xfId="0">
      <alignment horizontal="center" vertical="center"/>
      <protection locked="1" hidden="1"/>
    </xf>
    <xf numFmtId="2" fontId="0" fillId="0" borderId="14" applyProtection="1" pivotButton="0" quotePrefix="0" xfId="0">
      <protection locked="1" hidden="1"/>
    </xf>
    <xf numFmtId="2" fontId="50" fillId="0" borderId="14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0" fillId="0" borderId="24" pivotButton="0" quotePrefix="0" xfId="0"/>
    <xf numFmtId="0" fontId="20" fillId="24" borderId="0" applyAlignment="1" pivotButton="0" quotePrefix="0" xfId="39">
      <alignment horizontal="center" vertical="center" wrapText="1"/>
    </xf>
    <xf numFmtId="165" fontId="20" fillId="24" borderId="0" applyAlignment="1" pivotButton="0" quotePrefix="0" xfId="0">
      <alignment vertical="center" wrapText="1"/>
    </xf>
    <xf numFmtId="0" fontId="25" fillId="0" borderId="0" applyAlignment="1" applyProtection="1" pivotButton="0" quotePrefix="0" xfId="0">
      <alignment horizontal="center" vertical="center" wrapText="1"/>
      <protection locked="1" hidden="1"/>
    </xf>
    <xf numFmtId="2" fontId="32" fillId="24" borderId="10" applyAlignment="1" applyProtection="1" pivotButton="0" quotePrefix="0" xfId="0">
      <alignment vertical="center" wrapText="1"/>
      <protection locked="1" hidden="1"/>
    </xf>
    <xf numFmtId="2" fontId="32" fillId="25" borderId="10" applyAlignment="1" applyProtection="1" pivotButton="0" quotePrefix="0" xfId="0">
      <alignment horizontal="left" vertical="center" wrapText="1"/>
      <protection locked="0" hidden="1"/>
    </xf>
    <xf numFmtId="2" fontId="32" fillId="24" borderId="10" applyAlignment="1" applyProtection="1" pivotButton="0" quotePrefix="0" xfId="0">
      <alignment horizontal="center" vertical="center" wrapText="1"/>
      <protection locked="1" hidden="1"/>
    </xf>
    <xf numFmtId="169" fontId="26" fillId="25" borderId="10" applyAlignment="1" applyProtection="1" pivotButton="0" quotePrefix="0" xfId="0">
      <alignment horizontal="center" vertical="center"/>
      <protection locked="0" hidden="0"/>
    </xf>
    <xf numFmtId="0" fontId="33" fillId="0" borderId="12" applyAlignment="1" applyProtection="1" pivotButton="0" quotePrefix="0" xfId="0">
      <alignment horizontal="right" vertical="center" wrapText="1"/>
      <protection locked="1" hidden="1"/>
    </xf>
    <xf numFmtId="49" fontId="26" fillId="25" borderId="10" applyAlignment="1" applyProtection="1" pivotButton="0" quotePrefix="0" xfId="0">
      <alignment horizontal="center" vertical="center"/>
      <protection locked="0" hidden="0"/>
    </xf>
    <xf numFmtId="0" fontId="34" fillId="25" borderId="10" applyAlignment="1" applyProtection="1" pivotButton="0" quotePrefix="0" xfId="0">
      <alignment horizontal="left" vertical="top" wrapText="1"/>
      <protection locked="0" hidden="0"/>
    </xf>
    <xf numFmtId="49" fontId="26" fillId="0" borderId="10" applyAlignment="1" pivotButton="0" quotePrefix="0" xfId="0">
      <alignment horizontal="center" vertical="center"/>
    </xf>
    <xf numFmtId="0" fontId="33" fillId="0" borderId="12" applyAlignment="1" applyProtection="1" pivotButton="0" quotePrefix="0" xfId="0">
      <alignment horizontal="center" vertical="center"/>
      <protection locked="1" hidden="1"/>
    </xf>
    <xf numFmtId="4" fontId="35" fillId="0" borderId="10" applyAlignment="1" pivotButton="0" quotePrefix="0" xfId="0">
      <alignment horizontal="center" vertical="center" wrapText="1"/>
    </xf>
    <xf numFmtId="0" fontId="34" fillId="25" borderId="13" applyAlignment="1" applyProtection="1" pivotButton="0" quotePrefix="0" xfId="0">
      <alignment horizontal="center" vertical="top" wrapText="1"/>
      <protection locked="0" hidden="0"/>
    </xf>
    <xf numFmtId="2" fontId="32" fillId="24" borderId="14" applyAlignment="1" applyProtection="1" pivotButton="0" quotePrefix="0" xfId="0">
      <alignment vertical="center" wrapText="1"/>
      <protection locked="1" hidden="1"/>
    </xf>
    <xf numFmtId="2" fontId="34" fillId="25" borderId="14" applyAlignment="1" applyProtection="1" pivotButton="0" quotePrefix="0" xfId="0">
      <alignment horizontal="left" vertical="center" wrapText="1"/>
      <protection locked="0" hidden="1"/>
    </xf>
    <xf numFmtId="166" fontId="26" fillId="25" borderId="10" applyAlignment="1" applyProtection="1" pivotButton="0" quotePrefix="0" xfId="0">
      <alignment horizontal="center" vertical="center"/>
      <protection locked="0" hidden="0"/>
    </xf>
    <xf numFmtId="0" fontId="32" fillId="26" borderId="0" applyAlignment="1" applyProtection="1" pivotButton="0" quotePrefix="0" xfId="0">
      <alignment vertical="center" wrapText="1"/>
      <protection locked="1" hidden="1"/>
    </xf>
    <xf numFmtId="0" fontId="32" fillId="26" borderId="0" applyAlignment="1" applyProtection="1" pivotButton="0" quotePrefix="0" xfId="0">
      <alignment horizontal="center" vertical="center" wrapText="1"/>
      <protection locked="0" hidden="1"/>
    </xf>
    <xf numFmtId="0" fontId="36" fillId="26" borderId="0" applyAlignment="1" applyProtection="1" pivotButton="0" quotePrefix="0" xfId="0">
      <alignment horizontal="left" vertical="center" wrapText="1"/>
      <protection locked="0" hidden="1"/>
    </xf>
    <xf numFmtId="2" fontId="34" fillId="26" borderId="0" applyAlignment="1" applyProtection="1" pivotButton="0" quotePrefix="0" xfId="0">
      <alignment horizontal="left" vertical="center" wrapText="1"/>
      <protection locked="1" hidden="1"/>
    </xf>
    <xf numFmtId="49" fontId="26" fillId="0" borderId="13" applyAlignment="1" pivotButton="0" quotePrefix="0" xfId="0">
      <alignment horizontal="center" vertical="center"/>
    </xf>
    <xf numFmtId="166" fontId="26" fillId="25" borderId="14" applyAlignment="1" applyProtection="1" pivotButton="0" quotePrefix="0" xfId="0">
      <alignment horizontal="center" vertical="center"/>
      <protection locked="0" hidden="0"/>
    </xf>
    <xf numFmtId="2" fontId="32" fillId="24" borderId="10" applyAlignment="1" applyProtection="1" pivotButton="0" quotePrefix="0" xfId="0">
      <alignment horizontal="left" vertical="center" wrapText="1"/>
      <protection locked="1" hidden="1"/>
    </xf>
    <xf numFmtId="166" fontId="26" fillId="25" borderId="13" applyAlignment="1" applyProtection="1" pivotButton="0" quotePrefix="0" xfId="0">
      <alignment horizontal="center" vertical="center"/>
      <protection locked="0" hidden="0"/>
    </xf>
    <xf numFmtId="0" fontId="21" fillId="0" borderId="0" applyProtection="1" pivotButton="0" quotePrefix="0" xfId="0">
      <protection locked="1" hidden="1"/>
    </xf>
    <xf numFmtId="2" fontId="38" fillId="24" borderId="10" applyAlignment="1" applyProtection="1" pivotButton="0" quotePrefix="0" xfId="0">
      <alignment horizontal="left" vertical="center" wrapText="1"/>
      <protection locked="1" hidden="1"/>
    </xf>
    <xf numFmtId="0" fontId="39" fillId="0" borderId="15" applyAlignment="1" pivotButton="0" quotePrefix="0" xfId="0">
      <alignment horizontal="center" wrapText="1"/>
    </xf>
    <xf numFmtId="0" fontId="42" fillId="24" borderId="10" applyAlignment="1" applyProtection="1" pivotButton="0" quotePrefix="0" xfId="0">
      <alignment horizontal="center" vertical="center" wrapText="1"/>
      <protection locked="1" hidden="1"/>
    </xf>
    <xf numFmtId="0" fontId="31" fillId="24" borderId="10" applyAlignment="1" applyProtection="1" pivotButton="0" quotePrefix="0" xfId="0">
      <alignment horizontal="center" vertical="center" wrapText="1"/>
      <protection locked="1" hidden="1"/>
    </xf>
    <xf numFmtId="0" fontId="44" fillId="0" borderId="0" applyAlignment="1" applyProtection="1" pivotButton="0" quotePrefix="0" xfId="0">
      <alignment horizontal="center" vertical="center"/>
      <protection locked="1" hidden="1"/>
    </xf>
    <xf numFmtId="2" fontId="45" fillId="0" borderId="18" applyAlignment="1" pivotButton="0" quotePrefix="0" xfId="0">
      <alignment horizontal="center" vertical="center"/>
    </xf>
    <xf numFmtId="0" fontId="46" fillId="27" borderId="0" applyAlignment="1" applyProtection="1" pivotButton="0" quotePrefix="0" xfId="0">
      <alignment horizontal="center"/>
      <protection locked="1" hidden="1"/>
    </xf>
    <xf numFmtId="2" fontId="47" fillId="27" borderId="0" applyAlignment="1" applyProtection="1" pivotButton="0" quotePrefix="0" xfId="0">
      <alignment horizontal="center"/>
      <protection locked="1" hidden="1"/>
    </xf>
    <xf numFmtId="1" fontId="48" fillId="0" borderId="10" applyAlignment="1" pivotButton="0" quotePrefix="0" xfId="0">
      <alignment horizontal="center" vertical="center"/>
    </xf>
    <xf numFmtId="0" fontId="49" fillId="0" borderId="10" applyAlignment="1" pivotButton="0" quotePrefix="0" xfId="0">
      <alignment horizontal="left" vertical="center" wrapText="1"/>
    </xf>
    <xf numFmtId="0" fontId="0" fillId="24" borderId="19" applyAlignment="1" applyProtection="1" pivotButton="0" quotePrefix="0" xfId="0">
      <alignment horizontal="center"/>
      <protection locked="1" hidden="1"/>
    </xf>
    <xf numFmtId="0" fontId="33" fillId="24" borderId="14" applyAlignment="1" applyProtection="1" pivotButton="0" quotePrefix="0" xfId="0">
      <alignment horizontal="right"/>
      <protection locked="1" hidden="1"/>
    </xf>
    <xf numFmtId="0" fontId="43" fillId="24" borderId="10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39">
      <alignment horizontal="center" vertical="center" wrapText="1"/>
      <protection locked="0" hidden="1"/>
    </xf>
    <xf numFmtId="0" fontId="42" fillId="24" borderId="14" applyAlignment="1" applyProtection="1" pivotButton="0" quotePrefix="0" xfId="0">
      <alignment horizontal="center" vertical="center" wrapText="1"/>
      <protection locked="1" hidden="1"/>
    </xf>
    <xf numFmtId="0" fontId="44" fillId="0" borderId="17" applyAlignment="1" applyProtection="1" pivotButton="0" quotePrefix="0" xfId="0">
      <alignment horizontal="center" vertical="center"/>
      <protection locked="1" hidden="1"/>
    </xf>
    <xf numFmtId="0" fontId="54" fillId="0" borderId="10" applyAlignment="1" pivotButton="0" quotePrefix="0" xfId="0">
      <alignment horizontal="left" vertical="center" wrapText="1"/>
    </xf>
    <xf numFmtId="0" fontId="0" fillId="24" borderId="12" applyAlignment="1" applyProtection="1" pivotButton="0" quotePrefix="0" xfId="0">
      <alignment horizontal="center"/>
      <protection locked="1" hidden="1"/>
    </xf>
    <xf numFmtId="0" fontId="33" fillId="24" borderId="10" applyAlignment="1" applyProtection="1" pivotButton="0" quotePrefix="0" xfId="0">
      <alignment horizontal="left"/>
      <protection locked="1" hidden="1"/>
    </xf>
    <xf numFmtId="0" fontId="57" fillId="0" borderId="21" applyAlignment="1" applyProtection="1" pivotButton="0" quotePrefix="0" xfId="0">
      <alignment horizontal="center" vertical="center" wrapText="1"/>
      <protection locked="1" hidden="1"/>
    </xf>
    <xf numFmtId="0" fontId="32" fillId="24" borderId="22" applyAlignment="1" applyProtection="1" pivotButton="0" quotePrefix="0" xfId="0">
      <alignment horizontal="center" vertical="center" wrapText="1"/>
      <protection locked="1" hidden="1"/>
    </xf>
    <xf numFmtId="0" fontId="0" fillId="0" borderId="31" applyProtection="1" pivotButton="0" quotePrefix="0" xfId="0">
      <protection locked="1" hidden="1"/>
    </xf>
    <xf numFmtId="0" fontId="0" fillId="0" borderId="16" applyProtection="1" pivotButton="0" quotePrefix="0" xfId="0">
      <protection locked="1" hidden="1"/>
    </xf>
    <xf numFmtId="0" fontId="0" fillId="0" borderId="16" applyProtection="1" pivotButton="0" quotePrefix="0" xfId="0">
      <protection locked="0" hidden="1"/>
    </xf>
    <xf numFmtId="0" fontId="0" fillId="0" borderId="31" applyProtection="1" pivotButton="0" quotePrefix="0" xfId="0">
      <protection locked="0" hidden="1"/>
    </xf>
    <xf numFmtId="169" fontId="26" fillId="25" borderId="10" applyAlignment="1" applyProtection="1" pivotButton="0" quotePrefix="0" xfId="0">
      <alignment horizontal="center" vertical="center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2" applyProtection="1" pivotButton="0" quotePrefix="0" xfId="0">
      <protection locked="1" hidden="1"/>
    </xf>
    <xf numFmtId="0" fontId="0" fillId="0" borderId="31" applyProtection="1" pivotButton="0" quotePrefix="0" xfId="0">
      <protection locked="0" hidden="0"/>
    </xf>
    <xf numFmtId="0" fontId="0" fillId="0" borderId="16" pivotButton="0" quotePrefix="0" xfId="0"/>
    <xf numFmtId="0" fontId="0" fillId="0" borderId="30" pivotButton="0" quotePrefix="0" xfId="0"/>
    <xf numFmtId="0" fontId="0" fillId="0" borderId="18" applyProtection="1" pivotButton="0" quotePrefix="0" xfId="0">
      <protection locked="0" hidden="0"/>
    </xf>
    <xf numFmtId="0" fontId="0" fillId="0" borderId="30" applyProtection="1" pivotButton="0" quotePrefix="0" xfId="0">
      <protection locked="0" hidden="0"/>
    </xf>
    <xf numFmtId="0" fontId="0" fillId="0" borderId="11" pivotButton="0" quotePrefix="0" xfId="0"/>
    <xf numFmtId="0" fontId="0" fillId="0" borderId="12" pivotButton="0" quotePrefix="0" xfId="0"/>
    <xf numFmtId="0" fontId="0" fillId="0" borderId="34" applyProtection="1" pivotButton="0" quotePrefix="0" xfId="0">
      <protection locked="1" hidden="1"/>
    </xf>
    <xf numFmtId="0" fontId="0" fillId="0" borderId="35" applyProtection="1" pivotButton="0" quotePrefix="0" xfId="0">
      <protection locked="1" hidden="1"/>
    </xf>
    <xf numFmtId="0" fontId="0" fillId="0" borderId="34" applyProtection="1" pivotButton="0" quotePrefix="0" xfId="0">
      <protection locked="0" hidden="1"/>
    </xf>
    <xf numFmtId="0" fontId="0" fillId="0" borderId="35" applyProtection="1" pivotButton="0" quotePrefix="0" xfId="0">
      <protection locked="0" hidden="1"/>
    </xf>
    <xf numFmtId="166" fontId="26" fillId="25" borderId="10" applyAlignment="1" applyProtection="1" pivotButton="0" quotePrefix="0" xfId="0">
      <alignment horizontal="center" vertical="center"/>
      <protection locked="0" hidden="0"/>
    </xf>
    <xf numFmtId="0" fontId="0" fillId="0" borderId="44" pivotButton="0" quotePrefix="0" xfId="0"/>
    <xf numFmtId="0" fontId="0" fillId="0" borderId="38" pivotButton="0" quotePrefix="0" xfId="0"/>
    <xf numFmtId="166" fontId="26" fillId="25" borderId="14" applyAlignment="1" applyProtection="1" pivotButton="0" quotePrefix="0" xfId="0">
      <alignment horizontal="center" vertical="center"/>
      <protection locked="0" hidden="0"/>
    </xf>
    <xf numFmtId="0" fontId="0" fillId="0" borderId="35" applyProtection="1" pivotButton="0" quotePrefix="0" xfId="0">
      <protection locked="0" hidden="0"/>
    </xf>
    <xf numFmtId="166" fontId="26" fillId="0" borderId="0" applyAlignment="1" applyProtection="1" pivotButton="0" quotePrefix="0" xfId="0">
      <alignment horizontal="center" vertical="center"/>
      <protection locked="0" hidden="0"/>
    </xf>
    <xf numFmtId="166" fontId="26" fillId="25" borderId="13" applyAlignment="1" applyProtection="1" pivotButton="0" quotePrefix="0" xfId="0">
      <alignment horizontal="center" vertical="center"/>
      <protection locked="0" hidden="0"/>
    </xf>
    <xf numFmtId="0" fontId="0" fillId="0" borderId="15" pivotButton="0" quotePrefix="0" xfId="0"/>
    <xf numFmtId="166" fontId="0" fillId="0" borderId="0" applyAlignment="1" pivotButton="0" quotePrefix="0" xfId="0">
      <alignment horizontal="center"/>
    </xf>
    <xf numFmtId="0" fontId="0" fillId="0" borderId="30" applyProtection="1" pivotButton="0" quotePrefix="0" xfId="0">
      <protection locked="1" hidden="1"/>
    </xf>
    <xf numFmtId="0" fontId="0" fillId="0" borderId="18" applyProtection="1" pivotButton="0" quotePrefix="0" xfId="0">
      <protection locked="1" hidden="1"/>
    </xf>
    <xf numFmtId="0" fontId="0" fillId="0" borderId="32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44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15" applyProtection="1" pivotButton="0" quotePrefix="0" xfId="0">
      <protection locked="1" hidden="1"/>
    </xf>
    <xf numFmtId="0" fontId="0" fillId="0" borderId="38" applyProtection="1" pivotButton="0" quotePrefix="0" xfId="0">
      <protection locked="0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17" applyProtection="1" pivotButton="0" quotePrefix="0" xfId="0">
      <protection locked="1" hidden="1"/>
    </xf>
    <xf numFmtId="0" fontId="0" fillId="0" borderId="18" pivotButton="0" quotePrefix="0" xfId="0"/>
    <xf numFmtId="167" fontId="40" fillId="0" borderId="10" applyAlignment="1" applyProtection="1" pivotButton="0" quotePrefix="0" xfId="0">
      <alignment horizontal="center" vertical="center"/>
      <protection locked="1" hidden="1"/>
    </xf>
    <xf numFmtId="0" fontId="0" fillId="0" borderId="31" pivotButton="0" quotePrefix="0" xfId="0"/>
    <xf numFmtId="168" fontId="51" fillId="25" borderId="10" applyAlignment="1" applyProtection="1" pivotButton="0" quotePrefix="0" xfId="0">
      <alignment horizontal="right"/>
      <protection locked="0" hidden="0"/>
    </xf>
    <xf numFmtId="168" fontId="51" fillId="0" borderId="10" applyAlignment="1" pivotButton="0" quotePrefix="0" xfId="0">
      <alignment horizontal="right"/>
    </xf>
    <xf numFmtId="0" fontId="0" fillId="0" borderId="19" applyProtection="1" pivotButton="0" quotePrefix="0" xfId="0">
      <protection locked="1" hidden="1"/>
    </xf>
    <xf numFmtId="168" fontId="33" fillId="24" borderId="10" applyAlignment="1" pivotButton="0" quotePrefix="0" xfId="0">
      <alignment horizontal="right"/>
    </xf>
    <xf numFmtId="168" fontId="33" fillId="24" borderId="0" applyAlignment="1" pivotButton="0" quotePrefix="0" xfId="0">
      <alignment horizontal="right"/>
    </xf>
    <xf numFmtId="0" fontId="0" fillId="0" borderId="27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26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2">
    <dxf>
      <font>
        <name val="Arial Cyr"/>
        <strike val="0"/>
        <outline val="0"/>
        <shadow val="0"/>
        <color rgb="FFFFFFFF"/>
        <sz val="10"/>
      </font>
      <numFmt numFmtId="0" formatCode="General"/>
      <fill>
        <patternFill>
          <bgColor rgb="FFFFFFFF"/>
        </patternFill>
      </fill>
      <alignment horizontal="general" vertical="bottom"/>
      <border>
        <left/>
        <right/>
        <top/>
        <bottom/>
      </border>
      <protection locked="1" hidden="0"/>
    </dxf>
    <dxf>
      <font>
        <name val="Arial Cyr"/>
        <strike val="0"/>
        <outline val="0"/>
        <shadow val="0"/>
        <color rgb="FFFFFFFF"/>
        <sz val="10"/>
      </font>
      <numFmt numFmtId="0" formatCode="General"/>
      <fill>
        <patternFill>
          <bgColor rgb="FFFFFFFF"/>
        </patternFill>
      </fill>
      <alignment horizontal="general" vertical="bottom"/>
      <border>
        <left/>
        <right/>
        <top/>
        <bottom/>
      </border>
      <protection locked="1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2DEA6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51C32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1ECD7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FFA1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4"/>
  <sheetViews>
    <sheetView showGridLines="0" tabSelected="1" topLeftCell="F1" zoomScaleNormal="100" workbookViewId="0">
      <selection activeCell="N8" sqref="N8:O8"/>
    </sheetView>
  </sheetViews>
  <sheetFormatPr baseColWidth="8" defaultRowHeight="12.75"/>
  <cols>
    <col width="9.140625" customWidth="1" style="1" min="1" max="1"/>
    <col width="10.85546875" customWidth="1" style="2" min="2" max="2"/>
    <col width="12.5703125" customWidth="1" style="2" min="3" max="3"/>
    <col width="6.42578125" customWidth="1" style="2" min="4" max="4"/>
    <col width="6.85546875" customWidth="1" style="2" min="5" max="5"/>
    <col width="8.42578125" customWidth="1" style="2" min="6" max="6"/>
    <col width="9.42578125" customWidth="1" style="2" min="7" max="7"/>
    <col width="11.85546875" customWidth="1" style="2" min="8" max="8"/>
    <col width="9.42578125" customWidth="1" style="2" min="9" max="9"/>
    <col width="9.140625" customWidth="1" style="3" min="10" max="10"/>
    <col width="9.42578125" customWidth="1" style="3" min="11" max="11"/>
    <col width="10.42578125" customWidth="1" style="2" min="12" max="12"/>
    <col width="7.42578125" customWidth="1" style="4" min="13" max="13"/>
    <col width="15.5703125" customWidth="1" style="4" min="14" max="14"/>
    <col width="8.140625" customWidth="1" style="1" min="15" max="15"/>
    <col width="6.140625" customWidth="1" style="1" min="16" max="16"/>
    <col width="10.85546875" customWidth="1" style="5" min="17" max="17"/>
    <col width="10.42578125" customWidth="1" style="5" min="18" max="18"/>
    <col width="9.42578125" customWidth="1" style="5" min="19" max="19"/>
    <col width="8.42578125" customWidth="1" style="5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customWidth="1" style="74" min="26" max="26"/>
    <col width="9.140625" customWidth="1" style="74" min="27" max="27"/>
    <col width="8.85546875" customWidth="1" style="74" min="28" max="28"/>
    <col width="13.5703125" customWidth="1" style="1" min="29" max="29"/>
    <col width="9.140625" customWidth="1" style="1" min="30" max="1025"/>
  </cols>
  <sheetData>
    <row r="1" ht="45" customFormat="1" customHeight="1" s="101">
      <c r="A1" s="7" t="n"/>
      <c r="B1" s="7" t="n"/>
      <c r="C1" s="7" t="n"/>
      <c r="D1" s="76" t="inlineStr">
        <is>
          <t xml:space="preserve">  БЛАНК ЗАКАЗА </t>
        </is>
      </c>
      <c r="G1" s="8" t="inlineStr">
        <is>
          <t>ЗПФ</t>
        </is>
      </c>
      <c r="H1" s="76" t="inlineStr">
        <is>
          <t>на отгрузку продукции с ООО Трейд-Сервис с</t>
        </is>
      </c>
      <c r="O1" s="77" t="inlineStr">
        <is>
          <t>20.10.2023</t>
        </is>
      </c>
      <c r="R1" s="9" t="n"/>
      <c r="S1" s="9" t="n"/>
      <c r="T1" s="9" t="n"/>
      <c r="U1" s="9" t="n"/>
      <c r="V1" s="9" t="n"/>
      <c r="W1" s="9" t="n"/>
      <c r="X1" s="9" t="n"/>
      <c r="Y1" s="10" t="n"/>
      <c r="Z1" s="10" t="n"/>
      <c r="AA1" s="10" t="n"/>
      <c r="AB1" s="10" t="n"/>
    </row>
    <row r="2" ht="16.5" customFormat="1" customHeight="1" s="101">
      <c r="A2" s="12" t="inlineStr">
        <is>
          <t>бланк создан</t>
        </is>
      </c>
      <c r="B2" s="13" t="inlineStr">
        <is>
          <t>19.10.2023</t>
        </is>
      </c>
      <c r="C2" s="14" t="n"/>
      <c r="D2" s="14" t="n"/>
      <c r="E2" s="15" t="n"/>
      <c r="F2" s="15" t="n"/>
      <c r="G2" s="15" t="n"/>
      <c r="H2" s="15" t="n"/>
      <c r="I2" s="15" t="n"/>
      <c r="J2" s="15" t="n"/>
      <c r="K2" s="15" t="n"/>
      <c r="L2" s="15" t="n"/>
      <c r="M2" s="78">
        <f>IF(ISNA(VLOOKUP(DeliveryAddress,Setting!B:C,2,0)),"",IF(ISNA(VLOOKUP(UnloadAddress,Setting!B:C,2,0)),"",IF(VLOOKUP(DeliveryAddress,Setting!B:C,2,0)=VLOOKUP(UnloadAddress,Setting!B:C,2,0),"","Укажите,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6" t="n"/>
      <c r="V2" s="16" t="n"/>
      <c r="W2" s="16" t="n"/>
      <c r="X2" s="16" t="n"/>
      <c r="Y2" s="17" t="n"/>
      <c r="Z2" s="17" t="n"/>
      <c r="AA2" s="17" t="n"/>
    </row>
    <row r="3" ht="11.25" customFormat="1" customHeight="1" s="101">
      <c r="A3" s="18" t="n"/>
      <c r="B3" s="19" t="inlineStr">
        <is>
          <t>-поле, обязательное к заполнению</t>
        </is>
      </c>
      <c r="C3" s="20" t="n"/>
      <c r="D3" s="20" t="n"/>
      <c r="E3" s="21" t="n"/>
      <c r="F3" s="22" t="inlineStr">
        <is>
          <t>-поля, не обязательные к заполнению</t>
        </is>
      </c>
      <c r="G3" s="15" t="n"/>
      <c r="H3" s="15" t="n"/>
      <c r="I3" s="15" t="n"/>
      <c r="J3" s="22" t="n"/>
      <c r="K3" s="15" t="n"/>
      <c r="L3" s="15" t="n"/>
      <c r="M3" s="1" t="n"/>
      <c r="N3" s="1" t="n"/>
      <c r="O3" s="1" t="n"/>
      <c r="P3" s="1" t="n"/>
      <c r="Q3" s="1" t="n"/>
      <c r="R3" s="1" t="n"/>
      <c r="S3" s="1" t="n"/>
      <c r="T3" s="1" t="n"/>
      <c r="U3" s="16" t="n"/>
      <c r="V3" s="16" t="n"/>
      <c r="W3" s="16" t="n"/>
      <c r="X3" s="16" t="n"/>
      <c r="Y3" s="17" t="n"/>
      <c r="Z3" s="17" t="n"/>
      <c r="AA3" s="17" t="n"/>
    </row>
    <row r="4" ht="9" customFormat="1" customHeight="1" s="101">
      <c r="A4" s="23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4" t="n"/>
      <c r="O4" s="24" t="n"/>
      <c r="P4" s="24" t="n"/>
      <c r="Q4" s="24" t="n"/>
      <c r="R4" s="24" t="n"/>
      <c r="S4" s="25" t="n"/>
      <c r="T4" s="26" t="n"/>
      <c r="U4" s="26" t="n"/>
      <c r="V4" s="26" t="n"/>
      <c r="W4" s="26" t="n"/>
      <c r="X4" s="26" t="n"/>
      <c r="Y4" s="17" t="n"/>
      <c r="Z4" s="17" t="n"/>
      <c r="AA4" s="17" t="n"/>
    </row>
    <row r="5" ht="23.45" customFormat="1" customHeight="1" s="101">
      <c r="A5" s="79" t="inlineStr">
        <is>
          <t xml:space="preserve">Ваш контактный телефон и имя: </t>
        </is>
      </c>
      <c r="B5" s="123" t="n"/>
      <c r="C5" s="124" t="n"/>
      <c r="D5" s="80" t="n"/>
      <c r="E5" s="125" t="n"/>
      <c r="F5" s="81" t="inlineStr">
        <is>
          <t>Комментарий к заказу:</t>
        </is>
      </c>
      <c r="G5" s="124" t="n"/>
      <c r="H5" s="80" t="n"/>
      <c r="I5" s="126" t="n"/>
      <c r="J5" s="126" t="n"/>
      <c r="K5" s="125" t="n"/>
      <c r="M5" s="27" t="inlineStr">
        <is>
          <t>Дата загрузки</t>
        </is>
      </c>
      <c r="N5" s="127" t="n">
        <v>45219</v>
      </c>
      <c r="O5" s="128" t="n"/>
      <c r="Q5" s="83" t="inlineStr">
        <is>
          <t>Способ доставки (доставка/самовывоз)</t>
        </is>
      </c>
      <c r="R5" s="129" t="n"/>
      <c r="S5" s="84" t="inlineStr">
        <is>
          <t>Самовывоз</t>
        </is>
      </c>
      <c r="T5" s="128" t="n"/>
      <c r="Y5" s="17" t="n"/>
      <c r="Z5" s="17" t="n"/>
      <c r="AA5" s="17" t="n"/>
    </row>
    <row r="6" ht="24" customFormat="1" customHeight="1" s="101">
      <c r="A6" s="79" t="inlineStr">
        <is>
          <t>Адрес доставки:</t>
        </is>
      </c>
      <c r="B6" s="123" t="n"/>
      <c r="C6" s="124" t="n"/>
      <c r="D6" s="85" t="inlineStr">
        <is>
          <t>ЛП, ООО, Крым Респ, Симферополь г, Данилова ул, 43В, лит В, офис 4,</t>
        </is>
      </c>
      <c r="E6" s="130" t="n"/>
      <c r="F6" s="130" t="n"/>
      <c r="G6" s="130" t="n"/>
      <c r="H6" s="130" t="n"/>
      <c r="I6" s="130" t="n"/>
      <c r="J6" s="130" t="n"/>
      <c r="K6" s="128" t="n"/>
      <c r="M6" s="27" t="inlineStr">
        <is>
          <t>День недели</t>
        </is>
      </c>
      <c r="N6" s="86">
        <f>IF(N5=0," ",CHOOSE(WEEKDAY(N5,2),"Понедельник","Вторник","Среда","Четверг","Пятница","Суббота","Воскресенье"))</f>
        <v/>
      </c>
      <c r="O6" s="131" t="n"/>
      <c r="Q6" s="87" t="inlineStr">
        <is>
          <t>Наименование клиента</t>
        </is>
      </c>
      <c r="R6" s="129" t="n"/>
      <c r="S6" s="88" t="inlineStr">
        <is>
          <t>ОБЩЕСТВО С ОГРАНИЧЕННОЙ ОТВЕТСТВЕННОСТЬЮ "ЛОГИСТИЧЕСКИЙ ПАРТНЕР"</t>
        </is>
      </c>
      <c r="T6" s="132" t="n"/>
      <c r="Y6" s="17" t="n"/>
      <c r="Z6" s="17" t="n"/>
      <c r="AA6" s="17" t="n"/>
    </row>
    <row r="7" hidden="1" ht="21.75" customFormat="1" customHeight="1" s="101">
      <c r="A7" s="28" t="n"/>
      <c r="B7" s="28" t="n"/>
      <c r="C7" s="28" t="n"/>
      <c r="D7" s="89">
        <f>IFERROR(VLOOKUP(DeliveryAddress,Table,3,0),1)</f>
        <v/>
      </c>
      <c r="E7" s="133" t="n"/>
      <c r="F7" s="133" t="n"/>
      <c r="G7" s="133" t="n"/>
      <c r="H7" s="133" t="n"/>
      <c r="I7" s="133" t="n"/>
      <c r="J7" s="133" t="n"/>
      <c r="K7" s="134" t="n"/>
      <c r="M7" s="27" t="n"/>
      <c r="N7" s="29" t="n"/>
      <c r="O7" s="29" t="n"/>
      <c r="Q7" s="1" t="n"/>
      <c r="R7" s="129" t="n"/>
      <c r="S7" s="135" t="n"/>
      <c r="T7" s="136" t="n"/>
      <c r="Y7" s="17" t="n"/>
      <c r="Z7" s="17" t="n"/>
      <c r="AA7" s="17" t="n"/>
    </row>
    <row r="8" ht="25.5" customFormat="1" customHeight="1" s="101">
      <c r="A8" s="90" t="inlineStr">
        <is>
          <t>Адрес сдачи груза:</t>
        </is>
      </c>
      <c r="B8" s="137" t="n"/>
      <c r="C8" s="138" t="n"/>
      <c r="D8" s="91" t="inlineStr">
        <is>
          <t>295021Российская Федерация, Крым Респ, Симферополь г, Данилова ул, 43В, лит В, офис 4,</t>
        </is>
      </c>
      <c r="E8" s="139" t="n"/>
      <c r="F8" s="139" t="n"/>
      <c r="G8" s="139" t="n"/>
      <c r="H8" s="139" t="n"/>
      <c r="I8" s="139" t="n"/>
      <c r="J8" s="139" t="n"/>
      <c r="K8" s="140" t="n"/>
      <c r="M8" s="27" t="inlineStr">
        <is>
          <t>Время загрузки</t>
        </is>
      </c>
      <c r="N8" s="141" t="n">
        <v>0.3333333333333333</v>
      </c>
      <c r="O8" s="128" t="n"/>
      <c r="Q8" s="1" t="n"/>
      <c r="R8" s="129" t="n"/>
      <c r="S8" s="135" t="n"/>
      <c r="T8" s="136" t="n"/>
      <c r="Y8" s="17" t="n"/>
      <c r="Z8" s="17" t="n"/>
      <c r="AA8" s="17" t="n"/>
    </row>
    <row r="9" ht="39.95" customFormat="1" customHeight="1" s="101">
      <c r="A9" s="93">
        <f>IF(ISNA(VLOOKUP(DeliveryAddress,Setting!B:C,2,0)),"",IF(ISNA(VLOOKUP(UnloadAddress,Setting!B:C,2,0)),"",IF(VLOOKUP(DeliveryAddress,Setting!B:C,2,0)=VLOOKUP(UnloadAddress,Setting!B:C,2,0),"","Тип доверенности/получателя при получении в адресе перегруза:")))</f>
        <v/>
      </c>
      <c r="B9" s="1" t="n"/>
      <c r="C9" s="1" t="n"/>
      <c r="D9" s="94" t="n"/>
      <c r="E9" s="5" t="n"/>
      <c r="F9" s="93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95">
        <f>IF(AND($A$9="Тип доверенности/получателя при получении в адресе перегруза:",$D$9="Разовая доверенность"),"Введите ФИО","")</f>
        <v/>
      </c>
      <c r="I9" s="5" t="n"/>
      <c r="J9" s="95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" t="n"/>
      <c r="M9" s="30" t="inlineStr">
        <is>
          <t>Дата доставки</t>
        </is>
      </c>
      <c r="N9" s="127" t="n"/>
      <c r="O9" s="128" t="n"/>
      <c r="Q9" s="1" t="n"/>
      <c r="R9" s="129" t="n"/>
      <c r="S9" s="142" t="n"/>
      <c r="T9" s="143" t="n"/>
      <c r="U9" s="31" t="n"/>
      <c r="V9" s="31" t="n"/>
      <c r="W9" s="31" t="n"/>
      <c r="X9" s="31" t="n"/>
      <c r="Y9" s="17" t="n"/>
      <c r="Z9" s="17" t="n"/>
      <c r="AA9" s="17" t="n"/>
    </row>
    <row r="10" ht="26.45" customFormat="1" customHeight="1" s="101">
      <c r="A10" s="93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94" t="n"/>
      <c r="E10" s="5" t="n"/>
      <c r="F10" s="93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96">
        <f>IFERROR(VLOOKUP($D$10,Proxy,2,0),"")</f>
        <v/>
      </c>
      <c r="I10" s="1" t="n"/>
      <c r="J10" s="1" t="n"/>
      <c r="K10" s="1" t="n"/>
      <c r="M10" s="30" t="inlineStr">
        <is>
          <t>Время доставки</t>
        </is>
      </c>
      <c r="N10" s="141" t="n"/>
      <c r="O10" s="128" t="n"/>
      <c r="R10" s="27" t="inlineStr">
        <is>
          <t>КОД Аксапты Клиента</t>
        </is>
      </c>
      <c r="S10" s="97" t="inlineStr">
        <is>
          <t>590704</t>
        </is>
      </c>
      <c r="T10" s="132" t="n"/>
      <c r="U10" s="32" t="n"/>
      <c r="V10" s="32" t="n"/>
      <c r="W10" s="32" t="n"/>
      <c r="X10" s="32" t="n"/>
      <c r="Y10" s="17" t="n"/>
      <c r="Z10" s="17" t="n"/>
      <c r="AA10" s="17" t="n"/>
    </row>
    <row r="11" ht="15.95" customFormat="1" customHeight="1" s="101">
      <c r="A11" s="33" t="inlineStr">
        <is>
          <t>Справочная информация:</t>
        </is>
      </c>
      <c r="B11" s="34" t="n"/>
      <c r="C11" s="34" t="n"/>
      <c r="D11" s="34" t="n"/>
      <c r="E11" s="34" t="n"/>
      <c r="F11" s="34" t="n"/>
      <c r="G11" s="34" t="n"/>
      <c r="H11" s="34" t="n"/>
      <c r="I11" s="34" t="n"/>
      <c r="J11" s="34" t="n"/>
      <c r="K11" s="34" t="n"/>
      <c r="M11" s="30" t="inlineStr">
        <is>
          <t>Время доставки 2 машины</t>
        </is>
      </c>
      <c r="N11" s="141" t="n"/>
      <c r="O11" s="128" t="n"/>
      <c r="R11" s="27" t="inlineStr">
        <is>
          <t>Тип заказа</t>
        </is>
      </c>
      <c r="S11" s="144" t="inlineStr">
        <is>
          <t>Основной заказ</t>
        </is>
      </c>
      <c r="T11" s="145" t="n"/>
      <c r="U11" s="146" t="n"/>
      <c r="V11" s="146" t="n"/>
      <c r="W11" s="146" t="n"/>
      <c r="X11" s="146" t="n"/>
      <c r="Y11" s="17" t="n"/>
      <c r="Z11" s="17" t="n"/>
      <c r="AA11" s="17" t="n"/>
    </row>
    <row r="12" ht="18.6" customFormat="1" customHeight="1" s="101">
      <c r="A12" s="99" t="inlineStr">
        <is>
          <t>Телефоны для заказов:8(919)022-63-02 E-mail: Zamorozka@abiproduct.ru, Телефон сотрудников склада: 8-980-75-76-203</t>
        </is>
      </c>
      <c r="B12" s="123" t="n"/>
      <c r="C12" s="123" t="n"/>
      <c r="D12" s="123" t="n"/>
      <c r="E12" s="123" t="n"/>
      <c r="F12" s="123" t="n"/>
      <c r="G12" s="123" t="n"/>
      <c r="H12" s="123" t="n"/>
      <c r="I12" s="123" t="n"/>
      <c r="J12" s="123" t="n"/>
      <c r="K12" s="124" t="n"/>
      <c r="M12" s="27" t="inlineStr">
        <is>
          <t>Время доставки 3 машины</t>
        </is>
      </c>
      <c r="N12" s="147" t="n"/>
      <c r="O12" s="134" t="n"/>
      <c r="P12" s="36" t="n"/>
      <c r="R12" s="27" t="n"/>
      <c r="S12" s="101" t="n"/>
      <c r="T12" s="1" t="n"/>
      <c r="Y12" s="17" t="n"/>
      <c r="Z12" s="17" t="n"/>
      <c r="AA12" s="17" t="n"/>
    </row>
    <row r="13" ht="23.25" customFormat="1" customHeight="1" s="101">
      <c r="A13" s="99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123" t="n"/>
      <c r="C13" s="123" t="n"/>
      <c r="D13" s="123" t="n"/>
      <c r="E13" s="123" t="n"/>
      <c r="F13" s="123" t="n"/>
      <c r="G13" s="123" t="n"/>
      <c r="H13" s="123" t="n"/>
      <c r="I13" s="123" t="n"/>
      <c r="J13" s="123" t="n"/>
      <c r="K13" s="124" t="n"/>
      <c r="L13" s="30" t="n"/>
      <c r="M13" s="30" t="inlineStr">
        <is>
          <t>Время доставки 4 машины</t>
        </is>
      </c>
      <c r="N13" s="144" t="n"/>
      <c r="O13" s="145" t="n"/>
      <c r="P13" s="36" t="n"/>
      <c r="U13" s="38" t="n"/>
      <c r="V13" s="38" t="n"/>
      <c r="W13" s="38" t="n"/>
      <c r="X13" s="38" t="n"/>
      <c r="Y13" s="17" t="n"/>
      <c r="Z13" s="17" t="n"/>
      <c r="AA13" s="17" t="n"/>
    </row>
    <row r="14" ht="18.6" customFormat="1" customHeight="1" s="101">
      <c r="A14" s="99" t="inlineStr">
        <is>
          <t>Телефон менеджера по логистике: 8 (919) 012-30-55 - по вопросам доставки продукции</t>
        </is>
      </c>
      <c r="B14" s="123" t="n"/>
      <c r="C14" s="123" t="n"/>
      <c r="D14" s="123" t="n"/>
      <c r="E14" s="123" t="n"/>
      <c r="F14" s="123" t="n"/>
      <c r="G14" s="123" t="n"/>
      <c r="H14" s="123" t="n"/>
      <c r="I14" s="123" t="n"/>
      <c r="J14" s="123" t="n"/>
      <c r="K14" s="124" t="n"/>
      <c r="U14" s="39" t="n"/>
      <c r="V14" s="39" t="n"/>
      <c r="W14" s="39" t="n"/>
      <c r="X14" s="39" t="n"/>
      <c r="Y14" s="17" t="n"/>
      <c r="Z14" s="17" t="n"/>
      <c r="AA14" s="17" t="n"/>
    </row>
    <row r="15" ht="22.5" customFormat="1" customHeight="1" s="101">
      <c r="A15" s="102" t="inlineStr">
        <is>
          <t>Телефон по работе с претензиями/жалобами (WhatSapp): 8 (980) 757-69-93       E-mail: Claims@abiproduct.ru</t>
        </is>
      </c>
      <c r="B15" s="123" t="n"/>
      <c r="C15" s="123" t="n"/>
      <c r="D15" s="123" t="n"/>
      <c r="E15" s="123" t="n"/>
      <c r="F15" s="123" t="n"/>
      <c r="G15" s="123" t="n"/>
      <c r="H15" s="123" t="n"/>
      <c r="I15" s="123" t="n"/>
      <c r="J15" s="123" t="n"/>
      <c r="K15" s="124" t="n"/>
      <c r="M15" s="103" t="inlineStr">
        <is>
          <t>Кликните на продукт, чтобы просмотреть изображение</t>
        </is>
      </c>
      <c r="U15" s="101" t="n"/>
      <c r="V15" s="101" t="n"/>
      <c r="W15" s="101" t="n"/>
      <c r="X15" s="101" t="n"/>
      <c r="Y15" s="17" t="n"/>
      <c r="Z15" s="17" t="n"/>
      <c r="AA15" s="17" t="n"/>
    </row>
    <row r="16" ht="18.75" customHeight="1">
      <c r="B16" s="40" t="n"/>
      <c r="C16" s="40" t="n"/>
      <c r="D16" s="41" t="n"/>
      <c r="E16" s="41" t="n"/>
      <c r="F16" s="41" t="n"/>
      <c r="G16" s="41" t="n"/>
      <c r="H16" s="42" t="n"/>
      <c r="I16" s="42" t="n"/>
      <c r="J16" s="42" t="n"/>
      <c r="K16" s="42" t="n"/>
      <c r="L16" s="42" t="n"/>
      <c r="M16" s="148" t="n"/>
      <c r="N16" s="148" t="n"/>
      <c r="O16" s="148" t="n"/>
      <c r="P16" s="148" t="n"/>
      <c r="Q16" s="148" t="n"/>
      <c r="R16" s="42" t="n"/>
      <c r="S16" s="42" t="n"/>
      <c r="T16" s="43" t="n"/>
      <c r="U16" s="149" t="n"/>
      <c r="V16" s="149" t="n"/>
      <c r="W16" s="149" t="n"/>
      <c r="X16" s="149" t="n"/>
      <c r="Y16" s="149" t="n"/>
    </row>
    <row r="17" ht="27.75" customHeight="1">
      <c r="A17" s="104" t="inlineStr">
        <is>
          <t>Код единицы продаж</t>
        </is>
      </c>
      <c r="B17" s="104" t="inlineStr">
        <is>
          <t>Код продукта</t>
        </is>
      </c>
      <c r="C17" s="105" t="inlineStr">
        <is>
          <t>Номер варианта</t>
        </is>
      </c>
      <c r="D17" s="104" t="inlineStr">
        <is>
          <t xml:space="preserve">Штрих-код </t>
        </is>
      </c>
      <c r="E17" s="150" t="n"/>
      <c r="F17" s="104" t="inlineStr">
        <is>
          <t>Вес нетто штуки, кг</t>
        </is>
      </c>
      <c r="G17" s="104" t="inlineStr">
        <is>
          <t>Кол-во штук в коробе, шт</t>
        </is>
      </c>
      <c r="H17" s="104" t="inlineStr">
        <is>
          <t>Вес нетто короба, кг</t>
        </is>
      </c>
      <c r="I17" s="104" t="inlineStr">
        <is>
          <t>Вес брутто короба, кг</t>
        </is>
      </c>
      <c r="J17" s="104" t="inlineStr">
        <is>
          <t>Кол-во кор. на паллте, шт</t>
        </is>
      </c>
      <c r="K17" s="104" t="inlineStr">
        <is>
          <t>Завод</t>
        </is>
      </c>
      <c r="L17" s="104" t="inlineStr">
        <is>
          <t>Срок годности, сут.</t>
        </is>
      </c>
      <c r="M17" s="104" t="inlineStr">
        <is>
          <t>Наименование</t>
        </is>
      </c>
      <c r="N17" s="151" t="n"/>
      <c r="O17" s="151" t="n"/>
      <c r="P17" s="151" t="n"/>
      <c r="Q17" s="150" t="n"/>
      <c r="R17" s="114" t="inlineStr">
        <is>
          <t>Доступно к отгрузке</t>
        </is>
      </c>
      <c r="S17" s="124" t="n"/>
      <c r="T17" s="104" t="inlineStr">
        <is>
          <t>Ед. изм.</t>
        </is>
      </c>
      <c r="U17" s="104" t="inlineStr">
        <is>
          <t>Заказ</t>
        </is>
      </c>
      <c r="V17" s="115" t="inlineStr">
        <is>
          <t>Заказ с округлением до короба</t>
        </is>
      </c>
      <c r="W17" s="104" t="inlineStr">
        <is>
          <t>Объём заказа, м3</t>
        </is>
      </c>
      <c r="X17" s="116" t="inlineStr">
        <is>
          <t>Примечание по продуктку</t>
        </is>
      </c>
      <c r="Y17" s="116" t="inlineStr">
        <is>
          <t>Признак "НОВИНКА"</t>
        </is>
      </c>
      <c r="Z17" s="116" t="inlineStr">
        <is>
          <t>Для формул</t>
        </is>
      </c>
      <c r="AA17" s="152" t="n"/>
      <c r="AB17" s="153" t="n"/>
      <c r="AC17" s="117" t="n"/>
      <c r="AZ17" s="106" t="inlineStr">
        <is>
          <t>Вид продукции</t>
        </is>
      </c>
    </row>
    <row r="18" ht="14.25" customHeight="1">
      <c r="A18" s="154" t="n"/>
      <c r="B18" s="154" t="n"/>
      <c r="C18" s="154" t="n"/>
      <c r="D18" s="155" t="n"/>
      <c r="E18" s="156" t="n"/>
      <c r="F18" s="154" t="n"/>
      <c r="G18" s="154" t="n"/>
      <c r="H18" s="154" t="n"/>
      <c r="I18" s="154" t="n"/>
      <c r="J18" s="154" t="n"/>
      <c r="K18" s="154" t="n"/>
      <c r="L18" s="154" t="n"/>
      <c r="M18" s="155" t="n"/>
      <c r="N18" s="157" t="n"/>
      <c r="O18" s="157" t="n"/>
      <c r="P18" s="157" t="n"/>
      <c r="Q18" s="156" t="n"/>
      <c r="R18" s="114" t="inlineStr">
        <is>
          <t>начиная с</t>
        </is>
      </c>
      <c r="S18" s="114" t="inlineStr">
        <is>
          <t>до</t>
        </is>
      </c>
      <c r="T18" s="154" t="n"/>
      <c r="U18" s="154" t="n"/>
      <c r="V18" s="158" t="n"/>
      <c r="W18" s="154" t="n"/>
      <c r="X18" s="159" t="n"/>
      <c r="Y18" s="159" t="n"/>
      <c r="Z18" s="160" t="n"/>
      <c r="AA18" s="161" t="n"/>
      <c r="AB18" s="162" t="n"/>
      <c r="AC18" s="163" t="n"/>
      <c r="AZ18" s="1" t="n"/>
    </row>
    <row r="19" ht="27.75" customHeight="1">
      <c r="A19" s="107" t="inlineStr">
        <is>
          <t>Ядрена копоть</t>
        </is>
      </c>
      <c r="B19" s="164" t="n"/>
      <c r="C19" s="164" t="n"/>
      <c r="D19" s="164" t="n"/>
      <c r="E19" s="164" t="n"/>
      <c r="F19" s="164" t="n"/>
      <c r="G19" s="164" t="n"/>
      <c r="H19" s="164" t="n"/>
      <c r="I19" s="164" t="n"/>
      <c r="J19" s="164" t="n"/>
      <c r="K19" s="164" t="n"/>
      <c r="L19" s="164" t="n"/>
      <c r="M19" s="164" t="n"/>
      <c r="N19" s="164" t="n"/>
      <c r="O19" s="164" t="n"/>
      <c r="P19" s="164" t="n"/>
      <c r="Q19" s="164" t="n"/>
      <c r="R19" s="164" t="n"/>
      <c r="S19" s="164" t="n"/>
      <c r="T19" s="164" t="n"/>
      <c r="U19" s="164" t="n"/>
      <c r="V19" s="164" t="n"/>
      <c r="W19" s="164" t="n"/>
      <c r="X19" s="46" t="n"/>
      <c r="Y19" s="46" t="n"/>
    </row>
    <row r="20" ht="16.5" customHeight="1">
      <c r="A20" s="108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08" t="n"/>
      <c r="Y20" s="108" t="n"/>
    </row>
    <row r="21" ht="14.25" customHeight="1">
      <c r="A21" s="109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09" t="n"/>
      <c r="Y21" s="109" t="n"/>
    </row>
    <row r="22" ht="27" customHeight="1">
      <c r="A22" s="49" t="inlineStr">
        <is>
          <t>SU002224</t>
        </is>
      </c>
      <c r="B22" s="49" t="inlineStr">
        <is>
          <t>P002410</t>
        </is>
      </c>
      <c r="C22" s="50" t="n">
        <v>4301070826</v>
      </c>
      <c r="D22" s="110" t="n">
        <v>4607111035752</v>
      </c>
      <c r="E22" s="131" t="n"/>
      <c r="F22" s="165" t="n">
        <v>0.43</v>
      </c>
      <c r="G22" s="52" t="n">
        <v>16</v>
      </c>
      <c r="H22" s="165" t="n">
        <v>6.88</v>
      </c>
      <c r="I22" s="165" t="n">
        <v>7.254</v>
      </c>
      <c r="J22" s="52" t="n">
        <v>84</v>
      </c>
      <c r="K22" s="53" t="inlineStr">
        <is>
          <t>МГ</t>
        </is>
      </c>
      <c r="L22" s="52" t="n">
        <v>90</v>
      </c>
      <c r="M22" s="111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N22" s="166" t="n"/>
      <c r="O22" s="166" t="n"/>
      <c r="P22" s="166" t="n"/>
      <c r="Q22" s="131" t="n"/>
      <c r="R22" s="54" t="n"/>
      <c r="S22" s="54" t="n"/>
      <c r="T22" s="55" t="inlineStr">
        <is>
          <t>кор</t>
        </is>
      </c>
      <c r="U22" s="167" t="n">
        <v>0</v>
      </c>
      <c r="V22" s="168">
        <f>IFERROR(IF(U22="","",U22),"")</f>
        <v/>
      </c>
      <c r="W22" s="58">
        <f>IFERROR(IF(U22="","",U22*0.0155),"")</f>
        <v/>
      </c>
      <c r="X22" s="59" t="n"/>
      <c r="Y22" s="60" t="n"/>
      <c r="AC22" s="61" t="n"/>
      <c r="AZ22" s="62" t="inlineStr">
        <is>
          <t>ЗПФ</t>
        </is>
      </c>
    </row>
    <row r="23">
      <c r="A23" s="112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69" t="n"/>
      <c r="M23" s="113" t="inlineStr">
        <is>
          <t>Итого</t>
        </is>
      </c>
      <c r="N23" s="137" t="n"/>
      <c r="O23" s="137" t="n"/>
      <c r="P23" s="137" t="n"/>
      <c r="Q23" s="137" t="n"/>
      <c r="R23" s="137" t="n"/>
      <c r="S23" s="138" t="n"/>
      <c r="T23" s="63" t="inlineStr">
        <is>
          <t>кор</t>
        </is>
      </c>
      <c r="U23" s="170">
        <f>IFERROR(SUM(U22:U22),"0")</f>
        <v/>
      </c>
      <c r="V23" s="170">
        <f>IFERROR(SUM(V22:V22),"0")</f>
        <v/>
      </c>
      <c r="W23" s="170">
        <f>IFERROR(IF(W22="",0,W22),"0")</f>
        <v/>
      </c>
      <c r="X23" s="171" t="n"/>
      <c r="Y23" s="17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69" t="n"/>
      <c r="M24" s="113" t="inlineStr">
        <is>
          <t>Итого</t>
        </is>
      </c>
      <c r="N24" s="137" t="n"/>
      <c r="O24" s="137" t="n"/>
      <c r="P24" s="137" t="n"/>
      <c r="Q24" s="137" t="n"/>
      <c r="R24" s="137" t="n"/>
      <c r="S24" s="138" t="n"/>
      <c r="T24" s="63" t="inlineStr">
        <is>
          <t>кг</t>
        </is>
      </c>
      <c r="U24" s="170">
        <f>IFERROR(SUMPRODUCT(U22:U22*H22:H22),"0")</f>
        <v/>
      </c>
      <c r="V24" s="170">
        <f>IFERROR(SUMPRODUCT(V22:V22*H22:H22),"0")</f>
        <v/>
      </c>
      <c r="W24" s="63" t="n"/>
      <c r="X24" s="171" t="n"/>
      <c r="Y24" s="171" t="n"/>
    </row>
    <row r="25" ht="27.75" customHeight="1">
      <c r="A25" s="107" t="inlineStr">
        <is>
          <t>Горячая штучка</t>
        </is>
      </c>
      <c r="B25" s="164" t="n"/>
      <c r="C25" s="164" t="n"/>
      <c r="D25" s="164" t="n"/>
      <c r="E25" s="164" t="n"/>
      <c r="F25" s="164" t="n"/>
      <c r="G25" s="164" t="n"/>
      <c r="H25" s="164" t="n"/>
      <c r="I25" s="164" t="n"/>
      <c r="J25" s="164" t="n"/>
      <c r="K25" s="164" t="n"/>
      <c r="L25" s="164" t="n"/>
      <c r="M25" s="164" t="n"/>
      <c r="N25" s="164" t="n"/>
      <c r="O25" s="164" t="n"/>
      <c r="P25" s="164" t="n"/>
      <c r="Q25" s="164" t="n"/>
      <c r="R25" s="164" t="n"/>
      <c r="S25" s="164" t="n"/>
      <c r="T25" s="164" t="n"/>
      <c r="U25" s="164" t="n"/>
      <c r="V25" s="164" t="n"/>
      <c r="W25" s="164" t="n"/>
      <c r="X25" s="46" t="n"/>
      <c r="Y25" s="46" t="n"/>
    </row>
    <row r="26" ht="16.5" customHeight="1">
      <c r="A26" s="108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08" t="n"/>
      <c r="Y26" s="108" t="n"/>
    </row>
    <row r="27" ht="14.25" customHeight="1">
      <c r="A27" s="109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09" t="n"/>
      <c r="Y27" s="109" t="n"/>
    </row>
    <row r="28" ht="27" customHeight="1">
      <c r="A28" s="49" t="inlineStr">
        <is>
          <t>SU002761</t>
        </is>
      </c>
      <c r="B28" s="49" t="inlineStr">
        <is>
          <t>P003144</t>
        </is>
      </c>
      <c r="C28" s="50" t="n">
        <v>4301132066</v>
      </c>
      <c r="D28" s="110" t="n">
        <v>4607111036520</v>
      </c>
      <c r="E28" s="131" t="n"/>
      <c r="F28" s="165" t="n">
        <v>0.25</v>
      </c>
      <c r="G28" s="52" t="n">
        <v>6</v>
      </c>
      <c r="H28" s="165" t="n">
        <v>1.5</v>
      </c>
      <c r="I28" s="165" t="n">
        <v>1.9218</v>
      </c>
      <c r="J28" s="52" t="n">
        <v>126</v>
      </c>
      <c r="K28" s="53" t="inlineStr">
        <is>
          <t>МГ</t>
        </is>
      </c>
      <c r="L28" s="52" t="n">
        <v>180</v>
      </c>
      <c r="M28" s="111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N28" s="166" t="n"/>
      <c r="O28" s="166" t="n"/>
      <c r="P28" s="166" t="n"/>
      <c r="Q28" s="131" t="n"/>
      <c r="R28" s="54" t="n"/>
      <c r="S28" s="54" t="n"/>
      <c r="T28" s="55" t="inlineStr">
        <is>
          <t>кор</t>
        </is>
      </c>
      <c r="U28" s="167" t="n">
        <v>0</v>
      </c>
      <c r="V28" s="168">
        <f>IFERROR(IF(U28="","",U28),"")</f>
        <v/>
      </c>
      <c r="W28" s="58">
        <f>IFERROR(IF(U28="","",U28*0.00936),"")</f>
        <v/>
      </c>
      <c r="X28" s="59" t="n"/>
      <c r="Y28" s="60" t="n"/>
      <c r="AC28" s="61" t="n"/>
      <c r="AZ28" s="62" t="inlineStr">
        <is>
          <t>ПГП</t>
        </is>
      </c>
    </row>
    <row r="29" ht="27" customHeight="1">
      <c r="A29" s="49" t="inlineStr">
        <is>
          <t>SU002762</t>
        </is>
      </c>
      <c r="B29" s="49" t="inlineStr">
        <is>
          <t>P003141</t>
        </is>
      </c>
      <c r="C29" s="50" t="n">
        <v>4301132063</v>
      </c>
      <c r="D29" s="110" t="n">
        <v>4607111036605</v>
      </c>
      <c r="E29" s="131" t="n"/>
      <c r="F29" s="165" t="n">
        <v>0.25</v>
      </c>
      <c r="G29" s="52" t="n">
        <v>6</v>
      </c>
      <c r="H29" s="165" t="n">
        <v>1.5</v>
      </c>
      <c r="I29" s="165" t="n">
        <v>1.9218</v>
      </c>
      <c r="J29" s="52" t="n">
        <v>126</v>
      </c>
      <c r="K29" s="53" t="inlineStr">
        <is>
          <t>МГ</t>
        </is>
      </c>
      <c r="L29" s="52" t="n">
        <v>180</v>
      </c>
      <c r="M29" s="111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N29" s="166" t="n"/>
      <c r="O29" s="166" t="n"/>
      <c r="P29" s="166" t="n"/>
      <c r="Q29" s="131" t="n"/>
      <c r="R29" s="54" t="n"/>
      <c r="S29" s="54" t="n"/>
      <c r="T29" s="55" t="inlineStr">
        <is>
          <t>кор</t>
        </is>
      </c>
      <c r="U29" s="167" t="n">
        <v>0</v>
      </c>
      <c r="V29" s="168">
        <f>IFERROR(IF(U29="","",U29),"")</f>
        <v/>
      </c>
      <c r="W29" s="58">
        <f>IFERROR(IF(U29="","",U29*0.00936),"")</f>
        <v/>
      </c>
      <c r="X29" s="59" t="n"/>
      <c r="Y29" s="60" t="n"/>
      <c r="AC29" s="61" t="n"/>
      <c r="AZ29" s="62" t="inlineStr">
        <is>
          <t>ПГП</t>
        </is>
      </c>
    </row>
    <row r="30" ht="27" customHeight="1">
      <c r="A30" s="49" t="inlineStr">
        <is>
          <t>SU002763</t>
        </is>
      </c>
      <c r="B30" s="49" t="inlineStr">
        <is>
          <t>P003143</t>
        </is>
      </c>
      <c r="C30" s="50" t="n">
        <v>4301132064</v>
      </c>
      <c r="D30" s="110" t="n">
        <v>4607111036537</v>
      </c>
      <c r="E30" s="131" t="n"/>
      <c r="F30" s="165" t="n">
        <v>0.25</v>
      </c>
      <c r="G30" s="52" t="n">
        <v>6</v>
      </c>
      <c r="H30" s="165" t="n">
        <v>1.5</v>
      </c>
      <c r="I30" s="165" t="n">
        <v>1.9218</v>
      </c>
      <c r="J30" s="52" t="n">
        <v>126</v>
      </c>
      <c r="K30" s="53" t="inlineStr">
        <is>
          <t>МГ</t>
        </is>
      </c>
      <c r="L30" s="52" t="n">
        <v>180</v>
      </c>
      <c r="M30" s="111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N30" s="166" t="n"/>
      <c r="O30" s="166" t="n"/>
      <c r="P30" s="166" t="n"/>
      <c r="Q30" s="131" t="n"/>
      <c r="R30" s="54" t="n"/>
      <c r="S30" s="54" t="n"/>
      <c r="T30" s="55" t="inlineStr">
        <is>
          <t>кор</t>
        </is>
      </c>
      <c r="U30" s="167" t="n">
        <v>140</v>
      </c>
      <c r="V30" s="168">
        <f>IFERROR(IF(U30="","",U30),"")</f>
        <v/>
      </c>
      <c r="W30" s="58">
        <f>IFERROR(IF(U30="","",U30*0.00936),"")</f>
        <v/>
      </c>
      <c r="X30" s="59" t="n"/>
      <c r="Y30" s="60" t="n"/>
      <c r="AC30" s="61" t="n"/>
      <c r="AZ30" s="62" t="inlineStr">
        <is>
          <t>ПГП</t>
        </is>
      </c>
    </row>
    <row r="31" ht="27" customHeight="1">
      <c r="A31" s="49" t="inlineStr">
        <is>
          <t>SU002760</t>
        </is>
      </c>
      <c r="B31" s="49" t="inlineStr">
        <is>
          <t>P003142</t>
        </is>
      </c>
      <c r="C31" s="50" t="n">
        <v>4301132065</v>
      </c>
      <c r="D31" s="110" t="n">
        <v>4607111036599</v>
      </c>
      <c r="E31" s="131" t="n"/>
      <c r="F31" s="165" t="n">
        <v>0.25</v>
      </c>
      <c r="G31" s="52" t="n">
        <v>6</v>
      </c>
      <c r="H31" s="165" t="n">
        <v>1.5</v>
      </c>
      <c r="I31" s="165" t="n">
        <v>1.9218</v>
      </c>
      <c r="J31" s="52" t="n">
        <v>126</v>
      </c>
      <c r="K31" s="53" t="inlineStr">
        <is>
          <t>МГ</t>
        </is>
      </c>
      <c r="L31" s="52" t="n">
        <v>180</v>
      </c>
      <c r="M31" s="111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N31" s="166" t="n"/>
      <c r="O31" s="166" t="n"/>
      <c r="P31" s="166" t="n"/>
      <c r="Q31" s="131" t="n"/>
      <c r="R31" s="54" t="n"/>
      <c r="S31" s="54" t="n"/>
      <c r="T31" s="55" t="inlineStr">
        <is>
          <t>кор</t>
        </is>
      </c>
      <c r="U31" s="167" t="n">
        <v>0</v>
      </c>
      <c r="V31" s="168">
        <f>IFERROR(IF(U31="","",U31),"")</f>
        <v/>
      </c>
      <c r="W31" s="58">
        <f>IFERROR(IF(U31="","",U31*0.00936),"")</f>
        <v/>
      </c>
      <c r="X31" s="59" t="n"/>
      <c r="Y31" s="60" t="n"/>
      <c r="AC31" s="61" t="n"/>
      <c r="AZ31" s="62" t="inlineStr">
        <is>
          <t>ПГП</t>
        </is>
      </c>
    </row>
    <row r="32">
      <c r="A32" s="112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69" t="n"/>
      <c r="M32" s="113" t="inlineStr">
        <is>
          <t>Итого</t>
        </is>
      </c>
      <c r="N32" s="137" t="n"/>
      <c r="O32" s="137" t="n"/>
      <c r="P32" s="137" t="n"/>
      <c r="Q32" s="137" t="n"/>
      <c r="R32" s="137" t="n"/>
      <c r="S32" s="138" t="n"/>
      <c r="T32" s="63" t="inlineStr">
        <is>
          <t>кор</t>
        </is>
      </c>
      <c r="U32" s="170">
        <f>IFERROR(SUM(U28:U31),"0")</f>
        <v/>
      </c>
      <c r="V32" s="170">
        <f>IFERROR(SUM(V28:V31),"0")</f>
        <v/>
      </c>
      <c r="W32" s="170">
        <f>IFERROR(IF(W28="",0,W28),"0")+IFERROR(IF(W29="",0,W29),"0")+IFERROR(IF(W30="",0,W30),"0")+IFERROR(IF(W31="",0,W31),"0")</f>
        <v/>
      </c>
      <c r="X32" s="171" t="n"/>
      <c r="Y32" s="17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69" t="n"/>
      <c r="M33" s="113" t="inlineStr">
        <is>
          <t>Итого</t>
        </is>
      </c>
      <c r="N33" s="137" t="n"/>
      <c r="O33" s="137" t="n"/>
      <c r="P33" s="137" t="n"/>
      <c r="Q33" s="137" t="n"/>
      <c r="R33" s="137" t="n"/>
      <c r="S33" s="138" t="n"/>
      <c r="T33" s="63" t="inlineStr">
        <is>
          <t>кг</t>
        </is>
      </c>
      <c r="U33" s="170">
        <f>IFERROR(SUMPRODUCT(U28:U31*H28:H31),"0")</f>
        <v/>
      </c>
      <c r="V33" s="170">
        <f>IFERROR(SUMPRODUCT(V28:V31*H28:H31),"0")</f>
        <v/>
      </c>
      <c r="W33" s="63" t="n"/>
      <c r="X33" s="171" t="n"/>
      <c r="Y33" s="171" t="n"/>
    </row>
    <row r="34" ht="16.5" customHeight="1">
      <c r="A34" s="108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08" t="n"/>
      <c r="Y34" s="108" t="n"/>
    </row>
    <row r="35" ht="14.25" customHeight="1">
      <c r="A35" s="109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09" t="n"/>
      <c r="Y35" s="109" t="n"/>
    </row>
    <row r="36" ht="27" customHeight="1">
      <c r="A36" s="49" t="inlineStr">
        <is>
          <t>SU002346</t>
        </is>
      </c>
      <c r="B36" s="49" t="inlineStr">
        <is>
          <t>P002646</t>
        </is>
      </c>
      <c r="C36" s="50" t="n">
        <v>4301070865</v>
      </c>
      <c r="D36" s="110" t="n">
        <v>4607111036285</v>
      </c>
      <c r="E36" s="131" t="n"/>
      <c r="F36" s="165" t="n">
        <v>0.75</v>
      </c>
      <c r="G36" s="52" t="n">
        <v>8</v>
      </c>
      <c r="H36" s="165" t="n">
        <v>6</v>
      </c>
      <c r="I36" s="165" t="n">
        <v>6.27</v>
      </c>
      <c r="J36" s="52" t="n">
        <v>84</v>
      </c>
      <c r="K36" s="53" t="inlineStr">
        <is>
          <t>МГ</t>
        </is>
      </c>
      <c r="L36" s="52" t="n">
        <v>180</v>
      </c>
      <c r="M36" s="111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N36" s="166" t="n"/>
      <c r="O36" s="166" t="n"/>
      <c r="P36" s="166" t="n"/>
      <c r="Q36" s="131" t="n"/>
      <c r="R36" s="54" t="n"/>
      <c r="S36" s="54" t="n"/>
      <c r="T36" s="55" t="inlineStr">
        <is>
          <t>кор</t>
        </is>
      </c>
      <c r="U36" s="167" t="n">
        <v>0</v>
      </c>
      <c r="V36" s="168">
        <f>IFERROR(IF(U36="","",U36),"")</f>
        <v/>
      </c>
      <c r="W36" s="58">
        <f>IFERROR(IF(U36="","",U36*0.0155),"")</f>
        <v/>
      </c>
      <c r="X36" s="59" t="n"/>
      <c r="Y36" s="60" t="n"/>
      <c r="AC36" s="61" t="n"/>
      <c r="AZ36" s="62" t="inlineStr">
        <is>
          <t>ЗПФ</t>
        </is>
      </c>
    </row>
    <row r="37" ht="27" customHeight="1">
      <c r="A37" s="49" t="inlineStr">
        <is>
          <t>SU002321</t>
        </is>
      </c>
      <c r="B37" s="49" t="inlineStr">
        <is>
          <t>P002599</t>
        </is>
      </c>
      <c r="C37" s="50" t="n">
        <v>4301070861</v>
      </c>
      <c r="D37" s="110" t="n">
        <v>4607111036308</v>
      </c>
      <c r="E37" s="131" t="n"/>
      <c r="F37" s="165" t="n">
        <v>0.75</v>
      </c>
      <c r="G37" s="52" t="n">
        <v>8</v>
      </c>
      <c r="H37" s="165" t="n">
        <v>6</v>
      </c>
      <c r="I37" s="165" t="n">
        <v>6.27</v>
      </c>
      <c r="J37" s="52" t="n">
        <v>84</v>
      </c>
      <c r="K37" s="53" t="inlineStr">
        <is>
          <t>МГ</t>
        </is>
      </c>
      <c r="L37" s="52" t="n">
        <v>180</v>
      </c>
      <c r="M37" s="118" t="inlineStr">
        <is>
          <t>Пельмени Grandmeni с говядиной в сливочном соусе Grandmeni 0,75 Сфера Горячая штучка</t>
        </is>
      </c>
      <c r="N37" s="166" t="n"/>
      <c r="O37" s="166" t="n"/>
      <c r="P37" s="166" t="n"/>
      <c r="Q37" s="131" t="n"/>
      <c r="R37" s="54" t="n"/>
      <c r="S37" s="54" t="n"/>
      <c r="T37" s="55" t="inlineStr">
        <is>
          <t>кор</t>
        </is>
      </c>
      <c r="U37" s="167" t="n">
        <v>0</v>
      </c>
      <c r="V37" s="168">
        <f>IFERROR(IF(U37="","",U37),"")</f>
        <v/>
      </c>
      <c r="W37" s="58">
        <f>IFERROR(IF(U37="","",U37*0.0155),"")</f>
        <v/>
      </c>
      <c r="X37" s="59" t="n"/>
      <c r="Y37" s="60" t="n"/>
      <c r="AC37" s="61" t="n"/>
      <c r="AZ37" s="62" t="inlineStr">
        <is>
          <t>ЗПФ</t>
        </is>
      </c>
    </row>
    <row r="38" ht="27" customHeight="1">
      <c r="A38" s="49" t="inlineStr">
        <is>
          <t>SU002320</t>
        </is>
      </c>
      <c r="B38" s="49" t="inlineStr">
        <is>
          <t>P002782</t>
        </is>
      </c>
      <c r="C38" s="50" t="n">
        <v>4301070884</v>
      </c>
      <c r="D38" s="110" t="n">
        <v>4607111036315</v>
      </c>
      <c r="E38" s="131" t="n"/>
      <c r="F38" s="165" t="n">
        <v>0.75</v>
      </c>
      <c r="G38" s="52" t="n">
        <v>8</v>
      </c>
      <c r="H38" s="165" t="n">
        <v>6</v>
      </c>
      <c r="I38" s="165" t="n">
        <v>6.27</v>
      </c>
      <c r="J38" s="52" t="n">
        <v>84</v>
      </c>
      <c r="K38" s="53" t="inlineStr">
        <is>
          <t>МГ</t>
        </is>
      </c>
      <c r="L38" s="52" t="n">
        <v>180</v>
      </c>
      <c r="M38" s="111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N38" s="166" t="n"/>
      <c r="O38" s="166" t="n"/>
      <c r="P38" s="166" t="n"/>
      <c r="Q38" s="131" t="n"/>
      <c r="R38" s="54" t="n"/>
      <c r="S38" s="54" t="n"/>
      <c r="T38" s="55" t="inlineStr">
        <is>
          <t>кор</t>
        </is>
      </c>
      <c r="U38" s="167" t="n">
        <v>0</v>
      </c>
      <c r="V38" s="168">
        <f>IFERROR(IF(U38="","",U38),"")</f>
        <v/>
      </c>
      <c r="W38" s="58">
        <f>IFERROR(IF(U38="","",U38*0.0155),"")</f>
        <v/>
      </c>
      <c r="X38" s="59" t="n"/>
      <c r="Y38" s="60" t="n"/>
      <c r="AC38" s="61" t="n"/>
      <c r="AZ38" s="62" t="inlineStr">
        <is>
          <t>ЗПФ</t>
        </is>
      </c>
    </row>
    <row r="39" ht="27" customHeight="1">
      <c r="A39" s="49" t="inlineStr">
        <is>
          <t>SU002345</t>
        </is>
      </c>
      <c r="B39" s="49" t="inlineStr">
        <is>
          <t>P002645</t>
        </is>
      </c>
      <c r="C39" s="50" t="n">
        <v>4301070864</v>
      </c>
      <c r="D39" s="110" t="n">
        <v>4607111036292</v>
      </c>
      <c r="E39" s="131" t="n"/>
      <c r="F39" s="165" t="n">
        <v>0.75</v>
      </c>
      <c r="G39" s="52" t="n">
        <v>8</v>
      </c>
      <c r="H39" s="165" t="n">
        <v>6</v>
      </c>
      <c r="I39" s="165" t="n">
        <v>6.27</v>
      </c>
      <c r="J39" s="52" t="n">
        <v>84</v>
      </c>
      <c r="K39" s="53" t="inlineStr">
        <is>
          <t>МГ</t>
        </is>
      </c>
      <c r="L39" s="52" t="n">
        <v>180</v>
      </c>
      <c r="M39" s="111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N39" s="166" t="n"/>
      <c r="O39" s="166" t="n"/>
      <c r="P39" s="166" t="n"/>
      <c r="Q39" s="131" t="n"/>
      <c r="R39" s="54" t="n"/>
      <c r="S39" s="54" t="n"/>
      <c r="T39" s="55" t="inlineStr">
        <is>
          <t>кор</t>
        </is>
      </c>
      <c r="U39" s="167" t="n">
        <v>10</v>
      </c>
      <c r="V39" s="168">
        <f>IFERROR(IF(U39="","",U39),"")</f>
        <v/>
      </c>
      <c r="W39" s="58">
        <f>IFERROR(IF(U39="","",U39*0.0155),"")</f>
        <v/>
      </c>
      <c r="X39" s="59" t="n"/>
      <c r="Y39" s="60" t="n"/>
      <c r="AC39" s="61" t="n"/>
      <c r="AZ39" s="62" t="inlineStr">
        <is>
          <t>ЗПФ</t>
        </is>
      </c>
    </row>
    <row r="40">
      <c r="A40" s="112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69" t="n"/>
      <c r="M40" s="113" t="inlineStr">
        <is>
          <t>Итого</t>
        </is>
      </c>
      <c r="N40" s="137" t="n"/>
      <c r="O40" s="137" t="n"/>
      <c r="P40" s="137" t="n"/>
      <c r="Q40" s="137" t="n"/>
      <c r="R40" s="137" t="n"/>
      <c r="S40" s="138" t="n"/>
      <c r="T40" s="63" t="inlineStr">
        <is>
          <t>кор</t>
        </is>
      </c>
      <c r="U40" s="170">
        <f>IFERROR(SUM(U36:U39),"0")</f>
        <v/>
      </c>
      <c r="V40" s="170">
        <f>IFERROR(SUM(V36:V39),"0")</f>
        <v/>
      </c>
      <c r="W40" s="170">
        <f>IFERROR(IF(W36="",0,W36),"0")+IFERROR(IF(W37="",0,W37),"0")+IFERROR(IF(W38="",0,W38),"0")+IFERROR(IF(W39="",0,W39),"0")</f>
        <v/>
      </c>
      <c r="X40" s="171" t="n"/>
      <c r="Y40" s="17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69" t="n"/>
      <c r="M41" s="113" t="inlineStr">
        <is>
          <t>Итого</t>
        </is>
      </c>
      <c r="N41" s="137" t="n"/>
      <c r="O41" s="137" t="n"/>
      <c r="P41" s="137" t="n"/>
      <c r="Q41" s="137" t="n"/>
      <c r="R41" s="137" t="n"/>
      <c r="S41" s="138" t="n"/>
      <c r="T41" s="63" t="inlineStr">
        <is>
          <t>кг</t>
        </is>
      </c>
      <c r="U41" s="170">
        <f>IFERROR(SUMPRODUCT(U36:U39*H36:H39),"0")</f>
        <v/>
      </c>
      <c r="V41" s="170">
        <f>IFERROR(SUMPRODUCT(V36:V39*H36:H39),"0")</f>
        <v/>
      </c>
      <c r="W41" s="63" t="n"/>
      <c r="X41" s="171" t="n"/>
      <c r="Y41" s="171" t="n"/>
    </row>
    <row r="42" ht="16.5" customHeight="1">
      <c r="A42" s="108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08" t="n"/>
      <c r="Y42" s="108" t="n"/>
    </row>
    <row r="43" ht="14.25" customHeight="1">
      <c r="A43" s="109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09" t="n"/>
      <c r="Y43" s="109" t="n"/>
    </row>
    <row r="44" ht="27" customHeight="1">
      <c r="A44" s="49" t="inlineStr">
        <is>
          <t>SU002492</t>
        </is>
      </c>
      <c r="B44" s="49" t="inlineStr">
        <is>
          <t>P003183</t>
        </is>
      </c>
      <c r="C44" s="50" t="n">
        <v>4301190014</v>
      </c>
      <c r="D44" s="110" t="n">
        <v>4607111037053</v>
      </c>
      <c r="E44" s="131" t="n"/>
      <c r="F44" s="165" t="n">
        <v>0.2</v>
      </c>
      <c r="G44" s="52" t="n">
        <v>6</v>
      </c>
      <c r="H44" s="165" t="n">
        <v>1.2</v>
      </c>
      <c r="I44" s="165" t="n">
        <v>1.5918</v>
      </c>
      <c r="J44" s="52" t="n">
        <v>130</v>
      </c>
      <c r="K44" s="53" t="inlineStr">
        <is>
          <t>МГ</t>
        </is>
      </c>
      <c r="L44" s="52" t="n">
        <v>365</v>
      </c>
      <c r="M44" s="111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N44" s="166" t="n"/>
      <c r="O44" s="166" t="n"/>
      <c r="P44" s="166" t="n"/>
      <c r="Q44" s="131" t="n"/>
      <c r="R44" s="54" t="n"/>
      <c r="S44" s="54" t="n"/>
      <c r="T44" s="55" t="inlineStr">
        <is>
          <t>кор</t>
        </is>
      </c>
      <c r="U44" s="167" t="n">
        <v>10</v>
      </c>
      <c r="V44" s="168">
        <f>IFERROR(IF(U44="","",U44),"")</f>
        <v/>
      </c>
      <c r="W44" s="58">
        <f>IFERROR(IF(U44="","",U44*0.0095),"")</f>
        <v/>
      </c>
      <c r="X44" s="59" t="n"/>
      <c r="Y44" s="60" t="n"/>
      <c r="AC44" s="61" t="n"/>
      <c r="AZ44" s="62" t="inlineStr">
        <is>
          <t>ПГП</t>
        </is>
      </c>
    </row>
    <row r="45" ht="27" customHeight="1">
      <c r="A45" s="49" t="inlineStr">
        <is>
          <t>SU002582</t>
        </is>
      </c>
      <c r="B45" s="49" t="inlineStr">
        <is>
          <t>P003184</t>
        </is>
      </c>
      <c r="C45" s="50" t="n">
        <v>4301190015</v>
      </c>
      <c r="D45" s="110" t="n">
        <v>4607111037060</v>
      </c>
      <c r="E45" s="131" t="n"/>
      <c r="F45" s="165" t="n">
        <v>0.2</v>
      </c>
      <c r="G45" s="52" t="n">
        <v>6</v>
      </c>
      <c r="H45" s="165" t="n">
        <v>1.2</v>
      </c>
      <c r="I45" s="165" t="n">
        <v>1.5918</v>
      </c>
      <c r="J45" s="52" t="n">
        <v>130</v>
      </c>
      <c r="K45" s="53" t="inlineStr">
        <is>
          <t>МГ</t>
        </is>
      </c>
      <c r="L45" s="52" t="n">
        <v>365</v>
      </c>
      <c r="M45" s="111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N45" s="166" t="n"/>
      <c r="O45" s="166" t="n"/>
      <c r="P45" s="166" t="n"/>
      <c r="Q45" s="131" t="n"/>
      <c r="R45" s="54" t="n"/>
      <c r="S45" s="54" t="n"/>
      <c r="T45" s="55" t="inlineStr">
        <is>
          <t>кор</t>
        </is>
      </c>
      <c r="U45" s="167" t="n">
        <v>30</v>
      </c>
      <c r="V45" s="168">
        <f>IFERROR(IF(U45="","",U45),"")</f>
        <v/>
      </c>
      <c r="W45" s="58">
        <f>IFERROR(IF(U45="","",U45*0.0095),"")</f>
        <v/>
      </c>
      <c r="X45" s="59" t="n"/>
      <c r="Y45" s="60" t="n"/>
      <c r="AC45" s="61" t="n"/>
      <c r="AZ45" s="62" t="inlineStr">
        <is>
          <t>ПГП</t>
        </is>
      </c>
    </row>
    <row r="46">
      <c r="A46" s="112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69" t="n"/>
      <c r="M46" s="113" t="inlineStr">
        <is>
          <t>Итого</t>
        </is>
      </c>
      <c r="N46" s="137" t="n"/>
      <c r="O46" s="137" t="n"/>
      <c r="P46" s="137" t="n"/>
      <c r="Q46" s="137" t="n"/>
      <c r="R46" s="137" t="n"/>
      <c r="S46" s="138" t="n"/>
      <c r="T46" s="63" t="inlineStr">
        <is>
          <t>кор</t>
        </is>
      </c>
      <c r="U46" s="170">
        <f>IFERROR(SUM(U44:U45),"0")</f>
        <v/>
      </c>
      <c r="V46" s="170">
        <f>IFERROR(SUM(V44:V45),"0")</f>
        <v/>
      </c>
      <c r="W46" s="170">
        <f>IFERROR(IF(W44="",0,W44),"0")+IFERROR(IF(W45="",0,W45),"0")</f>
        <v/>
      </c>
      <c r="X46" s="171" t="n"/>
      <c r="Y46" s="17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69" t="n"/>
      <c r="M47" s="113" t="inlineStr">
        <is>
          <t>Итого</t>
        </is>
      </c>
      <c r="N47" s="137" t="n"/>
      <c r="O47" s="137" t="n"/>
      <c r="P47" s="137" t="n"/>
      <c r="Q47" s="137" t="n"/>
      <c r="R47" s="137" t="n"/>
      <c r="S47" s="138" t="n"/>
      <c r="T47" s="63" t="inlineStr">
        <is>
          <t>кг</t>
        </is>
      </c>
      <c r="U47" s="170">
        <f>IFERROR(SUMPRODUCT(U44:U45*H44:H45),"0")</f>
        <v/>
      </c>
      <c r="V47" s="170">
        <f>IFERROR(SUMPRODUCT(V44:V45*H44:H45),"0")</f>
        <v/>
      </c>
      <c r="W47" s="63" t="n"/>
      <c r="X47" s="171" t="n"/>
      <c r="Y47" s="171" t="n"/>
    </row>
    <row r="48" ht="16.5" customHeight="1">
      <c r="A48" s="108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08" t="n"/>
      <c r="Y48" s="108" t="n"/>
    </row>
    <row r="49" ht="14.25" customHeight="1">
      <c r="A49" s="109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09" t="n"/>
      <c r="Y49" s="109" t="n"/>
    </row>
    <row r="50" ht="27" customHeight="1">
      <c r="A50" s="49" t="inlineStr">
        <is>
          <t>SU002771</t>
        </is>
      </c>
      <c r="B50" s="49" t="inlineStr">
        <is>
          <t>P003155</t>
        </is>
      </c>
      <c r="C50" s="50" t="n">
        <v>4301070935</v>
      </c>
      <c r="D50" s="110" t="n">
        <v>4607111037190</v>
      </c>
      <c r="E50" s="131" t="n"/>
      <c r="F50" s="165" t="n">
        <v>0.43</v>
      </c>
      <c r="G50" s="52" t="n">
        <v>16</v>
      </c>
      <c r="H50" s="165" t="n">
        <v>6.88</v>
      </c>
      <c r="I50" s="165" t="n">
        <v>7.1996</v>
      </c>
      <c r="J50" s="52" t="n">
        <v>84</v>
      </c>
      <c r="K50" s="53" t="inlineStr">
        <is>
          <t>МГ</t>
        </is>
      </c>
      <c r="L50" s="52" t="n">
        <v>150</v>
      </c>
      <c r="M50" s="111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N50" s="166" t="n"/>
      <c r="O50" s="166" t="n"/>
      <c r="P50" s="166" t="n"/>
      <c r="Q50" s="131" t="n"/>
      <c r="R50" s="54" t="n"/>
      <c r="S50" s="54" t="n"/>
      <c r="T50" s="55" t="inlineStr">
        <is>
          <t>кор</t>
        </is>
      </c>
      <c r="U50" s="167" t="n">
        <v>0</v>
      </c>
      <c r="V50" s="168">
        <f>IFERROR(IF(U50="","",U50),"")</f>
        <v/>
      </c>
      <c r="W50" s="58">
        <f>IFERROR(IF(U50="","",U50*0.0155),"")</f>
        <v/>
      </c>
      <c r="X50" s="59" t="n"/>
      <c r="Y50" s="60" t="n"/>
      <c r="AC50" s="61" t="n"/>
      <c r="AZ50" s="62" t="inlineStr">
        <is>
          <t>ЗПФ</t>
        </is>
      </c>
    </row>
    <row r="51" ht="27" customHeight="1">
      <c r="A51" s="49" t="inlineStr">
        <is>
          <t>SU002708</t>
        </is>
      </c>
      <c r="B51" s="49" t="inlineStr">
        <is>
          <t>P003682</t>
        </is>
      </c>
      <c r="C51" s="50" t="n">
        <v>4301070972</v>
      </c>
      <c r="D51" s="110" t="n">
        <v>4607111037183</v>
      </c>
      <c r="E51" s="131" t="n"/>
      <c r="F51" s="165" t="n">
        <v>0.9</v>
      </c>
      <c r="G51" s="52" t="n">
        <v>8</v>
      </c>
      <c r="H51" s="165" t="n">
        <v>7.2</v>
      </c>
      <c r="I51" s="165" t="n">
        <v>7.486</v>
      </c>
      <c r="J51" s="52" t="n">
        <v>84</v>
      </c>
      <c r="K51" s="53" t="inlineStr">
        <is>
          <t>МГ</t>
        </is>
      </c>
      <c r="L51" s="52" t="n">
        <v>180</v>
      </c>
      <c r="M51" s="118" t="inlineStr">
        <is>
          <t>Пельмени «Бигбули #МЕГАВКУСИЩЕ с сочной грудинкой» 0,9 сфера ТМ «Горячая штучка»</t>
        </is>
      </c>
      <c r="N51" s="166" t="n"/>
      <c r="O51" s="166" t="n"/>
      <c r="P51" s="166" t="n"/>
      <c r="Q51" s="131" t="n"/>
      <c r="R51" s="54" t="n"/>
      <c r="S51" s="54" t="n"/>
      <c r="T51" s="55" t="inlineStr">
        <is>
          <t>кор</t>
        </is>
      </c>
      <c r="U51" s="167" t="n">
        <v>30</v>
      </c>
      <c r="V51" s="168">
        <f>IFERROR(IF(U51="","",U51),"")</f>
        <v/>
      </c>
      <c r="W51" s="58">
        <f>IFERROR(IF(U51="","",U51*0.0155),"")</f>
        <v/>
      </c>
      <c r="X51" s="59" t="n"/>
      <c r="Y51" s="60" t="n"/>
      <c r="AC51" s="61" t="n"/>
      <c r="AZ51" s="62" t="inlineStr">
        <is>
          <t>ЗПФ</t>
        </is>
      </c>
    </row>
    <row r="52" ht="27" customHeight="1">
      <c r="A52" s="49" t="inlineStr">
        <is>
          <t>SU002707</t>
        </is>
      </c>
      <c r="B52" s="49" t="inlineStr">
        <is>
          <t>P003680</t>
        </is>
      </c>
      <c r="C52" s="50" t="n">
        <v>4301070970</v>
      </c>
      <c r="D52" s="110" t="n">
        <v>4607111037091</v>
      </c>
      <c r="E52" s="131" t="n"/>
      <c r="F52" s="165" t="n">
        <v>0.43</v>
      </c>
      <c r="G52" s="52" t="n">
        <v>16</v>
      </c>
      <c r="H52" s="165" t="n">
        <v>6.88</v>
      </c>
      <c r="I52" s="165" t="n">
        <v>7.11</v>
      </c>
      <c r="J52" s="52" t="n">
        <v>84</v>
      </c>
      <c r="K52" s="53" t="inlineStr">
        <is>
          <t>МГ</t>
        </is>
      </c>
      <c r="L52" s="52" t="n">
        <v>180</v>
      </c>
      <c r="M52" s="118" t="inlineStr">
        <is>
          <t>Пельмени «Бигбули #МЕГАМАСЛИЩЕ со сливочным маслом» 0,43 сфера ТМ «Горячая штучка»</t>
        </is>
      </c>
      <c r="N52" s="166" t="n"/>
      <c r="O52" s="166" t="n"/>
      <c r="P52" s="166" t="n"/>
      <c r="Q52" s="131" t="n"/>
      <c r="R52" s="54" t="n"/>
      <c r="S52" s="54" t="n"/>
      <c r="T52" s="55" t="inlineStr">
        <is>
          <t>кор</t>
        </is>
      </c>
      <c r="U52" s="167" t="n">
        <v>20</v>
      </c>
      <c r="V52" s="168">
        <f>IFERROR(IF(U52="","",U52),"")</f>
        <v/>
      </c>
      <c r="W52" s="58">
        <f>IFERROR(IF(U52="","",U52*0.0155),"")</f>
        <v/>
      </c>
      <c r="X52" s="59" t="n"/>
      <c r="Y52" s="60" t="n"/>
      <c r="AC52" s="61" t="n"/>
      <c r="AZ52" s="62" t="inlineStr">
        <is>
          <t>ЗПФ</t>
        </is>
      </c>
    </row>
    <row r="53" ht="27" customHeight="1">
      <c r="A53" s="49" t="inlineStr">
        <is>
          <t>SU002838</t>
        </is>
      </c>
      <c r="B53" s="49" t="inlineStr">
        <is>
          <t>P003251</t>
        </is>
      </c>
      <c r="C53" s="50" t="n">
        <v>4301070944</v>
      </c>
      <c r="D53" s="110" t="n">
        <v>4607111036902</v>
      </c>
      <c r="E53" s="131" t="n"/>
      <c r="F53" s="165" t="n">
        <v>0.9</v>
      </c>
      <c r="G53" s="52" t="n">
        <v>8</v>
      </c>
      <c r="H53" s="165" t="n">
        <v>7.2</v>
      </c>
      <c r="I53" s="165" t="n">
        <v>7.43</v>
      </c>
      <c r="J53" s="52" t="n">
        <v>84</v>
      </c>
      <c r="K53" s="53" t="inlineStr">
        <is>
          <t>МГ</t>
        </is>
      </c>
      <c r="L53" s="52" t="n">
        <v>150</v>
      </c>
      <c r="M53" s="111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/>
      </c>
      <c r="N53" s="166" t="n"/>
      <c r="O53" s="166" t="n"/>
      <c r="P53" s="166" t="n"/>
      <c r="Q53" s="131" t="n"/>
      <c r="R53" s="54" t="n"/>
      <c r="S53" s="54" t="n"/>
      <c r="T53" s="55" t="inlineStr">
        <is>
          <t>кор</t>
        </is>
      </c>
      <c r="U53" s="167" t="n">
        <v>15</v>
      </c>
      <c r="V53" s="168">
        <f>IFERROR(IF(U53="","",U53),"")</f>
        <v/>
      </c>
      <c r="W53" s="58">
        <f>IFERROR(IF(U53="","",U53*0.0155),"")</f>
        <v/>
      </c>
      <c r="X53" s="59" t="n"/>
      <c r="Y53" s="60" t="n"/>
      <c r="AC53" s="61" t="n"/>
      <c r="AZ53" s="62" t="inlineStr">
        <is>
          <t>ЗПФ</t>
        </is>
      </c>
    </row>
    <row r="54" ht="27" customHeight="1">
      <c r="A54" s="49" t="inlineStr">
        <is>
          <t>SU002838</t>
        </is>
      </c>
      <c r="B54" s="49" t="inlineStr">
        <is>
          <t>P003681</t>
        </is>
      </c>
      <c r="C54" s="50" t="n">
        <v>4301070971</v>
      </c>
      <c r="D54" s="110" t="n">
        <v>4607111036902</v>
      </c>
      <c r="E54" s="131" t="n"/>
      <c r="F54" s="165" t="n">
        <v>0.9</v>
      </c>
      <c r="G54" s="52" t="n">
        <v>8</v>
      </c>
      <c r="H54" s="165" t="n">
        <v>7.2</v>
      </c>
      <c r="I54" s="165" t="n">
        <v>7.43</v>
      </c>
      <c r="J54" s="52" t="n">
        <v>84</v>
      </c>
      <c r="K54" s="53" t="inlineStr">
        <is>
          <t>МГ</t>
        </is>
      </c>
      <c r="L54" s="52" t="n">
        <v>180</v>
      </c>
      <c r="M54" s="118" t="inlineStr">
        <is>
          <t>Пельмени «Бигбули #МЕГАМАСЛИЩЕ со сливочным маслом» ф/в 0,9 ТМ «Горячая штучка»</t>
        </is>
      </c>
      <c r="N54" s="166" t="n"/>
      <c r="O54" s="166" t="n"/>
      <c r="P54" s="166" t="n"/>
      <c r="Q54" s="131" t="n"/>
      <c r="R54" s="54" t="n"/>
      <c r="S54" s="54" t="n"/>
      <c r="T54" s="55" t="inlineStr">
        <is>
          <t>кор</t>
        </is>
      </c>
      <c r="U54" s="167" t="n">
        <v>0</v>
      </c>
      <c r="V54" s="168">
        <f>IFERROR(IF(U54="","",U54),"")</f>
        <v/>
      </c>
      <c r="W54" s="58">
        <f>IFERROR(IF(U54="","",U54*0.0155),"")</f>
        <v/>
      </c>
      <c r="X54" s="59" t="n"/>
      <c r="Y54" s="60" t="n"/>
      <c r="AC54" s="61" t="n"/>
      <c r="AZ54" s="62" t="inlineStr">
        <is>
          <t>ЗПФ</t>
        </is>
      </c>
    </row>
    <row r="55" ht="27" customHeight="1">
      <c r="A55" s="49" t="inlineStr">
        <is>
          <t>SU002625</t>
        </is>
      </c>
      <c r="B55" s="49" t="inlineStr">
        <is>
          <t>P003679</t>
        </is>
      </c>
      <c r="C55" s="50" t="n">
        <v>4301070969</v>
      </c>
      <c r="D55" s="110" t="n">
        <v>4607111036858</v>
      </c>
      <c r="E55" s="131" t="n"/>
      <c r="F55" s="165" t="n">
        <v>0.43</v>
      </c>
      <c r="G55" s="52" t="n">
        <v>16</v>
      </c>
      <c r="H55" s="165" t="n">
        <v>6.88</v>
      </c>
      <c r="I55" s="165" t="n">
        <v>7.1996</v>
      </c>
      <c r="J55" s="52" t="n">
        <v>84</v>
      </c>
      <c r="K55" s="53" t="inlineStr">
        <is>
          <t>МГ</t>
        </is>
      </c>
      <c r="L55" s="52" t="n">
        <v>180</v>
      </c>
      <c r="M55" s="118" t="inlineStr">
        <is>
          <t>Пельмени «Бигбули с мясом» 0,43 Сфера ТМ «Горячая штучка»</t>
        </is>
      </c>
      <c r="N55" s="166" t="n"/>
      <c r="O55" s="166" t="n"/>
      <c r="P55" s="166" t="n"/>
      <c r="Q55" s="131" t="n"/>
      <c r="R55" s="54" t="n"/>
      <c r="S55" s="54" t="n"/>
      <c r="T55" s="55" t="inlineStr">
        <is>
          <t>кор</t>
        </is>
      </c>
      <c r="U55" s="167" t="n">
        <v>0</v>
      </c>
      <c r="V55" s="168">
        <f>IFERROR(IF(U55="","",U55),"")</f>
        <v/>
      </c>
      <c r="W55" s="58">
        <f>IFERROR(IF(U55="","",U55*0.0155),"")</f>
        <v/>
      </c>
      <c r="X55" s="59" t="n"/>
      <c r="Y55" s="60" t="n"/>
      <c r="AC55" s="61" t="n"/>
      <c r="AZ55" s="62" t="inlineStr">
        <is>
          <t>ЗПФ</t>
        </is>
      </c>
    </row>
    <row r="56" ht="27" customHeight="1">
      <c r="A56" s="49" t="inlineStr">
        <is>
          <t>SU002624</t>
        </is>
      </c>
      <c r="B56" s="49" t="inlineStr">
        <is>
          <t>P003678</t>
        </is>
      </c>
      <c r="C56" s="50" t="n">
        <v>4301070968</v>
      </c>
      <c r="D56" s="110" t="n">
        <v>4607111036889</v>
      </c>
      <c r="E56" s="131" t="n"/>
      <c r="F56" s="165" t="n">
        <v>0.9</v>
      </c>
      <c r="G56" s="52" t="n">
        <v>8</v>
      </c>
      <c r="H56" s="165" t="n">
        <v>7.2</v>
      </c>
      <c r="I56" s="165" t="n">
        <v>7.486</v>
      </c>
      <c r="J56" s="52" t="n">
        <v>84</v>
      </c>
      <c r="K56" s="53" t="inlineStr">
        <is>
          <t>МГ</t>
        </is>
      </c>
      <c r="L56" s="52" t="n">
        <v>180</v>
      </c>
      <c r="M56" s="118" t="inlineStr">
        <is>
          <t>Пельмени «Бигбули с мясом» 0,9 Сфера ТМ «Горячая штучка»</t>
        </is>
      </c>
      <c r="N56" s="166" t="n"/>
      <c r="O56" s="166" t="n"/>
      <c r="P56" s="166" t="n"/>
      <c r="Q56" s="131" t="n"/>
      <c r="R56" s="54" t="n"/>
      <c r="S56" s="54" t="n"/>
      <c r="T56" s="55" t="inlineStr">
        <is>
          <t>кор</t>
        </is>
      </c>
      <c r="U56" s="167" t="n">
        <v>0</v>
      </c>
      <c r="V56" s="168">
        <f>IFERROR(IF(U56="","",U56),"")</f>
        <v/>
      </c>
      <c r="W56" s="58">
        <f>IFERROR(IF(U56="","",U56*0.0155),"")</f>
        <v/>
      </c>
      <c r="X56" s="59" t="n"/>
      <c r="Y56" s="60" t="n"/>
      <c r="AC56" s="61" t="n"/>
      <c r="AZ56" s="62" t="inlineStr">
        <is>
          <t>ЗПФ</t>
        </is>
      </c>
    </row>
    <row r="57" ht="27" customHeight="1">
      <c r="A57" s="49" t="inlineStr">
        <is>
          <t>SU002624</t>
        </is>
      </c>
      <c r="B57" s="49" t="inlineStr">
        <is>
          <t>P002962</t>
        </is>
      </c>
      <c r="C57" s="50" t="n">
        <v>4301070909</v>
      </c>
      <c r="D57" s="110" t="n">
        <v>4607111036889</v>
      </c>
      <c r="E57" s="131" t="n"/>
      <c r="F57" s="165" t="n">
        <v>0.9</v>
      </c>
      <c r="G57" s="52" t="n">
        <v>8</v>
      </c>
      <c r="H57" s="165" t="n">
        <v>7.2</v>
      </c>
      <c r="I57" s="165" t="n">
        <v>7.486</v>
      </c>
      <c r="J57" s="52" t="n">
        <v>84</v>
      </c>
      <c r="K57" s="53" t="inlineStr">
        <is>
          <t>МГ</t>
        </is>
      </c>
      <c r="L57" s="52" t="n">
        <v>150</v>
      </c>
      <c r="M57" s="111">
        <f>HYPERLINK("https://abi.ru/products/Замороженные/Горячая штучка/Бигбули ГШ/Пельмени/P002962/","Пельмени Бигбули с мясом Бигбули ГШ 0,9 Сфера Горячая штучка")</f>
        <v/>
      </c>
      <c r="N57" s="166" t="n"/>
      <c r="O57" s="166" t="n"/>
      <c r="P57" s="166" t="n"/>
      <c r="Q57" s="131" t="n"/>
      <c r="R57" s="54" t="n"/>
      <c r="S57" s="54" t="n"/>
      <c r="T57" s="55" t="inlineStr">
        <is>
          <t>кор</t>
        </is>
      </c>
      <c r="U57" s="167" t="n">
        <v>0</v>
      </c>
      <c r="V57" s="168">
        <f>IFERROR(IF(U57="","",U57),"")</f>
        <v/>
      </c>
      <c r="W57" s="58">
        <f>IFERROR(IF(U57="","",U57*0.0155),"")</f>
        <v/>
      </c>
      <c r="X57" s="59" t="n"/>
      <c r="Y57" s="60" t="n"/>
      <c r="AC57" s="61" t="n"/>
      <c r="AZ57" s="62" t="inlineStr">
        <is>
          <t>ЗПФ</t>
        </is>
      </c>
    </row>
    <row r="58">
      <c r="A58" s="112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69" t="n"/>
      <c r="M58" s="113" t="inlineStr">
        <is>
          <t>Итого</t>
        </is>
      </c>
      <c r="N58" s="137" t="n"/>
      <c r="O58" s="137" t="n"/>
      <c r="P58" s="137" t="n"/>
      <c r="Q58" s="137" t="n"/>
      <c r="R58" s="137" t="n"/>
      <c r="S58" s="138" t="n"/>
      <c r="T58" s="63" t="inlineStr">
        <is>
          <t>кор</t>
        </is>
      </c>
      <c r="U58" s="170">
        <f>IFERROR(SUM(U50:U57),"0")</f>
        <v/>
      </c>
      <c r="V58" s="170">
        <f>IFERROR(SUM(V50:V57),"0")</f>
        <v/>
      </c>
      <c r="W58" s="170">
        <f>IFERROR(IF(W50="",0,W50),"0")+IFERROR(IF(W51="",0,W51),"0")+IFERROR(IF(W52="",0,W52),"0")+IFERROR(IF(W53="",0,W53),"0")+IFERROR(IF(W54="",0,W54),"0")+IFERROR(IF(W55="",0,W55),"0")+IFERROR(IF(W56="",0,W56),"0")+IFERROR(IF(W57="",0,W57),"0")</f>
        <v/>
      </c>
      <c r="X58" s="171" t="n"/>
      <c r="Y58" s="17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69" t="n"/>
      <c r="M59" s="113" t="inlineStr">
        <is>
          <t>Итого</t>
        </is>
      </c>
      <c r="N59" s="137" t="n"/>
      <c r="O59" s="137" t="n"/>
      <c r="P59" s="137" t="n"/>
      <c r="Q59" s="137" t="n"/>
      <c r="R59" s="137" t="n"/>
      <c r="S59" s="138" t="n"/>
      <c r="T59" s="63" t="inlineStr">
        <is>
          <t>кг</t>
        </is>
      </c>
      <c r="U59" s="170">
        <f>IFERROR(SUMPRODUCT(U50:U57*H50:H57),"0")</f>
        <v/>
      </c>
      <c r="V59" s="170">
        <f>IFERROR(SUMPRODUCT(V50:V57*H50:H57),"0")</f>
        <v/>
      </c>
      <c r="W59" s="63" t="n"/>
      <c r="X59" s="171" t="n"/>
      <c r="Y59" s="171" t="n"/>
    </row>
    <row r="60" ht="16.5" customHeight="1">
      <c r="A60" s="108" t="inlineStr">
        <is>
          <t>Бульмени вес ГШ</t>
        </is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08" t="n"/>
      <c r="Y60" s="108" t="n"/>
    </row>
    <row r="61" ht="14.25" customHeight="1">
      <c r="A61" s="109" t="inlineStr">
        <is>
          <t>Пельмени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09" t="n"/>
      <c r="Y61" s="109" t="n"/>
    </row>
    <row r="62" ht="27" customHeight="1">
      <c r="A62" s="49" t="inlineStr">
        <is>
          <t>SU002798</t>
        </is>
      </c>
      <c r="B62" s="49" t="inlineStr">
        <is>
          <t>P003687</t>
        </is>
      </c>
      <c r="C62" s="50" t="n">
        <v>4301070977</v>
      </c>
      <c r="D62" s="110" t="n">
        <v>4607111037411</v>
      </c>
      <c r="E62" s="131" t="n"/>
      <c r="F62" s="165" t="n">
        <v>2.7</v>
      </c>
      <c r="G62" s="52" t="n">
        <v>1</v>
      </c>
      <c r="H62" s="165" t="n">
        <v>2.7</v>
      </c>
      <c r="I62" s="165" t="n">
        <v>2.8132</v>
      </c>
      <c r="J62" s="52" t="n">
        <v>234</v>
      </c>
      <c r="K62" s="53" t="inlineStr">
        <is>
          <t>МГ</t>
        </is>
      </c>
      <c r="L62" s="52" t="n">
        <v>180</v>
      </c>
      <c r="M62" s="118" t="inlineStr">
        <is>
          <t>Пельмени «Бульмени с говядиной и свининой Наваристые» Весовые Сфера ТМ «Горячая штучка» 2,7 кг</t>
        </is>
      </c>
      <c r="N62" s="166" t="n"/>
      <c r="O62" s="166" t="n"/>
      <c r="P62" s="166" t="n"/>
      <c r="Q62" s="131" t="n"/>
      <c r="R62" s="54" t="n"/>
      <c r="S62" s="54" t="n"/>
      <c r="T62" s="55" t="inlineStr">
        <is>
          <t>кор</t>
        </is>
      </c>
      <c r="U62" s="167" t="n">
        <v>0</v>
      </c>
      <c r="V62" s="168">
        <f>IFERROR(IF(U62="","",U62),"")</f>
        <v/>
      </c>
      <c r="W62" s="58">
        <f>IFERROR(IF(U62="","",U62*0.00502),"")</f>
        <v/>
      </c>
      <c r="X62" s="59" t="n"/>
      <c r="Y62" s="60" t="n"/>
      <c r="AC62" s="61" t="n"/>
      <c r="AZ62" s="62" t="inlineStr">
        <is>
          <t>ЗПФ</t>
        </is>
      </c>
    </row>
    <row r="63" ht="27" customHeight="1">
      <c r="A63" s="49" t="inlineStr">
        <is>
          <t>SU002595</t>
        </is>
      </c>
      <c r="B63" s="49" t="inlineStr">
        <is>
          <t>P003697</t>
        </is>
      </c>
      <c r="C63" s="50" t="n">
        <v>4301070981</v>
      </c>
      <c r="D63" s="110" t="n">
        <v>4607111036728</v>
      </c>
      <c r="E63" s="131" t="n"/>
      <c r="F63" s="165" t="n">
        <v>5</v>
      </c>
      <c r="G63" s="52" t="n">
        <v>1</v>
      </c>
      <c r="H63" s="165" t="n">
        <v>5</v>
      </c>
      <c r="I63" s="165" t="n">
        <v>5.2132</v>
      </c>
      <c r="J63" s="52" t="n">
        <v>144</v>
      </c>
      <c r="K63" s="53" t="inlineStr">
        <is>
          <t>МГ</t>
        </is>
      </c>
      <c r="L63" s="52" t="n">
        <v>180</v>
      </c>
      <c r="M63" s="118" t="inlineStr">
        <is>
          <t>Пельмени «Бульмени с говядиной и свининой Наваристые» Весовые Сфера ТМ «Горячая штучка» 5 кг</t>
        </is>
      </c>
      <c r="N63" s="166" t="n"/>
      <c r="O63" s="166" t="n"/>
      <c r="P63" s="166" t="n"/>
      <c r="Q63" s="131" t="n"/>
      <c r="R63" s="54" t="n"/>
      <c r="S63" s="54" t="n"/>
      <c r="T63" s="55" t="inlineStr">
        <is>
          <t>кор</t>
        </is>
      </c>
      <c r="U63" s="167" t="n">
        <v>100</v>
      </c>
      <c r="V63" s="168">
        <f>IFERROR(IF(U63="","",U63),"")</f>
        <v/>
      </c>
      <c r="W63" s="58">
        <f>IFERROR(IF(U63="","",U63*0.00866),"")</f>
        <v/>
      </c>
      <c r="X63" s="59" t="n"/>
      <c r="Y63" s="60" t="n"/>
      <c r="AC63" s="61" t="n"/>
      <c r="AZ63" s="62" t="inlineStr">
        <is>
          <t>ЗПФ</t>
        </is>
      </c>
    </row>
    <row r="64">
      <c r="A64" s="112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69" t="n"/>
      <c r="M64" s="113" t="inlineStr">
        <is>
          <t>Итого</t>
        </is>
      </c>
      <c r="N64" s="137" t="n"/>
      <c r="O64" s="137" t="n"/>
      <c r="P64" s="137" t="n"/>
      <c r="Q64" s="137" t="n"/>
      <c r="R64" s="137" t="n"/>
      <c r="S64" s="138" t="n"/>
      <c r="T64" s="63" t="inlineStr">
        <is>
          <t>кор</t>
        </is>
      </c>
      <c r="U64" s="170">
        <f>IFERROR(SUM(U62:U63),"0")</f>
        <v/>
      </c>
      <c r="V64" s="170">
        <f>IFERROR(SUM(V62:V63),"0")</f>
        <v/>
      </c>
      <c r="W64" s="170">
        <f>IFERROR(IF(W62="",0,W62),"0")+IFERROR(IF(W63="",0,W63),"0")</f>
        <v/>
      </c>
      <c r="X64" s="171" t="n"/>
      <c r="Y64" s="17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69" t="n"/>
      <c r="M65" s="113" t="inlineStr">
        <is>
          <t>Итого</t>
        </is>
      </c>
      <c r="N65" s="137" t="n"/>
      <c r="O65" s="137" t="n"/>
      <c r="P65" s="137" t="n"/>
      <c r="Q65" s="137" t="n"/>
      <c r="R65" s="137" t="n"/>
      <c r="S65" s="138" t="n"/>
      <c r="T65" s="63" t="inlineStr">
        <is>
          <t>кг</t>
        </is>
      </c>
      <c r="U65" s="170">
        <f>IFERROR(SUMPRODUCT(U62:U63*H62:H63),"0")</f>
        <v/>
      </c>
      <c r="V65" s="170">
        <f>IFERROR(SUMPRODUCT(V62:V63*H62:H63),"0")</f>
        <v/>
      </c>
      <c r="W65" s="63" t="n"/>
      <c r="X65" s="171" t="n"/>
      <c r="Y65" s="171" t="n"/>
    </row>
    <row r="66" ht="16.5" customHeight="1">
      <c r="A66" s="108" t="inlineStr">
        <is>
          <t>Бельмеши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08" t="n"/>
      <c r="Y66" s="108" t="n"/>
    </row>
    <row r="67" ht="14.25" customHeight="1">
      <c r="A67" s="109" t="inlineStr">
        <is>
          <t>Снеки</t>
        </is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09" t="n"/>
      <c r="Y67" s="109" t="n"/>
    </row>
    <row r="68" ht="27" customHeight="1">
      <c r="A68" s="49" t="inlineStr">
        <is>
          <t>SU002560</t>
        </is>
      </c>
      <c r="B68" s="49" t="inlineStr">
        <is>
          <t>P002878</t>
        </is>
      </c>
      <c r="C68" s="50" t="n">
        <v>4301135113</v>
      </c>
      <c r="D68" s="110" t="n">
        <v>4607111033659</v>
      </c>
      <c r="E68" s="131" t="n"/>
      <c r="F68" s="165" t="n">
        <v>0.3</v>
      </c>
      <c r="G68" s="52" t="n">
        <v>12</v>
      </c>
      <c r="H68" s="165" t="n">
        <v>3.6</v>
      </c>
      <c r="I68" s="165" t="n">
        <v>4.3036</v>
      </c>
      <c r="J68" s="52" t="n">
        <v>70</v>
      </c>
      <c r="K68" s="53" t="inlineStr">
        <is>
          <t>МГ</t>
        </is>
      </c>
      <c r="L68" s="52" t="n">
        <v>180</v>
      </c>
      <c r="M68" s="111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N68" s="166" t="n"/>
      <c r="O68" s="166" t="n"/>
      <c r="P68" s="166" t="n"/>
      <c r="Q68" s="131" t="n"/>
      <c r="R68" s="54" t="n"/>
      <c r="S68" s="54" t="n"/>
      <c r="T68" s="55" t="inlineStr">
        <is>
          <t>кор</t>
        </is>
      </c>
      <c r="U68" s="167" t="n">
        <v>0</v>
      </c>
      <c r="V68" s="168">
        <f>IFERROR(IF(U68="","",U68),"")</f>
        <v/>
      </c>
      <c r="W68" s="58">
        <f>IFERROR(IF(U68="","",U68*0.01788),"")</f>
        <v/>
      </c>
      <c r="X68" s="59" t="n"/>
      <c r="Y68" s="60" t="n"/>
      <c r="AC68" s="61" t="n"/>
      <c r="AZ68" s="62" t="inlineStr">
        <is>
          <t>ПГП</t>
        </is>
      </c>
    </row>
    <row r="69">
      <c r="A69" s="112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69" t="n"/>
      <c r="M69" s="113" t="inlineStr">
        <is>
          <t>Итого</t>
        </is>
      </c>
      <c r="N69" s="137" t="n"/>
      <c r="O69" s="137" t="n"/>
      <c r="P69" s="137" t="n"/>
      <c r="Q69" s="137" t="n"/>
      <c r="R69" s="137" t="n"/>
      <c r="S69" s="138" t="n"/>
      <c r="T69" s="63" t="inlineStr">
        <is>
          <t>кор</t>
        </is>
      </c>
      <c r="U69" s="170">
        <f>IFERROR(SUM(U68:U68),"0")</f>
        <v/>
      </c>
      <c r="V69" s="170">
        <f>IFERROR(SUM(V68:V68),"0")</f>
        <v/>
      </c>
      <c r="W69" s="170">
        <f>IFERROR(IF(W68="",0,W68),"0")</f>
        <v/>
      </c>
      <c r="X69" s="171" t="n"/>
      <c r="Y69" s="17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69" t="n"/>
      <c r="M70" s="113" t="inlineStr">
        <is>
          <t>Итого</t>
        </is>
      </c>
      <c r="N70" s="137" t="n"/>
      <c r="O70" s="137" t="n"/>
      <c r="P70" s="137" t="n"/>
      <c r="Q70" s="137" t="n"/>
      <c r="R70" s="137" t="n"/>
      <c r="S70" s="138" t="n"/>
      <c r="T70" s="63" t="inlineStr">
        <is>
          <t>кг</t>
        </is>
      </c>
      <c r="U70" s="170">
        <f>IFERROR(SUMPRODUCT(U68:U68*H68:H68),"0")</f>
        <v/>
      </c>
      <c r="V70" s="170">
        <f>IFERROR(SUMPRODUCT(V68:V68*H68:H68),"0")</f>
        <v/>
      </c>
      <c r="W70" s="63" t="n"/>
      <c r="X70" s="171" t="n"/>
      <c r="Y70" s="171" t="n"/>
    </row>
    <row r="71" ht="16.5" customHeight="1">
      <c r="A71" s="108" t="inlineStr">
        <is>
          <t>Крылышки ГШ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08" t="n"/>
      <c r="Y71" s="108" t="n"/>
    </row>
    <row r="72" ht="14.25" customHeight="1">
      <c r="A72" s="109" t="inlineStr">
        <is>
          <t>Крылья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09" t="n"/>
      <c r="Y72" s="109" t="n"/>
    </row>
    <row r="73" ht="27" customHeight="1">
      <c r="A73" s="49" t="inlineStr">
        <is>
          <t>SU002564</t>
        </is>
      </c>
      <c r="B73" s="49" t="inlineStr">
        <is>
          <t>P002882</t>
        </is>
      </c>
      <c r="C73" s="50" t="n">
        <v>4301131012</v>
      </c>
      <c r="D73" s="110" t="n">
        <v>4607111034137</v>
      </c>
      <c r="E73" s="131" t="n"/>
      <c r="F73" s="165" t="n">
        <v>0.3</v>
      </c>
      <c r="G73" s="52" t="n">
        <v>12</v>
      </c>
      <c r="H73" s="165" t="n">
        <v>3.6</v>
      </c>
      <c r="I73" s="165" t="n">
        <v>4.3036</v>
      </c>
      <c r="J73" s="52" t="n">
        <v>70</v>
      </c>
      <c r="K73" s="53" t="inlineStr">
        <is>
          <t>МГ</t>
        </is>
      </c>
      <c r="L73" s="52" t="n">
        <v>180</v>
      </c>
      <c r="M73" s="111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N73" s="166" t="n"/>
      <c r="O73" s="166" t="n"/>
      <c r="P73" s="166" t="n"/>
      <c r="Q73" s="131" t="n"/>
      <c r="R73" s="54" t="n"/>
      <c r="S73" s="54" t="n"/>
      <c r="T73" s="55" t="inlineStr">
        <is>
          <t>кор</t>
        </is>
      </c>
      <c r="U73" s="167" t="n">
        <v>5</v>
      </c>
      <c r="V73" s="168">
        <f>IFERROR(IF(U73="","",U73),"")</f>
        <v/>
      </c>
      <c r="W73" s="58">
        <f>IFERROR(IF(U73="","",U73*0.01788),"")</f>
        <v/>
      </c>
      <c r="X73" s="59" t="n"/>
      <c r="Y73" s="60" t="n"/>
      <c r="AC73" s="61" t="n"/>
      <c r="AZ73" s="62" t="inlineStr">
        <is>
          <t>ПГП</t>
        </is>
      </c>
    </row>
    <row r="74" ht="27" customHeight="1">
      <c r="A74" s="49" t="inlineStr">
        <is>
          <t>SU002563</t>
        </is>
      </c>
      <c r="B74" s="49" t="inlineStr">
        <is>
          <t>P002881</t>
        </is>
      </c>
      <c r="C74" s="50" t="n">
        <v>4301131011</v>
      </c>
      <c r="D74" s="110" t="n">
        <v>4607111034120</v>
      </c>
      <c r="E74" s="131" t="n"/>
      <c r="F74" s="165" t="n">
        <v>0.3</v>
      </c>
      <c r="G74" s="52" t="n">
        <v>12</v>
      </c>
      <c r="H74" s="165" t="n">
        <v>3.6</v>
      </c>
      <c r="I74" s="165" t="n">
        <v>4.3036</v>
      </c>
      <c r="J74" s="52" t="n">
        <v>70</v>
      </c>
      <c r="K74" s="53" t="inlineStr">
        <is>
          <t>МГ</t>
        </is>
      </c>
      <c r="L74" s="52" t="n">
        <v>180</v>
      </c>
      <c r="M74" s="111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N74" s="166" t="n"/>
      <c r="O74" s="166" t="n"/>
      <c r="P74" s="166" t="n"/>
      <c r="Q74" s="131" t="n"/>
      <c r="R74" s="54" t="n"/>
      <c r="S74" s="54" t="n"/>
      <c r="T74" s="55" t="inlineStr">
        <is>
          <t>кор</t>
        </is>
      </c>
      <c r="U74" s="167" t="n">
        <v>5</v>
      </c>
      <c r="V74" s="168">
        <f>IFERROR(IF(U74="","",U74),"")</f>
        <v/>
      </c>
      <c r="W74" s="58">
        <f>IFERROR(IF(U74="","",U74*0.01788),"")</f>
        <v/>
      </c>
      <c r="X74" s="59" t="n"/>
      <c r="Y74" s="60" t="n"/>
      <c r="AC74" s="61" t="n"/>
      <c r="AZ74" s="62" t="inlineStr">
        <is>
          <t>ПГП</t>
        </is>
      </c>
    </row>
    <row r="75">
      <c r="A75" s="112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69" t="n"/>
      <c r="M75" s="113" t="inlineStr">
        <is>
          <t>Итого</t>
        </is>
      </c>
      <c r="N75" s="137" t="n"/>
      <c r="O75" s="137" t="n"/>
      <c r="P75" s="137" t="n"/>
      <c r="Q75" s="137" t="n"/>
      <c r="R75" s="137" t="n"/>
      <c r="S75" s="138" t="n"/>
      <c r="T75" s="63" t="inlineStr">
        <is>
          <t>кор</t>
        </is>
      </c>
      <c r="U75" s="170">
        <f>IFERROR(SUM(U73:U74),"0")</f>
        <v/>
      </c>
      <c r="V75" s="170">
        <f>IFERROR(SUM(V73:V74),"0")</f>
        <v/>
      </c>
      <c r="W75" s="170">
        <f>IFERROR(IF(W73="",0,W73),"0")+IFERROR(IF(W74="",0,W74),"0")</f>
        <v/>
      </c>
      <c r="X75" s="171" t="n"/>
      <c r="Y75" s="17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69" t="n"/>
      <c r="M76" s="113" t="inlineStr">
        <is>
          <t>Итого</t>
        </is>
      </c>
      <c r="N76" s="137" t="n"/>
      <c r="O76" s="137" t="n"/>
      <c r="P76" s="137" t="n"/>
      <c r="Q76" s="137" t="n"/>
      <c r="R76" s="137" t="n"/>
      <c r="S76" s="138" t="n"/>
      <c r="T76" s="63" t="inlineStr">
        <is>
          <t>кг</t>
        </is>
      </c>
      <c r="U76" s="170">
        <f>IFERROR(SUMPRODUCT(U73:U74*H73:H74),"0")</f>
        <v/>
      </c>
      <c r="V76" s="170">
        <f>IFERROR(SUMPRODUCT(V73:V74*H73:H74),"0")</f>
        <v/>
      </c>
      <c r="W76" s="63" t="n"/>
      <c r="X76" s="171" t="n"/>
      <c r="Y76" s="171" t="n"/>
    </row>
    <row r="77" ht="16.5" customHeight="1">
      <c r="A77" s="108" t="inlineStr">
        <is>
          <t>Чебупели</t>
        </is>
      </c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08" t="n"/>
      <c r="Y77" s="108" t="n"/>
    </row>
    <row r="78" ht="14.25" customHeight="1">
      <c r="A78" s="109" t="inlineStr">
        <is>
          <t>Снеки</t>
        </is>
      </c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09" t="n"/>
      <c r="Y78" s="109" t="n"/>
    </row>
    <row r="79" ht="27" customHeight="1">
      <c r="A79" s="49" t="inlineStr">
        <is>
          <t>SU002575</t>
        </is>
      </c>
      <c r="B79" s="49" t="inlineStr">
        <is>
          <t>P002890</t>
        </is>
      </c>
      <c r="C79" s="50" t="n">
        <v>4301135121</v>
      </c>
      <c r="D79" s="110" t="n">
        <v>4607111036735</v>
      </c>
      <c r="E79" s="131" t="n"/>
      <c r="F79" s="165" t="n">
        <v>0.43</v>
      </c>
      <c r="G79" s="52" t="n">
        <v>8</v>
      </c>
      <c r="H79" s="165" t="n">
        <v>3.44</v>
      </c>
      <c r="I79" s="165" t="n">
        <v>3.7224</v>
      </c>
      <c r="J79" s="52" t="n">
        <v>70</v>
      </c>
      <c r="K79" s="53" t="inlineStr">
        <is>
          <t>МГ</t>
        </is>
      </c>
      <c r="L79" s="52" t="n">
        <v>180</v>
      </c>
      <c r="M79" s="111">
        <f>HYPERLINK("https://abi.ru/products/Замороженные/Горячая штучка/Чебупели/Снеки/P002890/","Чебупели Курочка гриль Базовый ассортимент Фикс.вес 0,43 Лоток Горячая штучка")</f>
        <v/>
      </c>
      <c r="N79" s="166" t="n"/>
      <c r="O79" s="166" t="n"/>
      <c r="P79" s="166" t="n"/>
      <c r="Q79" s="131" t="n"/>
      <c r="R79" s="54" t="n"/>
      <c r="S79" s="54" t="n"/>
      <c r="T79" s="55" t="inlineStr">
        <is>
          <t>кор</t>
        </is>
      </c>
      <c r="U79" s="167" t="n">
        <v>0</v>
      </c>
      <c r="V79" s="168">
        <f>IFERROR(IF(U79="","",U79),"")</f>
        <v/>
      </c>
      <c r="W79" s="58">
        <f>IFERROR(IF(U79="","",U79*0.01788),"")</f>
        <v/>
      </c>
      <c r="X79" s="59" t="n"/>
      <c r="Y79" s="60" t="n"/>
      <c r="AC79" s="61" t="n"/>
      <c r="AZ79" s="62" t="inlineStr">
        <is>
          <t>ПГП</t>
        </is>
      </c>
    </row>
    <row r="80" ht="27" customHeight="1">
      <c r="A80" s="49" t="inlineStr">
        <is>
          <t>SU002293</t>
        </is>
      </c>
      <c r="B80" s="49" t="inlineStr">
        <is>
          <t>P002566</t>
        </is>
      </c>
      <c r="C80" s="50" t="n">
        <v>4301135053</v>
      </c>
      <c r="D80" s="110" t="n">
        <v>4607111036407</v>
      </c>
      <c r="E80" s="131" t="n"/>
      <c r="F80" s="165" t="n">
        <v>0.3</v>
      </c>
      <c r="G80" s="52" t="n">
        <v>14</v>
      </c>
      <c r="H80" s="165" t="n">
        <v>4.2</v>
      </c>
      <c r="I80" s="165" t="n">
        <v>4.5292</v>
      </c>
      <c r="J80" s="52" t="n">
        <v>70</v>
      </c>
      <c r="K80" s="53" t="inlineStr">
        <is>
          <t>МГ</t>
        </is>
      </c>
      <c r="L80" s="52" t="n">
        <v>180</v>
      </c>
      <c r="M80" s="111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N80" s="166" t="n"/>
      <c r="O80" s="166" t="n"/>
      <c r="P80" s="166" t="n"/>
      <c r="Q80" s="131" t="n"/>
      <c r="R80" s="54" t="n"/>
      <c r="S80" s="54" t="n"/>
      <c r="T80" s="55" t="inlineStr">
        <is>
          <t>кор</t>
        </is>
      </c>
      <c r="U80" s="167" t="n">
        <v>0</v>
      </c>
      <c r="V80" s="168">
        <f>IFERROR(IF(U80="","",U80),"")</f>
        <v/>
      </c>
      <c r="W80" s="58">
        <f>IFERROR(IF(U80="","",U80*0.01788),"")</f>
        <v/>
      </c>
      <c r="X80" s="59" t="n"/>
      <c r="Y80" s="60" t="n"/>
      <c r="AC80" s="61" t="n"/>
      <c r="AZ80" s="62" t="inlineStr">
        <is>
          <t>ПГП</t>
        </is>
      </c>
    </row>
    <row r="81" ht="16.5" customHeight="1">
      <c r="A81" s="49" t="inlineStr">
        <is>
          <t>SU002568</t>
        </is>
      </c>
      <c r="B81" s="49" t="inlineStr">
        <is>
          <t>P002892</t>
        </is>
      </c>
      <c r="C81" s="50" t="n">
        <v>4301135122</v>
      </c>
      <c r="D81" s="110" t="n">
        <v>4607111033628</v>
      </c>
      <c r="E81" s="131" t="n"/>
      <c r="F81" s="165" t="n">
        <v>0.3</v>
      </c>
      <c r="G81" s="52" t="n">
        <v>12</v>
      </c>
      <c r="H81" s="165" t="n">
        <v>3.6</v>
      </c>
      <c r="I81" s="165" t="n">
        <v>4.3036</v>
      </c>
      <c r="J81" s="52" t="n">
        <v>70</v>
      </c>
      <c r="K81" s="53" t="inlineStr">
        <is>
          <t>МГ</t>
        </is>
      </c>
      <c r="L81" s="52" t="n">
        <v>180</v>
      </c>
      <c r="M81" s="111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N81" s="166" t="n"/>
      <c r="O81" s="166" t="n"/>
      <c r="P81" s="166" t="n"/>
      <c r="Q81" s="131" t="n"/>
      <c r="R81" s="54" t="n"/>
      <c r="S81" s="54" t="n"/>
      <c r="T81" s="55" t="inlineStr">
        <is>
          <t>кор</t>
        </is>
      </c>
      <c r="U81" s="167" t="n">
        <v>0</v>
      </c>
      <c r="V81" s="168">
        <f>IFERROR(IF(U81="","",U81),"")</f>
        <v/>
      </c>
      <c r="W81" s="58">
        <f>IFERROR(IF(U81="","",U81*0.01788),"")</f>
        <v/>
      </c>
      <c r="X81" s="59" t="n"/>
      <c r="Y81" s="60" t="n"/>
      <c r="AC81" s="61" t="n"/>
      <c r="AZ81" s="62" t="inlineStr">
        <is>
          <t>ПГП</t>
        </is>
      </c>
    </row>
    <row r="82" ht="27" customHeight="1">
      <c r="A82" s="49" t="inlineStr">
        <is>
          <t>SU000419</t>
        </is>
      </c>
      <c r="B82" s="49" t="inlineStr">
        <is>
          <t>P000419</t>
        </is>
      </c>
      <c r="C82" s="50" t="n">
        <v>4301130400</v>
      </c>
      <c r="D82" s="110" t="n">
        <v>4607111033451</v>
      </c>
      <c r="E82" s="131" t="n"/>
      <c r="F82" s="165" t="n">
        <v>0.3</v>
      </c>
      <c r="G82" s="52" t="n">
        <v>12</v>
      </c>
      <c r="H82" s="165" t="n">
        <v>3.6</v>
      </c>
      <c r="I82" s="165" t="n">
        <v>4.3036</v>
      </c>
      <c r="J82" s="52" t="n">
        <v>70</v>
      </c>
      <c r="K82" s="53" t="inlineStr">
        <is>
          <t>МГ</t>
        </is>
      </c>
      <c r="L82" s="52" t="n">
        <v>180</v>
      </c>
      <c r="M82" s="111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N82" s="166" t="n"/>
      <c r="O82" s="166" t="n"/>
      <c r="P82" s="166" t="n"/>
      <c r="Q82" s="131" t="n"/>
      <c r="R82" s="54" t="n"/>
      <c r="S82" s="54" t="n"/>
      <c r="T82" s="55" t="inlineStr">
        <is>
          <t>кор</t>
        </is>
      </c>
      <c r="U82" s="167" t="n">
        <v>50</v>
      </c>
      <c r="V82" s="168">
        <f>IFERROR(IF(U82="","",U82),"")</f>
        <v/>
      </c>
      <c r="W82" s="58">
        <f>IFERROR(IF(U82="","",U82*0.01788),"")</f>
        <v/>
      </c>
      <c r="X82" s="59" t="n"/>
      <c r="Y82" s="60" t="n"/>
      <c r="AC82" s="61" t="n"/>
      <c r="AZ82" s="62" t="inlineStr">
        <is>
          <t>ПГП</t>
        </is>
      </c>
    </row>
    <row r="83" ht="27" customHeight="1">
      <c r="A83" s="49" t="inlineStr">
        <is>
          <t>SU002572</t>
        </is>
      </c>
      <c r="B83" s="49" t="inlineStr">
        <is>
          <t>P002888</t>
        </is>
      </c>
      <c r="C83" s="50" t="n">
        <v>4301135120</v>
      </c>
      <c r="D83" s="110" t="n">
        <v>4607111035141</v>
      </c>
      <c r="E83" s="131" t="n"/>
      <c r="F83" s="165" t="n">
        <v>0.3</v>
      </c>
      <c r="G83" s="52" t="n">
        <v>12</v>
      </c>
      <c r="H83" s="165" t="n">
        <v>3.6</v>
      </c>
      <c r="I83" s="165" t="n">
        <v>4.3036</v>
      </c>
      <c r="J83" s="52" t="n">
        <v>70</v>
      </c>
      <c r="K83" s="53" t="inlineStr">
        <is>
          <t>МГ</t>
        </is>
      </c>
      <c r="L83" s="52" t="n">
        <v>180</v>
      </c>
      <c r="M83" s="111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N83" s="166" t="n"/>
      <c r="O83" s="166" t="n"/>
      <c r="P83" s="166" t="n"/>
      <c r="Q83" s="131" t="n"/>
      <c r="R83" s="54" t="n"/>
      <c r="S83" s="54" t="n"/>
      <c r="T83" s="55" t="inlineStr">
        <is>
          <t>кор</t>
        </is>
      </c>
      <c r="U83" s="167" t="n">
        <v>0</v>
      </c>
      <c r="V83" s="168">
        <f>IFERROR(IF(U83="","",U83),"")</f>
        <v/>
      </c>
      <c r="W83" s="58">
        <f>IFERROR(IF(U83="","",U83*0.01788),"")</f>
        <v/>
      </c>
      <c r="X83" s="59" t="n"/>
      <c r="Y83" s="60" t="n"/>
      <c r="AC83" s="61" t="n"/>
      <c r="AZ83" s="62" t="inlineStr">
        <is>
          <t>ПГП</t>
        </is>
      </c>
    </row>
    <row r="84" ht="27" customHeight="1">
      <c r="A84" s="49" t="inlineStr">
        <is>
          <t>SU002571</t>
        </is>
      </c>
      <c r="B84" s="49" t="inlineStr">
        <is>
          <t>P002876</t>
        </is>
      </c>
      <c r="C84" s="50" t="n">
        <v>4301135111</v>
      </c>
      <c r="D84" s="110" t="n">
        <v>4607111035028</v>
      </c>
      <c r="E84" s="131" t="n"/>
      <c r="F84" s="165" t="n">
        <v>0.48</v>
      </c>
      <c r="G84" s="52" t="n">
        <v>8</v>
      </c>
      <c r="H84" s="165" t="n">
        <v>3.84</v>
      </c>
      <c r="I84" s="165" t="n">
        <v>4.4488</v>
      </c>
      <c r="J84" s="52" t="n">
        <v>70</v>
      </c>
      <c r="K84" s="53" t="inlineStr">
        <is>
          <t>МГ</t>
        </is>
      </c>
      <c r="L84" s="52" t="n">
        <v>180</v>
      </c>
      <c r="M84" s="111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N84" s="166" t="n"/>
      <c r="O84" s="166" t="n"/>
      <c r="P84" s="166" t="n"/>
      <c r="Q84" s="131" t="n"/>
      <c r="R84" s="54" t="n"/>
      <c r="S84" s="54" t="n"/>
      <c r="T84" s="55" t="inlineStr">
        <is>
          <t>кор</t>
        </is>
      </c>
      <c r="U84" s="167" t="n">
        <v>0</v>
      </c>
      <c r="V84" s="168">
        <f>IFERROR(IF(U84="","",U84),"")</f>
        <v/>
      </c>
      <c r="W84" s="58">
        <f>IFERROR(IF(U84="","",U84*0.01788),"")</f>
        <v/>
      </c>
      <c r="X84" s="59" t="n"/>
      <c r="Y84" s="60" t="n"/>
      <c r="AC84" s="61" t="n"/>
      <c r="AZ84" s="62" t="inlineStr">
        <is>
          <t>ПГП</t>
        </is>
      </c>
    </row>
    <row r="85" ht="27" customHeight="1">
      <c r="A85" s="49" t="inlineStr">
        <is>
          <t>SU002559</t>
        </is>
      </c>
      <c r="B85" s="49" t="inlineStr">
        <is>
          <t>P002874</t>
        </is>
      </c>
      <c r="C85" s="50" t="n">
        <v>4301135109</v>
      </c>
      <c r="D85" s="110" t="n">
        <v>4607111033444</v>
      </c>
      <c r="E85" s="131" t="n"/>
      <c r="F85" s="165" t="n">
        <v>0.3</v>
      </c>
      <c r="G85" s="52" t="n">
        <v>12</v>
      </c>
      <c r="H85" s="165" t="n">
        <v>3.6</v>
      </c>
      <c r="I85" s="165" t="n">
        <v>4.3036</v>
      </c>
      <c r="J85" s="52" t="n">
        <v>70</v>
      </c>
      <c r="K85" s="53" t="inlineStr">
        <is>
          <t>МГ</t>
        </is>
      </c>
      <c r="L85" s="52" t="n">
        <v>180</v>
      </c>
      <c r="M85" s="111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N85" s="166" t="n"/>
      <c r="O85" s="166" t="n"/>
      <c r="P85" s="166" t="n"/>
      <c r="Q85" s="131" t="n"/>
      <c r="R85" s="54" t="n"/>
      <c r="S85" s="54" t="n"/>
      <c r="T85" s="55" t="inlineStr">
        <is>
          <t>кор</t>
        </is>
      </c>
      <c r="U85" s="167" t="n">
        <v>125</v>
      </c>
      <c r="V85" s="168">
        <f>IFERROR(IF(U85="","",U85),"")</f>
        <v/>
      </c>
      <c r="W85" s="58">
        <f>IFERROR(IF(U85="","",U85*0.01788),"")</f>
        <v/>
      </c>
      <c r="X85" s="59" t="n"/>
      <c r="Y85" s="60" t="n"/>
      <c r="AC85" s="61" t="n"/>
      <c r="AZ85" s="62" t="inlineStr">
        <is>
          <t>ПГП</t>
        </is>
      </c>
    </row>
    <row r="86">
      <c r="A86" s="112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69" t="n"/>
      <c r="M86" s="113" t="inlineStr">
        <is>
          <t>Итого</t>
        </is>
      </c>
      <c r="N86" s="137" t="n"/>
      <c r="O86" s="137" t="n"/>
      <c r="P86" s="137" t="n"/>
      <c r="Q86" s="137" t="n"/>
      <c r="R86" s="137" t="n"/>
      <c r="S86" s="138" t="n"/>
      <c r="T86" s="63" t="inlineStr">
        <is>
          <t>кор</t>
        </is>
      </c>
      <c r="U86" s="170">
        <f>IFERROR(SUM(U79:U85),"0")</f>
        <v/>
      </c>
      <c r="V86" s="170">
        <f>IFERROR(SUM(V79:V85),"0")</f>
        <v/>
      </c>
      <c r="W86" s="170">
        <f>IFERROR(IF(W79="",0,W79),"0")+IFERROR(IF(W80="",0,W80),"0")+IFERROR(IF(W81="",0,W81),"0")+IFERROR(IF(W82="",0,W82),"0")+IFERROR(IF(W83="",0,W83),"0")+IFERROR(IF(W84="",0,W84),"0")+IFERROR(IF(W85="",0,W85),"0")</f>
        <v/>
      </c>
      <c r="X86" s="171" t="n"/>
      <c r="Y86" s="17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69" t="n"/>
      <c r="M87" s="113" t="inlineStr">
        <is>
          <t>Итого</t>
        </is>
      </c>
      <c r="N87" s="137" t="n"/>
      <c r="O87" s="137" t="n"/>
      <c r="P87" s="137" t="n"/>
      <c r="Q87" s="137" t="n"/>
      <c r="R87" s="137" t="n"/>
      <c r="S87" s="138" t="n"/>
      <c r="T87" s="63" t="inlineStr">
        <is>
          <t>кг</t>
        </is>
      </c>
      <c r="U87" s="170">
        <f>IFERROR(SUMPRODUCT(U79:U85*H79:H85),"0")</f>
        <v/>
      </c>
      <c r="V87" s="170">
        <f>IFERROR(SUMPRODUCT(V79:V85*H79:H85),"0")</f>
        <v/>
      </c>
      <c r="W87" s="63" t="n"/>
      <c r="X87" s="171" t="n"/>
      <c r="Y87" s="171" t="n"/>
    </row>
    <row r="88" ht="16.5" customHeight="1">
      <c r="A88" s="108" t="inlineStr">
        <is>
          <t>Чебуреки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08" t="n"/>
      <c r="Y88" s="108" t="n"/>
    </row>
    <row r="89" ht="14.25" customHeight="1">
      <c r="A89" s="109" t="inlineStr">
        <is>
          <t>Чебуреки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09" t="n"/>
      <c r="Y89" s="109" t="n"/>
    </row>
    <row r="90" ht="27" customHeight="1">
      <c r="A90" s="49" t="inlineStr">
        <is>
          <t>SU002573</t>
        </is>
      </c>
      <c r="B90" s="49" t="inlineStr">
        <is>
          <t>P002893</t>
        </is>
      </c>
      <c r="C90" s="50" t="n">
        <v>4301136013</v>
      </c>
      <c r="D90" s="110" t="n">
        <v>4607025784012</v>
      </c>
      <c r="E90" s="131" t="n"/>
      <c r="F90" s="165" t="n">
        <v>0.09</v>
      </c>
      <c r="G90" s="52" t="n">
        <v>24</v>
      </c>
      <c r="H90" s="165" t="n">
        <v>2.16</v>
      </c>
      <c r="I90" s="165" t="n">
        <v>2.4912</v>
      </c>
      <c r="J90" s="52" t="n">
        <v>126</v>
      </c>
      <c r="K90" s="53" t="inlineStr">
        <is>
          <t>МГ</t>
        </is>
      </c>
      <c r="L90" s="52" t="n">
        <v>180</v>
      </c>
      <c r="M90" s="111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N90" s="166" t="n"/>
      <c r="O90" s="166" t="n"/>
      <c r="P90" s="166" t="n"/>
      <c r="Q90" s="131" t="n"/>
      <c r="R90" s="54" t="n"/>
      <c r="S90" s="54" t="n"/>
      <c r="T90" s="55" t="inlineStr">
        <is>
          <t>кор</t>
        </is>
      </c>
      <c r="U90" s="167" t="n">
        <v>0</v>
      </c>
      <c r="V90" s="168">
        <f>IFERROR(IF(U90="","",U90),"")</f>
        <v/>
      </c>
      <c r="W90" s="58">
        <f>IFERROR(IF(U90="","",U90*0.00936),"")</f>
        <v/>
      </c>
      <c r="X90" s="59" t="n"/>
      <c r="Y90" s="60" t="n"/>
      <c r="AC90" s="61" t="n"/>
      <c r="AZ90" s="62" t="inlineStr">
        <is>
          <t>ПГП</t>
        </is>
      </c>
    </row>
    <row r="91" ht="27" customHeight="1">
      <c r="A91" s="49" t="inlineStr">
        <is>
          <t>SU002558</t>
        </is>
      </c>
      <c r="B91" s="49" t="inlineStr">
        <is>
          <t>P002889</t>
        </is>
      </c>
      <c r="C91" s="50" t="n">
        <v>4301136012</v>
      </c>
      <c r="D91" s="110" t="n">
        <v>4607025784319</v>
      </c>
      <c r="E91" s="131" t="n"/>
      <c r="F91" s="165" t="n">
        <v>0.36</v>
      </c>
      <c r="G91" s="52" t="n">
        <v>10</v>
      </c>
      <c r="H91" s="165" t="n">
        <v>3.6</v>
      </c>
      <c r="I91" s="165" t="n">
        <v>4.244</v>
      </c>
      <c r="J91" s="52" t="n">
        <v>70</v>
      </c>
      <c r="K91" s="53" t="inlineStr">
        <is>
          <t>МГ</t>
        </is>
      </c>
      <c r="L91" s="52" t="n">
        <v>180</v>
      </c>
      <c r="M91" s="111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N91" s="166" t="n"/>
      <c r="O91" s="166" t="n"/>
      <c r="P91" s="166" t="n"/>
      <c r="Q91" s="131" t="n"/>
      <c r="R91" s="54" t="n"/>
      <c r="S91" s="54" t="n"/>
      <c r="T91" s="55" t="inlineStr">
        <is>
          <t>кор</t>
        </is>
      </c>
      <c r="U91" s="167" t="n">
        <v>0</v>
      </c>
      <c r="V91" s="168">
        <f>IFERROR(IF(U91="","",U91),"")</f>
        <v/>
      </c>
      <c r="W91" s="58">
        <f>IFERROR(IF(U91="","",U91*0.01788),"")</f>
        <v/>
      </c>
      <c r="X91" s="59" t="n"/>
      <c r="Y91" s="60" t="n"/>
      <c r="AC91" s="61" t="n"/>
      <c r="AZ91" s="62" t="inlineStr">
        <is>
          <t>ПГП</t>
        </is>
      </c>
    </row>
    <row r="92" ht="16.5" customHeight="1">
      <c r="A92" s="49" t="inlineStr">
        <is>
          <t>SU002570</t>
        </is>
      </c>
      <c r="B92" s="49" t="inlineStr">
        <is>
          <t>P002894</t>
        </is>
      </c>
      <c r="C92" s="50" t="n">
        <v>4301136014</v>
      </c>
      <c r="D92" s="110" t="n">
        <v>4607111035370</v>
      </c>
      <c r="E92" s="131" t="n"/>
      <c r="F92" s="165" t="n">
        <v>0.14</v>
      </c>
      <c r="G92" s="52" t="n">
        <v>22</v>
      </c>
      <c r="H92" s="165" t="n">
        <v>3.08</v>
      </c>
      <c r="I92" s="165" t="n">
        <v>3.464</v>
      </c>
      <c r="J92" s="52" t="n">
        <v>84</v>
      </c>
      <c r="K92" s="53" t="inlineStr">
        <is>
          <t>МГ</t>
        </is>
      </c>
      <c r="L92" s="52" t="n">
        <v>180</v>
      </c>
      <c r="M92" s="111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N92" s="166" t="n"/>
      <c r="O92" s="166" t="n"/>
      <c r="P92" s="166" t="n"/>
      <c r="Q92" s="131" t="n"/>
      <c r="R92" s="54" t="n"/>
      <c r="S92" s="54" t="n"/>
      <c r="T92" s="55" t="inlineStr">
        <is>
          <t>кор</t>
        </is>
      </c>
      <c r="U92" s="167" t="n">
        <v>0</v>
      </c>
      <c r="V92" s="168">
        <f>IFERROR(IF(U92="","",U92),"")</f>
        <v/>
      </c>
      <c r="W92" s="58">
        <f>IFERROR(IF(U92="","",U92*0.0155),"")</f>
        <v/>
      </c>
      <c r="X92" s="59" t="n"/>
      <c r="Y92" s="60" t="n"/>
      <c r="AC92" s="61" t="n"/>
      <c r="AZ92" s="62" t="inlineStr">
        <is>
          <t>ПГП</t>
        </is>
      </c>
    </row>
    <row r="93">
      <c r="A93" s="112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69" t="n"/>
      <c r="M93" s="113" t="inlineStr">
        <is>
          <t>Итого</t>
        </is>
      </c>
      <c r="N93" s="137" t="n"/>
      <c r="O93" s="137" t="n"/>
      <c r="P93" s="137" t="n"/>
      <c r="Q93" s="137" t="n"/>
      <c r="R93" s="137" t="n"/>
      <c r="S93" s="138" t="n"/>
      <c r="T93" s="63" t="inlineStr">
        <is>
          <t>кор</t>
        </is>
      </c>
      <c r="U93" s="170">
        <f>IFERROR(SUM(U90:U92),"0")</f>
        <v/>
      </c>
      <c r="V93" s="170">
        <f>IFERROR(SUM(V90:V92),"0")</f>
        <v/>
      </c>
      <c r="W93" s="170">
        <f>IFERROR(IF(W90="",0,W90),"0")+IFERROR(IF(W91="",0,W91),"0")+IFERROR(IF(W92="",0,W92),"0")</f>
        <v/>
      </c>
      <c r="X93" s="171" t="n"/>
      <c r="Y93" s="17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69" t="n"/>
      <c r="M94" s="113" t="inlineStr">
        <is>
          <t>Итого</t>
        </is>
      </c>
      <c r="N94" s="137" t="n"/>
      <c r="O94" s="137" t="n"/>
      <c r="P94" s="137" t="n"/>
      <c r="Q94" s="137" t="n"/>
      <c r="R94" s="137" t="n"/>
      <c r="S94" s="138" t="n"/>
      <c r="T94" s="63" t="inlineStr">
        <is>
          <t>кг</t>
        </is>
      </c>
      <c r="U94" s="170">
        <f>IFERROR(SUMPRODUCT(U90:U92*H90:H92),"0")</f>
        <v/>
      </c>
      <c r="V94" s="170">
        <f>IFERROR(SUMPRODUCT(V90:V92*H90:H92),"0")</f>
        <v/>
      </c>
      <c r="W94" s="63" t="n"/>
      <c r="X94" s="171" t="n"/>
      <c r="Y94" s="171" t="n"/>
    </row>
    <row r="95" ht="16.5" customHeight="1">
      <c r="A95" s="108" t="inlineStr">
        <is>
          <t>Бульмени ГШ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08" t="n"/>
      <c r="Y95" s="108" t="n"/>
    </row>
    <row r="96" ht="14.25" customHeight="1">
      <c r="A96" s="109" t="inlineStr">
        <is>
          <t>Пельмени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09" t="n"/>
      <c r="Y96" s="109" t="n"/>
    </row>
    <row r="97" ht="27" customHeight="1">
      <c r="A97" s="49" t="inlineStr">
        <is>
          <t>SU002626</t>
        </is>
      </c>
      <c r="B97" s="49" t="inlineStr">
        <is>
          <t>P003685</t>
        </is>
      </c>
      <c r="C97" s="50" t="n">
        <v>4301070975</v>
      </c>
      <c r="D97" s="110" t="n">
        <v>4607111033970</v>
      </c>
      <c r="E97" s="131" t="n"/>
      <c r="F97" s="165" t="n">
        <v>0.43</v>
      </c>
      <c r="G97" s="52" t="n">
        <v>16</v>
      </c>
      <c r="H97" s="165" t="n">
        <v>6.88</v>
      </c>
      <c r="I97" s="165" t="n">
        <v>7.1996</v>
      </c>
      <c r="J97" s="52" t="n">
        <v>84</v>
      </c>
      <c r="K97" s="53" t="inlineStr">
        <is>
          <t>МГ</t>
        </is>
      </c>
      <c r="L97" s="52" t="n">
        <v>180</v>
      </c>
      <c r="M97" s="118" t="inlineStr">
        <is>
          <t>Пельмени «Бульмени с говядиной и свининой» 0,43 Сфера ТМ «Горячая штучка»</t>
        </is>
      </c>
      <c r="N97" s="166" t="n"/>
      <c r="O97" s="166" t="n"/>
      <c r="P97" s="166" t="n"/>
      <c r="Q97" s="131" t="n"/>
      <c r="R97" s="54" t="n"/>
      <c r="S97" s="54" t="n"/>
      <c r="T97" s="55" t="inlineStr">
        <is>
          <t>кор</t>
        </is>
      </c>
      <c r="U97" s="167" t="n">
        <v>15</v>
      </c>
      <c r="V97" s="168">
        <f>IFERROR(IF(U97="","",U97),"")</f>
        <v/>
      </c>
      <c r="W97" s="58">
        <f>IFERROR(IF(U97="","",U97*0.0155),"")</f>
        <v/>
      </c>
      <c r="X97" s="59" t="n"/>
      <c r="Y97" s="60" t="n"/>
      <c r="AC97" s="61" t="n"/>
      <c r="AZ97" s="62" t="inlineStr">
        <is>
          <t>ЗПФ</t>
        </is>
      </c>
    </row>
    <row r="98" ht="27" customHeight="1">
      <c r="A98" s="49" t="inlineStr">
        <is>
          <t>SU002627</t>
        </is>
      </c>
      <c r="B98" s="49" t="inlineStr">
        <is>
          <t>P003686</t>
        </is>
      </c>
      <c r="C98" s="50" t="n">
        <v>4301070976</v>
      </c>
      <c r="D98" s="110" t="n">
        <v>4607111034144</v>
      </c>
      <c r="E98" s="131" t="n"/>
      <c r="F98" s="165" t="n">
        <v>0.9</v>
      </c>
      <c r="G98" s="52" t="n">
        <v>8</v>
      </c>
      <c r="H98" s="165" t="n">
        <v>7.2</v>
      </c>
      <c r="I98" s="165" t="n">
        <v>7.486</v>
      </c>
      <c r="J98" s="52" t="n">
        <v>84</v>
      </c>
      <c r="K98" s="53" t="inlineStr">
        <is>
          <t>МГ</t>
        </is>
      </c>
      <c r="L98" s="52" t="n">
        <v>180</v>
      </c>
      <c r="M98" s="118" t="inlineStr">
        <is>
          <t>Пельмени «Бульмени с говядиной и свининой» 0,9 Сфера ТМ «Горячая штучка»</t>
        </is>
      </c>
      <c r="N98" s="166" t="n"/>
      <c r="O98" s="166" t="n"/>
      <c r="P98" s="166" t="n"/>
      <c r="Q98" s="131" t="n"/>
      <c r="R98" s="54" t="n"/>
      <c r="S98" s="54" t="n"/>
      <c r="T98" s="55" t="inlineStr">
        <is>
          <t>кор</t>
        </is>
      </c>
      <c r="U98" s="167" t="n">
        <v>50</v>
      </c>
      <c r="V98" s="168">
        <f>IFERROR(IF(U98="","",U98),"")</f>
        <v/>
      </c>
      <c r="W98" s="58">
        <f>IFERROR(IF(U98="","",U98*0.0155),"")</f>
        <v/>
      </c>
      <c r="X98" s="59" t="n"/>
      <c r="Y98" s="60" t="n"/>
      <c r="AC98" s="61" t="n"/>
      <c r="AZ98" s="62" t="inlineStr">
        <is>
          <t>ЗПФ</t>
        </is>
      </c>
    </row>
    <row r="99" ht="27" customHeight="1">
      <c r="A99" s="49" t="inlineStr">
        <is>
          <t>SU002622</t>
        </is>
      </c>
      <c r="B99" s="49" t="inlineStr">
        <is>
          <t>P003683</t>
        </is>
      </c>
      <c r="C99" s="50" t="n">
        <v>4301070973</v>
      </c>
      <c r="D99" s="110" t="n">
        <v>4607111033987</v>
      </c>
      <c r="E99" s="131" t="n"/>
      <c r="F99" s="165" t="n">
        <v>0.43</v>
      </c>
      <c r="G99" s="52" t="n">
        <v>16</v>
      </c>
      <c r="H99" s="165" t="n">
        <v>6.88</v>
      </c>
      <c r="I99" s="165" t="n">
        <v>7.1996</v>
      </c>
      <c r="J99" s="52" t="n">
        <v>84</v>
      </c>
      <c r="K99" s="53" t="inlineStr">
        <is>
          <t>МГ</t>
        </is>
      </c>
      <c r="L99" s="52" t="n">
        <v>180</v>
      </c>
      <c r="M99" s="118" t="inlineStr">
        <is>
          <t>Пельмени «Бульмени со сливочным маслом» 0,43 Сфера ТМ «Горячая штучка»</t>
        </is>
      </c>
      <c r="N99" s="166" t="n"/>
      <c r="O99" s="166" t="n"/>
      <c r="P99" s="166" t="n"/>
      <c r="Q99" s="131" t="n"/>
      <c r="R99" s="54" t="n"/>
      <c r="S99" s="54" t="n"/>
      <c r="T99" s="55" t="inlineStr">
        <is>
          <t>кор</t>
        </is>
      </c>
      <c r="U99" s="167" t="n">
        <v>25</v>
      </c>
      <c r="V99" s="168">
        <f>IFERROR(IF(U99="","",U99),"")</f>
        <v/>
      </c>
      <c r="W99" s="58">
        <f>IFERROR(IF(U99="","",U99*0.0155),"")</f>
        <v/>
      </c>
      <c r="X99" s="59" t="n"/>
      <c r="Y99" s="60" t="n"/>
      <c r="AC99" s="61" t="n"/>
      <c r="AZ99" s="62" t="inlineStr">
        <is>
          <t>ЗПФ</t>
        </is>
      </c>
    </row>
    <row r="100" ht="27" customHeight="1">
      <c r="A100" s="49" t="inlineStr">
        <is>
          <t>SU002623</t>
        </is>
      </c>
      <c r="B100" s="49" t="inlineStr">
        <is>
          <t>P003684</t>
        </is>
      </c>
      <c r="C100" s="50" t="n">
        <v>4301070974</v>
      </c>
      <c r="D100" s="110" t="n">
        <v>4607111034151</v>
      </c>
      <c r="E100" s="131" t="n"/>
      <c r="F100" s="165" t="n">
        <v>0.9</v>
      </c>
      <c r="G100" s="52" t="n">
        <v>8</v>
      </c>
      <c r="H100" s="165" t="n">
        <v>7.2</v>
      </c>
      <c r="I100" s="165" t="n">
        <v>7.486</v>
      </c>
      <c r="J100" s="52" t="n">
        <v>84</v>
      </c>
      <c r="K100" s="53" t="inlineStr">
        <is>
          <t>МГ</t>
        </is>
      </c>
      <c r="L100" s="52" t="n">
        <v>180</v>
      </c>
      <c r="M100" s="118" t="inlineStr">
        <is>
          <t>Пельмени «Бульмени со сливочным маслом» 0,9 Сфера ТМ «Горячая штучка»</t>
        </is>
      </c>
      <c r="N100" s="166" t="n"/>
      <c r="O100" s="166" t="n"/>
      <c r="P100" s="166" t="n"/>
      <c r="Q100" s="131" t="n"/>
      <c r="R100" s="54" t="n"/>
      <c r="S100" s="54" t="n"/>
      <c r="T100" s="55" t="inlineStr">
        <is>
          <t>кор</t>
        </is>
      </c>
      <c r="U100" s="167" t="n">
        <v>100</v>
      </c>
      <c r="V100" s="168">
        <f>IFERROR(IF(U100="","",U100),"")</f>
        <v/>
      </c>
      <c r="W100" s="58">
        <f>IFERROR(IF(U100="","",U100*0.0155),"")</f>
        <v/>
      </c>
      <c r="X100" s="59" t="n"/>
      <c r="Y100" s="60" t="n"/>
      <c r="AC100" s="61" t="n"/>
      <c r="AZ100" s="62" t="inlineStr">
        <is>
          <t>ЗПФ</t>
        </is>
      </c>
    </row>
    <row r="101">
      <c r="A101" s="112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69" t="n"/>
      <c r="M101" s="113" t="inlineStr">
        <is>
          <t>Итого</t>
        </is>
      </c>
      <c r="N101" s="137" t="n"/>
      <c r="O101" s="137" t="n"/>
      <c r="P101" s="137" t="n"/>
      <c r="Q101" s="137" t="n"/>
      <c r="R101" s="137" t="n"/>
      <c r="S101" s="138" t="n"/>
      <c r="T101" s="63" t="inlineStr">
        <is>
          <t>кор</t>
        </is>
      </c>
      <c r="U101" s="170">
        <f>IFERROR(SUM(U97:U100),"0")</f>
        <v/>
      </c>
      <c r="V101" s="170">
        <f>IFERROR(SUM(V97:V100),"0")</f>
        <v/>
      </c>
      <c r="W101" s="170">
        <f>IFERROR(IF(W97="",0,W97),"0")+IFERROR(IF(W98="",0,W98),"0")+IFERROR(IF(W99="",0,W99),"0")+IFERROR(IF(W100="",0,W100),"0")</f>
        <v/>
      </c>
      <c r="X101" s="171" t="n"/>
      <c r="Y101" s="17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69" t="n"/>
      <c r="M102" s="113" t="inlineStr">
        <is>
          <t>Итого</t>
        </is>
      </c>
      <c r="N102" s="137" t="n"/>
      <c r="O102" s="137" t="n"/>
      <c r="P102" s="137" t="n"/>
      <c r="Q102" s="137" t="n"/>
      <c r="R102" s="137" t="n"/>
      <c r="S102" s="138" t="n"/>
      <c r="T102" s="63" t="inlineStr">
        <is>
          <t>кг</t>
        </is>
      </c>
      <c r="U102" s="170">
        <f>IFERROR(SUMPRODUCT(U97:U100*H97:H100),"0")</f>
        <v/>
      </c>
      <c r="V102" s="170">
        <f>IFERROR(SUMPRODUCT(V97:V100*H97:H100),"0")</f>
        <v/>
      </c>
      <c r="W102" s="63" t="n"/>
      <c r="X102" s="171" t="n"/>
      <c r="Y102" s="171" t="n"/>
    </row>
    <row r="103" ht="16.5" customHeight="1">
      <c r="A103" s="108" t="inlineStr">
        <is>
          <t>Чебупицца</t>
        </is>
      </c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08" t="n"/>
      <c r="Y103" s="108" t="n"/>
    </row>
    <row r="104" ht="14.25" customHeight="1">
      <c r="A104" s="109" t="inlineStr">
        <is>
          <t>Снеки</t>
        </is>
      </c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09" t="n"/>
      <c r="Y104" s="109" t="n"/>
    </row>
    <row r="105" ht="27" customHeight="1">
      <c r="A105" s="49" t="inlineStr">
        <is>
          <t>SU002562</t>
        </is>
      </c>
      <c r="B105" s="49" t="inlineStr">
        <is>
          <t>P003286</t>
        </is>
      </c>
      <c r="C105" s="50" t="n">
        <v>4301135162</v>
      </c>
      <c r="D105" s="110" t="n">
        <v>4607111034014</v>
      </c>
      <c r="E105" s="131" t="n"/>
      <c r="F105" s="165" t="n">
        <v>0.25</v>
      </c>
      <c r="G105" s="52" t="n">
        <v>12</v>
      </c>
      <c r="H105" s="165" t="n">
        <v>3</v>
      </c>
      <c r="I105" s="165" t="n">
        <v>3.7036</v>
      </c>
      <c r="J105" s="52" t="n">
        <v>70</v>
      </c>
      <c r="K105" s="53" t="inlineStr">
        <is>
          <t>МГ</t>
        </is>
      </c>
      <c r="L105" s="52" t="n">
        <v>180</v>
      </c>
      <c r="M105" s="111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N105" s="166" t="n"/>
      <c r="O105" s="166" t="n"/>
      <c r="P105" s="166" t="n"/>
      <c r="Q105" s="131" t="n"/>
      <c r="R105" s="54" t="n"/>
      <c r="S105" s="54" t="n"/>
      <c r="T105" s="55" t="inlineStr">
        <is>
          <t>кор</t>
        </is>
      </c>
      <c r="U105" s="167" t="n">
        <v>150</v>
      </c>
      <c r="V105" s="168">
        <f>IFERROR(IF(U105="","",U105),"")</f>
        <v/>
      </c>
      <c r="W105" s="58">
        <f>IFERROR(IF(U105="","",U105*0.01788),"")</f>
        <v/>
      </c>
      <c r="X105" s="59" t="n"/>
      <c r="Y105" s="60" t="n"/>
      <c r="AC105" s="61" t="n"/>
      <c r="AZ105" s="62" t="inlineStr">
        <is>
          <t>ПГП</t>
        </is>
      </c>
    </row>
    <row r="106" ht="27" customHeight="1">
      <c r="A106" s="49" t="inlineStr">
        <is>
          <t>SU002561</t>
        </is>
      </c>
      <c r="B106" s="49" t="inlineStr">
        <is>
          <t>P002884</t>
        </is>
      </c>
      <c r="C106" s="50" t="n">
        <v>4301135117</v>
      </c>
      <c r="D106" s="110" t="n">
        <v>4607111033994</v>
      </c>
      <c r="E106" s="131" t="n"/>
      <c r="F106" s="165" t="n">
        <v>0.25</v>
      </c>
      <c r="G106" s="52" t="n">
        <v>12</v>
      </c>
      <c r="H106" s="165" t="n">
        <v>3</v>
      </c>
      <c r="I106" s="165" t="n">
        <v>3.7036</v>
      </c>
      <c r="J106" s="52" t="n">
        <v>70</v>
      </c>
      <c r="K106" s="53" t="inlineStr">
        <is>
          <t>МГ</t>
        </is>
      </c>
      <c r="L106" s="52" t="n">
        <v>180</v>
      </c>
      <c r="M106" s="111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N106" s="166" t="n"/>
      <c r="O106" s="166" t="n"/>
      <c r="P106" s="166" t="n"/>
      <c r="Q106" s="131" t="n"/>
      <c r="R106" s="54" t="n"/>
      <c r="S106" s="54" t="n"/>
      <c r="T106" s="55" t="inlineStr">
        <is>
          <t>кор</t>
        </is>
      </c>
      <c r="U106" s="167" t="n">
        <v>150</v>
      </c>
      <c r="V106" s="168">
        <f>IFERROR(IF(U106="","",U106),"")</f>
        <v/>
      </c>
      <c r="W106" s="58">
        <f>IFERROR(IF(U106="","",U106*0.01788),"")</f>
        <v/>
      </c>
      <c r="X106" s="59" t="n"/>
      <c r="Y106" s="60" t="n"/>
      <c r="AC106" s="61" t="n"/>
      <c r="AZ106" s="62" t="inlineStr">
        <is>
          <t>ПГП</t>
        </is>
      </c>
    </row>
    <row r="107">
      <c r="A107" s="112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69" t="n"/>
      <c r="M107" s="113" t="inlineStr">
        <is>
          <t>Итого</t>
        </is>
      </c>
      <c r="N107" s="137" t="n"/>
      <c r="O107" s="137" t="n"/>
      <c r="P107" s="137" t="n"/>
      <c r="Q107" s="137" t="n"/>
      <c r="R107" s="137" t="n"/>
      <c r="S107" s="138" t="n"/>
      <c r="T107" s="63" t="inlineStr">
        <is>
          <t>кор</t>
        </is>
      </c>
      <c r="U107" s="170">
        <f>IFERROR(SUM(U105:U106),"0")</f>
        <v/>
      </c>
      <c r="V107" s="170">
        <f>IFERROR(SUM(V105:V106),"0")</f>
        <v/>
      </c>
      <c r="W107" s="170">
        <f>IFERROR(IF(W105="",0,W105),"0")+IFERROR(IF(W106="",0,W106),"0")</f>
        <v/>
      </c>
      <c r="X107" s="171" t="n"/>
      <c r="Y107" s="17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69" t="n"/>
      <c r="M108" s="113" t="inlineStr">
        <is>
          <t>Итого</t>
        </is>
      </c>
      <c r="N108" s="137" t="n"/>
      <c r="O108" s="137" t="n"/>
      <c r="P108" s="137" t="n"/>
      <c r="Q108" s="137" t="n"/>
      <c r="R108" s="137" t="n"/>
      <c r="S108" s="138" t="n"/>
      <c r="T108" s="63" t="inlineStr">
        <is>
          <t>кг</t>
        </is>
      </c>
      <c r="U108" s="170">
        <f>IFERROR(SUMPRODUCT(U105:U106*H105:H106),"0")</f>
        <v/>
      </c>
      <c r="V108" s="170">
        <f>IFERROR(SUMPRODUCT(V105:V106*H105:H106),"0")</f>
        <v/>
      </c>
      <c r="W108" s="63" t="n"/>
      <c r="X108" s="171" t="n"/>
      <c r="Y108" s="171" t="n"/>
    </row>
    <row r="109" ht="16.5" customHeight="1">
      <c r="A109" s="108" t="inlineStr">
        <is>
          <t>Хотстеры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08" t="n"/>
      <c r="Y109" s="108" t="n"/>
    </row>
    <row r="110" ht="14.25" customHeight="1">
      <c r="A110" s="109" t="inlineStr">
        <is>
          <t>Снеки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09" t="n"/>
      <c r="Y110" s="109" t="n"/>
    </row>
    <row r="111" ht="16.5" customHeight="1">
      <c r="A111" s="49" t="inlineStr">
        <is>
          <t>SU002565</t>
        </is>
      </c>
      <c r="B111" s="49" t="inlineStr">
        <is>
          <t>P002877</t>
        </is>
      </c>
      <c r="C111" s="50" t="n">
        <v>4301135112</v>
      </c>
      <c r="D111" s="110" t="n">
        <v>4607111034199</v>
      </c>
      <c r="E111" s="131" t="n"/>
      <c r="F111" s="165" t="n">
        <v>0.25</v>
      </c>
      <c r="G111" s="52" t="n">
        <v>12</v>
      </c>
      <c r="H111" s="165" t="n">
        <v>3</v>
      </c>
      <c r="I111" s="165" t="n">
        <v>3.7036</v>
      </c>
      <c r="J111" s="52" t="n">
        <v>70</v>
      </c>
      <c r="K111" s="53" t="inlineStr">
        <is>
          <t>МГ</t>
        </is>
      </c>
      <c r="L111" s="52" t="n">
        <v>180</v>
      </c>
      <c r="M111" s="111">
        <f>HYPERLINK("https://abi.ru/products/Замороженные/Горячая штучка/Хотстеры/Снеки/P002877/","Хотстеры Хотстеры Фикс.вес 0,25 Лоток Горячая штучка")</f>
        <v/>
      </c>
      <c r="N111" s="166" t="n"/>
      <c r="O111" s="166" t="n"/>
      <c r="P111" s="166" t="n"/>
      <c r="Q111" s="131" t="n"/>
      <c r="R111" s="54" t="n"/>
      <c r="S111" s="54" t="n"/>
      <c r="T111" s="55" t="inlineStr">
        <is>
          <t>кор</t>
        </is>
      </c>
      <c r="U111" s="167" t="n">
        <v>80</v>
      </c>
      <c r="V111" s="168">
        <f>IFERROR(IF(U111="","",U111),"")</f>
        <v/>
      </c>
      <c r="W111" s="58">
        <f>IFERROR(IF(U111="","",U111*0.01788),"")</f>
        <v/>
      </c>
      <c r="X111" s="59" t="n"/>
      <c r="Y111" s="60" t="n"/>
      <c r="AC111" s="61" t="n"/>
      <c r="AZ111" s="62" t="inlineStr">
        <is>
          <t>ПГП</t>
        </is>
      </c>
    </row>
    <row r="112">
      <c r="A112" s="112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69" t="n"/>
      <c r="M112" s="113" t="inlineStr">
        <is>
          <t>Итого</t>
        </is>
      </c>
      <c r="N112" s="137" t="n"/>
      <c r="O112" s="137" t="n"/>
      <c r="P112" s="137" t="n"/>
      <c r="Q112" s="137" t="n"/>
      <c r="R112" s="137" t="n"/>
      <c r="S112" s="138" t="n"/>
      <c r="T112" s="63" t="inlineStr">
        <is>
          <t>кор</t>
        </is>
      </c>
      <c r="U112" s="170">
        <f>IFERROR(SUM(U111:U111),"0")</f>
        <v/>
      </c>
      <c r="V112" s="170">
        <f>IFERROR(SUM(V111:V111),"0")</f>
        <v/>
      </c>
      <c r="W112" s="170">
        <f>IFERROR(IF(W111="",0,W111),"0")</f>
        <v/>
      </c>
      <c r="X112" s="171" t="n"/>
      <c r="Y112" s="17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69" t="n"/>
      <c r="M113" s="113" t="inlineStr">
        <is>
          <t>Итого</t>
        </is>
      </c>
      <c r="N113" s="137" t="n"/>
      <c r="O113" s="137" t="n"/>
      <c r="P113" s="137" t="n"/>
      <c r="Q113" s="137" t="n"/>
      <c r="R113" s="137" t="n"/>
      <c r="S113" s="138" t="n"/>
      <c r="T113" s="63" t="inlineStr">
        <is>
          <t>кг</t>
        </is>
      </c>
      <c r="U113" s="170">
        <f>IFERROR(SUMPRODUCT(U111:U111*H111:H111),"0")</f>
        <v/>
      </c>
      <c r="V113" s="170">
        <f>IFERROR(SUMPRODUCT(V111:V111*H111:H111),"0")</f>
        <v/>
      </c>
      <c r="W113" s="63" t="n"/>
      <c r="X113" s="171" t="n"/>
      <c r="Y113" s="171" t="n"/>
    </row>
    <row r="114" ht="16.5" customHeight="1">
      <c r="A114" s="108" t="inlineStr">
        <is>
          <t>Круггетсы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08" t="n"/>
      <c r="Y114" s="108" t="n"/>
    </row>
    <row r="115" ht="14.25" customHeight="1">
      <c r="A115" s="109" t="inlineStr">
        <is>
          <t>Снеки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09" t="n"/>
      <c r="Y115" s="109" t="n"/>
    </row>
    <row r="116" ht="27" customHeight="1">
      <c r="A116" s="49" t="inlineStr">
        <is>
          <t>SU001950</t>
        </is>
      </c>
      <c r="B116" s="49" t="inlineStr">
        <is>
          <t>P001982</t>
        </is>
      </c>
      <c r="C116" s="50" t="n">
        <v>4301130006</v>
      </c>
      <c r="D116" s="110" t="n">
        <v>4607111034670</v>
      </c>
      <c r="E116" s="131" t="n"/>
      <c r="F116" s="165" t="n">
        <v>3</v>
      </c>
      <c r="G116" s="52" t="n">
        <v>1</v>
      </c>
      <c r="H116" s="165" t="n">
        <v>3</v>
      </c>
      <c r="I116" s="165" t="n">
        <v>3.195</v>
      </c>
      <c r="J116" s="52" t="n">
        <v>126</v>
      </c>
      <c r="K116" s="53" t="inlineStr">
        <is>
          <t>МГ</t>
        </is>
      </c>
      <c r="L116" s="52" t="n">
        <v>180</v>
      </c>
      <c r="M116" s="111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N116" s="166" t="n"/>
      <c r="O116" s="166" t="n"/>
      <c r="P116" s="166" t="n"/>
      <c r="Q116" s="131" t="n"/>
      <c r="R116" s="54" t="n"/>
      <c r="S116" s="54" t="n"/>
      <c r="T116" s="55" t="inlineStr">
        <is>
          <t>кор</t>
        </is>
      </c>
      <c r="U116" s="167" t="n">
        <v>0</v>
      </c>
      <c r="V116" s="168">
        <f>IFERROR(IF(U116="","",U116),"")</f>
        <v/>
      </c>
      <c r="W116" s="58">
        <f>IFERROR(IF(U116="","",U116*0.00936),"")</f>
        <v/>
      </c>
      <c r="X116" s="59" t="inlineStr">
        <is>
          <t>ВЕСОВОЙ ФОРМАТ</t>
        </is>
      </c>
      <c r="Y116" s="60" t="n"/>
      <c r="AC116" s="61" t="n"/>
      <c r="AZ116" s="62" t="inlineStr">
        <is>
          <t>ПГП</t>
        </is>
      </c>
    </row>
    <row r="117" ht="27" customHeight="1">
      <c r="A117" s="49" t="inlineStr">
        <is>
          <t>SU001949</t>
        </is>
      </c>
      <c r="B117" s="49" t="inlineStr">
        <is>
          <t>P001980</t>
        </is>
      </c>
      <c r="C117" s="50" t="n">
        <v>4301130003</v>
      </c>
      <c r="D117" s="110" t="n">
        <v>4607111034687</v>
      </c>
      <c r="E117" s="131" t="n"/>
      <c r="F117" s="165" t="n">
        <v>3</v>
      </c>
      <c r="G117" s="52" t="n">
        <v>1</v>
      </c>
      <c r="H117" s="165" t="n">
        <v>3</v>
      </c>
      <c r="I117" s="165" t="n">
        <v>3.195</v>
      </c>
      <c r="J117" s="52" t="n">
        <v>126</v>
      </c>
      <c r="K117" s="53" t="inlineStr">
        <is>
          <t>МГ</t>
        </is>
      </c>
      <c r="L117" s="52" t="n">
        <v>180</v>
      </c>
      <c r="M117" s="118" t="inlineStr">
        <is>
          <t>Круггетсы сочные Хорека Весовые Пакет 3 кг Горячая штучка</t>
        </is>
      </c>
      <c r="N117" s="166" t="n"/>
      <c r="O117" s="166" t="n"/>
      <c r="P117" s="166" t="n"/>
      <c r="Q117" s="131" t="n"/>
      <c r="R117" s="54" t="n"/>
      <c r="S117" s="54" t="n"/>
      <c r="T117" s="55" t="inlineStr">
        <is>
          <t>кор</t>
        </is>
      </c>
      <c r="U117" s="167" t="n">
        <v>0</v>
      </c>
      <c r="V117" s="168">
        <f>IFERROR(IF(U117="","",U117),"")</f>
        <v/>
      </c>
      <c r="W117" s="58">
        <f>IFERROR(IF(U117="","",U117*0.00936),"")</f>
        <v/>
      </c>
      <c r="X117" s="59" t="inlineStr">
        <is>
          <t>ВЕСОВОЙ ФОРМАТ</t>
        </is>
      </c>
      <c r="Y117" s="60" t="n"/>
      <c r="AC117" s="61" t="n"/>
      <c r="AZ117" s="62" t="inlineStr">
        <is>
          <t>ПГП</t>
        </is>
      </c>
    </row>
    <row r="118" ht="27" customHeight="1">
      <c r="A118" s="49" t="inlineStr">
        <is>
          <t>SU002566</t>
        </is>
      </c>
      <c r="B118" s="49" t="inlineStr">
        <is>
          <t>P002880</t>
        </is>
      </c>
      <c r="C118" s="50" t="n">
        <v>4301135115</v>
      </c>
      <c r="D118" s="110" t="n">
        <v>4607111034380</v>
      </c>
      <c r="E118" s="131" t="n"/>
      <c r="F118" s="165" t="n">
        <v>0.25</v>
      </c>
      <c r="G118" s="52" t="n">
        <v>12</v>
      </c>
      <c r="H118" s="165" t="n">
        <v>3</v>
      </c>
      <c r="I118" s="165" t="n">
        <v>3.7036</v>
      </c>
      <c r="J118" s="52" t="n">
        <v>70</v>
      </c>
      <c r="K118" s="53" t="inlineStr">
        <is>
          <t>МГ</t>
        </is>
      </c>
      <c r="L118" s="52" t="n">
        <v>180</v>
      </c>
      <c r="M118" s="111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N118" s="166" t="n"/>
      <c r="O118" s="166" t="n"/>
      <c r="P118" s="166" t="n"/>
      <c r="Q118" s="131" t="n"/>
      <c r="R118" s="54" t="n"/>
      <c r="S118" s="54" t="n"/>
      <c r="T118" s="55" t="inlineStr">
        <is>
          <t>кор</t>
        </is>
      </c>
      <c r="U118" s="167" t="n">
        <v>0</v>
      </c>
      <c r="V118" s="168">
        <f>IFERROR(IF(U118="","",U118),"")</f>
        <v/>
      </c>
      <c r="W118" s="58">
        <f>IFERROR(IF(U118="","",U118*0.01788),"")</f>
        <v/>
      </c>
      <c r="X118" s="59" t="n"/>
      <c r="Y118" s="60" t="n"/>
      <c r="AC118" s="61" t="n"/>
      <c r="AZ118" s="62" t="inlineStr">
        <is>
          <t>ПГП</t>
        </is>
      </c>
    </row>
    <row r="119" ht="27" customHeight="1">
      <c r="A119" s="49" t="inlineStr">
        <is>
          <t>SU002567</t>
        </is>
      </c>
      <c r="B119" s="49" t="inlineStr">
        <is>
          <t>P002879</t>
        </is>
      </c>
      <c r="C119" s="50" t="n">
        <v>4301135114</v>
      </c>
      <c r="D119" s="110" t="n">
        <v>4607111034397</v>
      </c>
      <c r="E119" s="131" t="n"/>
      <c r="F119" s="165" t="n">
        <v>0.25</v>
      </c>
      <c r="G119" s="52" t="n">
        <v>12</v>
      </c>
      <c r="H119" s="165" t="n">
        <v>3</v>
      </c>
      <c r="I119" s="165" t="n">
        <v>3.7036</v>
      </c>
      <c r="J119" s="52" t="n">
        <v>70</v>
      </c>
      <c r="K119" s="53" t="inlineStr">
        <is>
          <t>МГ</t>
        </is>
      </c>
      <c r="L119" s="52" t="n">
        <v>180</v>
      </c>
      <c r="M119" s="111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N119" s="166" t="n"/>
      <c r="O119" s="166" t="n"/>
      <c r="P119" s="166" t="n"/>
      <c r="Q119" s="131" t="n"/>
      <c r="R119" s="54" t="n"/>
      <c r="S119" s="54" t="n"/>
      <c r="T119" s="55" t="inlineStr">
        <is>
          <t>кор</t>
        </is>
      </c>
      <c r="U119" s="167" t="n">
        <v>30</v>
      </c>
      <c r="V119" s="168">
        <f>IFERROR(IF(U119="","",U119),"")</f>
        <v/>
      </c>
      <c r="W119" s="58">
        <f>IFERROR(IF(U119="","",U119*0.01788),"")</f>
        <v/>
      </c>
      <c r="X119" s="59" t="n"/>
      <c r="Y119" s="60" t="n"/>
      <c r="AC119" s="61" t="n"/>
      <c r="AZ119" s="62" t="inlineStr">
        <is>
          <t>ПГП</t>
        </is>
      </c>
    </row>
    <row r="120">
      <c r="A120" s="112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69" t="n"/>
      <c r="M120" s="113" t="inlineStr">
        <is>
          <t>Итого</t>
        </is>
      </c>
      <c r="N120" s="137" t="n"/>
      <c r="O120" s="137" t="n"/>
      <c r="P120" s="137" t="n"/>
      <c r="Q120" s="137" t="n"/>
      <c r="R120" s="137" t="n"/>
      <c r="S120" s="138" t="n"/>
      <c r="T120" s="63" t="inlineStr">
        <is>
          <t>кор</t>
        </is>
      </c>
      <c r="U120" s="170">
        <f>IFERROR(SUM(U116:U119),"0")</f>
        <v/>
      </c>
      <c r="V120" s="170">
        <f>IFERROR(SUM(V116:V119),"0")</f>
        <v/>
      </c>
      <c r="W120" s="170">
        <f>IFERROR(IF(W116="",0,W116),"0")+IFERROR(IF(W117="",0,W117),"0")+IFERROR(IF(W118="",0,W118),"0")+IFERROR(IF(W119="",0,W119),"0")</f>
        <v/>
      </c>
      <c r="X120" s="171" t="n"/>
      <c r="Y120" s="17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69" t="n"/>
      <c r="M121" s="113" t="inlineStr">
        <is>
          <t>Итого</t>
        </is>
      </c>
      <c r="N121" s="137" t="n"/>
      <c r="O121" s="137" t="n"/>
      <c r="P121" s="137" t="n"/>
      <c r="Q121" s="137" t="n"/>
      <c r="R121" s="137" t="n"/>
      <c r="S121" s="138" t="n"/>
      <c r="T121" s="63" t="inlineStr">
        <is>
          <t>кг</t>
        </is>
      </c>
      <c r="U121" s="170">
        <f>IFERROR(SUMPRODUCT(U116:U119*H116:H119),"0")</f>
        <v/>
      </c>
      <c r="V121" s="170">
        <f>IFERROR(SUMPRODUCT(V116:V119*H116:H119),"0")</f>
        <v/>
      </c>
      <c r="W121" s="63" t="n"/>
      <c r="X121" s="171" t="n"/>
      <c r="Y121" s="171" t="n"/>
    </row>
    <row r="122" ht="16.5" customHeight="1">
      <c r="A122" s="108" t="inlineStr">
        <is>
          <t>Пекерсы</t>
        </is>
      </c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08" t="n"/>
      <c r="Y122" s="108" t="n"/>
    </row>
    <row r="123" ht="14.25" customHeight="1">
      <c r="A123" s="109" t="inlineStr">
        <is>
          <t>Снеки</t>
        </is>
      </c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09" t="n"/>
      <c r="Y123" s="109" t="n"/>
    </row>
    <row r="124" ht="27" customHeight="1">
      <c r="A124" s="49" t="inlineStr">
        <is>
          <t>SU002669</t>
        </is>
      </c>
      <c r="B124" s="49" t="inlineStr">
        <is>
          <t>P003041</t>
        </is>
      </c>
      <c r="C124" s="50" t="n">
        <v>4301135134</v>
      </c>
      <c r="D124" s="110" t="n">
        <v>4607111035806</v>
      </c>
      <c r="E124" s="131" t="n"/>
      <c r="F124" s="165" t="n">
        <v>0.25</v>
      </c>
      <c r="G124" s="52" t="n">
        <v>12</v>
      </c>
      <c r="H124" s="165" t="n">
        <v>3</v>
      </c>
      <c r="I124" s="165" t="n">
        <v>3.7036</v>
      </c>
      <c r="J124" s="52" t="n">
        <v>70</v>
      </c>
      <c r="K124" s="53" t="inlineStr">
        <is>
          <t>МГ</t>
        </is>
      </c>
      <c r="L124" s="52" t="n">
        <v>180</v>
      </c>
      <c r="M124" s="111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N124" s="166" t="n"/>
      <c r="O124" s="166" t="n"/>
      <c r="P124" s="166" t="n"/>
      <c r="Q124" s="131" t="n"/>
      <c r="R124" s="54" t="n"/>
      <c r="S124" s="54" t="n"/>
      <c r="T124" s="55" t="inlineStr">
        <is>
          <t>кор</t>
        </is>
      </c>
      <c r="U124" s="167" t="n">
        <v>0</v>
      </c>
      <c r="V124" s="168">
        <f>IFERROR(IF(U124="","",U124),"")</f>
        <v/>
      </c>
      <c r="W124" s="58">
        <f>IFERROR(IF(U124="","",U124*0.01788),"")</f>
        <v/>
      </c>
      <c r="X124" s="59" t="n"/>
      <c r="Y124" s="60" t="n"/>
      <c r="AC124" s="61" t="n"/>
      <c r="AZ124" s="62" t="inlineStr">
        <is>
          <t>ПГП</t>
        </is>
      </c>
    </row>
    <row r="125">
      <c r="A125" s="112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69" t="n"/>
      <c r="M125" s="113" t="inlineStr">
        <is>
          <t>Итого</t>
        </is>
      </c>
      <c r="N125" s="137" t="n"/>
      <c r="O125" s="137" t="n"/>
      <c r="P125" s="137" t="n"/>
      <c r="Q125" s="137" t="n"/>
      <c r="R125" s="137" t="n"/>
      <c r="S125" s="138" t="n"/>
      <c r="T125" s="63" t="inlineStr">
        <is>
          <t>кор</t>
        </is>
      </c>
      <c r="U125" s="170">
        <f>IFERROR(SUM(U124:U124),"0")</f>
        <v/>
      </c>
      <c r="V125" s="170">
        <f>IFERROR(SUM(V124:V124),"0")</f>
        <v/>
      </c>
      <c r="W125" s="170">
        <f>IFERROR(IF(W124="",0,W124),"0")</f>
        <v/>
      </c>
      <c r="X125" s="171" t="n"/>
      <c r="Y125" s="17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69" t="n"/>
      <c r="M126" s="113" t="inlineStr">
        <is>
          <t>Итого</t>
        </is>
      </c>
      <c r="N126" s="137" t="n"/>
      <c r="O126" s="137" t="n"/>
      <c r="P126" s="137" t="n"/>
      <c r="Q126" s="137" t="n"/>
      <c r="R126" s="137" t="n"/>
      <c r="S126" s="138" t="n"/>
      <c r="T126" s="63" t="inlineStr">
        <is>
          <t>кг</t>
        </is>
      </c>
      <c r="U126" s="170">
        <f>IFERROR(SUMPRODUCT(U124:U124*H124:H124),"0")</f>
        <v/>
      </c>
      <c r="V126" s="170">
        <f>IFERROR(SUMPRODUCT(V124:V124*H124:H124),"0")</f>
        <v/>
      </c>
      <c r="W126" s="63" t="n"/>
      <c r="X126" s="171" t="n"/>
      <c r="Y126" s="171" t="n"/>
    </row>
    <row r="127" ht="16.5" customHeight="1">
      <c r="A127" s="108" t="inlineStr">
        <is>
          <t>Супермени</t>
        </is>
      </c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08" t="n"/>
      <c r="Y127" s="108" t="n"/>
    </row>
    <row r="128" ht="14.25" customHeight="1">
      <c r="A128" s="109" t="inlineStr">
        <is>
          <t>Пельмени ПГП</t>
        </is>
      </c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09" t="n"/>
      <c r="Y128" s="109" t="n"/>
    </row>
    <row r="129" ht="27" customHeight="1">
      <c r="A129" s="49" t="inlineStr">
        <is>
          <t>SU002008</t>
        </is>
      </c>
      <c r="B129" s="49" t="inlineStr">
        <is>
          <t>P002098</t>
        </is>
      </c>
      <c r="C129" s="50" t="n">
        <v>4301070768</v>
      </c>
      <c r="D129" s="110" t="n">
        <v>4607111035639</v>
      </c>
      <c r="E129" s="131" t="n"/>
      <c r="F129" s="165" t="n">
        <v>0.2</v>
      </c>
      <c r="G129" s="52" t="n">
        <v>12</v>
      </c>
      <c r="H129" s="165" t="n">
        <v>2.4</v>
      </c>
      <c r="I129" s="165" t="n">
        <v>3.13</v>
      </c>
      <c r="J129" s="52" t="n">
        <v>48</v>
      </c>
      <c r="K129" s="53" t="inlineStr">
        <is>
          <t>МГ</t>
        </is>
      </c>
      <c r="L129" s="52" t="n">
        <v>180</v>
      </c>
      <c r="M129" s="111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N129" s="166" t="n"/>
      <c r="O129" s="166" t="n"/>
      <c r="P129" s="166" t="n"/>
      <c r="Q129" s="131" t="n"/>
      <c r="R129" s="54" t="n"/>
      <c r="S129" s="54" t="n"/>
      <c r="T129" s="55" t="inlineStr">
        <is>
          <t>кор</t>
        </is>
      </c>
      <c r="U129" s="167" t="n">
        <v>0</v>
      </c>
      <c r="V129" s="168">
        <f>IFERROR(IF(U129="","",U129),"")</f>
        <v/>
      </c>
      <c r="W129" s="58">
        <f>IFERROR(IF(U129="","",U129*0.01786),"")</f>
        <v/>
      </c>
      <c r="X129" s="59" t="n"/>
      <c r="Y129" s="60" t="n"/>
      <c r="AC129" s="61" t="n"/>
      <c r="AZ129" s="62" t="inlineStr">
        <is>
          <t>ПГП</t>
        </is>
      </c>
    </row>
    <row r="130" ht="27" customHeight="1">
      <c r="A130" s="49" t="inlineStr">
        <is>
          <t>SU002177</t>
        </is>
      </c>
      <c r="B130" s="49" t="inlineStr">
        <is>
          <t>P002299</t>
        </is>
      </c>
      <c r="C130" s="50" t="n">
        <v>4301070797</v>
      </c>
      <c r="D130" s="110" t="n">
        <v>4607111035646</v>
      </c>
      <c r="E130" s="131" t="n"/>
      <c r="F130" s="165" t="n">
        <v>0.2</v>
      </c>
      <c r="G130" s="52" t="n">
        <v>8</v>
      </c>
      <c r="H130" s="165" t="n">
        <v>1.6</v>
      </c>
      <c r="I130" s="165" t="n">
        <v>2.12</v>
      </c>
      <c r="J130" s="52" t="n">
        <v>72</v>
      </c>
      <c r="K130" s="53" t="inlineStr">
        <is>
          <t>МГ</t>
        </is>
      </c>
      <c r="L130" s="52" t="n">
        <v>180</v>
      </c>
      <c r="M130" s="111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/>
      </c>
      <c r="N130" s="166" t="n"/>
      <c r="O130" s="166" t="n"/>
      <c r="P130" s="166" t="n"/>
      <c r="Q130" s="131" t="n"/>
      <c r="R130" s="54" t="n"/>
      <c r="S130" s="54" t="n"/>
      <c r="T130" s="55" t="inlineStr">
        <is>
          <t>кор</t>
        </is>
      </c>
      <c r="U130" s="167" t="n">
        <v>0</v>
      </c>
      <c r="V130" s="168">
        <f>IFERROR(IF(U130="","",U130),"")</f>
        <v/>
      </c>
      <c r="W130" s="58">
        <f>IFERROR(IF(U130="","",U130*0.01157),"")</f>
        <v/>
      </c>
      <c r="X130" s="59" t="n"/>
      <c r="Y130" s="60" t="n"/>
      <c r="AC130" s="61" t="n"/>
      <c r="AZ130" s="62" t="inlineStr">
        <is>
          <t>ПГП</t>
        </is>
      </c>
    </row>
    <row r="131">
      <c r="A131" s="112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69" t="n"/>
      <c r="M131" s="113" t="inlineStr">
        <is>
          <t>Итого</t>
        </is>
      </c>
      <c r="N131" s="137" t="n"/>
      <c r="O131" s="137" t="n"/>
      <c r="P131" s="137" t="n"/>
      <c r="Q131" s="137" t="n"/>
      <c r="R131" s="137" t="n"/>
      <c r="S131" s="138" t="n"/>
      <c r="T131" s="63" t="inlineStr">
        <is>
          <t>кор</t>
        </is>
      </c>
      <c r="U131" s="170">
        <f>IFERROR(SUM(U129:U130),"0")</f>
        <v/>
      </c>
      <c r="V131" s="170">
        <f>IFERROR(SUM(V129:V130),"0")</f>
        <v/>
      </c>
      <c r="W131" s="170">
        <f>IFERROR(IF(W129="",0,W129),"0")+IFERROR(IF(W130="",0,W130),"0")</f>
        <v/>
      </c>
      <c r="X131" s="171" t="n"/>
      <c r="Y131" s="17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69" t="n"/>
      <c r="M132" s="113" t="inlineStr">
        <is>
          <t>Итого</t>
        </is>
      </c>
      <c r="N132" s="137" t="n"/>
      <c r="O132" s="137" t="n"/>
      <c r="P132" s="137" t="n"/>
      <c r="Q132" s="137" t="n"/>
      <c r="R132" s="137" t="n"/>
      <c r="S132" s="138" t="n"/>
      <c r="T132" s="63" t="inlineStr">
        <is>
          <t>кг</t>
        </is>
      </c>
      <c r="U132" s="170">
        <f>IFERROR(SUMPRODUCT(U129:U130*H129:H130),"0")</f>
        <v/>
      </c>
      <c r="V132" s="170">
        <f>IFERROR(SUMPRODUCT(V129:V130*H129:H130),"0")</f>
        <v/>
      </c>
      <c r="W132" s="63" t="n"/>
      <c r="X132" s="171" t="n"/>
      <c r="Y132" s="171" t="n"/>
    </row>
    <row r="133" ht="16.5" customHeight="1">
      <c r="A133" s="108" t="inlineStr">
        <is>
          <t>Чебуманы</t>
        </is>
      </c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08" t="n"/>
      <c r="Y133" s="108" t="n"/>
    </row>
    <row r="134" ht="14.25" customHeight="1">
      <c r="A134" s="109" t="inlineStr">
        <is>
          <t>Снеки</t>
        </is>
      </c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09" t="n"/>
      <c r="Y134" s="109" t="n"/>
    </row>
    <row r="135" ht="27" customHeight="1">
      <c r="A135" s="49" t="inlineStr">
        <is>
          <t>SU002289</t>
        </is>
      </c>
      <c r="B135" s="49" t="inlineStr">
        <is>
          <t>P002492</t>
        </is>
      </c>
      <c r="C135" s="50" t="n">
        <v>4301135026</v>
      </c>
      <c r="D135" s="110" t="n">
        <v>4607111036124</v>
      </c>
      <c r="E135" s="131" t="n"/>
      <c r="F135" s="165" t="n">
        <v>0.4</v>
      </c>
      <c r="G135" s="52" t="n">
        <v>12</v>
      </c>
      <c r="H135" s="165" t="n">
        <v>4.8</v>
      </c>
      <c r="I135" s="165" t="n">
        <v>5.126</v>
      </c>
      <c r="J135" s="52" t="n">
        <v>84</v>
      </c>
      <c r="K135" s="53" t="inlineStr">
        <is>
          <t>МГ</t>
        </is>
      </c>
      <c r="L135" s="52" t="n">
        <v>180</v>
      </c>
      <c r="M135" s="111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N135" s="166" t="n"/>
      <c r="O135" s="166" t="n"/>
      <c r="P135" s="166" t="n"/>
      <c r="Q135" s="131" t="n"/>
      <c r="R135" s="54" t="n"/>
      <c r="S135" s="54" t="n"/>
      <c r="T135" s="55" t="inlineStr">
        <is>
          <t>кор</t>
        </is>
      </c>
      <c r="U135" s="167" t="n">
        <v>0</v>
      </c>
      <c r="V135" s="168">
        <f>IFERROR(IF(U135="","",U135),"")</f>
        <v/>
      </c>
      <c r="W135" s="58">
        <f>IFERROR(IF(U135="","",U135*0.0155),"")</f>
        <v/>
      </c>
      <c r="X135" s="59" t="n"/>
      <c r="Y135" s="60" t="n"/>
      <c r="AC135" s="61" t="n"/>
      <c r="AZ135" s="62" t="inlineStr">
        <is>
          <t>ПГП</t>
        </is>
      </c>
    </row>
    <row r="136">
      <c r="A136" s="112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69" t="n"/>
      <c r="M136" s="113" t="inlineStr">
        <is>
          <t>Итого</t>
        </is>
      </c>
      <c r="N136" s="137" t="n"/>
      <c r="O136" s="137" t="n"/>
      <c r="P136" s="137" t="n"/>
      <c r="Q136" s="137" t="n"/>
      <c r="R136" s="137" t="n"/>
      <c r="S136" s="138" t="n"/>
      <c r="T136" s="63" t="inlineStr">
        <is>
          <t>кор</t>
        </is>
      </c>
      <c r="U136" s="170">
        <f>IFERROR(SUM(U135:U135),"0")</f>
        <v/>
      </c>
      <c r="V136" s="170">
        <f>IFERROR(SUM(V135:V135),"0")</f>
        <v/>
      </c>
      <c r="W136" s="170">
        <f>IFERROR(IF(W135="",0,W135),"0")</f>
        <v/>
      </c>
      <c r="X136" s="171" t="n"/>
      <c r="Y136" s="17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69" t="n"/>
      <c r="M137" s="113" t="inlineStr">
        <is>
          <t>Итого</t>
        </is>
      </c>
      <c r="N137" s="137" t="n"/>
      <c r="O137" s="137" t="n"/>
      <c r="P137" s="137" t="n"/>
      <c r="Q137" s="137" t="n"/>
      <c r="R137" s="137" t="n"/>
      <c r="S137" s="138" t="n"/>
      <c r="T137" s="63" t="inlineStr">
        <is>
          <t>кг</t>
        </is>
      </c>
      <c r="U137" s="170">
        <f>IFERROR(SUMPRODUCT(U135:U135*H135:H135),"0")</f>
        <v/>
      </c>
      <c r="V137" s="170">
        <f>IFERROR(SUMPRODUCT(V135:V135*H135:H135),"0")</f>
        <v/>
      </c>
      <c r="W137" s="63" t="n"/>
      <c r="X137" s="171" t="n"/>
      <c r="Y137" s="171" t="n"/>
    </row>
    <row r="138" ht="27.75" customHeight="1">
      <c r="A138" s="107" t="inlineStr">
        <is>
          <t>No Name</t>
        </is>
      </c>
      <c r="B138" s="164" t="n"/>
      <c r="C138" s="164" t="n"/>
      <c r="D138" s="164" t="n"/>
      <c r="E138" s="164" t="n"/>
      <c r="F138" s="164" t="n"/>
      <c r="G138" s="164" t="n"/>
      <c r="H138" s="164" t="n"/>
      <c r="I138" s="164" t="n"/>
      <c r="J138" s="164" t="n"/>
      <c r="K138" s="164" t="n"/>
      <c r="L138" s="164" t="n"/>
      <c r="M138" s="164" t="n"/>
      <c r="N138" s="164" t="n"/>
      <c r="O138" s="164" t="n"/>
      <c r="P138" s="164" t="n"/>
      <c r="Q138" s="164" t="n"/>
      <c r="R138" s="164" t="n"/>
      <c r="S138" s="164" t="n"/>
      <c r="T138" s="164" t="n"/>
      <c r="U138" s="164" t="n"/>
      <c r="V138" s="164" t="n"/>
      <c r="W138" s="164" t="n"/>
      <c r="X138" s="46" t="n"/>
      <c r="Y138" s="46" t="n"/>
    </row>
    <row r="139" ht="16.5" customHeight="1">
      <c r="A139" s="108" t="inlineStr">
        <is>
          <t>No Name ПГП</t>
        </is>
      </c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08" t="n"/>
      <c r="Y139" s="108" t="n"/>
    </row>
    <row r="140" ht="14.25" customHeight="1">
      <c r="A140" s="109" t="inlineStr">
        <is>
          <t>Крылья</t>
        </is>
      </c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09" t="n"/>
      <c r="Y140" s="109" t="n"/>
    </row>
    <row r="141" ht="27" customHeight="1">
      <c r="A141" s="49" t="inlineStr">
        <is>
          <t>SU002975</t>
        </is>
      </c>
      <c r="B141" s="49" t="inlineStr">
        <is>
          <t>P003432</t>
        </is>
      </c>
      <c r="C141" s="50" t="n">
        <v>4301131018</v>
      </c>
      <c r="D141" s="110" t="n">
        <v>4607111037930</v>
      </c>
      <c r="E141" s="131" t="n"/>
      <c r="F141" s="165" t="n">
        <v>1.8</v>
      </c>
      <c r="G141" s="52" t="n">
        <v>1</v>
      </c>
      <c r="H141" s="165" t="n">
        <v>1.8</v>
      </c>
      <c r="I141" s="165" t="n">
        <v>1.915</v>
      </c>
      <c r="J141" s="52" t="n">
        <v>234</v>
      </c>
      <c r="K141" s="53" t="inlineStr">
        <is>
          <t>МГ</t>
        </is>
      </c>
      <c r="L141" s="52" t="n">
        <v>180</v>
      </c>
      <c r="M141" s="111">
        <f>HYPERLINK("https://abi.ru/products/Замороженные/No Name/No Name ПГП/Крылья/P003432/","Крылья «Хрустящие крылышки» Весовой ТМ «No Name»")</f>
        <v/>
      </c>
      <c r="N141" s="166" t="n"/>
      <c r="O141" s="166" t="n"/>
      <c r="P141" s="166" t="n"/>
      <c r="Q141" s="131" t="n"/>
      <c r="R141" s="54" t="n"/>
      <c r="S141" s="54" t="n"/>
      <c r="T141" s="55" t="inlineStr">
        <is>
          <t>кор</t>
        </is>
      </c>
      <c r="U141" s="167" t="n">
        <v>0</v>
      </c>
      <c r="V141" s="168">
        <f>IFERROR(IF(U141="","",U141),"")</f>
        <v/>
      </c>
      <c r="W141" s="58">
        <f>IFERROR(IF(U141="","",U141*0.00502),"")</f>
        <v/>
      </c>
      <c r="X141" s="59" t="n"/>
      <c r="Y141" s="60" t="n"/>
      <c r="AC141" s="61" t="n"/>
      <c r="AZ141" s="62" t="inlineStr">
        <is>
          <t>ПГП</t>
        </is>
      </c>
    </row>
    <row r="142">
      <c r="A142" s="112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69" t="n"/>
      <c r="M142" s="113" t="inlineStr">
        <is>
          <t>Итого</t>
        </is>
      </c>
      <c r="N142" s="137" t="n"/>
      <c r="O142" s="137" t="n"/>
      <c r="P142" s="137" t="n"/>
      <c r="Q142" s="137" t="n"/>
      <c r="R142" s="137" t="n"/>
      <c r="S142" s="138" t="n"/>
      <c r="T142" s="63" t="inlineStr">
        <is>
          <t>кор</t>
        </is>
      </c>
      <c r="U142" s="170">
        <f>IFERROR(SUM(U141:U141),"0")</f>
        <v/>
      </c>
      <c r="V142" s="170">
        <f>IFERROR(SUM(V141:V141),"0")</f>
        <v/>
      </c>
      <c r="W142" s="170">
        <f>IFERROR(IF(W141="",0,W141),"0")</f>
        <v/>
      </c>
      <c r="X142" s="171" t="n"/>
      <c r="Y142" s="17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69" t="n"/>
      <c r="M143" s="113" t="inlineStr">
        <is>
          <t>Итого</t>
        </is>
      </c>
      <c r="N143" s="137" t="n"/>
      <c r="O143" s="137" t="n"/>
      <c r="P143" s="137" t="n"/>
      <c r="Q143" s="137" t="n"/>
      <c r="R143" s="137" t="n"/>
      <c r="S143" s="138" t="n"/>
      <c r="T143" s="63" t="inlineStr">
        <is>
          <t>кг</t>
        </is>
      </c>
      <c r="U143" s="170">
        <f>IFERROR(SUMPRODUCT(U141:U141*H141:H141),"0")</f>
        <v/>
      </c>
      <c r="V143" s="170">
        <f>IFERROR(SUMPRODUCT(V141:V141*H141:H141),"0")</f>
        <v/>
      </c>
      <c r="W143" s="63" t="n"/>
      <c r="X143" s="171" t="n"/>
      <c r="Y143" s="171" t="n"/>
    </row>
    <row r="144" ht="14.25" customHeight="1">
      <c r="A144" s="109" t="inlineStr">
        <is>
          <t>Наггетсы</t>
        </is>
      </c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09" t="n"/>
      <c r="Y144" s="109" t="n"/>
    </row>
    <row r="145" ht="27" customHeight="1">
      <c r="A145" s="49" t="inlineStr">
        <is>
          <t>SU002644</t>
        </is>
      </c>
      <c r="B145" s="49" t="inlineStr">
        <is>
          <t>P003016</t>
        </is>
      </c>
      <c r="C145" s="50" t="n">
        <v>4301132052</v>
      </c>
      <c r="D145" s="110" t="n">
        <v>4607111036872</v>
      </c>
      <c r="E145" s="131" t="n"/>
      <c r="F145" s="165" t="n">
        <v>1</v>
      </c>
      <c r="G145" s="52" t="n">
        <v>6</v>
      </c>
      <c r="H145" s="165" t="n">
        <v>6</v>
      </c>
      <c r="I145" s="165" t="n">
        <v>6.26</v>
      </c>
      <c r="J145" s="52" t="n">
        <v>84</v>
      </c>
      <c r="K145" s="53" t="inlineStr">
        <is>
          <t>МГ</t>
        </is>
      </c>
      <c r="L145" s="52" t="n">
        <v>180</v>
      </c>
      <c r="M145" s="111">
        <f>HYPERLINK("https://abi.ru/products/Замороженные/No Name/No Name ПГП/Наггетсы/P003016/","Наггетсы Хрустящие No Name Весовые No Name 6 кг ТОП-ЛКК, дистр")</f>
        <v/>
      </c>
      <c r="N145" s="166" t="n"/>
      <c r="O145" s="166" t="n"/>
      <c r="P145" s="166" t="n"/>
      <c r="Q145" s="131" t="n"/>
      <c r="R145" s="54" t="n"/>
      <c r="S145" s="54" t="n"/>
      <c r="T145" s="55" t="inlineStr">
        <is>
          <t>кор</t>
        </is>
      </c>
      <c r="U145" s="167" t="n">
        <v>50</v>
      </c>
      <c r="V145" s="168">
        <f>IFERROR(IF(U145="","",U145),"")</f>
        <v/>
      </c>
      <c r="W145" s="58">
        <f>IFERROR(IF(U145="","",U145*0.0155),"")</f>
        <v/>
      </c>
      <c r="X145" s="59" t="n"/>
      <c r="Y145" s="60" t="n"/>
      <c r="AC145" s="61" t="n"/>
      <c r="AZ145" s="62" t="inlineStr">
        <is>
          <t>ПГП</t>
        </is>
      </c>
    </row>
    <row r="146">
      <c r="A146" s="112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69" t="n"/>
      <c r="M146" s="113" t="inlineStr">
        <is>
          <t>Итого</t>
        </is>
      </c>
      <c r="N146" s="137" t="n"/>
      <c r="O146" s="137" t="n"/>
      <c r="P146" s="137" t="n"/>
      <c r="Q146" s="137" t="n"/>
      <c r="R146" s="137" t="n"/>
      <c r="S146" s="138" t="n"/>
      <c r="T146" s="63" t="inlineStr">
        <is>
          <t>кор</t>
        </is>
      </c>
      <c r="U146" s="170">
        <f>IFERROR(SUM(U145:U145),"0")</f>
        <v/>
      </c>
      <c r="V146" s="170">
        <f>IFERROR(SUM(V145:V145),"0")</f>
        <v/>
      </c>
      <c r="W146" s="170">
        <f>IFERROR(IF(W145="",0,W145),"0")</f>
        <v/>
      </c>
      <c r="X146" s="171" t="n"/>
      <c r="Y146" s="17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69" t="n"/>
      <c r="M147" s="113" t="inlineStr">
        <is>
          <t>Итого</t>
        </is>
      </c>
      <c r="N147" s="137" t="n"/>
      <c r="O147" s="137" t="n"/>
      <c r="P147" s="137" t="n"/>
      <c r="Q147" s="137" t="n"/>
      <c r="R147" s="137" t="n"/>
      <c r="S147" s="138" t="n"/>
      <c r="T147" s="63" t="inlineStr">
        <is>
          <t>кг</t>
        </is>
      </c>
      <c r="U147" s="170">
        <f>IFERROR(SUMPRODUCT(U145:U145*H145:H145),"0")</f>
        <v/>
      </c>
      <c r="V147" s="170">
        <f>IFERROR(SUMPRODUCT(V145:V145*H145:H145),"0")</f>
        <v/>
      </c>
      <c r="W147" s="63" t="n"/>
      <c r="X147" s="171" t="n"/>
      <c r="Y147" s="171" t="n"/>
    </row>
    <row r="148" ht="14.25" customHeight="1">
      <c r="A148" s="109" t="inlineStr">
        <is>
          <t>Чебуреки</t>
        </is>
      </c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09" t="n"/>
      <c r="Y148" s="109" t="n"/>
    </row>
    <row r="149" ht="27" customHeight="1">
      <c r="A149" s="49" t="inlineStr">
        <is>
          <t>SU002406</t>
        </is>
      </c>
      <c r="B149" s="49" t="inlineStr">
        <is>
          <t>P002685</t>
        </is>
      </c>
      <c r="C149" s="50" t="n">
        <v>4301136008</v>
      </c>
      <c r="D149" s="110" t="n">
        <v>4607111036438</v>
      </c>
      <c r="E149" s="131" t="n"/>
      <c r="F149" s="165" t="n">
        <v>2.7</v>
      </c>
      <c r="G149" s="52" t="n">
        <v>1</v>
      </c>
      <c r="H149" s="165" t="n">
        <v>2.7</v>
      </c>
      <c r="I149" s="165" t="n">
        <v>2.8906</v>
      </c>
      <c r="J149" s="52" t="n">
        <v>126</v>
      </c>
      <c r="K149" s="53" t="inlineStr">
        <is>
          <t>МГ</t>
        </is>
      </c>
      <c r="L149" s="52" t="n">
        <v>180</v>
      </c>
      <c r="M149" s="111">
        <f>HYPERLINK("https://abi.ru/products/Замороженные/No Name/No Name ПГП/Чебуреки/P002685/","Чебуреки Мясные No name Весовые No name 2,7 кг")</f>
        <v/>
      </c>
      <c r="N149" s="166" t="n"/>
      <c r="O149" s="166" t="n"/>
      <c r="P149" s="166" t="n"/>
      <c r="Q149" s="131" t="n"/>
      <c r="R149" s="54" t="n"/>
      <c r="S149" s="54" t="n"/>
      <c r="T149" s="55" t="inlineStr">
        <is>
          <t>кор</t>
        </is>
      </c>
      <c r="U149" s="167" t="n">
        <v>0</v>
      </c>
      <c r="V149" s="168">
        <f>IFERROR(IF(U149="","",U149),"")</f>
        <v/>
      </c>
      <c r="W149" s="58">
        <f>IFERROR(IF(U149="","",U149*0.00936),"")</f>
        <v/>
      </c>
      <c r="X149" s="59" t="n"/>
      <c r="Y149" s="60" t="n"/>
      <c r="AC149" s="61" t="n"/>
      <c r="AZ149" s="62" t="inlineStr">
        <is>
          <t>ПГП</t>
        </is>
      </c>
    </row>
    <row r="150" ht="37.5" customHeight="1">
      <c r="A150" s="49" t="inlineStr">
        <is>
          <t>SU002407</t>
        </is>
      </c>
      <c r="B150" s="49" t="inlineStr">
        <is>
          <t>P002684</t>
        </is>
      </c>
      <c r="C150" s="50" t="n">
        <v>4301136007</v>
      </c>
      <c r="D150" s="110" t="n">
        <v>4607111036636</v>
      </c>
      <c r="E150" s="131" t="n"/>
      <c r="F150" s="165" t="n">
        <v>2.7</v>
      </c>
      <c r="G150" s="52" t="n">
        <v>1</v>
      </c>
      <c r="H150" s="165" t="n">
        <v>2.7</v>
      </c>
      <c r="I150" s="165" t="n">
        <v>2.892</v>
      </c>
      <c r="J150" s="52" t="n">
        <v>126</v>
      </c>
      <c r="K150" s="53" t="inlineStr">
        <is>
          <t>МГ</t>
        </is>
      </c>
      <c r="L150" s="52" t="n">
        <v>180</v>
      </c>
      <c r="M150" s="111">
        <f>HYPERLINK("https://abi.ru/products/Замороженные/No Name/No Name ПГП/Чебуреки/P002684/","Чебуреки с мясом, грибами и картофелем No name Весовые No name 2,7 кг")</f>
        <v/>
      </c>
      <c r="N150" s="166" t="n"/>
      <c r="O150" s="166" t="n"/>
      <c r="P150" s="166" t="n"/>
      <c r="Q150" s="131" t="n"/>
      <c r="R150" s="54" t="n"/>
      <c r="S150" s="54" t="n"/>
      <c r="T150" s="55" t="inlineStr">
        <is>
          <t>кор</t>
        </is>
      </c>
      <c r="U150" s="167" t="n">
        <v>0</v>
      </c>
      <c r="V150" s="168">
        <f>IFERROR(IF(U150="","",U150),"")</f>
        <v/>
      </c>
      <c r="W150" s="58">
        <f>IFERROR(IF(U150="","",U150*0.00936),"")</f>
        <v/>
      </c>
      <c r="X150" s="59" t="n"/>
      <c r="Y150" s="60" t="n"/>
      <c r="AC150" s="61" t="n"/>
      <c r="AZ150" s="62" t="inlineStr">
        <is>
          <t>ПГП</t>
        </is>
      </c>
    </row>
    <row r="151" ht="27" customHeight="1">
      <c r="A151" s="49" t="inlineStr">
        <is>
          <t>SU002045</t>
        </is>
      </c>
      <c r="B151" s="49" t="inlineStr">
        <is>
          <t>P002166</t>
        </is>
      </c>
      <c r="C151" s="50" t="n">
        <v>4301136001</v>
      </c>
      <c r="D151" s="110" t="n">
        <v>4607111035714</v>
      </c>
      <c r="E151" s="131" t="n"/>
      <c r="F151" s="165" t="n">
        <v>5</v>
      </c>
      <c r="G151" s="52" t="n">
        <v>1</v>
      </c>
      <c r="H151" s="165" t="n">
        <v>5</v>
      </c>
      <c r="I151" s="165" t="n">
        <v>5.235</v>
      </c>
      <c r="J151" s="52" t="n">
        <v>84</v>
      </c>
      <c r="K151" s="53" t="inlineStr">
        <is>
          <t>МГ</t>
        </is>
      </c>
      <c r="L151" s="52" t="n">
        <v>180</v>
      </c>
      <c r="M151" s="111">
        <f>HYPERLINK("https://abi.ru/products/Замороженные/No Name/No Name ПГП/Чебуреки/P002166/","Чебуреки Чебуреки Сочные No Name Весовые No name 5 кг дистр")</f>
        <v/>
      </c>
      <c r="N151" s="166" t="n"/>
      <c r="O151" s="166" t="n"/>
      <c r="P151" s="166" t="n"/>
      <c r="Q151" s="131" t="n"/>
      <c r="R151" s="54" t="n"/>
      <c r="S151" s="54" t="n"/>
      <c r="T151" s="55" t="inlineStr">
        <is>
          <t>кор</t>
        </is>
      </c>
      <c r="U151" s="167" t="n">
        <v>120</v>
      </c>
      <c r="V151" s="168">
        <f>IFERROR(IF(U151="","",U151),"")</f>
        <v/>
      </c>
      <c r="W151" s="58">
        <f>IFERROR(IF(U151="","",U151*0.0155),"")</f>
        <v/>
      </c>
      <c r="X151" s="59" t="n"/>
      <c r="Y151" s="60" t="n"/>
      <c r="AC151" s="61" t="n"/>
      <c r="AZ151" s="62" t="inlineStr">
        <is>
          <t>ПГП</t>
        </is>
      </c>
    </row>
    <row r="152" ht="27" customHeight="1">
      <c r="A152" s="49" t="inlineStr">
        <is>
          <t>SU002976</t>
        </is>
      </c>
      <c r="B152" s="49" t="inlineStr">
        <is>
          <t>P003435</t>
        </is>
      </c>
      <c r="C152" s="50" t="n">
        <v>4301136025</v>
      </c>
      <c r="D152" s="110" t="n">
        <v>4607111038029</v>
      </c>
      <c r="E152" s="131" t="n"/>
      <c r="F152" s="165" t="n">
        <v>2.24</v>
      </c>
      <c r="G152" s="52" t="n">
        <v>1</v>
      </c>
      <c r="H152" s="165" t="n">
        <v>2.24</v>
      </c>
      <c r="I152" s="165" t="n">
        <v>2.432</v>
      </c>
      <c r="J152" s="52" t="n">
        <v>126</v>
      </c>
      <c r="K152" s="53" t="inlineStr">
        <is>
          <t>МГ</t>
        </is>
      </c>
      <c r="L152" s="52" t="n">
        <v>180</v>
      </c>
      <c r="M152" s="118" t="inlineStr">
        <is>
          <t>Чебуреки «Сочный мегачебурек» Весовой ТМ «No Name»</t>
        </is>
      </c>
      <c r="N152" s="166" t="n"/>
      <c r="O152" s="166" t="n"/>
      <c r="P152" s="166" t="n"/>
      <c r="Q152" s="131" t="n"/>
      <c r="R152" s="54" t="n"/>
      <c r="S152" s="54" t="n"/>
      <c r="T152" s="55" t="inlineStr">
        <is>
          <t>кор</t>
        </is>
      </c>
      <c r="U152" s="167" t="n">
        <v>0</v>
      </c>
      <c r="V152" s="168">
        <f>IFERROR(IF(U152="","",U152),"")</f>
        <v/>
      </c>
      <c r="W152" s="58">
        <f>IFERROR(IF(U152="","",U152*0.00936),"")</f>
        <v/>
      </c>
      <c r="X152" s="59" t="n"/>
      <c r="Y152" s="60" t="n"/>
      <c r="AC152" s="61" t="n"/>
      <c r="AZ152" s="62" t="inlineStr">
        <is>
          <t>ПГП</t>
        </is>
      </c>
    </row>
    <row r="153">
      <c r="A153" s="112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69" t="n"/>
      <c r="M153" s="113" t="inlineStr">
        <is>
          <t>Итого</t>
        </is>
      </c>
      <c r="N153" s="137" t="n"/>
      <c r="O153" s="137" t="n"/>
      <c r="P153" s="137" t="n"/>
      <c r="Q153" s="137" t="n"/>
      <c r="R153" s="137" t="n"/>
      <c r="S153" s="138" t="n"/>
      <c r="T153" s="63" t="inlineStr">
        <is>
          <t>кор</t>
        </is>
      </c>
      <c r="U153" s="170">
        <f>IFERROR(SUM(U149:U152),"0")</f>
        <v/>
      </c>
      <c r="V153" s="170">
        <f>IFERROR(SUM(V149:V152),"0")</f>
        <v/>
      </c>
      <c r="W153" s="170">
        <f>IFERROR(IF(W149="",0,W149),"0")+IFERROR(IF(W150="",0,W150),"0")+IFERROR(IF(W151="",0,W151),"0")+IFERROR(IF(W152="",0,W152),"0")</f>
        <v/>
      </c>
      <c r="X153" s="171" t="n"/>
      <c r="Y153" s="17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69" t="n"/>
      <c r="M154" s="113" t="inlineStr">
        <is>
          <t>Итого</t>
        </is>
      </c>
      <c r="N154" s="137" t="n"/>
      <c r="O154" s="137" t="n"/>
      <c r="P154" s="137" t="n"/>
      <c r="Q154" s="137" t="n"/>
      <c r="R154" s="137" t="n"/>
      <c r="S154" s="138" t="n"/>
      <c r="T154" s="63" t="inlineStr">
        <is>
          <t>кг</t>
        </is>
      </c>
      <c r="U154" s="170">
        <f>IFERROR(SUMPRODUCT(U149:U152*H149:H152),"0")</f>
        <v/>
      </c>
      <c r="V154" s="170">
        <f>IFERROR(SUMPRODUCT(V149:V152*H149:H152),"0")</f>
        <v/>
      </c>
      <c r="W154" s="63" t="n"/>
      <c r="X154" s="171" t="n"/>
      <c r="Y154" s="171" t="n"/>
    </row>
    <row r="155" ht="14.25" customHeight="1">
      <c r="A155" s="109" t="inlineStr">
        <is>
          <t>Снеки</t>
        </is>
      </c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09" t="n"/>
      <c r="Y155" s="109" t="n"/>
    </row>
    <row r="156" ht="27" customHeight="1">
      <c r="A156" s="49" t="inlineStr">
        <is>
          <t>SU002772</t>
        </is>
      </c>
      <c r="B156" s="49" t="inlineStr">
        <is>
          <t>P003159</t>
        </is>
      </c>
      <c r="C156" s="50" t="n">
        <v>4301135156</v>
      </c>
      <c r="D156" s="110" t="n">
        <v>4607111037275</v>
      </c>
      <c r="E156" s="131" t="n"/>
      <c r="F156" s="165" t="n">
        <v>3</v>
      </c>
      <c r="G156" s="52" t="n">
        <v>1</v>
      </c>
      <c r="H156" s="165" t="n">
        <v>3</v>
      </c>
      <c r="I156" s="165" t="n">
        <v>3.192</v>
      </c>
      <c r="J156" s="52" t="n">
        <v>126</v>
      </c>
      <c r="K156" s="53" t="inlineStr">
        <is>
          <t>МГ</t>
        </is>
      </c>
      <c r="L156" s="52" t="n">
        <v>180</v>
      </c>
      <c r="M156" s="111">
        <f>HYPERLINK("https://abi.ru/products/Замороженные/No Name/No Name ПГП/Снеки/P003159/","Жар-боллы с курочкой и сыром No Name ПГП Весовой No Name")</f>
        <v/>
      </c>
      <c r="N156" s="166" t="n"/>
      <c r="O156" s="166" t="n"/>
      <c r="P156" s="166" t="n"/>
      <c r="Q156" s="131" t="n"/>
      <c r="R156" s="54" t="n"/>
      <c r="S156" s="54" t="n"/>
      <c r="T156" s="55" t="inlineStr">
        <is>
          <t>кор</t>
        </is>
      </c>
      <c r="U156" s="167" t="n">
        <v>80</v>
      </c>
      <c r="V156" s="168">
        <f>IFERROR(IF(U156="","",U156),"")</f>
        <v/>
      </c>
      <c r="W156" s="58">
        <f>IFERROR(IF(U156="","",U156*0.00936),"")</f>
        <v/>
      </c>
      <c r="X156" s="59" t="n"/>
      <c r="Y156" s="60" t="n"/>
      <c r="AC156" s="61" t="n"/>
      <c r="AZ156" s="62" t="inlineStr">
        <is>
          <t>ПГП</t>
        </is>
      </c>
    </row>
    <row r="157" ht="27" customHeight="1">
      <c r="A157" s="49" t="inlineStr">
        <is>
          <t>SU002953</t>
        </is>
      </c>
      <c r="B157" s="49" t="inlineStr">
        <is>
          <t>P003377</t>
        </is>
      </c>
      <c r="C157" s="50" t="n">
        <v>4301135179</v>
      </c>
      <c r="D157" s="110" t="n">
        <v>4607111037923</v>
      </c>
      <c r="E157" s="131" t="n"/>
      <c r="F157" s="165" t="n">
        <v>3.7</v>
      </c>
      <c r="G157" s="52" t="n">
        <v>1</v>
      </c>
      <c r="H157" s="165" t="n">
        <v>3.7</v>
      </c>
      <c r="I157" s="165" t="n">
        <v>3.892</v>
      </c>
      <c r="J157" s="52" t="n">
        <v>126</v>
      </c>
      <c r="K157" s="53" t="inlineStr">
        <is>
          <t>МГ</t>
        </is>
      </c>
      <c r="L157" s="52" t="n">
        <v>180</v>
      </c>
      <c r="M157" s="111">
        <f>HYPERLINK("https://abi.ru/products/Замороженные/No Name/No Name ПГП/Снеки/P003377/","«Жар-ладушки с клубникой и вишней» Весовые ТМ «No name»")</f>
        <v/>
      </c>
      <c r="N157" s="166" t="n"/>
      <c r="O157" s="166" t="n"/>
      <c r="P157" s="166" t="n"/>
      <c r="Q157" s="131" t="n"/>
      <c r="R157" s="54" t="n"/>
      <c r="S157" s="54" t="n"/>
      <c r="T157" s="55" t="inlineStr">
        <is>
          <t>кор</t>
        </is>
      </c>
      <c r="U157" s="167" t="n">
        <v>8</v>
      </c>
      <c r="V157" s="168">
        <f>IFERROR(IF(U157="","",U157),"")</f>
        <v/>
      </c>
      <c r="W157" s="58">
        <f>IFERROR(IF(U157="","",U157*0.00936),"")</f>
        <v/>
      </c>
      <c r="X157" s="59" t="n"/>
      <c r="Y157" s="60" t="n"/>
      <c r="AC157" s="61" t="n"/>
      <c r="AZ157" s="62" t="inlineStr">
        <is>
          <t>ПГП</t>
        </is>
      </c>
    </row>
    <row r="158" ht="27" customHeight="1">
      <c r="A158" s="49" t="inlineStr">
        <is>
          <t>SU002441</t>
        </is>
      </c>
      <c r="B158" s="49" t="inlineStr">
        <is>
          <t>P002732</t>
        </is>
      </c>
      <c r="C158" s="50" t="n">
        <v>4301135085</v>
      </c>
      <c r="D158" s="110" t="n">
        <v>4607111037220</v>
      </c>
      <c r="E158" s="131" t="n"/>
      <c r="F158" s="165" t="n">
        <v>3.7</v>
      </c>
      <c r="G158" s="52" t="n">
        <v>1</v>
      </c>
      <c r="H158" s="165" t="n">
        <v>3.7</v>
      </c>
      <c r="I158" s="165" t="n">
        <v>3.892</v>
      </c>
      <c r="J158" s="52" t="n">
        <v>126</v>
      </c>
      <c r="K158" s="53" t="inlineStr">
        <is>
          <t>МГ</t>
        </is>
      </c>
      <c r="L158" s="52" t="n">
        <v>180</v>
      </c>
      <c r="M158" s="111">
        <f>HYPERLINK("https://abi.ru/products/Замороженные/No Name/No Name ПГП/Снеки/P002732/","Жар-ладушки с мясом No name ПГП Весовые No name  3,7 кг")</f>
        <v/>
      </c>
      <c r="N158" s="166" t="n"/>
      <c r="O158" s="166" t="n"/>
      <c r="P158" s="166" t="n"/>
      <c r="Q158" s="131" t="n"/>
      <c r="R158" s="54" t="n"/>
      <c r="S158" s="54" t="n"/>
      <c r="T158" s="55" t="inlineStr">
        <is>
          <t>кор</t>
        </is>
      </c>
      <c r="U158" s="167" t="n">
        <v>16</v>
      </c>
      <c r="V158" s="168">
        <f>IFERROR(IF(U158="","",U158),"")</f>
        <v/>
      </c>
      <c r="W158" s="58">
        <f>IFERROR(IF(U158="","",U158*0.00936),"")</f>
        <v/>
      </c>
      <c r="X158" s="59" t="n"/>
      <c r="Y158" s="60" t="n"/>
      <c r="AC158" s="61" t="n"/>
      <c r="AZ158" s="62" t="inlineStr">
        <is>
          <t>ПГП</t>
        </is>
      </c>
    </row>
    <row r="159" ht="37.5" customHeight="1">
      <c r="A159" s="49" t="inlineStr">
        <is>
          <t>SU002494</t>
        </is>
      </c>
      <c r="B159" s="49" t="inlineStr">
        <is>
          <t>P002789</t>
        </is>
      </c>
      <c r="C159" s="50" t="n">
        <v>4301135097</v>
      </c>
      <c r="D159" s="110" t="n">
        <v>4607111037206</v>
      </c>
      <c r="E159" s="131" t="n"/>
      <c r="F159" s="165" t="n">
        <v>3.7</v>
      </c>
      <c r="G159" s="52" t="n">
        <v>1</v>
      </c>
      <c r="H159" s="165" t="n">
        <v>3.7</v>
      </c>
      <c r="I159" s="165" t="n">
        <v>3.892</v>
      </c>
      <c r="J159" s="52" t="n">
        <v>126</v>
      </c>
      <c r="K159" s="53" t="inlineStr">
        <is>
          <t>МГ</t>
        </is>
      </c>
      <c r="L159" s="52" t="n">
        <v>180</v>
      </c>
      <c r="M159" s="111">
        <f>HYPERLINK("https://abi.ru/products/Замороженные/No Name/No Name ПГП/Снеки/P002789/","Жар-ладушки с мясом, картофелем и грибами No name ПГП Весовые No name 3,7 кг")</f>
        <v/>
      </c>
      <c r="N159" s="166" t="n"/>
      <c r="O159" s="166" t="n"/>
      <c r="P159" s="166" t="n"/>
      <c r="Q159" s="131" t="n"/>
      <c r="R159" s="54" t="n"/>
      <c r="S159" s="54" t="n"/>
      <c r="T159" s="55" t="inlineStr">
        <is>
          <t>кор</t>
        </is>
      </c>
      <c r="U159" s="167" t="n">
        <v>16</v>
      </c>
      <c r="V159" s="168">
        <f>IFERROR(IF(U159="","",U159),"")</f>
        <v/>
      </c>
      <c r="W159" s="58">
        <f>IFERROR(IF(U159="","",U159*0.00936),"")</f>
        <v/>
      </c>
      <c r="X159" s="59" t="n"/>
      <c r="Y159" s="60" t="n"/>
      <c r="AC159" s="61" t="n"/>
      <c r="AZ159" s="62" t="inlineStr">
        <is>
          <t>ПГП</t>
        </is>
      </c>
    </row>
    <row r="160" ht="27" customHeight="1">
      <c r="A160" s="49" t="inlineStr">
        <is>
          <t>SU002484</t>
        </is>
      </c>
      <c r="B160" s="49" t="inlineStr">
        <is>
          <t>P002778</t>
        </is>
      </c>
      <c r="C160" s="50" t="n">
        <v>4301135091</v>
      </c>
      <c r="D160" s="110" t="n">
        <v>4607111037244</v>
      </c>
      <c r="E160" s="131" t="n"/>
      <c r="F160" s="165" t="n">
        <v>3.7</v>
      </c>
      <c r="G160" s="52" t="n">
        <v>1</v>
      </c>
      <c r="H160" s="165" t="n">
        <v>3.7</v>
      </c>
      <c r="I160" s="165" t="n">
        <v>3.892</v>
      </c>
      <c r="J160" s="52" t="n">
        <v>126</v>
      </c>
      <c r="K160" s="53" t="inlineStr">
        <is>
          <t>МГ</t>
        </is>
      </c>
      <c r="L160" s="52" t="n">
        <v>180</v>
      </c>
      <c r="M160" s="111">
        <f>HYPERLINK("https://abi.ru/products/Замороженные/No Name/No Name ПГП/Снеки/P002778/","Жар-ладушки с яблоком и грушей No name ПГП Весовые No name 3,7 кг")</f>
        <v/>
      </c>
      <c r="N160" s="166" t="n"/>
      <c r="O160" s="166" t="n"/>
      <c r="P160" s="166" t="n"/>
      <c r="Q160" s="131" t="n"/>
      <c r="R160" s="54" t="n"/>
      <c r="S160" s="54" t="n"/>
      <c r="T160" s="55" t="inlineStr">
        <is>
          <t>кор</t>
        </is>
      </c>
      <c r="U160" s="167" t="n">
        <v>17</v>
      </c>
      <c r="V160" s="168">
        <f>IFERROR(IF(U160="","",U160),"")</f>
        <v/>
      </c>
      <c r="W160" s="58">
        <f>IFERROR(IF(U160="","",U160*0.00936),"")</f>
        <v/>
      </c>
      <c r="X160" s="59" t="n"/>
      <c r="Y160" s="60" t="n"/>
      <c r="AC160" s="61" t="n"/>
      <c r="AZ160" s="62" t="inlineStr">
        <is>
          <t>ПГП</t>
        </is>
      </c>
    </row>
    <row r="161" ht="27" customHeight="1">
      <c r="A161" s="49" t="inlineStr">
        <is>
          <t>SU002442</t>
        </is>
      </c>
      <c r="B161" s="49" t="inlineStr">
        <is>
          <t>P002970</t>
        </is>
      </c>
      <c r="C161" s="50" t="n">
        <v>4301135128</v>
      </c>
      <c r="D161" s="110" t="n">
        <v>4607111036797</v>
      </c>
      <c r="E161" s="131" t="n"/>
      <c r="F161" s="165" t="n">
        <v>3.7</v>
      </c>
      <c r="G161" s="52" t="n">
        <v>1</v>
      </c>
      <c r="H161" s="165" t="n">
        <v>3.7</v>
      </c>
      <c r="I161" s="165" t="n">
        <v>3.892</v>
      </c>
      <c r="J161" s="52" t="n">
        <v>126</v>
      </c>
      <c r="K161" s="53" t="inlineStr">
        <is>
          <t>МГ</t>
        </is>
      </c>
      <c r="L161" s="52" t="n">
        <v>180</v>
      </c>
      <c r="M161" s="111">
        <f>HYPERLINK("https://abi.ru/products/Замороженные/No Name/No Name ПГП/Снеки/P002970/","Мини-сосиски в тесте Фрайпики No name Весовые No name 3,7 кг")</f>
        <v/>
      </c>
      <c r="N161" s="166" t="n"/>
      <c r="O161" s="166" t="n"/>
      <c r="P161" s="166" t="n"/>
      <c r="Q161" s="131" t="n"/>
      <c r="R161" s="54" t="n"/>
      <c r="S161" s="54" t="n"/>
      <c r="T161" s="55" t="inlineStr">
        <is>
          <t>кор</t>
        </is>
      </c>
      <c r="U161" s="167" t="n">
        <v>27</v>
      </c>
      <c r="V161" s="168">
        <f>IFERROR(IF(U161="","",U161),"")</f>
        <v/>
      </c>
      <c r="W161" s="58">
        <f>IFERROR(IF(U161="","",U161*0.00936),"")</f>
        <v/>
      </c>
      <c r="X161" s="59" t="n"/>
      <c r="Y161" s="60" t="n"/>
      <c r="AC161" s="61" t="n"/>
      <c r="AZ161" s="62" t="inlineStr">
        <is>
          <t>ПГП</t>
        </is>
      </c>
    </row>
    <row r="162" ht="27" customHeight="1">
      <c r="A162" s="49" t="inlineStr">
        <is>
          <t>SU002046</t>
        </is>
      </c>
      <c r="B162" s="49" t="inlineStr">
        <is>
          <t>P002167</t>
        </is>
      </c>
      <c r="C162" s="50" t="n">
        <v>4301135004</v>
      </c>
      <c r="D162" s="110" t="n">
        <v>4607111035707</v>
      </c>
      <c r="E162" s="131" t="n"/>
      <c r="F162" s="165" t="n">
        <v>5.5</v>
      </c>
      <c r="G162" s="52" t="n">
        <v>1</v>
      </c>
      <c r="H162" s="165" t="n">
        <v>5.5</v>
      </c>
      <c r="I162" s="165" t="n">
        <v>5.735</v>
      </c>
      <c r="J162" s="52" t="n">
        <v>84</v>
      </c>
      <c r="K162" s="53" t="inlineStr">
        <is>
          <t>МГ</t>
        </is>
      </c>
      <c r="L162" s="52" t="n">
        <v>180</v>
      </c>
      <c r="M162" s="111">
        <f>HYPERLINK("https://abi.ru/products/Замороженные/No Name/No Name ПГП/Снеки/P002167/","Снеки Жар-мени No Name Весовые No name 5,5 кг дистр")</f>
        <v/>
      </c>
      <c r="N162" s="166" t="n"/>
      <c r="O162" s="166" t="n"/>
      <c r="P162" s="166" t="n"/>
      <c r="Q162" s="131" t="n"/>
      <c r="R162" s="54" t="n"/>
      <c r="S162" s="54" t="n"/>
      <c r="T162" s="55" t="inlineStr">
        <is>
          <t>кор</t>
        </is>
      </c>
      <c r="U162" s="167" t="n">
        <v>21</v>
      </c>
      <c r="V162" s="168">
        <f>IFERROR(IF(U162="","",U162),"")</f>
        <v/>
      </c>
      <c r="W162" s="58">
        <f>IFERROR(IF(U162="","",U162*0.0155),"")</f>
        <v/>
      </c>
      <c r="X162" s="59" t="n"/>
      <c r="Y162" s="60" t="n"/>
      <c r="AC162" s="61" t="n"/>
      <c r="AZ162" s="62" t="inlineStr">
        <is>
          <t>ПГП</t>
        </is>
      </c>
    </row>
    <row r="163" ht="37.5" customHeight="1">
      <c r="A163" s="49" t="inlineStr">
        <is>
          <t>SU002405</t>
        </is>
      </c>
      <c r="B163" s="49" t="inlineStr">
        <is>
          <t>P002964</t>
        </is>
      </c>
      <c r="C163" s="50" t="n">
        <v>4301135129</v>
      </c>
      <c r="D163" s="110" t="n">
        <v>4607111036841</v>
      </c>
      <c r="E163" s="131" t="n"/>
      <c r="F163" s="165" t="n">
        <v>3.5</v>
      </c>
      <c r="G163" s="52" t="n">
        <v>1</v>
      </c>
      <c r="H163" s="165" t="n">
        <v>3.5</v>
      </c>
      <c r="I163" s="165" t="n">
        <v>3.692</v>
      </c>
      <c r="J163" s="52" t="n">
        <v>126</v>
      </c>
      <c r="K163" s="53" t="inlineStr">
        <is>
          <t>МГ</t>
        </is>
      </c>
      <c r="L163" s="52" t="n">
        <v>180</v>
      </c>
      <c r="M163" s="111">
        <f>HYPERLINK("https://abi.ru/products/Замороженные/No Name/No Name ПГП/Снеки/P002964/","Снеки Жар-мени с картофелем и сочной грудинкой No name Весовые No name 3,5 кг")</f>
        <v/>
      </c>
      <c r="N163" s="166" t="n"/>
      <c r="O163" s="166" t="n"/>
      <c r="P163" s="166" t="n"/>
      <c r="Q163" s="131" t="n"/>
      <c r="R163" s="54" t="n"/>
      <c r="S163" s="54" t="n"/>
      <c r="T163" s="55" t="inlineStr">
        <is>
          <t>кор</t>
        </is>
      </c>
      <c r="U163" s="167" t="n">
        <v>0</v>
      </c>
      <c r="V163" s="168">
        <f>IFERROR(IF(U163="","",U163),"")</f>
        <v/>
      </c>
      <c r="W163" s="58">
        <f>IFERROR(IF(U163="","",U163*0.00936),"")</f>
        <v/>
      </c>
      <c r="X163" s="59" t="n"/>
      <c r="Y163" s="60" t="n"/>
      <c r="AC163" s="61" t="n"/>
      <c r="AZ163" s="62" t="inlineStr">
        <is>
          <t>ПГП</t>
        </is>
      </c>
    </row>
    <row r="164" ht="27" customHeight="1">
      <c r="A164" s="49" t="inlineStr">
        <is>
          <t>SU002889</t>
        </is>
      </c>
      <c r="B164" s="49" t="inlineStr">
        <is>
          <t>P003310</t>
        </is>
      </c>
      <c r="C164" s="50" t="n">
        <v>4301135177</v>
      </c>
      <c r="D164" s="110" t="n">
        <v>4607111037862</v>
      </c>
      <c r="E164" s="131" t="n"/>
      <c r="F164" s="165" t="n">
        <v>1.8</v>
      </c>
      <c r="G164" s="52" t="n">
        <v>1</v>
      </c>
      <c r="H164" s="165" t="n">
        <v>1.8</v>
      </c>
      <c r="I164" s="165" t="n">
        <v>1.912</v>
      </c>
      <c r="J164" s="52" t="n">
        <v>234</v>
      </c>
      <c r="K164" s="53" t="inlineStr">
        <is>
          <t>МГ</t>
        </is>
      </c>
      <c r="L164" s="52" t="n">
        <v>180</v>
      </c>
      <c r="M164" s="111">
        <f>HYPERLINK("https://abi.ru/products/Замороженные/No Name/No Name ПГП/Снеки/P003310/","Мини-сосиски в тесте Фрайпики No name Весовые No name 1,8 кг")</f>
        <v/>
      </c>
      <c r="N164" s="166" t="n"/>
      <c r="O164" s="166" t="n"/>
      <c r="P164" s="166" t="n"/>
      <c r="Q164" s="131" t="n"/>
      <c r="R164" s="54" t="n"/>
      <c r="S164" s="54" t="n"/>
      <c r="T164" s="55" t="inlineStr">
        <is>
          <t>кор</t>
        </is>
      </c>
      <c r="U164" s="167" t="n">
        <v>67</v>
      </c>
      <c r="V164" s="168">
        <f>IFERROR(IF(U164="","",U164),"")</f>
        <v/>
      </c>
      <c r="W164" s="58">
        <f>IFERROR(IF(U164="","",U164*0.00502),"")</f>
        <v/>
      </c>
      <c r="X164" s="59" t="n"/>
      <c r="Y164" s="60" t="n"/>
      <c r="AC164" s="61" t="n"/>
      <c r="AZ164" s="62" t="inlineStr">
        <is>
          <t>ПГП</t>
        </is>
      </c>
    </row>
    <row r="165" ht="27" customHeight="1">
      <c r="A165" s="49" t="inlineStr">
        <is>
          <t>SU002794</t>
        </is>
      </c>
      <c r="B165" s="49" t="inlineStr">
        <is>
          <t>P003192</t>
        </is>
      </c>
      <c r="C165" s="50" t="n">
        <v>4301135161</v>
      </c>
      <c r="D165" s="110" t="n">
        <v>4607111037305</v>
      </c>
      <c r="E165" s="131" t="n"/>
      <c r="F165" s="165" t="n">
        <v>3</v>
      </c>
      <c r="G165" s="52" t="n">
        <v>1</v>
      </c>
      <c r="H165" s="165" t="n">
        <v>3</v>
      </c>
      <c r="I165" s="165" t="n">
        <v>3.192</v>
      </c>
      <c r="J165" s="52" t="n">
        <v>126</v>
      </c>
      <c r="K165" s="53" t="inlineStr">
        <is>
          <t>МГ</t>
        </is>
      </c>
      <c r="L165" s="52" t="n">
        <v>180</v>
      </c>
      <c r="M165" s="118" t="inlineStr">
        <is>
          <t>Снеки «Фрай-пицца с ветчиной и грибами» Весовые ТМ «No name» 3 кг</t>
        </is>
      </c>
      <c r="N165" s="166" t="n"/>
      <c r="O165" s="166" t="n"/>
      <c r="P165" s="166" t="n"/>
      <c r="Q165" s="131" t="n"/>
      <c r="R165" s="54" t="n"/>
      <c r="S165" s="54" t="n"/>
      <c r="T165" s="55" t="inlineStr">
        <is>
          <t>кор</t>
        </is>
      </c>
      <c r="U165" s="167" t="n">
        <v>20</v>
      </c>
      <c r="V165" s="168">
        <f>IFERROR(IF(U165="","",U165),"")</f>
        <v/>
      </c>
      <c r="W165" s="58">
        <f>IFERROR(IF(U165="","",U165*0.00936),"")</f>
        <v/>
      </c>
      <c r="X165" s="59" t="n"/>
      <c r="Y165" s="60" t="n"/>
      <c r="AC165" s="61" t="n"/>
      <c r="AZ165" s="62" t="inlineStr">
        <is>
          <t>ПГП</t>
        </is>
      </c>
    </row>
    <row r="166">
      <c r="A166" s="112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69" t="n"/>
      <c r="M166" s="113" t="inlineStr">
        <is>
          <t>Итого</t>
        </is>
      </c>
      <c r="N166" s="137" t="n"/>
      <c r="O166" s="137" t="n"/>
      <c r="P166" s="137" t="n"/>
      <c r="Q166" s="137" t="n"/>
      <c r="R166" s="137" t="n"/>
      <c r="S166" s="138" t="n"/>
      <c r="T166" s="63" t="inlineStr">
        <is>
          <t>кор</t>
        </is>
      </c>
      <c r="U166" s="170">
        <f>IFERROR(SUM(U156:U165),"0")</f>
        <v/>
      </c>
      <c r="V166" s="170">
        <f>IFERROR(SUM(V156:V165),"0")</f>
        <v/>
      </c>
      <c r="W166" s="170">
        <f>IFERROR(IF(W156="",0,W156),"0")+IFERROR(IF(W157="",0,W157),"0")+IFERROR(IF(W158="",0,W158),"0")+IFERROR(IF(W159="",0,W159),"0")+IFERROR(IF(W160="",0,W160),"0")+IFERROR(IF(W161="",0,W161),"0")+IFERROR(IF(W162="",0,W162),"0")+IFERROR(IF(W163="",0,W163),"0")+IFERROR(IF(W164="",0,W164),"0")+IFERROR(IF(W165="",0,W165),"0")</f>
        <v/>
      </c>
      <c r="X166" s="171" t="n"/>
      <c r="Y166" s="17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69" t="n"/>
      <c r="M167" s="113" t="inlineStr">
        <is>
          <t>Итого</t>
        </is>
      </c>
      <c r="N167" s="137" t="n"/>
      <c r="O167" s="137" t="n"/>
      <c r="P167" s="137" t="n"/>
      <c r="Q167" s="137" t="n"/>
      <c r="R167" s="137" t="n"/>
      <c r="S167" s="138" t="n"/>
      <c r="T167" s="63" t="inlineStr">
        <is>
          <t>кг</t>
        </is>
      </c>
      <c r="U167" s="170">
        <f>IFERROR(SUMPRODUCT(U156:U165*H156:H165),"0")</f>
        <v/>
      </c>
      <c r="V167" s="170">
        <f>IFERROR(SUMPRODUCT(V156:V165*H156:H165),"0")</f>
        <v/>
      </c>
      <c r="W167" s="63" t="n"/>
      <c r="X167" s="171" t="n"/>
      <c r="Y167" s="171" t="n"/>
    </row>
    <row r="168" ht="16.5" customHeight="1">
      <c r="A168" s="108" t="inlineStr">
        <is>
          <t>Стародворье ПГП</t>
        </is>
      </c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08" t="n"/>
      <c r="Y168" s="108" t="n"/>
    </row>
    <row r="169" ht="14.25" customHeight="1">
      <c r="A169" s="109" t="inlineStr">
        <is>
          <t>Пельмени ПГП</t>
        </is>
      </c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09" t="n"/>
      <c r="Y169" s="109" t="n"/>
    </row>
    <row r="170" ht="16.5" customHeight="1">
      <c r="A170" s="49" t="inlineStr">
        <is>
          <t>SU002891</t>
        </is>
      </c>
      <c r="B170" s="49" t="inlineStr">
        <is>
          <t>P003301</t>
        </is>
      </c>
      <c r="C170" s="50" t="n">
        <v>4301071010</v>
      </c>
      <c r="D170" s="110" t="n">
        <v>4607111037701</v>
      </c>
      <c r="E170" s="131" t="n"/>
      <c r="F170" s="165" t="n">
        <v>5</v>
      </c>
      <c r="G170" s="52" t="n">
        <v>1</v>
      </c>
      <c r="H170" s="165" t="n">
        <v>5</v>
      </c>
      <c r="I170" s="165" t="n">
        <v>5.2</v>
      </c>
      <c r="J170" s="52" t="n">
        <v>144</v>
      </c>
      <c r="K170" s="53" t="inlineStr">
        <is>
          <t>МГ</t>
        </is>
      </c>
      <c r="L170" s="52" t="n">
        <v>180</v>
      </c>
      <c r="M170" s="111">
        <f>HYPERLINK("https://abi.ru/products/Замороженные/No Name/Стародворье ПГП/Пельмени ПГП/P003301/","Пельмени «Быстромени» Весовой ТМ «No Name» 5")</f>
        <v/>
      </c>
      <c r="N170" s="166" t="n"/>
      <c r="O170" s="166" t="n"/>
      <c r="P170" s="166" t="n"/>
      <c r="Q170" s="131" t="n"/>
      <c r="R170" s="54" t="n"/>
      <c r="S170" s="54" t="n"/>
      <c r="T170" s="55" t="inlineStr">
        <is>
          <t>кор</t>
        </is>
      </c>
      <c r="U170" s="167" t="n">
        <v>0</v>
      </c>
      <c r="V170" s="168">
        <f>IFERROR(IF(U170="","",U170),"")</f>
        <v/>
      </c>
      <c r="W170" s="58">
        <f>IFERROR(IF(U170="","",U170*0.00866),"")</f>
        <v/>
      </c>
      <c r="X170" s="59" t="n"/>
      <c r="Y170" s="60" t="n"/>
      <c r="AC170" s="61" t="n"/>
      <c r="AZ170" s="62" t="inlineStr">
        <is>
          <t>ПГП</t>
        </is>
      </c>
    </row>
    <row r="171">
      <c r="A171" s="112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69" t="n"/>
      <c r="M171" s="113" t="inlineStr">
        <is>
          <t>Итого</t>
        </is>
      </c>
      <c r="N171" s="137" t="n"/>
      <c r="O171" s="137" t="n"/>
      <c r="P171" s="137" t="n"/>
      <c r="Q171" s="137" t="n"/>
      <c r="R171" s="137" t="n"/>
      <c r="S171" s="138" t="n"/>
      <c r="T171" s="63" t="inlineStr">
        <is>
          <t>кор</t>
        </is>
      </c>
      <c r="U171" s="170">
        <f>IFERROR(SUM(U170:U170),"0")</f>
        <v/>
      </c>
      <c r="V171" s="170">
        <f>IFERROR(SUM(V170:V170),"0")</f>
        <v/>
      </c>
      <c r="W171" s="170">
        <f>IFERROR(IF(W170="",0,W170),"0")</f>
        <v/>
      </c>
      <c r="X171" s="171" t="n"/>
      <c r="Y171" s="17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69" t="n"/>
      <c r="M172" s="113" t="inlineStr">
        <is>
          <t>Итого</t>
        </is>
      </c>
      <c r="N172" s="137" t="n"/>
      <c r="O172" s="137" t="n"/>
      <c r="P172" s="137" t="n"/>
      <c r="Q172" s="137" t="n"/>
      <c r="R172" s="137" t="n"/>
      <c r="S172" s="138" t="n"/>
      <c r="T172" s="63" t="inlineStr">
        <is>
          <t>кг</t>
        </is>
      </c>
      <c r="U172" s="170">
        <f>IFERROR(SUMPRODUCT(U170:U170*H170:H170),"0")</f>
        <v/>
      </c>
      <c r="V172" s="170">
        <f>IFERROR(SUMPRODUCT(V170:V170*H170:H170),"0")</f>
        <v/>
      </c>
      <c r="W172" s="63" t="n"/>
      <c r="X172" s="171" t="n"/>
      <c r="Y172" s="171" t="n"/>
    </row>
    <row r="173" ht="16.5" customHeight="1">
      <c r="A173" s="108" t="inlineStr">
        <is>
          <t>No Name ЗПФ</t>
        </is>
      </c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08" t="n"/>
      <c r="Y173" s="108" t="n"/>
    </row>
    <row r="174" ht="14.25" customHeight="1">
      <c r="A174" s="109" t="inlineStr">
        <is>
          <t>Пельмени</t>
        </is>
      </c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09" t="n"/>
      <c r="Y174" s="109" t="n"/>
    </row>
    <row r="175" ht="16.5" customHeight="1">
      <c r="A175" s="49" t="inlineStr">
        <is>
          <t>SU002396</t>
        </is>
      </c>
      <c r="B175" s="49" t="inlineStr">
        <is>
          <t>P002689</t>
        </is>
      </c>
      <c r="C175" s="50" t="n">
        <v>4301070871</v>
      </c>
      <c r="D175" s="110" t="n">
        <v>4607111036384</v>
      </c>
      <c r="E175" s="131" t="n"/>
      <c r="F175" s="165" t="n">
        <v>1</v>
      </c>
      <c r="G175" s="52" t="n">
        <v>5</v>
      </c>
      <c r="H175" s="165" t="n">
        <v>5</v>
      </c>
      <c r="I175" s="165" t="n">
        <v>5.253</v>
      </c>
      <c r="J175" s="52" t="n">
        <v>144</v>
      </c>
      <c r="K175" s="53" t="inlineStr">
        <is>
          <t>МГ</t>
        </is>
      </c>
      <c r="L175" s="52" t="n">
        <v>90</v>
      </c>
      <c r="M175" s="111">
        <f>HYPERLINK("https://abi.ru/products/Замороженные/No Name/No Name ЗПФ/Пельмени/P002689/","Пельмени Зареченские No name Весовые Сфера No name 5 кг")</f>
        <v/>
      </c>
      <c r="N175" s="166" t="n"/>
      <c r="O175" s="166" t="n"/>
      <c r="P175" s="166" t="n"/>
      <c r="Q175" s="131" t="n"/>
      <c r="R175" s="54" t="n"/>
      <c r="S175" s="54" t="n"/>
      <c r="T175" s="55" t="inlineStr">
        <is>
          <t>кор</t>
        </is>
      </c>
      <c r="U175" s="167" t="n">
        <v>0</v>
      </c>
      <c r="V175" s="168">
        <f>IFERROR(IF(U175="","",U175),"")</f>
        <v/>
      </c>
      <c r="W175" s="58">
        <f>IFERROR(IF(U175="","",U175*0.00866),"")</f>
        <v/>
      </c>
      <c r="X175" s="59" t="n"/>
      <c r="Y175" s="60" t="n"/>
      <c r="AC175" s="61" t="n"/>
      <c r="AZ175" s="62" t="inlineStr">
        <is>
          <t>ЗПФ</t>
        </is>
      </c>
    </row>
    <row r="176" ht="27" customHeight="1">
      <c r="A176" s="49" t="inlineStr">
        <is>
          <t>SU002314</t>
        </is>
      </c>
      <c r="B176" s="49" t="inlineStr">
        <is>
          <t>P002579</t>
        </is>
      </c>
      <c r="C176" s="50" t="n">
        <v>4301070858</v>
      </c>
      <c r="D176" s="110" t="n">
        <v>4607111036193</v>
      </c>
      <c r="E176" s="131" t="n"/>
      <c r="F176" s="165" t="n">
        <v>1</v>
      </c>
      <c r="G176" s="52" t="n">
        <v>5</v>
      </c>
      <c r="H176" s="165" t="n">
        <v>5</v>
      </c>
      <c r="I176" s="165" t="n">
        <v>5.275</v>
      </c>
      <c r="J176" s="52" t="n">
        <v>144</v>
      </c>
      <c r="K176" s="53" t="inlineStr">
        <is>
          <t>МГ</t>
        </is>
      </c>
      <c r="L176" s="52" t="n">
        <v>90</v>
      </c>
      <c r="M176" s="111">
        <f>HYPERLINK("https://abi.ru/products/Замороженные/No Name/No Name ЗПФ/Пельмени/P002579/","Пельмени Классические No name Весовые Хинкали No name 5 кг")</f>
        <v/>
      </c>
      <c r="N176" s="166" t="n"/>
      <c r="O176" s="166" t="n"/>
      <c r="P176" s="166" t="n"/>
      <c r="Q176" s="131" t="n"/>
      <c r="R176" s="54" t="n"/>
      <c r="S176" s="54" t="n"/>
      <c r="T176" s="55" t="inlineStr">
        <is>
          <t>кор</t>
        </is>
      </c>
      <c r="U176" s="167" t="n">
        <v>0</v>
      </c>
      <c r="V176" s="168">
        <f>IFERROR(IF(U176="","",U176),"")</f>
        <v/>
      </c>
      <c r="W176" s="58">
        <f>IFERROR(IF(U176="","",U176*0.00866),"")</f>
        <v/>
      </c>
      <c r="X176" s="59" t="n"/>
      <c r="Y176" s="60" t="n"/>
      <c r="AC176" s="61" t="n"/>
      <c r="AZ176" s="62" t="inlineStr">
        <is>
          <t>ЗПФ</t>
        </is>
      </c>
    </row>
    <row r="177" ht="27" customHeight="1">
      <c r="A177" s="49" t="inlineStr">
        <is>
          <t>SU000197</t>
        </is>
      </c>
      <c r="B177" s="49" t="inlineStr">
        <is>
          <t>P002413</t>
        </is>
      </c>
      <c r="C177" s="50" t="n">
        <v>4301070827</v>
      </c>
      <c r="D177" s="110" t="n">
        <v>4607111036216</v>
      </c>
      <c r="E177" s="131" t="n"/>
      <c r="F177" s="165" t="n">
        <v>1</v>
      </c>
      <c r="G177" s="52" t="n">
        <v>5</v>
      </c>
      <c r="H177" s="165" t="n">
        <v>5</v>
      </c>
      <c r="I177" s="165" t="n">
        <v>5.266</v>
      </c>
      <c r="J177" s="52" t="n">
        <v>144</v>
      </c>
      <c r="K177" s="53" t="inlineStr">
        <is>
          <t>МГ</t>
        </is>
      </c>
      <c r="L177" s="52" t="n">
        <v>90</v>
      </c>
      <c r="M177" s="111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N177" s="166" t="n"/>
      <c r="O177" s="166" t="n"/>
      <c r="P177" s="166" t="n"/>
      <c r="Q177" s="131" t="n"/>
      <c r="R177" s="54" t="n"/>
      <c r="S177" s="54" t="n"/>
      <c r="T177" s="55" t="inlineStr">
        <is>
          <t>кор</t>
        </is>
      </c>
      <c r="U177" s="167" t="n">
        <v>30</v>
      </c>
      <c r="V177" s="168">
        <f>IFERROR(IF(U177="","",U177),"")</f>
        <v/>
      </c>
      <c r="W177" s="58">
        <f>IFERROR(IF(U177="","",U177*0.00866),"")</f>
        <v/>
      </c>
      <c r="X177" s="59" t="n"/>
      <c r="Y177" s="60" t="n"/>
      <c r="AC177" s="61" t="n"/>
      <c r="AZ177" s="62" t="inlineStr">
        <is>
          <t>ЗПФ</t>
        </is>
      </c>
    </row>
    <row r="178" ht="27" customHeight="1">
      <c r="A178" s="49" t="inlineStr">
        <is>
          <t>SU002335</t>
        </is>
      </c>
      <c r="B178" s="49" t="inlineStr">
        <is>
          <t>P002980</t>
        </is>
      </c>
      <c r="C178" s="50" t="n">
        <v>4301070911</v>
      </c>
      <c r="D178" s="110" t="n">
        <v>4607111036278</v>
      </c>
      <c r="E178" s="131" t="n"/>
      <c r="F178" s="165" t="n">
        <v>1</v>
      </c>
      <c r="G178" s="52" t="n">
        <v>5</v>
      </c>
      <c r="H178" s="165" t="n">
        <v>5</v>
      </c>
      <c r="I178" s="165" t="n">
        <v>5.283</v>
      </c>
      <c r="J178" s="52" t="n">
        <v>84</v>
      </c>
      <c r="K178" s="53" t="inlineStr">
        <is>
          <t>МГ</t>
        </is>
      </c>
      <c r="L178" s="52" t="n">
        <v>120</v>
      </c>
      <c r="M178" s="111">
        <f>HYPERLINK("https://abi.ru/products/Замороженные/No Name/No Name ЗПФ/Пельмени/P002980/","Пельмени Умелый повар No name Весовые Равиоли No name 5 кг")</f>
        <v/>
      </c>
      <c r="N178" s="166" t="n"/>
      <c r="O178" s="166" t="n"/>
      <c r="P178" s="166" t="n"/>
      <c r="Q178" s="131" t="n"/>
      <c r="R178" s="54" t="n"/>
      <c r="S178" s="54" t="n"/>
      <c r="T178" s="55" t="inlineStr">
        <is>
          <t>кор</t>
        </is>
      </c>
      <c r="U178" s="167" t="n">
        <v>0</v>
      </c>
      <c r="V178" s="168">
        <f>IFERROR(IF(U178="","",U178),"")</f>
        <v/>
      </c>
      <c r="W178" s="58">
        <f>IFERROR(IF(U178="","",U178*0.0155),"")</f>
        <v/>
      </c>
      <c r="X178" s="59" t="n"/>
      <c r="Y178" s="60" t="n"/>
      <c r="AC178" s="61" t="n"/>
      <c r="AZ178" s="62" t="inlineStr">
        <is>
          <t>ЗПФ</t>
        </is>
      </c>
    </row>
    <row r="179">
      <c r="A179" s="112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69" t="n"/>
      <c r="M179" s="113" t="inlineStr">
        <is>
          <t>Итого</t>
        </is>
      </c>
      <c r="N179" s="137" t="n"/>
      <c r="O179" s="137" t="n"/>
      <c r="P179" s="137" t="n"/>
      <c r="Q179" s="137" t="n"/>
      <c r="R179" s="137" t="n"/>
      <c r="S179" s="138" t="n"/>
      <c r="T179" s="63" t="inlineStr">
        <is>
          <t>кор</t>
        </is>
      </c>
      <c r="U179" s="170">
        <f>IFERROR(SUM(U175:U178),"0")</f>
        <v/>
      </c>
      <c r="V179" s="170">
        <f>IFERROR(SUM(V175:V178),"0")</f>
        <v/>
      </c>
      <c r="W179" s="170">
        <f>IFERROR(IF(W175="",0,W175),"0")+IFERROR(IF(W176="",0,W176),"0")+IFERROR(IF(W177="",0,W177),"0")+IFERROR(IF(W178="",0,W178),"0")</f>
        <v/>
      </c>
      <c r="X179" s="171" t="n"/>
      <c r="Y179" s="17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69" t="n"/>
      <c r="M180" s="113" t="inlineStr">
        <is>
          <t>Итого</t>
        </is>
      </c>
      <c r="N180" s="137" t="n"/>
      <c r="O180" s="137" t="n"/>
      <c r="P180" s="137" t="n"/>
      <c r="Q180" s="137" t="n"/>
      <c r="R180" s="137" t="n"/>
      <c r="S180" s="138" t="n"/>
      <c r="T180" s="63" t="inlineStr">
        <is>
          <t>кг</t>
        </is>
      </c>
      <c r="U180" s="170">
        <f>IFERROR(SUMPRODUCT(U175:U178*H175:H178),"0")</f>
        <v/>
      </c>
      <c r="V180" s="170">
        <f>IFERROR(SUMPRODUCT(V175:V178*H175:H178),"0")</f>
        <v/>
      </c>
      <c r="W180" s="63" t="n"/>
      <c r="X180" s="171" t="n"/>
      <c r="Y180" s="171" t="n"/>
    </row>
    <row r="181" ht="14.25" customHeight="1">
      <c r="A181" s="109" t="inlineStr">
        <is>
          <t>Вареники</t>
        </is>
      </c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09" t="n"/>
      <c r="Y181" s="109" t="n"/>
    </row>
    <row r="182" ht="27" customHeight="1">
      <c r="A182" s="49" t="inlineStr">
        <is>
          <t>SU002532</t>
        </is>
      </c>
      <c r="B182" s="49" t="inlineStr">
        <is>
          <t>P002958</t>
        </is>
      </c>
      <c r="C182" s="50" t="n">
        <v>4301080153</v>
      </c>
      <c r="D182" s="110" t="n">
        <v>4607111036827</v>
      </c>
      <c r="E182" s="131" t="n"/>
      <c r="F182" s="165" t="n">
        <v>1</v>
      </c>
      <c r="G182" s="52" t="n">
        <v>5</v>
      </c>
      <c r="H182" s="165" t="n">
        <v>5</v>
      </c>
      <c r="I182" s="165" t="n">
        <v>5.2</v>
      </c>
      <c r="J182" s="52" t="n">
        <v>144</v>
      </c>
      <c r="K182" s="53" t="inlineStr">
        <is>
          <t>МГ</t>
        </is>
      </c>
      <c r="L182" s="52" t="n">
        <v>90</v>
      </c>
      <c r="M182" s="111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N182" s="166" t="n"/>
      <c r="O182" s="166" t="n"/>
      <c r="P182" s="166" t="n"/>
      <c r="Q182" s="131" t="n"/>
      <c r="R182" s="54" t="n"/>
      <c r="S182" s="54" t="n"/>
      <c r="T182" s="55" t="inlineStr">
        <is>
          <t>кор</t>
        </is>
      </c>
      <c r="U182" s="167" t="n">
        <v>0</v>
      </c>
      <c r="V182" s="168">
        <f>IFERROR(IF(U182="","",U182),"")</f>
        <v/>
      </c>
      <c r="W182" s="58">
        <f>IFERROR(IF(U182="","",U182*0.00866),"")</f>
        <v/>
      </c>
      <c r="X182" s="59" t="n"/>
      <c r="Y182" s="60" t="n"/>
      <c r="AC182" s="61" t="n"/>
      <c r="AZ182" s="62" t="inlineStr">
        <is>
          <t>ЗПФ</t>
        </is>
      </c>
    </row>
    <row r="183" ht="27" customHeight="1">
      <c r="A183" s="49" t="inlineStr">
        <is>
          <t>SU002483</t>
        </is>
      </c>
      <c r="B183" s="49" t="inlineStr">
        <is>
          <t>P002961</t>
        </is>
      </c>
      <c r="C183" s="50" t="n">
        <v>4301080154</v>
      </c>
      <c r="D183" s="110" t="n">
        <v>4607111036834</v>
      </c>
      <c r="E183" s="131" t="n"/>
      <c r="F183" s="165" t="n">
        <v>1</v>
      </c>
      <c r="G183" s="52" t="n">
        <v>5</v>
      </c>
      <c r="H183" s="165" t="n">
        <v>5</v>
      </c>
      <c r="I183" s="165" t="n">
        <v>5.253</v>
      </c>
      <c r="J183" s="52" t="n">
        <v>144</v>
      </c>
      <c r="K183" s="53" t="inlineStr">
        <is>
          <t>МГ</t>
        </is>
      </c>
      <c r="L183" s="52" t="n">
        <v>90</v>
      </c>
      <c r="M183" s="111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N183" s="166" t="n"/>
      <c r="O183" s="166" t="n"/>
      <c r="P183" s="166" t="n"/>
      <c r="Q183" s="131" t="n"/>
      <c r="R183" s="54" t="n"/>
      <c r="S183" s="54" t="n"/>
      <c r="T183" s="55" t="inlineStr">
        <is>
          <t>кор</t>
        </is>
      </c>
      <c r="U183" s="167" t="n">
        <v>0</v>
      </c>
      <c r="V183" s="168">
        <f>IFERROR(IF(U183="","",U183),"")</f>
        <v/>
      </c>
      <c r="W183" s="58">
        <f>IFERROR(IF(U183="","",U183*0.00866),"")</f>
        <v/>
      </c>
      <c r="X183" s="59" t="n"/>
      <c r="Y183" s="60" t="n"/>
      <c r="AC183" s="61" t="n"/>
      <c r="AZ183" s="62" t="inlineStr">
        <is>
          <t>ЗПФ</t>
        </is>
      </c>
    </row>
    <row r="184">
      <c r="A184" s="112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69" t="n"/>
      <c r="M184" s="113" t="inlineStr">
        <is>
          <t>Итого</t>
        </is>
      </c>
      <c r="N184" s="137" t="n"/>
      <c r="O184" s="137" t="n"/>
      <c r="P184" s="137" t="n"/>
      <c r="Q184" s="137" t="n"/>
      <c r="R184" s="137" t="n"/>
      <c r="S184" s="138" t="n"/>
      <c r="T184" s="63" t="inlineStr">
        <is>
          <t>кор</t>
        </is>
      </c>
      <c r="U184" s="170">
        <f>IFERROR(SUM(U182:U183),"0")</f>
        <v/>
      </c>
      <c r="V184" s="170">
        <f>IFERROR(SUM(V182:V183),"0")</f>
        <v/>
      </c>
      <c r="W184" s="170">
        <f>IFERROR(IF(W182="",0,W182),"0")+IFERROR(IF(W183="",0,W183),"0")</f>
        <v/>
      </c>
      <c r="X184" s="171" t="n"/>
      <c r="Y184" s="17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69" t="n"/>
      <c r="M185" s="113" t="inlineStr">
        <is>
          <t>Итого</t>
        </is>
      </c>
      <c r="N185" s="137" t="n"/>
      <c r="O185" s="137" t="n"/>
      <c r="P185" s="137" t="n"/>
      <c r="Q185" s="137" t="n"/>
      <c r="R185" s="137" t="n"/>
      <c r="S185" s="138" t="n"/>
      <c r="T185" s="63" t="inlineStr">
        <is>
          <t>кг</t>
        </is>
      </c>
      <c r="U185" s="170">
        <f>IFERROR(SUMPRODUCT(U182:U183*H182:H183),"0")</f>
        <v/>
      </c>
      <c r="V185" s="170">
        <f>IFERROR(SUMPRODUCT(V182:V183*H182:H183),"0")</f>
        <v/>
      </c>
      <c r="W185" s="63" t="n"/>
      <c r="X185" s="171" t="n"/>
      <c r="Y185" s="171" t="n"/>
    </row>
    <row r="186" ht="27.75" customHeight="1">
      <c r="A186" s="107" t="inlineStr">
        <is>
          <t>Вязанка</t>
        </is>
      </c>
      <c r="B186" s="164" t="n"/>
      <c r="C186" s="164" t="n"/>
      <c r="D186" s="164" t="n"/>
      <c r="E186" s="164" t="n"/>
      <c r="F186" s="164" t="n"/>
      <c r="G186" s="164" t="n"/>
      <c r="H186" s="164" t="n"/>
      <c r="I186" s="164" t="n"/>
      <c r="J186" s="164" t="n"/>
      <c r="K186" s="164" t="n"/>
      <c r="L186" s="164" t="n"/>
      <c r="M186" s="164" t="n"/>
      <c r="N186" s="164" t="n"/>
      <c r="O186" s="164" t="n"/>
      <c r="P186" s="164" t="n"/>
      <c r="Q186" s="164" t="n"/>
      <c r="R186" s="164" t="n"/>
      <c r="S186" s="164" t="n"/>
      <c r="T186" s="164" t="n"/>
      <c r="U186" s="164" t="n"/>
      <c r="V186" s="164" t="n"/>
      <c r="W186" s="164" t="n"/>
      <c r="X186" s="46" t="n"/>
      <c r="Y186" s="46" t="n"/>
    </row>
    <row r="187" ht="16.5" customHeight="1">
      <c r="A187" s="108" t="inlineStr">
        <is>
          <t>Няняггетсы Сливушки</t>
        </is>
      </c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08" t="n"/>
      <c r="Y187" s="108" t="n"/>
    </row>
    <row r="188" ht="14.25" customHeight="1">
      <c r="A188" s="109" t="inlineStr">
        <is>
          <t>Наггетсы</t>
        </is>
      </c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09" t="n"/>
      <c r="Y188" s="109" t="n"/>
    </row>
    <row r="189" ht="16.5" customHeight="1">
      <c r="A189" s="49" t="inlineStr">
        <is>
          <t>SU002516</t>
        </is>
      </c>
      <c r="B189" s="49" t="inlineStr">
        <is>
          <t>P002823</t>
        </is>
      </c>
      <c r="C189" s="50" t="n">
        <v>4301132048</v>
      </c>
      <c r="D189" s="110" t="n">
        <v>4607111035721</v>
      </c>
      <c r="E189" s="131" t="n"/>
      <c r="F189" s="165" t="n">
        <v>0.25</v>
      </c>
      <c r="G189" s="52" t="n">
        <v>12</v>
      </c>
      <c r="H189" s="165" t="n">
        <v>3</v>
      </c>
      <c r="I189" s="165" t="n">
        <v>3.388</v>
      </c>
      <c r="J189" s="52" t="n">
        <v>70</v>
      </c>
      <c r="K189" s="53" t="inlineStr">
        <is>
          <t>МГ</t>
        </is>
      </c>
      <c r="L189" s="52" t="n">
        <v>180</v>
      </c>
      <c r="M189" s="111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N189" s="166" t="n"/>
      <c r="O189" s="166" t="n"/>
      <c r="P189" s="166" t="n"/>
      <c r="Q189" s="131" t="n"/>
      <c r="R189" s="54" t="n"/>
      <c r="S189" s="54" t="n"/>
      <c r="T189" s="55" t="inlineStr">
        <is>
          <t>кор</t>
        </is>
      </c>
      <c r="U189" s="167" t="n">
        <v>30</v>
      </c>
      <c r="V189" s="168">
        <f>IFERROR(IF(U189="","",U189),"")</f>
        <v/>
      </c>
      <c r="W189" s="58">
        <f>IFERROR(IF(U189="","",U189*0.01788),"")</f>
        <v/>
      </c>
      <c r="X189" s="59" t="n"/>
      <c r="Y189" s="60" t="n"/>
      <c r="AC189" s="61" t="n"/>
      <c r="AZ189" s="62" t="inlineStr">
        <is>
          <t>ПГП</t>
        </is>
      </c>
    </row>
    <row r="190" ht="27" customHeight="1">
      <c r="A190" s="49" t="inlineStr">
        <is>
          <t>SU002514</t>
        </is>
      </c>
      <c r="B190" s="49" t="inlineStr">
        <is>
          <t>P002820</t>
        </is>
      </c>
      <c r="C190" s="50" t="n">
        <v>4301132046</v>
      </c>
      <c r="D190" s="110" t="n">
        <v>4607111035691</v>
      </c>
      <c r="E190" s="131" t="n"/>
      <c r="F190" s="165" t="n">
        <v>0.25</v>
      </c>
      <c r="G190" s="52" t="n">
        <v>12</v>
      </c>
      <c r="H190" s="165" t="n">
        <v>3</v>
      </c>
      <c r="I190" s="165" t="n">
        <v>3.388</v>
      </c>
      <c r="J190" s="52" t="n">
        <v>70</v>
      </c>
      <c r="K190" s="53" t="inlineStr">
        <is>
          <t>МГ</t>
        </is>
      </c>
      <c r="L190" s="52" t="n">
        <v>180</v>
      </c>
      <c r="M190" s="111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N190" s="166" t="n"/>
      <c r="O190" s="166" t="n"/>
      <c r="P190" s="166" t="n"/>
      <c r="Q190" s="131" t="n"/>
      <c r="R190" s="54" t="n"/>
      <c r="S190" s="54" t="n"/>
      <c r="T190" s="55" t="inlineStr">
        <is>
          <t>кор</t>
        </is>
      </c>
      <c r="U190" s="167" t="n">
        <v>60</v>
      </c>
      <c r="V190" s="168">
        <f>IFERROR(IF(U190="","",U190),"")</f>
        <v/>
      </c>
      <c r="W190" s="58">
        <f>IFERROR(IF(U190="","",U190*0.01788),"")</f>
        <v/>
      </c>
      <c r="X190" s="59" t="n"/>
      <c r="Y190" s="60" t="n"/>
      <c r="AC190" s="61" t="n"/>
      <c r="AZ190" s="62" t="inlineStr">
        <is>
          <t>ПГП</t>
        </is>
      </c>
    </row>
    <row r="191">
      <c r="A191" s="112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69" t="n"/>
      <c r="M191" s="113" t="inlineStr">
        <is>
          <t>Итого</t>
        </is>
      </c>
      <c r="N191" s="137" t="n"/>
      <c r="O191" s="137" t="n"/>
      <c r="P191" s="137" t="n"/>
      <c r="Q191" s="137" t="n"/>
      <c r="R191" s="137" t="n"/>
      <c r="S191" s="138" t="n"/>
      <c r="T191" s="63" t="inlineStr">
        <is>
          <t>кор</t>
        </is>
      </c>
      <c r="U191" s="170">
        <f>IFERROR(SUM(U189:U190),"0")</f>
        <v/>
      </c>
      <c r="V191" s="170">
        <f>IFERROR(SUM(V189:V190),"0")</f>
        <v/>
      </c>
      <c r="W191" s="170">
        <f>IFERROR(IF(W189="",0,W189),"0")+IFERROR(IF(W190="",0,W190),"0")</f>
        <v/>
      </c>
      <c r="X191" s="171" t="n"/>
      <c r="Y191" s="17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69" t="n"/>
      <c r="M192" s="113" t="inlineStr">
        <is>
          <t>Итого</t>
        </is>
      </c>
      <c r="N192" s="137" t="n"/>
      <c r="O192" s="137" t="n"/>
      <c r="P192" s="137" t="n"/>
      <c r="Q192" s="137" t="n"/>
      <c r="R192" s="137" t="n"/>
      <c r="S192" s="138" t="n"/>
      <c r="T192" s="63" t="inlineStr">
        <is>
          <t>кг</t>
        </is>
      </c>
      <c r="U192" s="170">
        <f>IFERROR(SUMPRODUCT(U189:U190*H189:H190),"0")</f>
        <v/>
      </c>
      <c r="V192" s="170">
        <f>IFERROR(SUMPRODUCT(V189:V190*H189:H190),"0")</f>
        <v/>
      </c>
      <c r="W192" s="63" t="n"/>
      <c r="X192" s="171" t="n"/>
      <c r="Y192" s="171" t="n"/>
    </row>
    <row r="193" ht="16.5" customHeight="1">
      <c r="A193" s="108" t="inlineStr">
        <is>
          <t>Печеные пельмени</t>
        </is>
      </c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08" t="n"/>
      <c r="Y193" s="108" t="n"/>
    </row>
    <row r="194" ht="14.25" customHeight="1">
      <c r="A194" s="109" t="inlineStr">
        <is>
          <t>Печеные пельмени</t>
        </is>
      </c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09" t="n"/>
      <c r="Y194" s="109" t="n"/>
    </row>
    <row r="195" ht="27" customHeight="1">
      <c r="A195" s="49" t="inlineStr">
        <is>
          <t>SU002225</t>
        </is>
      </c>
      <c r="B195" s="49" t="inlineStr">
        <is>
          <t>P002411</t>
        </is>
      </c>
      <c r="C195" s="50" t="n">
        <v>4301133002</v>
      </c>
      <c r="D195" s="110" t="n">
        <v>4607111035783</v>
      </c>
      <c r="E195" s="131" t="n"/>
      <c r="F195" s="165" t="n">
        <v>0.2</v>
      </c>
      <c r="G195" s="52" t="n">
        <v>8</v>
      </c>
      <c r="H195" s="165" t="n">
        <v>1.6</v>
      </c>
      <c r="I195" s="165" t="n">
        <v>2.12</v>
      </c>
      <c r="J195" s="52" t="n">
        <v>72</v>
      </c>
      <c r="K195" s="53" t="inlineStr">
        <is>
          <t>МГ</t>
        </is>
      </c>
      <c r="L195" s="52" t="n">
        <v>180</v>
      </c>
      <c r="M195" s="111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N195" s="166" t="n"/>
      <c r="O195" s="166" t="n"/>
      <c r="P195" s="166" t="n"/>
      <c r="Q195" s="131" t="n"/>
      <c r="R195" s="54" t="n"/>
      <c r="S195" s="54" t="n"/>
      <c r="T195" s="55" t="inlineStr">
        <is>
          <t>кор</t>
        </is>
      </c>
      <c r="U195" s="167" t="n">
        <v>0</v>
      </c>
      <c r="V195" s="168">
        <f>IFERROR(IF(U195="","",U195),"")</f>
        <v/>
      </c>
      <c r="W195" s="58">
        <f>IFERROR(IF(U195="","",U195*0.01157),"")</f>
        <v/>
      </c>
      <c r="X195" s="59" t="n"/>
      <c r="Y195" s="60" t="n"/>
      <c r="AC195" s="61" t="n"/>
      <c r="AZ195" s="62" t="inlineStr">
        <is>
          <t>ПГП</t>
        </is>
      </c>
    </row>
    <row r="196">
      <c r="A196" s="112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69" t="n"/>
      <c r="M196" s="113" t="inlineStr">
        <is>
          <t>Итого</t>
        </is>
      </c>
      <c r="N196" s="137" t="n"/>
      <c r="O196" s="137" t="n"/>
      <c r="P196" s="137" t="n"/>
      <c r="Q196" s="137" t="n"/>
      <c r="R196" s="137" t="n"/>
      <c r="S196" s="138" t="n"/>
      <c r="T196" s="63" t="inlineStr">
        <is>
          <t>кор</t>
        </is>
      </c>
      <c r="U196" s="170">
        <f>IFERROR(SUM(U195:U195),"0")</f>
        <v/>
      </c>
      <c r="V196" s="170">
        <f>IFERROR(SUM(V195:V195),"0")</f>
        <v/>
      </c>
      <c r="W196" s="170">
        <f>IFERROR(IF(W195="",0,W195),"0")</f>
        <v/>
      </c>
      <c r="X196" s="171" t="n"/>
      <c r="Y196" s="17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69" t="n"/>
      <c r="M197" s="113" t="inlineStr">
        <is>
          <t>Итого</t>
        </is>
      </c>
      <c r="N197" s="137" t="n"/>
      <c r="O197" s="137" t="n"/>
      <c r="P197" s="137" t="n"/>
      <c r="Q197" s="137" t="n"/>
      <c r="R197" s="137" t="n"/>
      <c r="S197" s="138" t="n"/>
      <c r="T197" s="63" t="inlineStr">
        <is>
          <t>кг</t>
        </is>
      </c>
      <c r="U197" s="170">
        <f>IFERROR(SUMPRODUCT(U195:U195*H195:H195),"0")</f>
        <v/>
      </c>
      <c r="V197" s="170">
        <f>IFERROR(SUMPRODUCT(V195:V195*H195:H195),"0")</f>
        <v/>
      </c>
      <c r="W197" s="63" t="n"/>
      <c r="X197" s="171" t="n"/>
      <c r="Y197" s="171" t="n"/>
    </row>
    <row r="198" ht="16.5" customHeight="1">
      <c r="A198" s="108" t="inlineStr">
        <is>
          <t>Вязанка</t>
        </is>
      </c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08" t="n"/>
      <c r="Y198" s="108" t="n"/>
    </row>
    <row r="199" ht="14.25" customHeight="1">
      <c r="A199" s="109" t="inlineStr">
        <is>
          <t>Сосиски замороженные</t>
        </is>
      </c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09" t="n"/>
      <c r="Y199" s="109" t="n"/>
    </row>
    <row r="200" ht="27" customHeight="1">
      <c r="A200" s="49" t="inlineStr">
        <is>
          <t>SU002677</t>
        </is>
      </c>
      <c r="B200" s="49" t="inlineStr">
        <is>
          <t>P003053</t>
        </is>
      </c>
      <c r="C200" s="50" t="n">
        <v>4301051319</v>
      </c>
      <c r="D200" s="110" t="n">
        <v>4680115881204</v>
      </c>
      <c r="E200" s="131" t="n"/>
      <c r="F200" s="165" t="n">
        <v>0.33</v>
      </c>
      <c r="G200" s="52" t="n">
        <v>6</v>
      </c>
      <c r="H200" s="165" t="n">
        <v>1.98</v>
      </c>
      <c r="I200" s="165" t="n">
        <v>2.246</v>
      </c>
      <c r="J200" s="52" t="n">
        <v>156</v>
      </c>
      <c r="K200" s="53" t="inlineStr">
        <is>
          <t>СК2</t>
        </is>
      </c>
      <c r="L200" s="52" t="n">
        <v>365</v>
      </c>
      <c r="M200" s="118" t="inlineStr">
        <is>
          <t>Сосиски «Сливушки #нежнушки» замороженные Фикс.вес 0,33 п/а ТМ «Вязанка»</t>
        </is>
      </c>
      <c r="N200" s="166" t="n"/>
      <c r="O200" s="166" t="n"/>
      <c r="P200" s="166" t="n"/>
      <c r="Q200" s="131" t="n"/>
      <c r="R200" s="54" t="n"/>
      <c r="S200" s="54" t="n"/>
      <c r="T200" s="55" t="inlineStr">
        <is>
          <t>кор</t>
        </is>
      </c>
      <c r="U200" s="167" t="n">
        <v>0</v>
      </c>
      <c r="V200" s="168">
        <f>IFERROR(IF(U200="","",U200),"")</f>
        <v/>
      </c>
      <c r="W200" s="58">
        <f>IFERROR(IF(U200="","",U200*0.00753),"")</f>
        <v/>
      </c>
      <c r="X200" s="59" t="n"/>
      <c r="Y200" s="60" t="n"/>
      <c r="AC200" s="61" t="n"/>
      <c r="AZ200" s="62" t="inlineStr">
        <is>
          <t>КИЗ</t>
        </is>
      </c>
    </row>
    <row r="201">
      <c r="A201" s="112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69" t="n"/>
      <c r="M201" s="113" t="inlineStr">
        <is>
          <t>Итого</t>
        </is>
      </c>
      <c r="N201" s="137" t="n"/>
      <c r="O201" s="137" t="n"/>
      <c r="P201" s="137" t="n"/>
      <c r="Q201" s="137" t="n"/>
      <c r="R201" s="137" t="n"/>
      <c r="S201" s="138" t="n"/>
      <c r="T201" s="63" t="inlineStr">
        <is>
          <t>кор</t>
        </is>
      </c>
      <c r="U201" s="170">
        <f>IFERROR(SUM(U200:U200),"0")</f>
        <v/>
      </c>
      <c r="V201" s="170">
        <f>IFERROR(SUM(V200:V200),"0")</f>
        <v/>
      </c>
      <c r="W201" s="170">
        <f>IFERROR(IF(W200="",0,W200),"0")</f>
        <v/>
      </c>
      <c r="X201" s="171" t="n"/>
      <c r="Y201" s="17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69" t="n"/>
      <c r="M202" s="113" t="inlineStr">
        <is>
          <t>Итого</t>
        </is>
      </c>
      <c r="N202" s="137" t="n"/>
      <c r="O202" s="137" t="n"/>
      <c r="P202" s="137" t="n"/>
      <c r="Q202" s="137" t="n"/>
      <c r="R202" s="137" t="n"/>
      <c r="S202" s="138" t="n"/>
      <c r="T202" s="63" t="inlineStr">
        <is>
          <t>кг</t>
        </is>
      </c>
      <c r="U202" s="170">
        <f>IFERROR(SUMPRODUCT(U200:U200*H200:H200),"0")</f>
        <v/>
      </c>
      <c r="V202" s="170">
        <f>IFERROR(SUMPRODUCT(V200:V200*H200:H200),"0")</f>
        <v/>
      </c>
      <c r="W202" s="63" t="n"/>
      <c r="X202" s="171" t="n"/>
      <c r="Y202" s="171" t="n"/>
    </row>
    <row r="203" ht="27.75" customHeight="1">
      <c r="A203" s="107" t="inlineStr">
        <is>
          <t>Стародворье</t>
        </is>
      </c>
      <c r="B203" s="164" t="n"/>
      <c r="C203" s="164" t="n"/>
      <c r="D203" s="164" t="n"/>
      <c r="E203" s="164" t="n"/>
      <c r="F203" s="164" t="n"/>
      <c r="G203" s="164" t="n"/>
      <c r="H203" s="164" t="n"/>
      <c r="I203" s="164" t="n"/>
      <c r="J203" s="164" t="n"/>
      <c r="K203" s="164" t="n"/>
      <c r="L203" s="164" t="n"/>
      <c r="M203" s="164" t="n"/>
      <c r="N203" s="164" t="n"/>
      <c r="O203" s="164" t="n"/>
      <c r="P203" s="164" t="n"/>
      <c r="Q203" s="164" t="n"/>
      <c r="R203" s="164" t="n"/>
      <c r="S203" s="164" t="n"/>
      <c r="T203" s="164" t="n"/>
      <c r="U203" s="164" t="n"/>
      <c r="V203" s="164" t="n"/>
      <c r="W203" s="164" t="n"/>
      <c r="X203" s="46" t="n"/>
      <c r="Y203" s="46" t="n"/>
    </row>
    <row r="204" ht="16.5" customHeight="1">
      <c r="A204" s="108" t="inlineStr">
        <is>
          <t>Стародворье ЗПФ</t>
        </is>
      </c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08" t="n"/>
      <c r="Y204" s="108" t="n"/>
    </row>
    <row r="205" ht="14.25" customHeight="1">
      <c r="A205" s="109" t="inlineStr">
        <is>
          <t>Пельмени</t>
        </is>
      </c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09" t="n"/>
      <c r="Y205" s="109" t="n"/>
    </row>
    <row r="206" ht="27" customHeight="1">
      <c r="A206" s="49" t="inlineStr">
        <is>
          <t>SU002920</t>
        </is>
      </c>
      <c r="B206" s="49" t="inlineStr">
        <is>
          <t>P003355</t>
        </is>
      </c>
      <c r="C206" s="50" t="n">
        <v>4301070948</v>
      </c>
      <c r="D206" s="110" t="n">
        <v>4607111037022</v>
      </c>
      <c r="E206" s="131" t="n"/>
      <c r="F206" s="165" t="n">
        <v>0.7</v>
      </c>
      <c r="G206" s="52" t="n">
        <v>8</v>
      </c>
      <c r="H206" s="165" t="n">
        <v>5.6</v>
      </c>
      <c r="I206" s="165" t="n">
        <v>5.87</v>
      </c>
      <c r="J206" s="52" t="n">
        <v>84</v>
      </c>
      <c r="K206" s="53" t="inlineStr">
        <is>
          <t>МГ</t>
        </is>
      </c>
      <c r="L206" s="52" t="n">
        <v>180</v>
      </c>
      <c r="M206" s="111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N206" s="166" t="n"/>
      <c r="O206" s="166" t="n"/>
      <c r="P206" s="166" t="n"/>
      <c r="Q206" s="131" t="n"/>
      <c r="R206" s="54" t="n"/>
      <c r="S206" s="54" t="n"/>
      <c r="T206" s="55" t="inlineStr">
        <is>
          <t>кор</t>
        </is>
      </c>
      <c r="U206" s="167" t="n">
        <v>75</v>
      </c>
      <c r="V206" s="168">
        <f>IFERROR(IF(U206="","",U206),"")</f>
        <v/>
      </c>
      <c r="W206" s="58">
        <f>IFERROR(IF(U206="","",U206*0.0155),"")</f>
        <v/>
      </c>
      <c r="X206" s="59" t="n"/>
      <c r="Y206" s="60" t="n"/>
      <c r="AC206" s="61" t="n"/>
      <c r="AZ206" s="62" t="inlineStr">
        <is>
          <t>ЗПФ</t>
        </is>
      </c>
    </row>
    <row r="207">
      <c r="A207" s="112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69" t="n"/>
      <c r="M207" s="113" t="inlineStr">
        <is>
          <t>Итого</t>
        </is>
      </c>
      <c r="N207" s="137" t="n"/>
      <c r="O207" s="137" t="n"/>
      <c r="P207" s="137" t="n"/>
      <c r="Q207" s="137" t="n"/>
      <c r="R207" s="137" t="n"/>
      <c r="S207" s="138" t="n"/>
      <c r="T207" s="63" t="inlineStr">
        <is>
          <t>кор</t>
        </is>
      </c>
      <c r="U207" s="170">
        <f>IFERROR(SUM(U206:U206),"0")</f>
        <v/>
      </c>
      <c r="V207" s="170">
        <f>IFERROR(SUM(V206:V206),"0")</f>
        <v/>
      </c>
      <c r="W207" s="170">
        <f>IFERROR(IF(W206="",0,W206),"0")</f>
        <v/>
      </c>
      <c r="X207" s="171" t="n"/>
      <c r="Y207" s="17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69" t="n"/>
      <c r="M208" s="113" t="inlineStr">
        <is>
          <t>Итого</t>
        </is>
      </c>
      <c r="N208" s="137" t="n"/>
      <c r="O208" s="137" t="n"/>
      <c r="P208" s="137" t="n"/>
      <c r="Q208" s="137" t="n"/>
      <c r="R208" s="137" t="n"/>
      <c r="S208" s="138" t="n"/>
      <c r="T208" s="63" t="inlineStr">
        <is>
          <t>кг</t>
        </is>
      </c>
      <c r="U208" s="170">
        <f>IFERROR(SUMPRODUCT(U206:U206*H206:H206),"0")</f>
        <v/>
      </c>
      <c r="V208" s="170">
        <f>IFERROR(SUMPRODUCT(V206:V206*H206:H206),"0")</f>
        <v/>
      </c>
      <c r="W208" s="63" t="n"/>
      <c r="X208" s="171" t="n"/>
      <c r="Y208" s="171" t="n"/>
    </row>
    <row r="209" ht="16.5" customHeight="1">
      <c r="A209" s="108" t="inlineStr">
        <is>
          <t>Мясорубская</t>
        </is>
      </c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08" t="n"/>
      <c r="Y209" s="108" t="n"/>
    </row>
    <row r="210" ht="14.25" customHeight="1">
      <c r="A210" s="109" t="inlineStr">
        <is>
          <t>Пельмени</t>
        </is>
      </c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09" t="n"/>
      <c r="Y210" s="109" t="n"/>
    </row>
    <row r="211" ht="27" customHeight="1">
      <c r="A211" s="49" t="inlineStr">
        <is>
          <t>SU003077</t>
        </is>
      </c>
      <c r="B211" s="49" t="inlineStr">
        <is>
          <t>P003648</t>
        </is>
      </c>
      <c r="C211" s="50" t="n">
        <v>4301070966</v>
      </c>
      <c r="D211" s="110" t="n">
        <v>4607111038135</v>
      </c>
      <c r="E211" s="131" t="n"/>
      <c r="F211" s="165" t="n">
        <v>0.7</v>
      </c>
      <c r="G211" s="52" t="n">
        <v>8</v>
      </c>
      <c r="H211" s="165" t="n">
        <v>5.6</v>
      </c>
      <c r="I211" s="165" t="n">
        <v>5.87</v>
      </c>
      <c r="J211" s="52" t="n">
        <v>84</v>
      </c>
      <c r="K211" s="53" t="inlineStr">
        <is>
          <t>МГ</t>
        </is>
      </c>
      <c r="L211" s="52" t="n">
        <v>180</v>
      </c>
      <c r="M211" s="118" t="inlineStr">
        <is>
          <t>Пельмени «Мясорубские с рубленой грудинкой» 0,7 Классическая форма ТМ «Стародворье»</t>
        </is>
      </c>
      <c r="N211" s="166" t="n"/>
      <c r="O211" s="166" t="n"/>
      <c r="P211" s="166" t="n"/>
      <c r="Q211" s="131" t="n"/>
      <c r="R211" s="54" t="n"/>
      <c r="S211" s="54" t="n"/>
      <c r="T211" s="55" t="inlineStr">
        <is>
          <t>кор</t>
        </is>
      </c>
      <c r="U211" s="167" t="n">
        <v>0</v>
      </c>
      <c r="V211" s="168">
        <f>IFERROR(IF(U211="","",U211),"")</f>
        <v/>
      </c>
      <c r="W211" s="58">
        <f>IFERROR(IF(U211="","",U211*0.0155),"")</f>
        <v/>
      </c>
      <c r="X211" s="59" t="n"/>
      <c r="Y211" s="60" t="inlineStr">
        <is>
          <t>Новинка</t>
        </is>
      </c>
      <c r="AC211" s="61" t="n"/>
      <c r="AZ211" s="62" t="inlineStr">
        <is>
          <t>ЗПФ</t>
        </is>
      </c>
    </row>
    <row r="212">
      <c r="A212" s="112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69" t="n"/>
      <c r="M212" s="113" t="inlineStr">
        <is>
          <t>Итого</t>
        </is>
      </c>
      <c r="N212" s="137" t="n"/>
      <c r="O212" s="137" t="n"/>
      <c r="P212" s="137" t="n"/>
      <c r="Q212" s="137" t="n"/>
      <c r="R212" s="137" t="n"/>
      <c r="S212" s="138" t="n"/>
      <c r="T212" s="63" t="inlineStr">
        <is>
          <t>кор</t>
        </is>
      </c>
      <c r="U212" s="170">
        <f>IFERROR(SUM(U211:U211),"0")</f>
        <v/>
      </c>
      <c r="V212" s="170">
        <f>IFERROR(SUM(V211:V211),"0")</f>
        <v/>
      </c>
      <c r="W212" s="170">
        <f>IFERROR(IF(W211="",0,W211),"0")</f>
        <v/>
      </c>
      <c r="X212" s="171" t="n"/>
      <c r="Y212" s="17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69" t="n"/>
      <c r="M213" s="113" t="inlineStr">
        <is>
          <t>Итого</t>
        </is>
      </c>
      <c r="N213" s="137" t="n"/>
      <c r="O213" s="137" t="n"/>
      <c r="P213" s="137" t="n"/>
      <c r="Q213" s="137" t="n"/>
      <c r="R213" s="137" t="n"/>
      <c r="S213" s="138" t="n"/>
      <c r="T213" s="63" t="inlineStr">
        <is>
          <t>кг</t>
        </is>
      </c>
      <c r="U213" s="170">
        <f>IFERROR(SUMPRODUCT(U211:U211*H211:H211),"0")</f>
        <v/>
      </c>
      <c r="V213" s="170">
        <f>IFERROR(SUMPRODUCT(V211:V211*H211:H211),"0")</f>
        <v/>
      </c>
      <c r="W213" s="63" t="n"/>
      <c r="X213" s="171" t="n"/>
      <c r="Y213" s="171" t="n"/>
    </row>
    <row r="214" ht="16.5" customHeight="1">
      <c r="A214" s="108" t="inlineStr">
        <is>
          <t>Медвежье ушко</t>
        </is>
      </c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08" t="n"/>
      <c r="Y214" s="108" t="n"/>
    </row>
    <row r="215" ht="14.25" customHeight="1">
      <c r="A215" s="109" t="inlineStr">
        <is>
          <t>Пельмени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09" t="n"/>
      <c r="Y215" s="109" t="n"/>
    </row>
    <row r="216" ht="27" customHeight="1">
      <c r="A216" s="49" t="inlineStr">
        <is>
          <t>SU002067</t>
        </is>
      </c>
      <c r="B216" s="49" t="inlineStr">
        <is>
          <t>P002999</t>
        </is>
      </c>
      <c r="C216" s="50" t="n">
        <v>4301070915</v>
      </c>
      <c r="D216" s="110" t="n">
        <v>4607111035882</v>
      </c>
      <c r="E216" s="131" t="n"/>
      <c r="F216" s="165" t="n">
        <v>0.43</v>
      </c>
      <c r="G216" s="52" t="n">
        <v>16</v>
      </c>
      <c r="H216" s="165" t="n">
        <v>6.88</v>
      </c>
      <c r="I216" s="165" t="n">
        <v>7.19</v>
      </c>
      <c r="J216" s="52" t="n">
        <v>84</v>
      </c>
      <c r="K216" s="53" t="inlineStr">
        <is>
          <t>МГ</t>
        </is>
      </c>
      <c r="L216" s="52" t="n">
        <v>180</v>
      </c>
      <c r="M216" s="111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N216" s="166" t="n"/>
      <c r="O216" s="166" t="n"/>
      <c r="P216" s="166" t="n"/>
      <c r="Q216" s="131" t="n"/>
      <c r="R216" s="54" t="n"/>
      <c r="S216" s="54" t="n"/>
      <c r="T216" s="55" t="inlineStr">
        <is>
          <t>кор</t>
        </is>
      </c>
      <c r="U216" s="167" t="n">
        <v>0</v>
      </c>
      <c r="V216" s="168">
        <f>IFERROR(IF(U216="","",U216),"")</f>
        <v/>
      </c>
      <c r="W216" s="58">
        <f>IFERROR(IF(U216="","",U216*0.0155),"")</f>
        <v/>
      </c>
      <c r="X216" s="59" t="n"/>
      <c r="Y216" s="60" t="n"/>
      <c r="AC216" s="61" t="n"/>
      <c r="AZ216" s="62" t="inlineStr">
        <is>
          <t>ЗПФ</t>
        </is>
      </c>
    </row>
    <row r="217" ht="27" customHeight="1">
      <c r="A217" s="49" t="inlineStr">
        <is>
          <t>SU002068</t>
        </is>
      </c>
      <c r="B217" s="49" t="inlineStr">
        <is>
          <t>P003005</t>
        </is>
      </c>
      <c r="C217" s="50" t="n">
        <v>4301070921</v>
      </c>
      <c r="D217" s="110" t="n">
        <v>4607111035905</v>
      </c>
      <c r="E217" s="131" t="n"/>
      <c r="F217" s="165" t="n">
        <v>0.9</v>
      </c>
      <c r="G217" s="52" t="n">
        <v>8</v>
      </c>
      <c r="H217" s="165" t="n">
        <v>7.2</v>
      </c>
      <c r="I217" s="165" t="n">
        <v>7.47</v>
      </c>
      <c r="J217" s="52" t="n">
        <v>84</v>
      </c>
      <c r="K217" s="53" t="inlineStr">
        <is>
          <t>МГ</t>
        </is>
      </c>
      <c r="L217" s="52" t="n">
        <v>180</v>
      </c>
      <c r="M217" s="111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N217" s="166" t="n"/>
      <c r="O217" s="166" t="n"/>
      <c r="P217" s="166" t="n"/>
      <c r="Q217" s="131" t="n"/>
      <c r="R217" s="54" t="n"/>
      <c r="S217" s="54" t="n"/>
      <c r="T217" s="55" t="inlineStr">
        <is>
          <t>кор</t>
        </is>
      </c>
      <c r="U217" s="167" t="n">
        <v>0</v>
      </c>
      <c r="V217" s="168">
        <f>IFERROR(IF(U217="","",U217),"")</f>
        <v/>
      </c>
      <c r="W217" s="58">
        <f>IFERROR(IF(U217="","",U217*0.0155),"")</f>
        <v/>
      </c>
      <c r="X217" s="59" t="n"/>
      <c r="Y217" s="60" t="n"/>
      <c r="AC217" s="61" t="n"/>
      <c r="AZ217" s="62" t="inlineStr">
        <is>
          <t>ЗПФ</t>
        </is>
      </c>
    </row>
    <row r="218" ht="27" customHeight="1">
      <c r="A218" s="49" t="inlineStr">
        <is>
          <t>SU002069</t>
        </is>
      </c>
      <c r="B218" s="49" t="inlineStr">
        <is>
          <t>P003001</t>
        </is>
      </c>
      <c r="C218" s="50" t="n">
        <v>4301070917</v>
      </c>
      <c r="D218" s="110" t="n">
        <v>4607111035912</v>
      </c>
      <c r="E218" s="131" t="n"/>
      <c r="F218" s="165" t="n">
        <v>0.43</v>
      </c>
      <c r="G218" s="52" t="n">
        <v>16</v>
      </c>
      <c r="H218" s="165" t="n">
        <v>6.88</v>
      </c>
      <c r="I218" s="165" t="n">
        <v>7.19</v>
      </c>
      <c r="J218" s="52" t="n">
        <v>84</v>
      </c>
      <c r="K218" s="53" t="inlineStr">
        <is>
          <t>МГ</t>
        </is>
      </c>
      <c r="L218" s="52" t="n">
        <v>180</v>
      </c>
      <c r="M218" s="111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N218" s="166" t="n"/>
      <c r="O218" s="166" t="n"/>
      <c r="P218" s="166" t="n"/>
      <c r="Q218" s="131" t="n"/>
      <c r="R218" s="54" t="n"/>
      <c r="S218" s="54" t="n"/>
      <c r="T218" s="55" t="inlineStr">
        <is>
          <t>кор</t>
        </is>
      </c>
      <c r="U218" s="167" t="n">
        <v>0</v>
      </c>
      <c r="V218" s="168">
        <f>IFERROR(IF(U218="","",U218),"")</f>
        <v/>
      </c>
      <c r="W218" s="58">
        <f>IFERROR(IF(U218="","",U218*0.0155),"")</f>
        <v/>
      </c>
      <c r="X218" s="59" t="n"/>
      <c r="Y218" s="60" t="n"/>
      <c r="AC218" s="61" t="n"/>
      <c r="AZ218" s="62" t="inlineStr">
        <is>
          <t>ЗПФ</t>
        </is>
      </c>
    </row>
    <row r="219" ht="27" customHeight="1">
      <c r="A219" s="49" t="inlineStr">
        <is>
          <t>SU002066</t>
        </is>
      </c>
      <c r="B219" s="49" t="inlineStr">
        <is>
          <t>P003004</t>
        </is>
      </c>
      <c r="C219" s="50" t="n">
        <v>4301070920</v>
      </c>
      <c r="D219" s="110" t="n">
        <v>4607111035929</v>
      </c>
      <c r="E219" s="131" t="n"/>
      <c r="F219" s="165" t="n">
        <v>0.9</v>
      </c>
      <c r="G219" s="52" t="n">
        <v>8</v>
      </c>
      <c r="H219" s="165" t="n">
        <v>7.2</v>
      </c>
      <c r="I219" s="165" t="n">
        <v>7.47</v>
      </c>
      <c r="J219" s="52" t="n">
        <v>84</v>
      </c>
      <c r="K219" s="53" t="inlineStr">
        <is>
          <t>МГ</t>
        </is>
      </c>
      <c r="L219" s="52" t="n">
        <v>180</v>
      </c>
      <c r="M219" s="111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N219" s="166" t="n"/>
      <c r="O219" s="166" t="n"/>
      <c r="P219" s="166" t="n"/>
      <c r="Q219" s="131" t="n"/>
      <c r="R219" s="54" t="n"/>
      <c r="S219" s="54" t="n"/>
      <c r="T219" s="55" t="inlineStr">
        <is>
          <t>кор</t>
        </is>
      </c>
      <c r="U219" s="167" t="n">
        <v>30</v>
      </c>
      <c r="V219" s="168">
        <f>IFERROR(IF(U219="","",U219),"")</f>
        <v/>
      </c>
      <c r="W219" s="58">
        <f>IFERROR(IF(U219="","",U219*0.0155),"")</f>
        <v/>
      </c>
      <c r="X219" s="59" t="n"/>
      <c r="Y219" s="60" t="n"/>
      <c r="AC219" s="61" t="n"/>
      <c r="AZ219" s="62" t="inlineStr">
        <is>
          <t>ЗПФ</t>
        </is>
      </c>
    </row>
    <row r="220">
      <c r="A220" s="112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69" t="n"/>
      <c r="M220" s="113" t="inlineStr">
        <is>
          <t>Итого</t>
        </is>
      </c>
      <c r="N220" s="137" t="n"/>
      <c r="O220" s="137" t="n"/>
      <c r="P220" s="137" t="n"/>
      <c r="Q220" s="137" t="n"/>
      <c r="R220" s="137" t="n"/>
      <c r="S220" s="138" t="n"/>
      <c r="T220" s="63" t="inlineStr">
        <is>
          <t>кор</t>
        </is>
      </c>
      <c r="U220" s="170">
        <f>IFERROR(SUM(U216:U219),"0")</f>
        <v/>
      </c>
      <c r="V220" s="170">
        <f>IFERROR(SUM(V216:V219),"0")</f>
        <v/>
      </c>
      <c r="W220" s="170">
        <f>IFERROR(IF(W216="",0,W216),"0")+IFERROR(IF(W217="",0,W217),"0")+IFERROR(IF(W218="",0,W218),"0")+IFERROR(IF(W219="",0,W219),"0")</f>
        <v/>
      </c>
      <c r="X220" s="171" t="n"/>
      <c r="Y220" s="17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69" t="n"/>
      <c r="M221" s="113" t="inlineStr">
        <is>
          <t>Итого</t>
        </is>
      </c>
      <c r="N221" s="137" t="n"/>
      <c r="O221" s="137" t="n"/>
      <c r="P221" s="137" t="n"/>
      <c r="Q221" s="137" t="n"/>
      <c r="R221" s="137" t="n"/>
      <c r="S221" s="138" t="n"/>
      <c r="T221" s="63" t="inlineStr">
        <is>
          <t>кг</t>
        </is>
      </c>
      <c r="U221" s="170">
        <f>IFERROR(SUMPRODUCT(U216:U219*H216:H219),"0")</f>
        <v/>
      </c>
      <c r="V221" s="170">
        <f>IFERROR(SUMPRODUCT(V216:V219*H216:H219),"0")</f>
        <v/>
      </c>
      <c r="W221" s="63" t="n"/>
      <c r="X221" s="171" t="n"/>
      <c r="Y221" s="171" t="n"/>
    </row>
    <row r="222" ht="16.5" customHeight="1">
      <c r="A222" s="108" t="inlineStr">
        <is>
          <t>Бордо</t>
        </is>
      </c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08" t="n"/>
      <c r="Y222" s="108" t="n"/>
    </row>
    <row r="223" ht="14.25" customHeight="1">
      <c r="A223" s="109" t="inlineStr">
        <is>
          <t>Сосиски замороженные</t>
        </is>
      </c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09" t="n"/>
      <c r="Y223" s="109" t="n"/>
    </row>
    <row r="224" ht="27" customHeight="1">
      <c r="A224" s="49" t="inlineStr">
        <is>
          <t>SU002678</t>
        </is>
      </c>
      <c r="B224" s="49" t="inlineStr">
        <is>
          <t>P003054</t>
        </is>
      </c>
      <c r="C224" s="50" t="n">
        <v>4301051320</v>
      </c>
      <c r="D224" s="110" t="n">
        <v>4680115881334</v>
      </c>
      <c r="E224" s="131" t="n"/>
      <c r="F224" s="165" t="n">
        <v>0.33</v>
      </c>
      <c r="G224" s="52" t="n">
        <v>6</v>
      </c>
      <c r="H224" s="165" t="n">
        <v>1.98</v>
      </c>
      <c r="I224" s="165" t="n">
        <v>2.27</v>
      </c>
      <c r="J224" s="52" t="n">
        <v>156</v>
      </c>
      <c r="K224" s="53" t="inlineStr">
        <is>
          <t>СК2</t>
        </is>
      </c>
      <c r="L224" s="52" t="n">
        <v>365</v>
      </c>
      <c r="M224" s="118" t="inlineStr">
        <is>
          <t>Сосиски «Оригинальные» замороженные Фикс.вес 0,33 п/а ТМ «Стародворье»</t>
        </is>
      </c>
      <c r="N224" s="166" t="n"/>
      <c r="O224" s="166" t="n"/>
      <c r="P224" s="166" t="n"/>
      <c r="Q224" s="131" t="n"/>
      <c r="R224" s="54" t="n"/>
      <c r="S224" s="54" t="n"/>
      <c r="T224" s="55" t="inlineStr">
        <is>
          <t>кор</t>
        </is>
      </c>
      <c r="U224" s="167" t="n">
        <v>0</v>
      </c>
      <c r="V224" s="168">
        <f>IFERROR(IF(U224="","",U224),"")</f>
        <v/>
      </c>
      <c r="W224" s="58">
        <f>IFERROR(IF(U224="","",U224*0.00753),"")</f>
        <v/>
      </c>
      <c r="X224" s="59" t="n"/>
      <c r="Y224" s="60" t="n"/>
      <c r="AC224" s="61" t="n"/>
      <c r="AZ224" s="62" t="inlineStr">
        <is>
          <t>КИЗ</t>
        </is>
      </c>
    </row>
    <row r="225">
      <c r="A225" s="112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69" t="n"/>
      <c r="M225" s="113" t="inlineStr">
        <is>
          <t>Итого</t>
        </is>
      </c>
      <c r="N225" s="137" t="n"/>
      <c r="O225" s="137" t="n"/>
      <c r="P225" s="137" t="n"/>
      <c r="Q225" s="137" t="n"/>
      <c r="R225" s="137" t="n"/>
      <c r="S225" s="138" t="n"/>
      <c r="T225" s="63" t="inlineStr">
        <is>
          <t>кор</t>
        </is>
      </c>
      <c r="U225" s="170">
        <f>IFERROR(SUM(U224:U224),"0")</f>
        <v/>
      </c>
      <c r="V225" s="170">
        <f>IFERROR(SUM(V224:V224),"0")</f>
        <v/>
      </c>
      <c r="W225" s="170">
        <f>IFERROR(IF(W224="",0,W224),"0")</f>
        <v/>
      </c>
      <c r="X225" s="171" t="n"/>
      <c r="Y225" s="17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69" t="n"/>
      <c r="M226" s="113" t="inlineStr">
        <is>
          <t>Итого</t>
        </is>
      </c>
      <c r="N226" s="137" t="n"/>
      <c r="O226" s="137" t="n"/>
      <c r="P226" s="137" t="n"/>
      <c r="Q226" s="137" t="n"/>
      <c r="R226" s="137" t="n"/>
      <c r="S226" s="138" t="n"/>
      <c r="T226" s="63" t="inlineStr">
        <is>
          <t>кг</t>
        </is>
      </c>
      <c r="U226" s="170">
        <f>IFERROR(SUMPRODUCT(U224:U224*H224:H224),"0")</f>
        <v/>
      </c>
      <c r="V226" s="170">
        <f>IFERROR(SUMPRODUCT(V224:V224*H224:H224),"0")</f>
        <v/>
      </c>
      <c r="W226" s="63" t="n"/>
      <c r="X226" s="171" t="n"/>
      <c r="Y226" s="171" t="n"/>
    </row>
    <row r="227" ht="16.5" customHeight="1">
      <c r="A227" s="108" t="inlineStr">
        <is>
          <t>Сочные</t>
        </is>
      </c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08" t="n"/>
      <c r="Y227" s="108" t="n"/>
    </row>
    <row r="228" ht="14.25" customHeight="1">
      <c r="A228" s="109" t="inlineStr">
        <is>
          <t>Пельмени</t>
        </is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09" t="n"/>
      <c r="Y228" s="109" t="n"/>
    </row>
    <row r="229" ht="16.5" customHeight="1">
      <c r="A229" s="49" t="inlineStr">
        <is>
          <t>SU001859</t>
        </is>
      </c>
      <c r="B229" s="49" t="inlineStr">
        <is>
          <t>P002720</t>
        </is>
      </c>
      <c r="C229" s="50" t="n">
        <v>4301070874</v>
      </c>
      <c r="D229" s="110" t="n">
        <v>4607111035332</v>
      </c>
      <c r="E229" s="131" t="n"/>
      <c r="F229" s="165" t="n">
        <v>0.43</v>
      </c>
      <c r="G229" s="52" t="n">
        <v>16</v>
      </c>
      <c r="H229" s="165" t="n">
        <v>6.88</v>
      </c>
      <c r="I229" s="165" t="n">
        <v>7.206</v>
      </c>
      <c r="J229" s="52" t="n">
        <v>84</v>
      </c>
      <c r="K229" s="53" t="inlineStr">
        <is>
          <t>МГ</t>
        </is>
      </c>
      <c r="L229" s="52" t="n">
        <v>180</v>
      </c>
      <c r="M229" s="111">
        <f>HYPERLINK("https://abi.ru/products/Замороженные/Стародворье/Сочные/Пельмени/P002720/","Пельмени Сочные Сочные 0,43 Сфера Стародворье")</f>
        <v/>
      </c>
      <c r="N229" s="166" t="n"/>
      <c r="O229" s="166" t="n"/>
      <c r="P229" s="166" t="n"/>
      <c r="Q229" s="131" t="n"/>
      <c r="R229" s="54" t="n"/>
      <c r="S229" s="54" t="n"/>
      <c r="T229" s="55" t="inlineStr">
        <is>
          <t>кор</t>
        </is>
      </c>
      <c r="U229" s="167" t="n">
        <v>0</v>
      </c>
      <c r="V229" s="168">
        <f>IFERROR(IF(U229="","",U229),"")</f>
        <v/>
      </c>
      <c r="W229" s="58">
        <f>IFERROR(IF(U229="","",U229*0.0155),"")</f>
        <v/>
      </c>
      <c r="X229" s="59" t="n"/>
      <c r="Y229" s="60" t="n"/>
      <c r="AC229" s="61" t="n"/>
      <c r="AZ229" s="62" t="inlineStr">
        <is>
          <t>ЗПФ</t>
        </is>
      </c>
    </row>
    <row r="230" ht="16.5" customHeight="1">
      <c r="A230" s="49" t="inlineStr">
        <is>
          <t>SU001776</t>
        </is>
      </c>
      <c r="B230" s="49" t="inlineStr">
        <is>
          <t>P002719</t>
        </is>
      </c>
      <c r="C230" s="50" t="n">
        <v>4301070873</v>
      </c>
      <c r="D230" s="110" t="n">
        <v>4607111035080</v>
      </c>
      <c r="E230" s="131" t="n"/>
      <c r="F230" s="165" t="n">
        <v>0.9</v>
      </c>
      <c r="G230" s="52" t="n">
        <v>8</v>
      </c>
      <c r="H230" s="165" t="n">
        <v>7.2</v>
      </c>
      <c r="I230" s="165" t="n">
        <v>7.47</v>
      </c>
      <c r="J230" s="52" t="n">
        <v>84</v>
      </c>
      <c r="K230" s="53" t="inlineStr">
        <is>
          <t>МГ</t>
        </is>
      </c>
      <c r="L230" s="52" t="n">
        <v>180</v>
      </c>
      <c r="M230" s="111">
        <f>HYPERLINK("https://abi.ru/products/Замороженные/Стародворье/Сочные/Пельмени/P002719/","Пельмени Сочные Сочные 0,9 Сфера Стародворье")</f>
        <v/>
      </c>
      <c r="N230" s="166" t="n"/>
      <c r="O230" s="166" t="n"/>
      <c r="P230" s="166" t="n"/>
      <c r="Q230" s="131" t="n"/>
      <c r="R230" s="54" t="n"/>
      <c r="S230" s="54" t="n"/>
      <c r="T230" s="55" t="inlineStr">
        <is>
          <t>кор</t>
        </is>
      </c>
      <c r="U230" s="167" t="n">
        <v>40</v>
      </c>
      <c r="V230" s="168">
        <f>IFERROR(IF(U230="","",U230),"")</f>
        <v/>
      </c>
      <c r="W230" s="58">
        <f>IFERROR(IF(U230="","",U230*0.0155),"")</f>
        <v/>
      </c>
      <c r="X230" s="59" t="n"/>
      <c r="Y230" s="60" t="n"/>
      <c r="AC230" s="61" t="n"/>
      <c r="AZ230" s="62" t="inlineStr">
        <is>
          <t>ЗПФ</t>
        </is>
      </c>
    </row>
    <row r="231">
      <c r="A231" s="112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69" t="n"/>
      <c r="M231" s="113" t="inlineStr">
        <is>
          <t>Итого</t>
        </is>
      </c>
      <c r="N231" s="137" t="n"/>
      <c r="O231" s="137" t="n"/>
      <c r="P231" s="137" t="n"/>
      <c r="Q231" s="137" t="n"/>
      <c r="R231" s="137" t="n"/>
      <c r="S231" s="138" t="n"/>
      <c r="T231" s="63" t="inlineStr">
        <is>
          <t>кор</t>
        </is>
      </c>
      <c r="U231" s="170">
        <f>IFERROR(SUM(U229:U230),"0")</f>
        <v/>
      </c>
      <c r="V231" s="170">
        <f>IFERROR(SUM(V229:V230),"0")</f>
        <v/>
      </c>
      <c r="W231" s="170">
        <f>IFERROR(IF(W229="",0,W229),"0")+IFERROR(IF(W230="",0,W230),"0")</f>
        <v/>
      </c>
      <c r="X231" s="171" t="n"/>
      <c r="Y231" s="17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69" t="n"/>
      <c r="M232" s="113" t="inlineStr">
        <is>
          <t>Итого</t>
        </is>
      </c>
      <c r="N232" s="137" t="n"/>
      <c r="O232" s="137" t="n"/>
      <c r="P232" s="137" t="n"/>
      <c r="Q232" s="137" t="n"/>
      <c r="R232" s="137" t="n"/>
      <c r="S232" s="138" t="n"/>
      <c r="T232" s="63" t="inlineStr">
        <is>
          <t>кг</t>
        </is>
      </c>
      <c r="U232" s="170">
        <f>IFERROR(SUMPRODUCT(U229:U230*H229:H230),"0")</f>
        <v/>
      </c>
      <c r="V232" s="170">
        <f>IFERROR(SUMPRODUCT(V229:V230*H229:H230),"0")</f>
        <v/>
      </c>
      <c r="W232" s="63" t="n"/>
      <c r="X232" s="171" t="n"/>
      <c r="Y232" s="171" t="n"/>
    </row>
    <row r="233" ht="27.75" customHeight="1">
      <c r="A233" s="107" t="inlineStr">
        <is>
          <t>Колбасный стандарт</t>
        </is>
      </c>
      <c r="B233" s="164" t="n"/>
      <c r="C233" s="164" t="n"/>
      <c r="D233" s="164" t="n"/>
      <c r="E233" s="164" t="n"/>
      <c r="F233" s="164" t="n"/>
      <c r="G233" s="164" t="n"/>
      <c r="H233" s="164" t="n"/>
      <c r="I233" s="164" t="n"/>
      <c r="J233" s="164" t="n"/>
      <c r="K233" s="164" t="n"/>
      <c r="L233" s="164" t="n"/>
      <c r="M233" s="164" t="n"/>
      <c r="N233" s="164" t="n"/>
      <c r="O233" s="164" t="n"/>
      <c r="P233" s="164" t="n"/>
      <c r="Q233" s="164" t="n"/>
      <c r="R233" s="164" t="n"/>
      <c r="S233" s="164" t="n"/>
      <c r="T233" s="164" t="n"/>
      <c r="U233" s="164" t="n"/>
      <c r="V233" s="164" t="n"/>
      <c r="W233" s="164" t="n"/>
      <c r="X233" s="46" t="n"/>
      <c r="Y233" s="46" t="n"/>
    </row>
    <row r="234" ht="16.5" customHeight="1">
      <c r="A234" s="108" t="inlineStr">
        <is>
          <t>Владимирский Стандарт ЗПФ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08" t="n"/>
      <c r="Y234" s="108" t="n"/>
    </row>
    <row r="235" ht="14.25" customHeight="1">
      <c r="A235" s="109" t="inlineStr">
        <is>
          <t>Пельмени</t>
        </is>
      </c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09" t="n"/>
      <c r="Y235" s="109" t="n"/>
    </row>
    <row r="236" ht="27" customHeight="1">
      <c r="A236" s="49" t="inlineStr">
        <is>
          <t>SU002267</t>
        </is>
      </c>
      <c r="B236" s="49" t="inlineStr">
        <is>
          <t>P003223</t>
        </is>
      </c>
      <c r="C236" s="50" t="n">
        <v>4301070941</v>
      </c>
      <c r="D236" s="110" t="n">
        <v>4607111036162</v>
      </c>
      <c r="E236" s="131" t="n"/>
      <c r="F236" s="165" t="n">
        <v>0.8</v>
      </c>
      <c r="G236" s="52" t="n">
        <v>8</v>
      </c>
      <c r="H236" s="165" t="n">
        <v>6.4</v>
      </c>
      <c r="I236" s="165" t="n">
        <v>6.6812</v>
      </c>
      <c r="J236" s="52" t="n">
        <v>84</v>
      </c>
      <c r="K236" s="53" t="inlineStr">
        <is>
          <t>МГ</t>
        </is>
      </c>
      <c r="L236" s="52" t="n">
        <v>90</v>
      </c>
      <c r="M236" s="111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N236" s="166" t="n"/>
      <c r="O236" s="166" t="n"/>
      <c r="P236" s="166" t="n"/>
      <c r="Q236" s="131" t="n"/>
      <c r="R236" s="54" t="n"/>
      <c r="S236" s="54" t="n"/>
      <c r="T236" s="55" t="inlineStr">
        <is>
          <t>кор</t>
        </is>
      </c>
      <c r="U236" s="167" t="n">
        <v>0</v>
      </c>
      <c r="V236" s="168">
        <f>IFERROR(IF(U236="","",U236),"")</f>
        <v/>
      </c>
      <c r="W236" s="58">
        <f>IFERROR(IF(U236="","",U236*0.0155),"")</f>
        <v/>
      </c>
      <c r="X236" s="59" t="n"/>
      <c r="Y236" s="60" t="n"/>
      <c r="AC236" s="61" t="n"/>
      <c r="AZ236" s="62" t="inlineStr">
        <is>
          <t>ЗПФ</t>
        </is>
      </c>
    </row>
    <row r="237">
      <c r="A237" s="112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69" t="n"/>
      <c r="M237" s="113" t="inlineStr">
        <is>
          <t>Итого</t>
        </is>
      </c>
      <c r="N237" s="137" t="n"/>
      <c r="O237" s="137" t="n"/>
      <c r="P237" s="137" t="n"/>
      <c r="Q237" s="137" t="n"/>
      <c r="R237" s="137" t="n"/>
      <c r="S237" s="138" t="n"/>
      <c r="T237" s="63" t="inlineStr">
        <is>
          <t>кор</t>
        </is>
      </c>
      <c r="U237" s="170">
        <f>IFERROR(SUM(U236:U236),"0")</f>
        <v/>
      </c>
      <c r="V237" s="170">
        <f>IFERROR(SUM(V236:V236),"0")</f>
        <v/>
      </c>
      <c r="W237" s="170">
        <f>IFERROR(IF(W236="",0,W236),"0")</f>
        <v/>
      </c>
      <c r="X237" s="171" t="n"/>
      <c r="Y237" s="17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69" t="n"/>
      <c r="M238" s="113" t="inlineStr">
        <is>
          <t>Итого</t>
        </is>
      </c>
      <c r="N238" s="137" t="n"/>
      <c r="O238" s="137" t="n"/>
      <c r="P238" s="137" t="n"/>
      <c r="Q238" s="137" t="n"/>
      <c r="R238" s="137" t="n"/>
      <c r="S238" s="138" t="n"/>
      <c r="T238" s="63" t="inlineStr">
        <is>
          <t>кг</t>
        </is>
      </c>
      <c r="U238" s="170">
        <f>IFERROR(SUMPRODUCT(U236:U236*H236:H236),"0")</f>
        <v/>
      </c>
      <c r="V238" s="170">
        <f>IFERROR(SUMPRODUCT(V236:V236*H236:H236),"0")</f>
        <v/>
      </c>
      <c r="W238" s="63" t="n"/>
      <c r="X238" s="171" t="n"/>
      <c r="Y238" s="171" t="n"/>
    </row>
    <row r="239" ht="27.75" customHeight="1">
      <c r="A239" s="107" t="inlineStr">
        <is>
          <t>Особый рецепт</t>
        </is>
      </c>
      <c r="B239" s="164" t="n"/>
      <c r="C239" s="164" t="n"/>
      <c r="D239" s="164" t="n"/>
      <c r="E239" s="164" t="n"/>
      <c r="F239" s="164" t="n"/>
      <c r="G239" s="164" t="n"/>
      <c r="H239" s="164" t="n"/>
      <c r="I239" s="164" t="n"/>
      <c r="J239" s="164" t="n"/>
      <c r="K239" s="164" t="n"/>
      <c r="L239" s="164" t="n"/>
      <c r="M239" s="164" t="n"/>
      <c r="N239" s="164" t="n"/>
      <c r="O239" s="164" t="n"/>
      <c r="P239" s="164" t="n"/>
      <c r="Q239" s="164" t="n"/>
      <c r="R239" s="164" t="n"/>
      <c r="S239" s="164" t="n"/>
      <c r="T239" s="164" t="n"/>
      <c r="U239" s="164" t="n"/>
      <c r="V239" s="164" t="n"/>
      <c r="W239" s="164" t="n"/>
      <c r="X239" s="46" t="n"/>
      <c r="Y239" s="46" t="n"/>
    </row>
    <row r="240" ht="16.5" customHeight="1">
      <c r="A240" s="108" t="inlineStr">
        <is>
          <t>Любимая ложка</t>
        </is>
      </c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08" t="n"/>
      <c r="Y240" s="108" t="n"/>
    </row>
    <row r="241" ht="14.25" customHeight="1">
      <c r="A241" s="109" t="inlineStr">
        <is>
          <t>Пельмени</t>
        </is>
      </c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09" t="n"/>
      <c r="Y241" s="109" t="n"/>
    </row>
    <row r="242" ht="27" customHeight="1">
      <c r="A242" s="49" t="inlineStr">
        <is>
          <t>SU002268</t>
        </is>
      </c>
      <c r="B242" s="49" t="inlineStr">
        <is>
          <t>P002746</t>
        </is>
      </c>
      <c r="C242" s="50" t="n">
        <v>4301070882</v>
      </c>
      <c r="D242" s="110" t="n">
        <v>4607111035899</v>
      </c>
      <c r="E242" s="131" t="n"/>
      <c r="F242" s="165" t="n">
        <v>1</v>
      </c>
      <c r="G242" s="52" t="n">
        <v>5</v>
      </c>
      <c r="H242" s="165" t="n">
        <v>5</v>
      </c>
      <c r="I242" s="165" t="n">
        <v>5.262</v>
      </c>
      <c r="J242" s="52" t="n">
        <v>84</v>
      </c>
      <c r="K242" s="53" t="inlineStr">
        <is>
          <t>МГ</t>
        </is>
      </c>
      <c r="L242" s="52" t="n">
        <v>120</v>
      </c>
      <c r="M242" s="111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/>
      </c>
      <c r="N242" s="166" t="n"/>
      <c r="O242" s="166" t="n"/>
      <c r="P242" s="166" t="n"/>
      <c r="Q242" s="131" t="n"/>
      <c r="R242" s="54" t="n"/>
      <c r="S242" s="54" t="n"/>
      <c r="T242" s="55" t="inlineStr">
        <is>
          <t>кор</t>
        </is>
      </c>
      <c r="U242" s="167" t="n">
        <v>70</v>
      </c>
      <c r="V242" s="168">
        <f>IFERROR(IF(U242="","",U242),"")</f>
        <v/>
      </c>
      <c r="W242" s="58">
        <f>IFERROR(IF(U242="","",U242*0.0155),"")</f>
        <v/>
      </c>
      <c r="X242" s="59" t="n"/>
      <c r="Y242" s="60" t="n"/>
      <c r="AC242" s="61" t="n"/>
      <c r="AZ242" s="62" t="inlineStr">
        <is>
          <t>ЗПФ</t>
        </is>
      </c>
    </row>
    <row r="243">
      <c r="A243" s="112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69" t="n"/>
      <c r="M243" s="113" t="inlineStr">
        <is>
          <t>Итого</t>
        </is>
      </c>
      <c r="N243" s="137" t="n"/>
      <c r="O243" s="137" t="n"/>
      <c r="P243" s="137" t="n"/>
      <c r="Q243" s="137" t="n"/>
      <c r="R243" s="137" t="n"/>
      <c r="S243" s="138" t="n"/>
      <c r="T243" s="63" t="inlineStr">
        <is>
          <t>кор</t>
        </is>
      </c>
      <c r="U243" s="170">
        <f>IFERROR(SUM(U242:U242),"0")</f>
        <v/>
      </c>
      <c r="V243" s="170">
        <f>IFERROR(SUM(V242:V242),"0")</f>
        <v/>
      </c>
      <c r="W243" s="170">
        <f>IFERROR(IF(W242="",0,W242),"0")</f>
        <v/>
      </c>
      <c r="X243" s="171" t="n"/>
      <c r="Y243" s="17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69" t="n"/>
      <c r="M244" s="113" t="inlineStr">
        <is>
          <t>Итого</t>
        </is>
      </c>
      <c r="N244" s="137" t="n"/>
      <c r="O244" s="137" t="n"/>
      <c r="P244" s="137" t="n"/>
      <c r="Q244" s="137" t="n"/>
      <c r="R244" s="137" t="n"/>
      <c r="S244" s="138" t="n"/>
      <c r="T244" s="63" t="inlineStr">
        <is>
          <t>кг</t>
        </is>
      </c>
      <c r="U244" s="170">
        <f>IFERROR(SUMPRODUCT(U242:U242*H242:H242),"0")</f>
        <v/>
      </c>
      <c r="V244" s="170">
        <f>IFERROR(SUMPRODUCT(V242:V242*H242:H242),"0")</f>
        <v/>
      </c>
      <c r="W244" s="63" t="n"/>
      <c r="X244" s="171" t="n"/>
      <c r="Y244" s="171" t="n"/>
    </row>
    <row r="245" ht="16.5" customHeight="1">
      <c r="A245" s="108" t="inlineStr">
        <is>
          <t>Особая Без свинины</t>
        </is>
      </c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08" t="n"/>
      <c r="Y245" s="108" t="n"/>
    </row>
    <row r="246" ht="14.25" customHeight="1">
      <c r="A246" s="109" t="inlineStr">
        <is>
          <t>Пельмени</t>
        </is>
      </c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09" t="n"/>
      <c r="Y246" s="109" t="n"/>
    </row>
    <row r="247" ht="27" customHeight="1">
      <c r="A247" s="49" t="inlineStr">
        <is>
          <t>SU002408</t>
        </is>
      </c>
      <c r="B247" s="49" t="inlineStr">
        <is>
          <t>P002686</t>
        </is>
      </c>
      <c r="C247" s="50" t="n">
        <v>4301070870</v>
      </c>
      <c r="D247" s="110" t="n">
        <v>4607111036711</v>
      </c>
      <c r="E247" s="131" t="n"/>
      <c r="F247" s="165" t="n">
        <v>0.8</v>
      </c>
      <c r="G247" s="52" t="n">
        <v>8</v>
      </c>
      <c r="H247" s="165" t="n">
        <v>6.4</v>
      </c>
      <c r="I247" s="165" t="n">
        <v>6.67</v>
      </c>
      <c r="J247" s="52" t="n">
        <v>84</v>
      </c>
      <c r="K247" s="53" t="inlineStr">
        <is>
          <t>МГ</t>
        </is>
      </c>
      <c r="L247" s="52" t="n">
        <v>90</v>
      </c>
      <c r="M247" s="111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N247" s="166" t="n"/>
      <c r="O247" s="166" t="n"/>
      <c r="P247" s="166" t="n"/>
      <c r="Q247" s="131" t="n"/>
      <c r="R247" s="54" t="n"/>
      <c r="S247" s="54" t="n"/>
      <c r="T247" s="55" t="inlineStr">
        <is>
          <t>кор</t>
        </is>
      </c>
      <c r="U247" s="167" t="n">
        <v>0</v>
      </c>
      <c r="V247" s="168">
        <f>IFERROR(IF(U247="","",U247),"")</f>
        <v/>
      </c>
      <c r="W247" s="58">
        <f>IFERROR(IF(U247="","",U247*0.0155),"")</f>
        <v/>
      </c>
      <c r="X247" s="59" t="n"/>
      <c r="Y247" s="60" t="n"/>
      <c r="AC247" s="61" t="n"/>
      <c r="AZ247" s="62" t="inlineStr">
        <is>
          <t>ЗПФ</t>
        </is>
      </c>
    </row>
    <row r="248">
      <c r="A248" s="112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69" t="n"/>
      <c r="M248" s="113" t="inlineStr">
        <is>
          <t>Итого</t>
        </is>
      </c>
      <c r="N248" s="137" t="n"/>
      <c r="O248" s="137" t="n"/>
      <c r="P248" s="137" t="n"/>
      <c r="Q248" s="137" t="n"/>
      <c r="R248" s="137" t="n"/>
      <c r="S248" s="138" t="n"/>
      <c r="T248" s="63" t="inlineStr">
        <is>
          <t>кор</t>
        </is>
      </c>
      <c r="U248" s="170">
        <f>IFERROR(SUM(U247:U247),"0")</f>
        <v/>
      </c>
      <c r="V248" s="170">
        <f>IFERROR(SUM(V247:V247),"0")</f>
        <v/>
      </c>
      <c r="W248" s="170">
        <f>IFERROR(IF(W247="",0,W247),"0")</f>
        <v/>
      </c>
      <c r="X248" s="171" t="n"/>
      <c r="Y248" s="17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69" t="n"/>
      <c r="M249" s="113" t="inlineStr">
        <is>
          <t>Итого</t>
        </is>
      </c>
      <c r="N249" s="137" t="n"/>
      <c r="O249" s="137" t="n"/>
      <c r="P249" s="137" t="n"/>
      <c r="Q249" s="137" t="n"/>
      <c r="R249" s="137" t="n"/>
      <c r="S249" s="138" t="n"/>
      <c r="T249" s="63" t="inlineStr">
        <is>
          <t>кг</t>
        </is>
      </c>
      <c r="U249" s="170">
        <f>IFERROR(SUMPRODUCT(U247:U247*H247:H247),"0")</f>
        <v/>
      </c>
      <c r="V249" s="170">
        <f>IFERROR(SUMPRODUCT(V247:V247*H247:H247),"0")</f>
        <v/>
      </c>
      <c r="W249" s="63" t="n"/>
      <c r="X249" s="171" t="n"/>
      <c r="Y249" s="171" t="n"/>
    </row>
    <row r="250" ht="15" customHeight="1">
      <c r="A250" s="119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29" t="n"/>
      <c r="M250" s="120" t="inlineStr">
        <is>
          <t>ИТОГО НЕТТО</t>
        </is>
      </c>
      <c r="N250" s="123" t="n"/>
      <c r="O250" s="123" t="n"/>
      <c r="P250" s="123" t="n"/>
      <c r="Q250" s="123" t="n"/>
      <c r="R250" s="123" t="n"/>
      <c r="S250" s="124" t="n"/>
      <c r="T250" s="63" t="inlineStr">
        <is>
          <t>кг</t>
        </is>
      </c>
      <c r="U250" s="170">
        <f>IFERROR(U24+U33+U41+U47+U59+U65+U70+U76+U87+U94+U102+U108+U113+U121+U126+U132+U137+U143+U147+U154+U167+U172+U180+U185+U192+U197+U202+U208+U213+U221+U226+U232+U238+U244+U249,"0")</f>
        <v/>
      </c>
      <c r="V250" s="170">
        <f>IFERROR(V24+V33+V41+V47+V59+V65+V70+V76+V87+V94+V102+V108+V113+V121+V126+V132+V137+V143+V147+V154+V167+V172+V180+V185+V192+V197+V202+V208+V213+V221+V226+V232+V238+V244+V249,"0")</f>
        <v/>
      </c>
      <c r="W250" s="63" t="n"/>
      <c r="X250" s="171" t="n"/>
      <c r="Y250" s="17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29" t="n"/>
      <c r="M251" s="120" t="inlineStr">
        <is>
          <t>ИТОГО БРУТТО</t>
        </is>
      </c>
      <c r="N251" s="123" t="n"/>
      <c r="O251" s="123" t="n"/>
      <c r="P251" s="123" t="n"/>
      <c r="Q251" s="123" t="n"/>
      <c r="R251" s="123" t="n"/>
      <c r="S251" s="124" t="n"/>
      <c r="T251" s="63" t="inlineStr">
        <is>
          <t>кг</t>
        </is>
      </c>
      <c r="U251" s="170">
        <f>IFERROR(IFERROR(U22*I22,"0")+IFERROR(U28*I28,"0")+IFERROR(U29*I29,"0")+IFERROR(U30*I30,"0")+IFERROR(U31*I31,"0")+IFERROR(U36*I36,"0")+IFERROR(U37*I37,"0")+IFERROR(U38*I38,"0")+IFERROR(U39*I39,"0")+IFERROR(U44*I44,"0")+IFERROR(U45*I45,"0")+IFERROR(U50*I50,"0")+IFERROR(U51*I51,"0")+IFERROR(U52*I52,"0")+IFERROR(U53*I53,"0")+IFERROR(U54*I54,"0")+IFERROR(U55*I55,"0")+IFERROR(U56*I56,"0")+IFERROR(U57*I57,"0")+IFERROR(U62*I62,"0")+IFERROR(U63*I63,"0")+IFERROR(U68*I68,"0")+IFERROR(U73*I73,"0")+IFERROR(U74*I74,"0")+IFERROR(U79*I79,"0")+IFERROR(U80*I80,"0")+IFERROR(U81*I81,"0")+IFERROR(U82*I82,"0")+IFERROR(U83*I83,"0")+IFERROR(U84*I84,"0")+IFERROR(U85*I85,"0")+IFERROR(U90*I90,"0")+IFERROR(U91*I91,"0")+IFERROR(U92*I92,"0")+IFERROR(U97*I97,"0")+IFERROR(U98*I98,"0")+IFERROR(U99*I99,"0")+IFERROR(U100*I100,"0")+IFERROR(U105*I105,"0")+IFERROR(U106*I106,"0")+IFERROR(U111*I111,"0")+IFERROR(U116*I116,"0")+IFERROR(U117*I117,"0")+IFERROR(U118*I118,"0")+IFERROR(U119*I119,"0")+IFERROR(U124*I124,"0")+IFERROR(U129*I129,"0")+IFERROR(U130*I130,"0")+IFERROR(U135*I135,"0")+IFERROR(U141*I141,"0")+IFERROR(U145*I145,"0")+IFERROR(U149*I149,"0")+IFERROR(U150*I150,"0")+IFERROR(U151*I151,"0")+IFERROR(U152*I152,"0")+IFERROR(U156*I156,"0")+IFERROR(U157*I157,"0")+IFERROR(U158*I158,"0")+IFERROR(U159*I159,"0")+IFERROR(U160*I160,"0")+IFERROR(U161*I161,"0")+IFERROR(U162*I162,"0")+IFERROR(U163*I163,"0")+IFERROR(U164*I164,"0")+IFERROR(U165*I165,"0")+IFERROR(U170*I170,"0")+IFERROR(U175*I175,"0")+IFERROR(U176*I176,"0")+IFERROR(U177*I177,"0")+IFERROR(U178*I178,"0")+IFERROR(U182*I182,"0")+IFERROR(U183*I183,"0")+IFERROR(U189*I189,"0")+IFERROR(U190*I190,"0")+IFERROR(U195*I195,"0")+IFERROR(U200*I200,"0")+IFERROR(U206*I206,"0")+IFERROR(U211*I211,"0")+IFERROR(U216*I216,"0")+IFERROR(U217*I217,"0")+IFERROR(U218*I218,"0")+IFERROR(U219*I219,"0")+IFERROR(U224*I224,"0")+IFERROR(U229*I229,"0")+IFERROR(U230*I230,"0")+IFERROR(U236*I236,"0")+IFERROR(U242*I242,"0")+IFERROR(U247*I247,"0"),"0")</f>
        <v/>
      </c>
      <c r="V251" s="170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56*I56,"0")+IFERROR(V57*I57,"0")+IFERROR(V62*I62,"0")+IFERROR(V63*I63,"0")+IFERROR(V68*I68,"0")+IFERROR(V73*I73,"0")+IFERROR(V74*I74,"0")+IFERROR(V79*I79,"0")+IFERROR(V80*I80,"0")+IFERROR(V81*I81,"0")+IFERROR(V82*I82,"0")+IFERROR(V83*I83,"0")+IFERROR(V84*I84,"0")+IFERROR(V85*I85,"0")+IFERROR(V90*I90,"0")+IFERROR(V91*I91,"0")+IFERROR(V92*I92,"0")+IFERROR(V97*I97,"0")+IFERROR(V98*I98,"0")+IFERROR(V99*I99,"0")+IFERROR(V100*I100,"0")+IFERROR(V105*I105,"0")+IFERROR(V106*I106,"0")+IFERROR(V111*I111,"0")+IFERROR(V116*I116,"0")+IFERROR(V117*I117,"0")+IFERROR(V118*I118,"0")+IFERROR(V119*I119,"0")+IFERROR(V124*I124,"0")+IFERROR(V129*I129,"0")+IFERROR(V130*I130,"0")+IFERROR(V135*I135,"0")+IFERROR(V141*I141,"0")+IFERROR(V145*I145,"0")+IFERROR(V149*I149,"0")+IFERROR(V150*I150,"0")+IFERROR(V151*I151,"0")+IFERROR(V152*I152,"0")+IFERROR(V156*I156,"0")+IFERROR(V157*I157,"0")+IFERROR(V158*I158,"0")+IFERROR(V159*I159,"0")+IFERROR(V160*I160,"0")+IFERROR(V161*I161,"0")+IFERROR(V162*I162,"0")+IFERROR(V163*I163,"0")+IFERROR(V164*I164,"0")+IFERROR(V165*I165,"0")+IFERROR(V170*I170,"0")+IFERROR(V175*I175,"0")+IFERROR(V176*I176,"0")+IFERROR(V177*I177,"0")+IFERROR(V178*I178,"0")+IFERROR(V182*I182,"0")+IFERROR(V183*I183,"0")+IFERROR(V189*I189,"0")+IFERROR(V190*I190,"0")+IFERROR(V195*I195,"0")+IFERROR(V200*I200,"0")+IFERROR(V206*I206,"0")+IFERROR(V211*I211,"0")+IFERROR(V216*I216,"0")+IFERROR(V217*I217,"0")+IFERROR(V218*I218,"0")+IFERROR(V219*I219,"0")+IFERROR(V224*I224,"0")+IFERROR(V229*I229,"0")+IFERROR(V230*I230,"0")+IFERROR(V236*I236,"0")+IFERROR(V242*I242,"0")+IFERROR(V247*I247,"0"),"0")</f>
        <v/>
      </c>
      <c r="W251" s="63" t="n"/>
      <c r="X251" s="171" t="n"/>
      <c r="Y251" s="17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29" t="n"/>
      <c r="M252" s="120" t="inlineStr">
        <is>
          <t>Кол-во паллет</t>
        </is>
      </c>
      <c r="N252" s="123" t="n"/>
      <c r="O252" s="123" t="n"/>
      <c r="P252" s="123" t="n"/>
      <c r="Q252" s="123" t="n"/>
      <c r="R252" s="123" t="n"/>
      <c r="S252" s="124" t="n"/>
      <c r="T252" s="63" t="inlineStr">
        <is>
          <t>шт</t>
        </is>
      </c>
      <c r="U252" s="66">
        <f>ROUNDUP(IFERROR(U22/J22,"0")+IFERROR(U28/J28,"0")+IFERROR(U29/J29,"0")+IFERROR(U30/J30,"0")+IFERROR(U31/J31,"0")+IFERROR(U36/J36,"0")+IFERROR(U37/J37,"0")+IFERROR(U38/J38,"0")+IFERROR(U39/J39,"0")+IFERROR(U44/J44,"0")+IFERROR(U45/J45,"0")+IFERROR(U50/J50,"0")+IFERROR(U51/J51,"0")+IFERROR(U52/J52,"0")+IFERROR(U53/J53,"0")+IFERROR(U54/J54,"0")+IFERROR(U55/J55,"0")+IFERROR(U56/J56,"0")+IFERROR(U57/J57,"0")+IFERROR(U62/J62,"0")+IFERROR(U63/J63,"0")+IFERROR(U68/J68,"0")+IFERROR(U73/J73,"0")+IFERROR(U74/J74,"0")+IFERROR(U79/J79,"0")+IFERROR(U80/J80,"0")+IFERROR(U81/J81,"0")+IFERROR(U82/J82,"0")+IFERROR(U83/J83,"0")+IFERROR(U84/J84,"0")+IFERROR(U85/J85,"0")+IFERROR(U90/J90,"0")+IFERROR(U91/J91,"0")+IFERROR(U92/J92,"0")+IFERROR(U97/J97,"0")+IFERROR(U98/J98,"0")+IFERROR(U99/J99,"0")+IFERROR(U100/J100,"0")+IFERROR(U105/J105,"0")+IFERROR(U106/J106,"0")+IFERROR(U111/J111,"0")+IFERROR(U116/J116,"0")+IFERROR(U117/J117,"0")+IFERROR(U118/J118,"0")+IFERROR(U119/J119,"0")+IFERROR(U124/J124,"0")+IFERROR(U129/J129,"0")+IFERROR(U130/J130,"0")+IFERROR(U135/J135,"0")+IFERROR(U141/J141,"0")+IFERROR(U145/J145,"0")+IFERROR(U149/J149,"0")+IFERROR(U150/J150,"0")+IFERROR(U151/J151,"0")+IFERROR(U152/J152,"0")+IFERROR(U156/J156,"0")+IFERROR(U157/J157,"0")+IFERROR(U158/J158,"0")+IFERROR(U159/J159,"0")+IFERROR(U160/J160,"0")+IFERROR(U161/J161,"0")+IFERROR(U162/J162,"0")+IFERROR(U163/J163,"0")+IFERROR(U164/J164,"0")+IFERROR(U165/J165,"0")+IFERROR(U170/J170,"0")+IFERROR(U175/J175,"0")+IFERROR(U176/J176,"0")+IFERROR(U177/J177,"0")+IFERROR(U178/J178,"0")+IFERROR(U182/J182,"0")+IFERROR(U183/J183,"0")+IFERROR(U189/J189,"0")+IFERROR(U190/J190,"0")+IFERROR(U195/J195,"0")+IFERROR(U200/J200,"0")+IFERROR(U206/J206,"0")+IFERROR(U211/J211,"0")+IFERROR(U216/J216,"0")+IFERROR(U217/J217,"0")+IFERROR(U218/J218,"0")+IFERROR(U219/J219,"0")+IFERROR(U224/J224,"0")+IFERROR(U229/J229,"0")+IFERROR(U230/J230,"0")+IFERROR(U236/J236,"0")+IFERROR(U242/J242,"0")+IFERROR(U247/J247,"0"),0)</f>
        <v/>
      </c>
      <c r="V252" s="66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56/J56,"0")+IFERROR(V57/J57,"0")+IFERROR(V62/J62,"0")+IFERROR(V63/J63,"0")+IFERROR(V68/J68,"0")+IFERROR(V73/J73,"0")+IFERROR(V74/J74,"0")+IFERROR(V79/J79,"0")+IFERROR(V80/J80,"0")+IFERROR(V81/J81,"0")+IFERROR(V82/J82,"0")+IFERROR(V83/J83,"0")+IFERROR(V84/J84,"0")+IFERROR(V85/J85,"0")+IFERROR(V90/J90,"0")+IFERROR(V91/J91,"0")+IFERROR(V92/J92,"0")+IFERROR(V97/J97,"0")+IFERROR(V98/J98,"0")+IFERROR(V99/J99,"0")+IFERROR(V100/J100,"0")+IFERROR(V105/J105,"0")+IFERROR(V106/J106,"0")+IFERROR(V111/J111,"0")+IFERROR(V116/J116,"0")+IFERROR(V117/J117,"0")+IFERROR(V118/J118,"0")+IFERROR(V119/J119,"0")+IFERROR(V124/J124,"0")+IFERROR(V129/J129,"0")+IFERROR(V130/J130,"0")+IFERROR(V135/J135,"0")+IFERROR(V141/J141,"0")+IFERROR(V145/J145,"0")+IFERROR(V149/J149,"0")+IFERROR(V150/J150,"0")+IFERROR(V151/J151,"0")+IFERROR(V152/J152,"0")+IFERROR(V156/J156,"0")+IFERROR(V157/J157,"0")+IFERROR(V158/J158,"0")+IFERROR(V159/J159,"0")+IFERROR(V160/J160,"0")+IFERROR(V161/J161,"0")+IFERROR(V162/J162,"0")+IFERROR(V163/J163,"0")+IFERROR(V164/J164,"0")+IFERROR(V165/J165,"0")+IFERROR(V170/J170,"0")+IFERROR(V175/J175,"0")+IFERROR(V176/J176,"0")+IFERROR(V177/J177,"0")+IFERROR(V178/J178,"0")+IFERROR(V182/J182,"0")+IFERROR(V183/J183,"0")+IFERROR(V189/J189,"0")+IFERROR(V190/J190,"0")+IFERROR(V195/J195,"0")+IFERROR(V200/J200,"0")+IFERROR(V206/J206,"0")+IFERROR(V211/J211,"0")+IFERROR(V216/J216,"0")+IFERROR(V217/J217,"0")+IFERROR(V218/J218,"0")+IFERROR(V219/J219,"0")+IFERROR(V224/J224,"0")+IFERROR(V229/J229,"0")+IFERROR(V230/J230,"0")+IFERROR(V236/J236,"0")+IFERROR(V242/J242,"0")+IFERROR(V247/J247,"0"),0)</f>
        <v/>
      </c>
      <c r="W252" s="63" t="n"/>
      <c r="X252" s="171" t="n"/>
      <c r="Y252" s="17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29" t="n"/>
      <c r="M253" s="120" t="inlineStr">
        <is>
          <t>Вес брутто  с паллетами</t>
        </is>
      </c>
      <c r="N253" s="123" t="n"/>
      <c r="O253" s="123" t="n"/>
      <c r="P253" s="123" t="n"/>
      <c r="Q253" s="123" t="n"/>
      <c r="R253" s="123" t="n"/>
      <c r="S253" s="124" t="n"/>
      <c r="T253" s="63" t="inlineStr">
        <is>
          <t>кг</t>
        </is>
      </c>
      <c r="U253" s="170">
        <f>GrossWeightTotal+PalletQtyTotal*25</f>
        <v/>
      </c>
      <c r="V253" s="170">
        <f>GrossWeightTotalR+PalletQtyTotalR*25</f>
        <v/>
      </c>
      <c r="W253" s="63" t="n"/>
      <c r="X253" s="171" t="n"/>
      <c r="Y253" s="17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29" t="n"/>
      <c r="M254" s="120" t="inlineStr">
        <is>
          <t>Кол-во коробок</t>
        </is>
      </c>
      <c r="N254" s="123" t="n"/>
      <c r="O254" s="123" t="n"/>
      <c r="P254" s="123" t="n"/>
      <c r="Q254" s="123" t="n"/>
      <c r="R254" s="123" t="n"/>
      <c r="S254" s="124" t="n"/>
      <c r="T254" s="63" t="inlineStr">
        <is>
          <t>шт</t>
        </is>
      </c>
      <c r="U254" s="170">
        <f>IFERROR(U23+U32+U40+U46+U58+U64+U69+U75+U86+U93+U101+U107+U112+U120+U125+U131+U136+U142+U146+U153+U166+U171+U179+U184+U191+U196+U201+U207+U212+U220+U225+U231+U237+U243+U248,"0")</f>
        <v/>
      </c>
      <c r="V254" s="170">
        <f>IFERROR(V23+V32+V40+V46+V58+V64+V69+V75+V86+V93+V101+V107+V112+V120+V125+V131+V136+V142+V146+V153+V166+V171+V179+V184+V191+V196+V201+V207+V212+V220+V225+V231+V237+V243+V248,"0")</f>
        <v/>
      </c>
      <c r="W254" s="63" t="n"/>
      <c r="X254" s="171" t="n"/>
      <c r="Y254" s="171" t="n"/>
    </row>
    <row r="255" ht="14.2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29" t="n"/>
      <c r="M255" s="120" t="inlineStr">
        <is>
          <t>Объем заказа</t>
        </is>
      </c>
      <c r="N255" s="123" t="n"/>
      <c r="O255" s="123" t="n"/>
      <c r="P255" s="123" t="n"/>
      <c r="Q255" s="123" t="n"/>
      <c r="R255" s="123" t="n"/>
      <c r="S255" s="124" t="n"/>
      <c r="T255" s="67" t="inlineStr">
        <is>
          <t>м3</t>
        </is>
      </c>
      <c r="U255" s="63" t="n"/>
      <c r="V255" s="63" t="n"/>
      <c r="W255" s="63">
        <f>IFERROR(W23+W32+W40+W46+W58+W64+W69+W75+W86+W93+W101+W107+W112+W120+W125+W131+W136+W142+W146+W153+W166+W171+W179+W184+W191+W196+W201+W207+W212+W220+W225+W231+W237+W243+W248,"0")</f>
        <v/>
      </c>
      <c r="X255" s="171" t="n"/>
      <c r="Y255" s="171" t="n"/>
    </row>
    <row r="256"/>
    <row r="257" ht="27" customHeight="1">
      <c r="A257" s="68" t="inlineStr">
        <is>
          <t>ТОРГОВАЯ МАРКА</t>
        </is>
      </c>
      <c r="B257" s="121" t="inlineStr">
        <is>
          <t>Ядрена копоть</t>
        </is>
      </c>
      <c r="C257" s="121" t="inlineStr">
        <is>
          <t>Горячая штучка</t>
        </is>
      </c>
      <c r="D257" s="172" t="n"/>
      <c r="E257" s="172" t="n"/>
      <c r="F257" s="172" t="n"/>
      <c r="G257" s="172" t="n"/>
      <c r="H257" s="172" t="n"/>
      <c r="I257" s="172" t="n"/>
      <c r="J257" s="172" t="n"/>
      <c r="K257" s="172" t="n"/>
      <c r="L257" s="172" t="n"/>
      <c r="M257" s="172" t="n"/>
      <c r="N257" s="172" t="n"/>
      <c r="O257" s="172" t="n"/>
      <c r="P257" s="172" t="n"/>
      <c r="Q257" s="172" t="n"/>
      <c r="R257" s="173" t="n"/>
      <c r="S257" s="121" t="inlineStr">
        <is>
          <t>No Name</t>
        </is>
      </c>
      <c r="T257" s="172" t="n"/>
      <c r="U257" s="173" t="n"/>
      <c r="V257" s="121" t="inlineStr">
        <is>
          <t>Вязанка</t>
        </is>
      </c>
      <c r="W257" s="172" t="n"/>
      <c r="X257" s="173" t="n"/>
      <c r="Y257" s="121" t="inlineStr">
        <is>
          <t>Стародворье</t>
        </is>
      </c>
      <c r="Z257" s="172" t="n"/>
      <c r="AA257" s="172" t="n"/>
      <c r="AB257" s="172" t="n"/>
      <c r="AC257" s="173" t="n"/>
      <c r="AD257" s="121" t="inlineStr">
        <is>
          <t>Колбасный стандарт</t>
        </is>
      </c>
      <c r="AE257" s="121" t="inlineStr">
        <is>
          <t>Особый рецепт</t>
        </is>
      </c>
      <c r="AF257" s="173" t="n"/>
    </row>
    <row r="258" ht="14.25" customHeight="1">
      <c r="A258" s="122" t="inlineStr">
        <is>
          <t>СЕРИЯ</t>
        </is>
      </c>
      <c r="B258" s="121" t="inlineStr">
        <is>
          <t>Ядрена копоть</t>
        </is>
      </c>
      <c r="C258" s="121" t="inlineStr">
        <is>
          <t>Наггетсы ГШ</t>
        </is>
      </c>
      <c r="D258" s="121" t="inlineStr">
        <is>
          <t>Grandmeni</t>
        </is>
      </c>
      <c r="E258" s="121" t="inlineStr">
        <is>
          <t>Чебупай</t>
        </is>
      </c>
      <c r="F258" s="121" t="inlineStr">
        <is>
          <t>Бигбули ГШ</t>
        </is>
      </c>
      <c r="G258" s="121" t="inlineStr">
        <is>
          <t>Бульмени вес ГШ</t>
        </is>
      </c>
      <c r="H258" s="121" t="inlineStr">
        <is>
          <t>Бельмеши</t>
        </is>
      </c>
      <c r="I258" s="121" t="inlineStr">
        <is>
          <t>Крылышки ГШ</t>
        </is>
      </c>
      <c r="J258" s="121" t="inlineStr">
        <is>
          <t>Чебупели</t>
        </is>
      </c>
      <c r="K258" s="121" t="inlineStr">
        <is>
          <t>Чебуреки</t>
        </is>
      </c>
      <c r="L258" s="121" t="inlineStr">
        <is>
          <t>Бульмени ГШ</t>
        </is>
      </c>
      <c r="M258" s="121" t="inlineStr">
        <is>
          <t>Чебупицца</t>
        </is>
      </c>
      <c r="N258" s="121" t="inlineStr">
        <is>
          <t>Хотстеры</t>
        </is>
      </c>
      <c r="O258" s="121" t="inlineStr">
        <is>
          <t>Круггетсы</t>
        </is>
      </c>
      <c r="P258" s="121" t="inlineStr">
        <is>
          <t>Пекерсы</t>
        </is>
      </c>
      <c r="Q258" s="121" t="inlineStr">
        <is>
          <t>Супермени</t>
        </is>
      </c>
      <c r="R258" s="121" t="inlineStr">
        <is>
          <t>Чебуманы</t>
        </is>
      </c>
      <c r="S258" s="121" t="inlineStr">
        <is>
          <t>No Name ПГП</t>
        </is>
      </c>
      <c r="T258" s="121" t="inlineStr">
        <is>
          <t>Стародворье ПГП</t>
        </is>
      </c>
      <c r="U258" s="121" t="inlineStr">
        <is>
          <t>No Name ЗПФ</t>
        </is>
      </c>
      <c r="V258" s="121" t="inlineStr">
        <is>
          <t>Няняггетсы Сливушки</t>
        </is>
      </c>
      <c r="W258" s="121" t="inlineStr">
        <is>
          <t>Печеные пельмени</t>
        </is>
      </c>
      <c r="X258" s="121" t="inlineStr">
        <is>
          <t>Вязанка</t>
        </is>
      </c>
      <c r="Y258" s="121" t="inlineStr">
        <is>
          <t>Стародворье ЗПФ</t>
        </is>
      </c>
      <c r="Z258" s="121" t="inlineStr">
        <is>
          <t>Мясорубская</t>
        </is>
      </c>
      <c r="AA258" s="121" t="inlineStr">
        <is>
          <t>Медвежье ушко</t>
        </is>
      </c>
      <c r="AB258" s="121" t="inlineStr">
        <is>
          <t>Бордо</t>
        </is>
      </c>
      <c r="AC258" s="121" t="inlineStr">
        <is>
          <t>Сочные</t>
        </is>
      </c>
      <c r="AD258" s="121" t="inlineStr">
        <is>
          <t>Владимирский Стандарт ЗПФ</t>
        </is>
      </c>
      <c r="AE258" s="121" t="inlineStr">
        <is>
          <t>Любимая ложка</t>
        </is>
      </c>
      <c r="AF258" s="121" t="inlineStr">
        <is>
          <t>Особая Без свинины</t>
        </is>
      </c>
    </row>
    <row r="259">
      <c r="A259" s="174" t="n"/>
      <c r="B259" s="175" t="n"/>
      <c r="C259" s="175" t="n"/>
      <c r="D259" s="175" t="n"/>
      <c r="E259" s="175" t="n"/>
      <c r="F259" s="175" t="n"/>
      <c r="G259" s="175" t="n"/>
      <c r="H259" s="175" t="n"/>
      <c r="I259" s="175" t="n"/>
      <c r="J259" s="175" t="n"/>
      <c r="K259" s="175" t="n"/>
      <c r="L259" s="175" t="n"/>
      <c r="M259" s="175" t="n"/>
      <c r="N259" s="175" t="n"/>
      <c r="O259" s="175" t="n"/>
      <c r="P259" s="175" t="n"/>
      <c r="Q259" s="175" t="n"/>
      <c r="R259" s="175" t="n"/>
      <c r="S259" s="175" t="n"/>
      <c r="T259" s="175" t="n"/>
      <c r="U259" s="175" t="n"/>
      <c r="V259" s="175" t="n"/>
      <c r="W259" s="175" t="n"/>
      <c r="X259" s="175" t="n"/>
      <c r="Y259" s="175" t="n"/>
      <c r="Z259" s="175" t="n"/>
      <c r="AA259" s="175" t="n"/>
      <c r="AB259" s="175" t="n"/>
      <c r="AC259" s="175" t="n"/>
      <c r="AD259" s="175" t="n"/>
      <c r="AE259" s="175" t="n"/>
      <c r="AF259" s="175" t="n"/>
    </row>
    <row r="260" ht="16.5" customHeight="1">
      <c r="A260" s="68" t="inlineStr">
        <is>
          <t>ИТОГО, кг</t>
        </is>
      </c>
      <c r="B260" s="70">
        <f>IFERROR(U22*H22,"0")</f>
        <v/>
      </c>
      <c r="C260" s="70">
        <f>IFERROR(U28*H28,"0")+IFERROR(U29*H29,"0")+IFERROR(U30*H30,"0")+IFERROR(U31*H31,"0")</f>
        <v/>
      </c>
      <c r="D260" s="70">
        <f>IFERROR(U36*H36,"0")+IFERROR(U37*H37,"0")+IFERROR(U38*H38,"0")+IFERROR(U39*H39,"0")</f>
        <v/>
      </c>
      <c r="E260" s="70">
        <f>IFERROR(U44*H44,"0")+IFERROR(U45*H45,"0")</f>
        <v/>
      </c>
      <c r="F260" s="70">
        <f>IFERROR(U50*H50,"0")+IFERROR(U51*H51,"0")+IFERROR(U52*H52,"0")+IFERROR(U53*H53,"0")+IFERROR(U54*H54,"0")+IFERROR(U55*H55,"0")+IFERROR(U56*H56,"0")+IFERROR(U57*H57,"0")</f>
        <v/>
      </c>
      <c r="G260" s="70">
        <f>IFERROR(U62*H62,"0")+IFERROR(U63*H63,"0")</f>
        <v/>
      </c>
      <c r="H260" s="70">
        <f>IFERROR(U68*H68,"0")</f>
        <v/>
      </c>
      <c r="I260" s="70">
        <f>IFERROR(U73*H73,"0")+IFERROR(U74*H74,"0")</f>
        <v/>
      </c>
      <c r="J260" s="70">
        <f>IFERROR(U79*H79,"0")+IFERROR(U80*H80,"0")+IFERROR(U81*H81,"0")+IFERROR(U82*H82,"0")+IFERROR(U83*H83,"0")+IFERROR(U84*H84,"0")+IFERROR(U85*H85,"0")</f>
        <v/>
      </c>
      <c r="K260" s="70">
        <f>IFERROR(U90*H90,"0")+IFERROR(U91*H91,"0")+IFERROR(U92*H92,"0")</f>
        <v/>
      </c>
      <c r="L260" s="70">
        <f>IFERROR(U97*H97,"0")+IFERROR(U98*H98,"0")+IFERROR(U99*H99,"0")+IFERROR(U100*H100,"0")</f>
        <v/>
      </c>
      <c r="M260" s="70">
        <f>IFERROR(U105*H105,"0")+IFERROR(U106*H106,"0")</f>
        <v/>
      </c>
      <c r="N260" s="70">
        <f>IFERROR(U111*H111,"0")</f>
        <v/>
      </c>
      <c r="O260" s="70">
        <f>IFERROR(U116*H116,"0")+IFERROR(U117*H117,"0")+IFERROR(U118*H118,"0")+IFERROR(U119*H119,"0")</f>
        <v/>
      </c>
      <c r="P260" s="70">
        <f>IFERROR(U124*H124,"0")</f>
        <v/>
      </c>
      <c r="Q260" s="70">
        <f>IFERROR(U129*H129,"0")+IFERROR(U130*H130,"0")</f>
        <v/>
      </c>
      <c r="R260" s="70">
        <f>IFERROR(U135*H135,"0")</f>
        <v/>
      </c>
      <c r="S260" s="70">
        <f>IFERROR(U141*H141,"0")+IFERROR(U145*H145,"0")+IFERROR(U149*H149,"0")+IFERROR(U150*H150,"0")+IFERROR(U151*H151,"0")+IFERROR(U152*H152,"0")+IFERROR(U156*H156,"0")+IFERROR(U157*H157,"0")+IFERROR(U158*H158,"0")+IFERROR(U159*H159,"0")+IFERROR(U160*H160,"0")+IFERROR(U161*H161,"0")+IFERROR(U162*H162,"0")+IFERROR(U163*H163,"0")+IFERROR(U164*H164,"0")+IFERROR(U165*H165,"0")</f>
        <v/>
      </c>
      <c r="T260" s="70">
        <f>IFERROR(U170*H170,"0")</f>
        <v/>
      </c>
      <c r="U260" s="70">
        <f>IFERROR(U175*H175,"0")+IFERROR(U176*H176,"0")+IFERROR(U177*H177,"0")+IFERROR(U178*H178,"0")+IFERROR(U182*H182,"0")+IFERROR(U183*H183,"0")</f>
        <v/>
      </c>
      <c r="V260" s="70">
        <f>IFERROR(U189*H189,"0")+IFERROR(U190*H190,"0")</f>
        <v/>
      </c>
      <c r="W260" s="70">
        <f>IFERROR(U195*H195,"0")</f>
        <v/>
      </c>
      <c r="X260" s="70">
        <f>IFERROR(U200*H200,"0")</f>
        <v/>
      </c>
      <c r="Y260" s="70">
        <f>IFERROR(U206*H206,"0")</f>
        <v/>
      </c>
      <c r="Z260" s="70">
        <f>IFERROR(U211*H211,"0")</f>
        <v/>
      </c>
      <c r="AA260" s="70">
        <f>IFERROR(U216*H216,"0")+IFERROR(U217*H217,"0")+IFERROR(U218*H218,"0")+IFERROR(U219*H219,"0")</f>
        <v/>
      </c>
      <c r="AB260" s="70">
        <f>IFERROR(U224*H224,"0")</f>
        <v/>
      </c>
      <c r="AC260" s="70">
        <f>IFERROR(U229*H229,"0")+IFERROR(U230*H230,"0")</f>
        <v/>
      </c>
      <c r="AD260" s="70">
        <f>IFERROR(U236*H236,"0")</f>
        <v/>
      </c>
      <c r="AE260" s="70">
        <f>IFERROR(U242*H242,"0")</f>
        <v/>
      </c>
      <c r="AF260" s="70">
        <f>IFERROR(U247*H247,"0")</f>
        <v/>
      </c>
    </row>
    <row r="261">
      <c r="C261" s="1" t="n"/>
    </row>
    <row r="262" ht="19.5" customHeight="1">
      <c r="A262" s="71" t="inlineStr">
        <is>
          <t>ЗПФ, кг</t>
        </is>
      </c>
      <c r="B262" s="71" t="inlineStr">
        <is>
          <t xml:space="preserve">ПГП, кг </t>
        </is>
      </c>
      <c r="C262" s="71" t="inlineStr">
        <is>
          <t>КИЗ, кг</t>
        </is>
      </c>
    </row>
    <row r="263">
      <c r="A263" s="72">
        <f>SUMPRODUCT(--(AZ:AZ="ЗПФ"),--(T:T="кор"),H:H,V:V)+SUMPRODUCT(--(AZ:AZ="ЗПФ"),--(T:T="кг"),V:V)</f>
        <v/>
      </c>
      <c r="B263" s="73">
        <f>SUMPRODUCT(--(AZ:AZ="ПГП"),--(T:T="кор"),H:H,V:V)+SUMPRODUCT(--(AZ:AZ="ПГП"),--(T:T="кг"),V:V)</f>
        <v/>
      </c>
      <c r="C263" s="73">
        <f>SUMPRODUCT(--(AZ:AZ="КИЗ"),--(T:T="кор"),H:H,V:V)+SUMPRODUCT(--(AZ:AZ="КИЗ"),--(T:T="кг"),V:V)</f>
        <v/>
      </c>
    </row>
    <row r="264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uNuhJOCQFvGXlJLhaRm7Vw==" formatRows="1" sort="0" spinCount="100000" hashValue="aqC3tY/FKLi7YOLD9JOxRixliH6C1Sw7k1J8ZYCcZ8QpXgt6TmeogzQ8djqF0lFBEprQZovBuwp8OcxhD+SpOg=="/>
  <autoFilter ref="B18:W18"/>
  <mergeCells count="462">
    <mergeCell ref="A15:K15"/>
    <mergeCell ref="A48:W48"/>
    <mergeCell ref="H9:I9"/>
    <mergeCell ref="D45:E45"/>
    <mergeCell ref="J9:K9"/>
    <mergeCell ref="M221:S221"/>
    <mergeCell ref="B258:B259"/>
    <mergeCell ref="H1:N1"/>
    <mergeCell ref="M217:Q217"/>
    <mergeCell ref="A139:W139"/>
    <mergeCell ref="A210:W210"/>
    <mergeCell ref="A203:W203"/>
    <mergeCell ref="A179:L180"/>
    <mergeCell ref="M91:Q91"/>
    <mergeCell ref="D98:E98"/>
    <mergeCell ref="D73:E73"/>
    <mergeCell ref="M156:Q156"/>
    <mergeCell ref="A140:W140"/>
    <mergeCell ref="M243:S243"/>
    <mergeCell ref="M120:S120"/>
    <mergeCell ref="M101:S101"/>
    <mergeCell ref="B17:B18"/>
    <mergeCell ref="M76:S76"/>
    <mergeCell ref="D124:E124"/>
    <mergeCell ref="Q6:R9"/>
    <mergeCell ref="D195:E195"/>
    <mergeCell ref="S6:T9"/>
    <mergeCell ref="S258:S259"/>
    <mergeCell ref="D189:E189"/>
    <mergeCell ref="U258:U259"/>
    <mergeCell ref="K258:K259"/>
    <mergeCell ref="M258:M259"/>
    <mergeCell ref="M84:Q84"/>
    <mergeCell ref="M22:Q22"/>
    <mergeCell ref="A153:L154"/>
    <mergeCell ref="H10:K10"/>
    <mergeCell ref="A133:W133"/>
    <mergeCell ref="D53:E53"/>
    <mergeCell ref="A193:W193"/>
    <mergeCell ref="A225:L226"/>
    <mergeCell ref="A89:W89"/>
    <mergeCell ref="M80:Q80"/>
    <mergeCell ref="W17:W18"/>
    <mergeCell ref="M237:S237"/>
    <mergeCell ref="M106:Q106"/>
    <mergeCell ref="A234:W234"/>
    <mergeCell ref="A209:W209"/>
    <mergeCell ref="D129:E129"/>
    <mergeCell ref="D79:E79"/>
    <mergeCell ref="M162:Q162"/>
    <mergeCell ref="A67:W67"/>
    <mergeCell ref="M177:Q177"/>
    <mergeCell ref="D81:E81"/>
    <mergeCell ref="A148:W148"/>
    <mergeCell ref="M170:Q170"/>
    <mergeCell ref="H5:K5"/>
    <mergeCell ref="M157:Q157"/>
    <mergeCell ref="A220:L221"/>
    <mergeCell ref="M184:S184"/>
    <mergeCell ref="M17:Q18"/>
    <mergeCell ref="D6:K6"/>
    <mergeCell ref="AD258:AD259"/>
    <mergeCell ref="A207:L208"/>
    <mergeCell ref="M171:S171"/>
    <mergeCell ref="M99:Q99"/>
    <mergeCell ref="M113:S113"/>
    <mergeCell ref="A66:W66"/>
    <mergeCell ref="M30:Q30"/>
    <mergeCell ref="M250:S250"/>
    <mergeCell ref="D28:E28"/>
    <mergeCell ref="A239:W239"/>
    <mergeCell ref="A95:W95"/>
    <mergeCell ref="M212:S212"/>
    <mergeCell ref="Z17:AB18"/>
    <mergeCell ref="D236:E236"/>
    <mergeCell ref="D117:E117"/>
    <mergeCell ref="M108:S108"/>
    <mergeCell ref="D92:E92"/>
    <mergeCell ref="D55:E55"/>
    <mergeCell ref="M175:Q175"/>
    <mergeCell ref="D30:E30"/>
    <mergeCell ref="A122:W122"/>
    <mergeCell ref="D5:E5"/>
    <mergeCell ref="AA258:AA259"/>
    <mergeCell ref="A72:W72"/>
    <mergeCell ref="AC258:AC259"/>
    <mergeCell ref="M56:Q56"/>
    <mergeCell ref="M176:Q176"/>
    <mergeCell ref="A112:L113"/>
    <mergeCell ref="J258:J259"/>
    <mergeCell ref="L258:L259"/>
    <mergeCell ref="A93:L94"/>
    <mergeCell ref="M32:S32"/>
    <mergeCell ref="A107:L108"/>
    <mergeCell ref="M167:S167"/>
    <mergeCell ref="D145:E145"/>
    <mergeCell ref="A27:W27"/>
    <mergeCell ref="A214:W214"/>
    <mergeCell ref="M242:Q242"/>
    <mergeCell ref="A250:L255"/>
    <mergeCell ref="D224:E224"/>
    <mergeCell ref="A75:L76"/>
    <mergeCell ref="M36:Q36"/>
    <mergeCell ref="D211:E211"/>
    <mergeCell ref="AZ17:AZ18"/>
    <mergeCell ref="D1:F1"/>
    <mergeCell ref="A248:L249"/>
    <mergeCell ref="M100:Q100"/>
    <mergeCell ref="J17:J18"/>
    <mergeCell ref="D82:E82"/>
    <mergeCell ref="L17:L18"/>
    <mergeCell ref="A231:L232"/>
    <mergeCell ref="M251:S251"/>
    <mergeCell ref="M238:S238"/>
    <mergeCell ref="D100:E100"/>
    <mergeCell ref="G258:G259"/>
    <mergeCell ref="I258:I259"/>
    <mergeCell ref="M253:S253"/>
    <mergeCell ref="M47:S47"/>
    <mergeCell ref="D31:E31"/>
    <mergeCell ref="M247:Q247"/>
    <mergeCell ref="D158:E158"/>
    <mergeCell ref="D229:E229"/>
    <mergeCell ref="A169:W169"/>
    <mergeCell ref="A201:L202"/>
    <mergeCell ref="M51:Q51"/>
    <mergeCell ref="M178:Q178"/>
    <mergeCell ref="D160:E160"/>
    <mergeCell ref="I17:I18"/>
    <mergeCell ref="A227:W227"/>
    <mergeCell ref="D141:E141"/>
    <mergeCell ref="D135:E135"/>
    <mergeCell ref="N5:O5"/>
    <mergeCell ref="M142:S142"/>
    <mergeCell ref="AB258:AB259"/>
    <mergeCell ref="A6:C6"/>
    <mergeCell ref="A155:W155"/>
    <mergeCell ref="A125:L126"/>
    <mergeCell ref="M41:S41"/>
    <mergeCell ref="M83:Q83"/>
    <mergeCell ref="D90:E90"/>
    <mergeCell ref="S12:T12"/>
    <mergeCell ref="M24:S24"/>
    <mergeCell ref="M52:Q52"/>
    <mergeCell ref="M39:Q39"/>
    <mergeCell ref="M197:S197"/>
    <mergeCell ref="A64:L65"/>
    <mergeCell ref="A5:C5"/>
    <mergeCell ref="A191:L192"/>
    <mergeCell ref="T17:T18"/>
    <mergeCell ref="A246:W246"/>
    <mergeCell ref="A233:W233"/>
    <mergeCell ref="M132:S132"/>
    <mergeCell ref="A17:A18"/>
    <mergeCell ref="K17:K18"/>
    <mergeCell ref="C17:C18"/>
    <mergeCell ref="D37:E37"/>
    <mergeCell ref="D230:E230"/>
    <mergeCell ref="A104:W104"/>
    <mergeCell ref="M69:S69"/>
    <mergeCell ref="A235:W235"/>
    <mergeCell ref="D9:E9"/>
    <mergeCell ref="D118:E118"/>
    <mergeCell ref="F9:G9"/>
    <mergeCell ref="M57:Q57"/>
    <mergeCell ref="D161:E161"/>
    <mergeCell ref="N6:O6"/>
    <mergeCell ref="M200:Q200"/>
    <mergeCell ref="M29:Q29"/>
    <mergeCell ref="D38:E38"/>
    <mergeCell ref="A43:W43"/>
    <mergeCell ref="M208:S208"/>
    <mergeCell ref="D63:E63"/>
    <mergeCell ref="M185:S185"/>
    <mergeCell ref="M147:S147"/>
    <mergeCell ref="A138:W138"/>
    <mergeCell ref="D52:E52"/>
    <mergeCell ref="M249:S249"/>
    <mergeCell ref="A25:W25"/>
    <mergeCell ref="D116:E116"/>
    <mergeCell ref="D91:E91"/>
    <mergeCell ref="D162:E162"/>
    <mergeCell ref="M149:Q149"/>
    <mergeCell ref="D156:E156"/>
    <mergeCell ref="A223:W223"/>
    <mergeCell ref="A198:W198"/>
    <mergeCell ref="M124:Q124"/>
    <mergeCell ref="D106:E106"/>
    <mergeCell ref="M206:Q206"/>
    <mergeCell ref="M151:Q151"/>
    <mergeCell ref="A136:L137"/>
    <mergeCell ref="M94:S94"/>
    <mergeCell ref="D157:E157"/>
    <mergeCell ref="O258:O259"/>
    <mergeCell ref="M196:S196"/>
    <mergeCell ref="Q258:Q259"/>
    <mergeCell ref="M2:T3"/>
    <mergeCell ref="A20:W20"/>
    <mergeCell ref="M190:Q190"/>
    <mergeCell ref="M15:Q16"/>
    <mergeCell ref="D182:E182"/>
    <mergeCell ref="A131:L132"/>
    <mergeCell ref="A114:W114"/>
    <mergeCell ref="D119:E119"/>
    <mergeCell ref="D190:E190"/>
    <mergeCell ref="U17:U18"/>
    <mergeCell ref="A186:W186"/>
    <mergeCell ref="M129:Q129"/>
    <mergeCell ref="D111:E111"/>
    <mergeCell ref="M79:Q79"/>
    <mergeCell ref="D183:E183"/>
    <mergeCell ref="M73:Q73"/>
    <mergeCell ref="D219:E219"/>
    <mergeCell ref="A58:L59"/>
    <mergeCell ref="M87:S87"/>
    <mergeCell ref="N258:N259"/>
    <mergeCell ref="M59:S59"/>
    <mergeCell ref="M74:Q74"/>
    <mergeCell ref="M153:S153"/>
    <mergeCell ref="A204:W204"/>
    <mergeCell ref="D74:E74"/>
    <mergeCell ref="D130:E130"/>
    <mergeCell ref="D68:E68"/>
    <mergeCell ref="M65:S65"/>
    <mergeCell ref="A35:W35"/>
    <mergeCell ref="M63:Q63"/>
    <mergeCell ref="M150:Q150"/>
    <mergeCell ref="M50:Q50"/>
    <mergeCell ref="A199:W199"/>
    <mergeCell ref="D178:E178"/>
    <mergeCell ref="A245:W245"/>
    <mergeCell ref="M92:Q92"/>
    <mergeCell ref="M152:Q152"/>
    <mergeCell ref="M179:S179"/>
    <mergeCell ref="M166:S166"/>
    <mergeCell ref="M229:Q229"/>
    <mergeCell ref="D36:E36"/>
    <mergeCell ref="M216:Q216"/>
    <mergeCell ref="A61:W61"/>
    <mergeCell ref="A88:W88"/>
    <mergeCell ref="M218:Q218"/>
    <mergeCell ref="W258:W259"/>
    <mergeCell ref="M143:S143"/>
    <mergeCell ref="Y258:Y259"/>
    <mergeCell ref="A128:W128"/>
    <mergeCell ref="M232:S232"/>
    <mergeCell ref="M207:S207"/>
    <mergeCell ref="M81:Q81"/>
    <mergeCell ref="S10:T10"/>
    <mergeCell ref="F258:F259"/>
    <mergeCell ref="M105:Q105"/>
    <mergeCell ref="H258:H259"/>
    <mergeCell ref="D62:E62"/>
    <mergeCell ref="M145:Q145"/>
    <mergeCell ref="D56:E56"/>
    <mergeCell ref="D176:E176"/>
    <mergeCell ref="A194:W194"/>
    <mergeCell ref="M163:Q163"/>
    <mergeCell ref="A181:W181"/>
    <mergeCell ref="A86:L87"/>
    <mergeCell ref="S5:T5"/>
    <mergeCell ref="D51:E51"/>
    <mergeCell ref="M165:Q165"/>
    <mergeCell ref="A101:L102"/>
    <mergeCell ref="M211:Q211"/>
    <mergeCell ref="M154:S154"/>
    <mergeCell ref="M225:S225"/>
    <mergeCell ref="A34:W34"/>
    <mergeCell ref="M236:Q236"/>
    <mergeCell ref="A49:W49"/>
    <mergeCell ref="M93:S93"/>
    <mergeCell ref="H17:H18"/>
    <mergeCell ref="M220:S220"/>
    <mergeCell ref="A78:W78"/>
    <mergeCell ref="A205:W205"/>
    <mergeCell ref="M31:Q31"/>
    <mergeCell ref="M158:Q158"/>
    <mergeCell ref="D206:E206"/>
    <mergeCell ref="M180:S180"/>
    <mergeCell ref="D7:K7"/>
    <mergeCell ref="A243:L244"/>
    <mergeCell ref="M160:Q160"/>
    <mergeCell ref="D39:E39"/>
    <mergeCell ref="A46:L47"/>
    <mergeCell ref="M97:Q97"/>
    <mergeCell ref="M75:S75"/>
    <mergeCell ref="D8:K8"/>
    <mergeCell ref="AC17:AC18"/>
    <mergeCell ref="M40:S40"/>
    <mergeCell ref="C257:R257"/>
    <mergeCell ref="M248:S248"/>
    <mergeCell ref="V258:V259"/>
    <mergeCell ref="X258:X259"/>
    <mergeCell ref="Z258:Z259"/>
    <mergeCell ref="P258:P259"/>
    <mergeCell ref="D217:E217"/>
    <mergeCell ref="A171:L172"/>
    <mergeCell ref="V257:X257"/>
    <mergeCell ref="A222:W222"/>
    <mergeCell ref="A166:L167"/>
    <mergeCell ref="M226:S226"/>
    <mergeCell ref="M28:Q28"/>
    <mergeCell ref="M85:Q85"/>
    <mergeCell ref="M172:S172"/>
    <mergeCell ref="D83:E83"/>
    <mergeCell ref="N9:O9"/>
    <mergeCell ref="A144:W144"/>
    <mergeCell ref="A215:W215"/>
    <mergeCell ref="A120:L121"/>
    <mergeCell ref="M159:Q159"/>
    <mergeCell ref="D85:E85"/>
    <mergeCell ref="M230:Q230"/>
    <mergeCell ref="M46:S46"/>
    <mergeCell ref="A184:L185"/>
    <mergeCell ref="M118:Q118"/>
    <mergeCell ref="G17:G18"/>
    <mergeCell ref="M161:Q161"/>
    <mergeCell ref="A23:L24"/>
    <mergeCell ref="M254:S254"/>
    <mergeCell ref="M111:Q111"/>
    <mergeCell ref="D159:E159"/>
    <mergeCell ref="M98:Q98"/>
    <mergeCell ref="D80:E80"/>
    <mergeCell ref="M125:S125"/>
    <mergeCell ref="M112:S112"/>
    <mergeCell ref="A241:W241"/>
    <mergeCell ref="Y257:AC257"/>
    <mergeCell ref="A228:W228"/>
    <mergeCell ref="A212:L213"/>
    <mergeCell ref="D200:E200"/>
    <mergeCell ref="M107:S107"/>
    <mergeCell ref="A237:L238"/>
    <mergeCell ref="M201:S201"/>
    <mergeCell ref="A9:C9"/>
    <mergeCell ref="M195:Q195"/>
    <mergeCell ref="M189:Q189"/>
    <mergeCell ref="M45:Q45"/>
    <mergeCell ref="M116:Q116"/>
    <mergeCell ref="A32:L33"/>
    <mergeCell ref="S257:U257"/>
    <mergeCell ref="M33:S33"/>
    <mergeCell ref="N11:O11"/>
    <mergeCell ref="A127:W127"/>
    <mergeCell ref="M244:S244"/>
    <mergeCell ref="D84:E84"/>
    <mergeCell ref="M44:Q44"/>
    <mergeCell ref="D22:E22"/>
    <mergeCell ref="M231:S231"/>
    <mergeCell ref="D149:E149"/>
    <mergeCell ref="M182:Q182"/>
    <mergeCell ref="M102:S102"/>
    <mergeCell ref="N12:O12"/>
    <mergeCell ref="D151:E151"/>
    <mergeCell ref="D150:E150"/>
    <mergeCell ref="M183:Q183"/>
    <mergeCell ref="M164:Q164"/>
    <mergeCell ref="M64:S64"/>
    <mergeCell ref="A26:W26"/>
    <mergeCell ref="M191:S191"/>
    <mergeCell ref="A71:W71"/>
    <mergeCell ref="M255:S255"/>
    <mergeCell ref="D177:E177"/>
    <mergeCell ref="AF258:AF259"/>
    <mergeCell ref="D164:E164"/>
    <mergeCell ref="M192:S192"/>
    <mergeCell ref="M53:Q53"/>
    <mergeCell ref="A115:W115"/>
    <mergeCell ref="A173:W173"/>
    <mergeCell ref="D10:E10"/>
    <mergeCell ref="M130:Q130"/>
    <mergeCell ref="F10:G10"/>
    <mergeCell ref="M68:Q68"/>
    <mergeCell ref="A77:W77"/>
    <mergeCell ref="M117:Q117"/>
    <mergeCell ref="D99:E99"/>
    <mergeCell ref="M55:Q55"/>
    <mergeCell ref="A142:L143"/>
    <mergeCell ref="M119:Q119"/>
    <mergeCell ref="A103:W103"/>
    <mergeCell ref="M146:S146"/>
    <mergeCell ref="A168:W168"/>
    <mergeCell ref="F5:G5"/>
    <mergeCell ref="M252:S252"/>
    <mergeCell ref="AE258:AE259"/>
    <mergeCell ref="D175:E175"/>
    <mergeCell ref="M37:Q37"/>
    <mergeCell ref="A21:W21"/>
    <mergeCell ref="D165:E165"/>
    <mergeCell ref="N13:O13"/>
    <mergeCell ref="D152:E152"/>
    <mergeCell ref="D29:E29"/>
    <mergeCell ref="M38:Q38"/>
    <mergeCell ref="D216:E216"/>
    <mergeCell ref="A96:W96"/>
    <mergeCell ref="O1:Q1"/>
    <mergeCell ref="D218:E218"/>
    <mergeCell ref="M136:S136"/>
    <mergeCell ref="D247:E247"/>
    <mergeCell ref="D258:D259"/>
    <mergeCell ref="M23:S23"/>
    <mergeCell ref="M121:S121"/>
    <mergeCell ref="D105:E105"/>
    <mergeCell ref="A123:W123"/>
    <mergeCell ref="D170:E170"/>
    <mergeCell ref="A110:W110"/>
    <mergeCell ref="M131:S131"/>
    <mergeCell ref="M202:S202"/>
    <mergeCell ref="Q5:R5"/>
    <mergeCell ref="D242:E242"/>
    <mergeCell ref="M58:S58"/>
    <mergeCell ref="F17:F18"/>
    <mergeCell ref="A187:W187"/>
    <mergeCell ref="D163:E163"/>
    <mergeCell ref="A174:W174"/>
    <mergeCell ref="N8:O8"/>
    <mergeCell ref="A12:K12"/>
    <mergeCell ref="N10:O10"/>
    <mergeCell ref="A258:A259"/>
    <mergeCell ref="C258:C259"/>
    <mergeCell ref="R17:S17"/>
    <mergeCell ref="A14:K14"/>
    <mergeCell ref="E258:E259"/>
    <mergeCell ref="M135:Q135"/>
    <mergeCell ref="M62:Q62"/>
    <mergeCell ref="AE257:AF257"/>
    <mergeCell ref="A134:W134"/>
    <mergeCell ref="D54:E54"/>
    <mergeCell ref="M86:S86"/>
    <mergeCell ref="M213:S213"/>
    <mergeCell ref="M126:S126"/>
    <mergeCell ref="A60:W60"/>
    <mergeCell ref="M82:Q82"/>
    <mergeCell ref="M219:Q219"/>
    <mergeCell ref="S11:T11"/>
    <mergeCell ref="A40:L41"/>
    <mergeCell ref="Y17:Y18"/>
    <mergeCell ref="D57:E57"/>
    <mergeCell ref="A8:C8"/>
    <mergeCell ref="M54:Q54"/>
    <mergeCell ref="M90:Q90"/>
    <mergeCell ref="D97:E97"/>
    <mergeCell ref="A69:L70"/>
    <mergeCell ref="A10:C10"/>
    <mergeCell ref="A196:L197"/>
    <mergeCell ref="A146:L147"/>
    <mergeCell ref="R258:R259"/>
    <mergeCell ref="T258:T259"/>
    <mergeCell ref="M70:S70"/>
    <mergeCell ref="A42:W42"/>
    <mergeCell ref="M137:S137"/>
    <mergeCell ref="A188:W188"/>
    <mergeCell ref="D17:E18"/>
    <mergeCell ref="A109:W109"/>
    <mergeCell ref="A240:W240"/>
    <mergeCell ref="V17:V18"/>
    <mergeCell ref="M141:Q141"/>
    <mergeCell ref="X17:X18"/>
    <mergeCell ref="A13:K13"/>
    <mergeCell ref="D50:E50"/>
    <mergeCell ref="A19:W19"/>
    <mergeCell ref="D44:E44"/>
    <mergeCell ref="M224:Q224"/>
  </mergeCells>
  <conditionalFormatting sqref="A8:K8 A9:C10 M9:O13">
    <cfRule type="expression" priority="2" dxfId="0">
      <formula>IF($S$5="самовывоз",1,0)</formula>
    </cfRule>
  </conditionalFormatting>
  <conditionalFormatting sqref="H10:K10">
    <cfRule type="expression" priority="3" dxfId="0">
      <formula>IF($S$5="самовывоз",1,0)</formula>
    </cfRule>
  </conditionalFormatting>
  <conditionalFormatting sqref="J9:K9">
    <cfRule type="expression" priority="4">
      <formula>IF($S$5="самовывоз",1,0)</formula>
    </cfRule>
  </conditionalFormatting>
  <conditionalFormatting sqref="H9:I9">
    <cfRule type="expression" priority="5">
      <formula>IF($S$5="самовывоз",1,0)</formula>
    </cfRule>
  </conditionalFormatting>
  <conditionalFormatting sqref="F9:G9">
    <cfRule type="expression" priority="6">
      <formula>IF($S$5="самовывоз",1,0)</formula>
    </cfRule>
  </conditionalFormatting>
  <conditionalFormatting sqref="F10:G10">
    <cfRule type="expression" priority="7">
      <formula>IF($S$5="самовывоз",1,0)</formula>
    </cfRule>
  </conditionalFormatting>
  <conditionalFormatting sqref="D9:E9">
    <cfRule type="expression" priority="8">
      <formula>IF($S$5="самовывоз",1,0)</formula>
    </cfRule>
  </conditionalFormatting>
  <conditionalFormatting sqref="D10:E10">
    <cfRule type="expression" priority="9">
      <formula>IF($S$5="самовывоз",1,0)</formula>
    </cfRule>
  </conditionalFormatting>
  <dataValidations count="16">
    <dataValidation sqref="N6:N7" showDropDown="0" showInputMessage="1" showErrorMessage="1" allowBlank="0" prompt="День недели загрузки. Считается сам.">
      <formula1>0</formula1>
      <formula2>0</formula2>
    </dataValidation>
    <dataValidation sqref="U16:Y16" showDropDown="0" showInputMessage="1" showErrorMessage="1" allowBlank="0" type="list">
      <formula1>"80-60,60-40,40-10,70-10"</formula1>
      <formula2>0</formula2>
    </dataValidation>
    <dataValidation sqref="N5:O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DropDown="0" showInputMessage="1" showErrorMessage="1" allowBlank="0" prompt="Введите название вашей фирмы.">
      <formula1>0</formula1>
      <formula2>0</formula2>
    </dataValidation>
    <dataValidation sqref="S10" showDropDown="0" showInputMessage="1" showErrorMessage="1" allowBlank="0" prompt="Введите код клиента в системе Axapta">
      <formula1>0</formula1>
      <formula2>0</formula2>
    </dataValidation>
    <dataValidation sqref="S11:T11" showDropDown="0" showInputMessage="1" showErrorMessage="1" allowBlank="0" prompt="Определите тип Вашего заказа" type="list">
      <formula1>"Основной заказ,Дозаказ,Замена"</formula1>
      <formula2>0</formula2>
    </dataValidation>
    <dataValidation sqref="D6:K6" showDropDown="0" showInputMessage="1" showErrorMessage="1" allowBlank="0" type="list">
      <formula1>DeliveryAdressList</formula1>
      <formula2>0</formula2>
    </dataValidation>
    <dataValidation sqref="S5:T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  <formula2>0</formula2>
    </dataValidation>
    <dataValidation sqref="D8:K8" showDropDown="0" showInputMessage="1" showErrorMessage="1" allowBlank="0" type="list">
      <formula1>CHOOSE($D$7,UnloadAdressList0001)</formula1>
      <formula2>0</formula2>
    </dataValidation>
    <dataValidation sqref="N8:O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  <formula2>0</formula2>
    </dataValidation>
    <dataValidation sqref="D10:E10" showDropDown="0" showInputMessage="1" showErrorMessage="1" allowBlank="0" type="list">
      <formula1>IF(TypeProxy="Уполномоченное лицо",NumProxySet,null)</formula1>
      <formula2>0</formula2>
    </dataValidation>
    <dataValidation sqref="W22:Y22" showDropDown="0" showInputMessage="1" showErrorMessage="1" allowBlank="0" error="укажите вес, кратный весу коробки" operator="equal">
      <formula1>0</formula1>
      <formula2>0</formula2>
    </dataValidation>
    <dataValidation sqref="S12" showDropDown="0" showInputMessage="1" showErrorMessage="1" allowBlank="0" type="list">
      <formula1>DeliveryConditionsList</formula1>
      <formula2>0</formula2>
    </dataValidation>
  </dataValidations>
  <pageMargins left="0.236111111111111" right="0.236111111111111" top="0.747916666666667" bottom="0.747916666666667" header="0.511805555555555" footer="0.511805555555555"/>
  <pageSetup orientation="portrait" paperSize="9" scale="45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0"/>
  <sheetViews>
    <sheetView zoomScaleNormal="100" workbookViewId="0">
      <selection activeCell="B10" sqref="B10"/>
    </sheetView>
  </sheetViews>
  <sheetFormatPr baseColWidth="8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  <col width="8.85546875" customWidth="1" min="5" max="1025"/>
  </cols>
  <sheetData>
    <row r="1">
      <c r="G1" t="inlineStr">
        <is>
          <t>MSDAX_ЗПФ</t>
        </is>
      </c>
      <c r="H1" s="74" t="n"/>
    </row>
    <row r="3">
      <c r="B3" s="75" t="inlineStr">
        <is>
          <t>Доставка</t>
        </is>
      </c>
      <c r="C3" s="75" t="n"/>
      <c r="D3" s="75" t="n"/>
      <c r="E3" s="75" t="n"/>
    </row>
    <row r="4">
      <c r="B4" s="75" t="inlineStr">
        <is>
          <t>Самовывоз</t>
        </is>
      </c>
      <c r="C4" s="75" t="n"/>
      <c r="D4" s="75" t="n"/>
      <c r="E4" s="75" t="n"/>
    </row>
    <row r="6">
      <c r="B6" s="75" t="inlineStr">
        <is>
          <t>ЛП, ООО, Крым Респ, Симферополь г, Данилова ул, 43В, лит В, офис 4,</t>
        </is>
      </c>
      <c r="C6" s="75" t="inlineStr">
        <is>
          <t>590704_1</t>
        </is>
      </c>
      <c r="D6" s="75" t="inlineStr">
        <is>
          <t>1</t>
        </is>
      </c>
      <c r="E6" s="75" t="n"/>
    </row>
    <row r="8">
      <c r="B8" s="75" t="inlineStr">
        <is>
          <t>295021Российская Федерация, Крым Респ, Симферополь г, Данилова ул, 43В, лит В, офис 4,</t>
        </is>
      </c>
      <c r="C8" s="75" t="inlineStr">
        <is>
          <t>590704_1</t>
        </is>
      </c>
      <c r="D8" s="75" t="n"/>
      <c r="E8" s="75" t="n"/>
    </row>
    <row r="10">
      <c r="B10" s="75" t="inlineStr">
        <is>
          <t>CFR</t>
        </is>
      </c>
      <c r="C10" s="75" t="n"/>
      <c r="D10" s="75" t="n"/>
      <c r="E10" s="75" t="n"/>
    </row>
    <row r="11">
      <c r="B11" s="75" t="inlineStr">
        <is>
          <t>CIF</t>
        </is>
      </c>
      <c r="C11" s="75" t="n"/>
      <c r="D11" s="75" t="n"/>
      <c r="E11" s="75" t="n"/>
    </row>
    <row r="12">
      <c r="B12" s="75" t="inlineStr">
        <is>
          <t>CIP</t>
        </is>
      </c>
      <c r="C12" s="75" t="n"/>
      <c r="D12" s="75" t="n"/>
      <c r="E12" s="75" t="n"/>
    </row>
    <row r="13">
      <c r="B13" s="75" t="inlineStr">
        <is>
          <t>CPT</t>
        </is>
      </c>
      <c r="C13" s="75" t="n"/>
      <c r="D13" s="75" t="n"/>
      <c r="E13" s="75" t="n"/>
    </row>
    <row r="14">
      <c r="B14" s="75" t="inlineStr">
        <is>
          <t>DAP</t>
        </is>
      </c>
      <c r="C14" s="75" t="n"/>
      <c r="D14" s="75" t="n"/>
      <c r="E14" s="75" t="n"/>
    </row>
    <row r="15">
      <c r="B15" s="75" t="inlineStr">
        <is>
          <t>DAT</t>
        </is>
      </c>
      <c r="C15" s="75" t="n"/>
      <c r="D15" s="75" t="n"/>
      <c r="E15" s="75" t="n"/>
    </row>
    <row r="16">
      <c r="B16" s="75" t="inlineStr">
        <is>
          <t>DDP</t>
        </is>
      </c>
      <c r="C16" s="75" t="n"/>
      <c r="D16" s="75" t="n"/>
      <c r="E16" s="75" t="n"/>
    </row>
    <row r="17">
      <c r="B17" s="75" t="inlineStr">
        <is>
          <t>EXW</t>
        </is>
      </c>
      <c r="C17" s="75" t="n"/>
      <c r="D17" s="75" t="n"/>
      <c r="E17" s="75" t="n"/>
    </row>
    <row r="18">
      <c r="B18" s="75" t="inlineStr">
        <is>
          <t>FAS</t>
        </is>
      </c>
      <c r="C18" s="75" t="n"/>
      <c r="D18" s="75" t="n"/>
      <c r="E18" s="75" t="n"/>
    </row>
    <row r="19">
      <c r="B19" s="75" t="inlineStr">
        <is>
          <t>FCA</t>
        </is>
      </c>
      <c r="C19" s="75" t="n"/>
      <c r="D19" s="75" t="n"/>
      <c r="E19" s="75" t="n"/>
    </row>
    <row r="20">
      <c r="B20" s="75" t="inlineStr">
        <is>
          <t>FOB</t>
        </is>
      </c>
      <c r="C20" s="75" t="n"/>
      <c r="D20" s="75" t="n"/>
      <c r="E20" s="75" t="n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ICz19bkXi5SE01yM9xIs4Q==" formatRows="1" sort="0" spinCount="100000" hashValue="QmHhAbPAsCFM3cIBDlErbBI8NYjmB7QrCKdjaqWMyoJT8E+sSFx6xooaHBX5dF47FP4d/XeN9+Mel729+n5c+g=="/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ru-RU</dc:language>
  <dcterms:created xsi:type="dcterms:W3CDTF">2021-11-12T12:13:19Z</dcterms:created>
  <dcterms:modified xsi:type="dcterms:W3CDTF">2023-10-20T06:37:25Z</dcterms:modified>
  <cp:lastModifiedBy>Андрей9</cp:lastModifiedBy>
  <cp:revision>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16.0300</vt:lpwstr>
  </property>
  <property name="ContentTypeId" fmtid="{D5CDD505-2E9C-101B-9397-08002B2CF9AE}" pid="3">
    <vt:lpwstr>0x010100BE9B55E4B75ADC4EA022BCFE912025B5</vt:lpwstr>
  </property>
  <property name="DocSecurity" fmtid="{D5CDD505-2E9C-101B-9397-08002B2CF9AE}" pid="4">
    <vt:i4>0</vt:i4>
  </property>
  <property name="HyperlinksChanged" fmtid="{D5CDD505-2E9C-101B-9397-08002B2CF9AE}" pid="5">
    <vt:bool>0</vt:bool>
  </property>
  <property name="LinksUpToDate" fmtid="{D5CDD505-2E9C-101B-9397-08002B2CF9AE}" pid="6">
    <vt:bool>0</vt:bool>
  </property>
  <property name="ScaleCrop" fmtid="{D5CDD505-2E9C-101B-9397-08002B2CF9AE}" pid="7">
    <vt:bool>0</vt:bool>
  </property>
  <property name="ShareDoc" fmtid="{D5CDD505-2E9C-101B-9397-08002B2CF9AE}" pid="8">
    <vt:bool>0</vt:bool>
  </property>
</Properties>
</file>