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14490" windowHeight="1206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заказа'!$S$12</definedName>
    <definedName name="DeliveryConditionsList">Setting!$B$19:$B$29</definedName>
    <definedName name="DeliveryDate">'Бланк заказа'!$N$9</definedName>
    <definedName name="DeliveryMethodList">Setting!$B$3:$B$4</definedName>
    <definedName name="DeliveryNumAdressList">Setting!$D$6:$D$9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заказа'!$U$470:$U$470</definedName>
    <definedName name="GrossWeightTotalR">'Бланк заказа'!$V$470:$V$470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Setting!$B$18:$B$19</definedName>
    <definedName name="PalletQtyTotal">'Бланк заказа'!$U$471:$U$471</definedName>
    <definedName name="PalletQtyTotalR">'Бланк заказа'!$V$471:$V$471</definedName>
    <definedName name="PassportProxy">'Бланк заказа'!$J$9:$K$9</definedName>
    <definedName name="PassportProxySet">Setting!$D$18:$D$19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заказа'!$B$193:$B$193</definedName>
    <definedName name="ProductId107">'Бланк заказа'!$B$194:$B$194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заказа'!$B$213:$B$213</definedName>
    <definedName name="ProductId123">'Бланк заказа'!$B$217:$B$217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заказа'!$B$224:$B$224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заказа'!$B$233:$B$233</definedName>
    <definedName name="ProductId134">'Бланк заказа'!$B$237:$B$237</definedName>
    <definedName name="ProductId135">'Бланк заказа'!$B$238:$B$238</definedName>
    <definedName name="ProductId136">'Бланк заказа'!$B$239:$B$239</definedName>
    <definedName name="ProductId137">'Бланк заказа'!$B$243:$B$243</definedName>
    <definedName name="ProductId138">'Бланк заказа'!$B$244:$B$244</definedName>
    <definedName name="ProductId139">'Бланк заказа'!$B$245:$B$245</definedName>
    <definedName name="ProductId14">'Бланк заказа'!$B$56:$B$56</definedName>
    <definedName name="ProductId140">'Бланк заказа'!$B$249:$B$249</definedName>
    <definedName name="ProductId141">'Бланк заказа'!$B$250:$B$250</definedName>
    <definedName name="ProductId142">'Бланк заказа'!$B$251:$B$251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заказа'!$B$262:$B$262</definedName>
    <definedName name="ProductId15">'Бланк заказа'!$B$57:$B$57</definedName>
    <definedName name="ProductId150">'Бланк заказа'!$B$266:$B$266</definedName>
    <definedName name="ProductId151">'Бланк заказа'!$B$267:$B$267</definedName>
    <definedName name="ProductId152">'Бланк заказа'!$B$272:$B$272</definedName>
    <definedName name="ProductId153">'Бланк заказа'!$B$276:$B$276</definedName>
    <definedName name="ProductId154">'Бланк заказа'!$B$277:$B$277</definedName>
    <definedName name="ProductId155">'Бланк заказа'!$B$278:$B$278</definedName>
    <definedName name="ProductId156">'Бланк заказа'!$B$282:$B$282</definedName>
    <definedName name="ProductId157">'Бланк заказа'!$B$286:$B$286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заказа'!$B$299:$B$299</definedName>
    <definedName name="ProductId166">'Бланк заказа'!$B$303:$B$303</definedName>
    <definedName name="ProductId167">'Бланк заказа'!$B$304:$B$304</definedName>
    <definedName name="ProductId168">'Бланк заказа'!$B$308:$B$308</definedName>
    <definedName name="ProductId169">'Бланк заказа'!$B$312:$B$312</definedName>
    <definedName name="ProductId17">'Бланк заказа'!$B$63:$B$63</definedName>
    <definedName name="ProductId170">'Бланк заказа'!$B$317:$B$317</definedName>
    <definedName name="ProductId171">'Бланк заказа'!$B$318:$B$318</definedName>
    <definedName name="ProductId172">'Бланк заказа'!$B$319:$B$319</definedName>
    <definedName name="ProductId173">'Бланк заказа'!$B$320:$B$320</definedName>
    <definedName name="ProductId174">'Бланк заказа'!$B$324:$B$324</definedName>
    <definedName name="ProductId175">'Бланк заказа'!$B$325:$B$325</definedName>
    <definedName name="ProductId176">'Бланк заказа'!$B$329:$B$329</definedName>
    <definedName name="ProductId177">'Бланк заказа'!$B$330:$B$330</definedName>
    <definedName name="ProductId178">'Бланк заказа'!$B$331:$B$331</definedName>
    <definedName name="ProductId179">'Бланк заказа'!$B$332:$B$332</definedName>
    <definedName name="ProductId18">'Бланк заказа'!$B$64:$B$64</definedName>
    <definedName name="ProductId180">'Бланк заказа'!$B$336:$B$336</definedName>
    <definedName name="ProductId181">'Бланк заказа'!$B$342:$B$342</definedName>
    <definedName name="ProductId182">'Бланк заказа'!$B$343:$B$343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заказа'!$B$363:$B$363</definedName>
    <definedName name="ProductId197">'Бланк заказа'!$B$364:$B$364</definedName>
    <definedName name="ProductId198">'Бланк заказа'!$B$365:$B$365</definedName>
    <definedName name="ProductId199">'Бланк заказа'!$B$366:$B$366</definedName>
    <definedName name="ProductId2">'Бланк заказа'!$B$26:$B$26</definedName>
    <definedName name="ProductId20">'Бланк заказа'!$B$66:$B$66</definedName>
    <definedName name="ProductId200">'Бланк заказа'!$B$370:$B$370</definedName>
    <definedName name="ProductId201">'Бланк заказа'!$B$374:$B$374</definedName>
    <definedName name="ProductId202">'Бланк заказа'!$B$375:$B$375</definedName>
    <definedName name="ProductId203">'Бланк заказа'!$B$376:$B$376</definedName>
    <definedName name="ProductId204">'Бланк заказа'!$B$380:$B$380</definedName>
    <definedName name="ProductId205">'Бланк заказа'!$B$385:$B$385</definedName>
    <definedName name="ProductId206">'Бланк заказа'!$B$386:$B$386</definedName>
    <definedName name="ProductId207">'Бланк заказа'!$B$390:$B$390</definedName>
    <definedName name="ProductId208">'Бланк заказа'!$B$391:$B$391</definedName>
    <definedName name="ProductId209">'Бланк заказа'!$B$392:$B$392</definedName>
    <definedName name="ProductId21">'Бланк заказа'!$B$67:$B$67</definedName>
    <definedName name="ProductId210">'Бланк заказа'!$B$393:$B$393</definedName>
    <definedName name="ProductId211">'Бланк заказа'!$B$394:$B$394</definedName>
    <definedName name="ProductId212">'Бланк заказа'!$B$395:$B$395</definedName>
    <definedName name="ProductId213">'Бланк заказа'!$B$396:$B$396</definedName>
    <definedName name="ProductId214">'Бланк заказа'!$B$400:$B$400</definedName>
    <definedName name="ProductId215">'Бланк заказа'!$B$404:$B$404</definedName>
    <definedName name="ProductId216">'Бланк заказа'!$B$410:$B$410</definedName>
    <definedName name="ProductId217">'Бланк заказа'!$B$411:$B$411</definedName>
    <definedName name="ProductId218">'Бланк заказа'!$B$412:$B$412</definedName>
    <definedName name="ProductId219">'Бланк заказа'!$B$413:$B$413</definedName>
    <definedName name="ProductId22">'Бланк заказа'!$B$68:$B$68</definedName>
    <definedName name="ProductId220">'Бланк заказа'!$B$414:$B$414</definedName>
    <definedName name="ProductId221">'Бланк заказа'!$B$415:$B$415</definedName>
    <definedName name="ProductId222">'Бланк заказа'!$B$416:$B$416</definedName>
    <definedName name="ProductId223">'Бланк заказа'!$B$417:$B$417</definedName>
    <definedName name="ProductId224">'Бланк заказа'!$B$418:$B$418</definedName>
    <definedName name="ProductId225">'Бланк заказа'!$B$422:$B$422</definedName>
    <definedName name="ProductId226">'Бланк заказа'!$B$423:$B$423</definedName>
    <definedName name="ProductId227">'Бланк заказа'!$B$427:$B$427</definedName>
    <definedName name="ProductId228">'Бланк заказа'!$B$428:$B$428</definedName>
    <definedName name="ProductId229">'Бланк заказа'!$B$429:$B$429</definedName>
    <definedName name="ProductId23">'Бланк заказа'!$B$69:$B$69</definedName>
    <definedName name="ProductId230">'Бланк заказа'!$B$430:$B$430</definedName>
    <definedName name="ProductId231">'Бланк заказа'!$B$431:$B$431</definedName>
    <definedName name="ProductId232">'Бланк заказа'!$B$432:$B$432</definedName>
    <definedName name="ProductId233">'Бланк заказа'!$B$436:$B$436</definedName>
    <definedName name="ProductId234">'Бланк заказа'!$B$437:$B$437</definedName>
    <definedName name="ProductId235">'Бланк заказа'!$B$443:$B$443</definedName>
    <definedName name="ProductId236">'Бланк заказа'!$B$444:$B$444</definedName>
    <definedName name="ProductId237">'Бланк заказа'!$B$448:$B$448</definedName>
    <definedName name="ProductId238">'Бланк заказа'!$B$449:$B$449</definedName>
    <definedName name="ProductId239">'Бланк заказа'!$B$450:$B$450</definedName>
    <definedName name="ProductId24">'Бланк заказа'!$B$70:$B$70</definedName>
    <definedName name="ProductId240">'Бланк заказа'!$B$454:$B$454</definedName>
    <definedName name="ProductId241">'Бланк заказа'!$B$455:$B$455</definedName>
    <definedName name="ProductId242">'Бланк заказа'!$B$456:$B$456</definedName>
    <definedName name="ProductId243">'Бланк заказа'!$B$460:$B$460</definedName>
    <definedName name="ProductId244">'Бланк заказа'!$B$461:$B$461</definedName>
    <definedName name="ProductId245">'Бланк заказа'!$B$466:$B$466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заказа'!$B$127:$B$127</definedName>
    <definedName name="ProductId66">'Бланк заказа'!$B$128:$B$128</definedName>
    <definedName name="ProductId67">'Бланк заказа'!$B$129:$B$129</definedName>
    <definedName name="ProductId68">'Бланк заказа'!$B$130:$B$130</definedName>
    <definedName name="ProductId69">'Бланк заказа'!$B$136:$B$136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заказа'!$B$155:$B$155</definedName>
    <definedName name="ProductId81">'Бланк заказа'!$B$156:$B$156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заказа'!$U$22:$U$22</definedName>
    <definedName name="SalesQty10">'Бланк заказа'!$U$43:$U$43</definedName>
    <definedName name="SalesQty100">'Бланк заказа'!$U$184:$U$184</definedName>
    <definedName name="SalesQty101">'Бланк заказа'!$U$185:$U$185</definedName>
    <definedName name="SalesQty102">'Бланк заказа'!$U$186:$U$186</definedName>
    <definedName name="SalesQty103">'Бланк заказа'!$U$187:$U$187</definedName>
    <definedName name="SalesQty104">'Бланк заказа'!$U$188:$U$188</definedName>
    <definedName name="SalesQty105">'Бланк заказа'!$U$189:$U$189</definedName>
    <definedName name="SalesQty106">'Бланк заказа'!$U$193:$U$193</definedName>
    <definedName name="SalesQty107">'Бланк заказа'!$U$194:$U$194</definedName>
    <definedName name="SalesQty108">'Бланк заказа'!$U$199:$U$199</definedName>
    <definedName name="SalesQty109">'Бланк заказа'!$U$200:$U$200</definedName>
    <definedName name="SalesQty11">'Бланк заказа'!$U$49:$U$49</definedName>
    <definedName name="SalesQty110">'Бланк заказа'!$U$201:$U$201</definedName>
    <definedName name="SalesQty111">'Бланк заказа'!$U$202:$U$202</definedName>
    <definedName name="SalesQty112">'Бланк заказа'!$U$203:$U$203</definedName>
    <definedName name="SalesQty113">'Бланк заказа'!$U$204:$U$204</definedName>
    <definedName name="SalesQty114">'Бланк заказа'!$U$205:$U$205</definedName>
    <definedName name="SalesQty115">'Бланк заказа'!$U$206:$U$206</definedName>
    <definedName name="SalesQty116">'Бланк заказа'!$U$207:$U$207</definedName>
    <definedName name="SalesQty117">'Бланк заказа'!$U$208:$U$208</definedName>
    <definedName name="SalesQty118">'Бланк заказа'!$U$209:$U$209</definedName>
    <definedName name="SalesQty119">'Бланк заказа'!$U$210:$U$210</definedName>
    <definedName name="SalesQty12">'Бланк заказа'!$U$50:$U$50</definedName>
    <definedName name="SalesQty120">'Бланк заказа'!$U$211:$U$211</definedName>
    <definedName name="SalesQty121">'Бланк заказа'!$U$212:$U$212</definedName>
    <definedName name="SalesQty122">'Бланк заказа'!$U$213:$U$213</definedName>
    <definedName name="SalesQty123">'Бланк заказа'!$U$217:$U$217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заказа'!$U$224:$U$224</definedName>
    <definedName name="SalesQty128">'Бланк заказа'!$U$228:$U$228</definedName>
    <definedName name="SalesQty129">'Бланк заказа'!$U$229:$U$229</definedName>
    <definedName name="SalesQty13">'Бланк заказа'!$U$55:$U$55</definedName>
    <definedName name="SalesQty130">'Бланк заказа'!$U$230:$U$230</definedName>
    <definedName name="SalesQty131">'Бланк заказа'!$U$231:$U$231</definedName>
    <definedName name="SalesQty132">'Бланк заказа'!$U$232:$U$232</definedName>
    <definedName name="SalesQty133">'Бланк заказа'!$U$233:$U$233</definedName>
    <definedName name="SalesQty134">'Бланк заказа'!$U$237:$U$237</definedName>
    <definedName name="SalesQty135">'Бланк заказа'!$U$238:$U$238</definedName>
    <definedName name="SalesQty136">'Бланк заказа'!$U$239:$U$239</definedName>
    <definedName name="SalesQty137">'Бланк заказа'!$U$243:$U$243</definedName>
    <definedName name="SalesQty138">'Бланк заказа'!$U$244:$U$244</definedName>
    <definedName name="SalesQty139">'Бланк заказа'!$U$245:$U$245</definedName>
    <definedName name="SalesQty14">'Бланк заказа'!$U$56:$U$56</definedName>
    <definedName name="SalesQty140">'Бланк заказа'!$U$249:$U$249</definedName>
    <definedName name="SalesQty141">'Бланк заказа'!$U$250:$U$250</definedName>
    <definedName name="SalesQty142">'Бланк заказа'!$U$251:$U$251</definedName>
    <definedName name="SalesQty143">'Бланк заказа'!$U$256:$U$256</definedName>
    <definedName name="SalesQty144">'Бланк заказа'!$U$257:$U$257</definedName>
    <definedName name="SalesQty145">'Бланк заказа'!$U$258:$U$258</definedName>
    <definedName name="SalesQty146">'Бланк заказа'!$U$259:$U$259</definedName>
    <definedName name="SalesQty147">'Бланк заказа'!$U$260:$U$260</definedName>
    <definedName name="SalesQty148">'Бланк заказа'!$U$261:$U$261</definedName>
    <definedName name="SalesQty149">'Бланк заказа'!$U$262:$U$262</definedName>
    <definedName name="SalesQty15">'Бланк заказа'!$U$57:$U$57</definedName>
    <definedName name="SalesQty150">'Бланк заказа'!$U$266:$U$266</definedName>
    <definedName name="SalesQty151">'Бланк заказа'!$U$267:$U$267</definedName>
    <definedName name="SalesQty152">'Бланк заказа'!$U$272:$U$272</definedName>
    <definedName name="SalesQty153">'Бланк заказа'!$U$276:$U$276</definedName>
    <definedName name="SalesQty154">'Бланк заказа'!$U$277:$U$277</definedName>
    <definedName name="SalesQty155">'Бланк заказа'!$U$278:$U$278</definedName>
    <definedName name="SalesQty156">'Бланк заказа'!$U$282:$U$282</definedName>
    <definedName name="SalesQty157">'Бланк заказа'!$U$286:$U$286</definedName>
    <definedName name="SalesQty158">'Бланк заказа'!$U$292:$U$292</definedName>
    <definedName name="SalesQty159">'Бланк заказа'!$U$293:$U$293</definedName>
    <definedName name="SalesQty16">'Бланк заказа'!$U$58:$U$58</definedName>
    <definedName name="SalesQty160">'Бланк заказа'!$U$294:$U$294</definedName>
    <definedName name="SalesQty161">'Бланк заказа'!$U$295:$U$295</definedName>
    <definedName name="SalesQty162">'Бланк заказа'!$U$296:$U$296</definedName>
    <definedName name="SalesQty163">'Бланк заказа'!$U$297:$U$297</definedName>
    <definedName name="SalesQty164">'Бланк заказа'!$U$298:$U$298</definedName>
    <definedName name="SalesQty165">'Бланк заказа'!$U$299:$U$299</definedName>
    <definedName name="SalesQty166">'Бланк заказа'!$U$303:$U$303</definedName>
    <definedName name="SalesQty167">'Бланк заказа'!$U$304:$U$304</definedName>
    <definedName name="SalesQty168">'Бланк заказа'!$U$308:$U$308</definedName>
    <definedName name="SalesQty169">'Бланк заказа'!$U$312:$U$312</definedName>
    <definedName name="SalesQty17">'Бланк заказа'!$U$63:$U$63</definedName>
    <definedName name="SalesQty170">'Бланк заказа'!$U$317:$U$317</definedName>
    <definedName name="SalesQty171">'Бланк заказа'!$U$318:$U$318</definedName>
    <definedName name="SalesQty172">'Бланк заказа'!$U$319:$U$319</definedName>
    <definedName name="SalesQty173">'Бланк заказа'!$U$320:$U$320</definedName>
    <definedName name="SalesQty174">'Бланк заказа'!$U$324:$U$324</definedName>
    <definedName name="SalesQty175">'Бланк заказа'!$U$325:$U$325</definedName>
    <definedName name="SalesQty176">'Бланк заказа'!$U$329:$U$329</definedName>
    <definedName name="SalesQty177">'Бланк заказа'!$U$330:$U$330</definedName>
    <definedName name="SalesQty178">'Бланк заказа'!$U$331:$U$331</definedName>
    <definedName name="SalesQty179">'Бланк заказа'!$U$332:$U$332</definedName>
    <definedName name="SalesQty18">'Бланк заказа'!$U$64:$U$64</definedName>
    <definedName name="SalesQty180">'Бланк заказа'!$U$336:$U$336</definedName>
    <definedName name="SalesQty181">'Бланк заказа'!$U$342:$U$342</definedName>
    <definedName name="SalesQty182">'Бланк заказа'!$U$343:$U$343</definedName>
    <definedName name="SalesQty183">'Бланк заказа'!$U$347:$U$347</definedName>
    <definedName name="SalesQty184">'Бланк заказа'!$U$348:$U$348</definedName>
    <definedName name="SalesQty185">'Бланк заказа'!$U$349:$U$349</definedName>
    <definedName name="SalesQty186">'Бланк заказа'!$U$350:$U$350</definedName>
    <definedName name="SalesQty187">'Бланк заказа'!$U$351:$U$351</definedName>
    <definedName name="SalesQty188">'Бланк заказа'!$U$352:$U$352</definedName>
    <definedName name="SalesQty189">'Бланк заказа'!$U$353:$U$353</definedName>
    <definedName name="SalesQty19">'Бланк заказа'!$U$65:$U$65</definedName>
    <definedName name="SalesQty190">'Бланк заказа'!$U$354:$U$354</definedName>
    <definedName name="SalesQty191">'Бланк заказа'!$U$355:$U$355</definedName>
    <definedName name="SalesQty192">'Бланк заказа'!$U$356:$U$356</definedName>
    <definedName name="SalesQty193">'Бланк заказа'!$U$357:$U$357</definedName>
    <definedName name="SalesQty194">'Бланк заказа'!$U$358:$U$358</definedName>
    <definedName name="SalesQty195">'Бланк заказа'!$U$359:$U$359</definedName>
    <definedName name="SalesQty196">'Бланк заказа'!$U$363:$U$363</definedName>
    <definedName name="SalesQty197">'Бланк заказа'!$U$364:$U$364</definedName>
    <definedName name="SalesQty198">'Бланк заказа'!$U$365:$U$365</definedName>
    <definedName name="SalesQty199">'Бланк заказа'!$U$366:$U$366</definedName>
    <definedName name="SalesQty2">'Бланк заказа'!$U$26:$U$26</definedName>
    <definedName name="SalesQty20">'Бланк заказа'!$U$66:$U$66</definedName>
    <definedName name="SalesQty200">'Бланк заказа'!$U$370:$U$370</definedName>
    <definedName name="SalesQty201">'Бланк заказа'!$U$374:$U$374</definedName>
    <definedName name="SalesQty202">'Бланк заказа'!$U$375:$U$375</definedName>
    <definedName name="SalesQty203">'Бланк заказа'!$U$376:$U$376</definedName>
    <definedName name="SalesQty204">'Бланк заказа'!$U$380:$U$380</definedName>
    <definedName name="SalesQty205">'Бланк заказа'!$U$385:$U$385</definedName>
    <definedName name="SalesQty206">'Бланк заказа'!$U$386:$U$386</definedName>
    <definedName name="SalesQty207">'Бланк заказа'!$U$390:$U$390</definedName>
    <definedName name="SalesQty208">'Бланк заказа'!$U$391:$U$391</definedName>
    <definedName name="SalesQty209">'Бланк заказа'!$U$392:$U$392</definedName>
    <definedName name="SalesQty21">'Бланк заказа'!$U$67:$U$67</definedName>
    <definedName name="SalesQty210">'Бланк заказа'!$U$393:$U$393</definedName>
    <definedName name="SalesQty211">'Бланк заказа'!$U$394:$U$394</definedName>
    <definedName name="SalesQty212">'Бланк заказа'!$U$395:$U$395</definedName>
    <definedName name="SalesQty213">'Бланк заказа'!$U$396:$U$396</definedName>
    <definedName name="SalesQty214">'Бланк заказа'!$U$400:$U$400</definedName>
    <definedName name="SalesQty215">'Бланк заказа'!$U$404:$U$404</definedName>
    <definedName name="SalesQty216">'Бланк заказа'!$U$410:$U$410</definedName>
    <definedName name="SalesQty217">'Бланк заказа'!$U$411:$U$411</definedName>
    <definedName name="SalesQty218">'Бланк заказа'!$U$412:$U$412</definedName>
    <definedName name="SalesQty219">'Бланк заказа'!$U$413:$U$413</definedName>
    <definedName name="SalesQty22">'Бланк заказа'!$U$68:$U$68</definedName>
    <definedName name="SalesQty220">'Бланк заказа'!$U$414:$U$414</definedName>
    <definedName name="SalesQty221">'Бланк заказа'!$U$415:$U$415</definedName>
    <definedName name="SalesQty222">'Бланк заказа'!$U$416:$U$416</definedName>
    <definedName name="SalesQty223">'Бланк заказа'!$U$417:$U$417</definedName>
    <definedName name="SalesQty224">'Бланк заказа'!$U$418:$U$418</definedName>
    <definedName name="SalesQty225">'Бланк заказа'!$U$422:$U$422</definedName>
    <definedName name="SalesQty226">'Бланк заказа'!$U$423:$U$423</definedName>
    <definedName name="SalesQty227">'Бланк заказа'!$U$427:$U$427</definedName>
    <definedName name="SalesQty228">'Бланк заказа'!$U$428:$U$428</definedName>
    <definedName name="SalesQty229">'Бланк заказа'!$U$429:$U$429</definedName>
    <definedName name="SalesQty23">'Бланк заказа'!$U$69:$U$69</definedName>
    <definedName name="SalesQty230">'Бланк заказа'!$U$430:$U$430</definedName>
    <definedName name="SalesQty231">'Бланк заказа'!$U$431:$U$431</definedName>
    <definedName name="SalesQty232">'Бланк заказа'!$U$432:$U$432</definedName>
    <definedName name="SalesQty233">'Бланк заказа'!$U$436:$U$436</definedName>
    <definedName name="SalesQty234">'Бланк заказа'!$U$437:$U$437</definedName>
    <definedName name="SalesQty235">'Бланк заказа'!$U$443:$U$443</definedName>
    <definedName name="SalesQty236">'Бланк заказа'!$U$444:$U$444</definedName>
    <definedName name="SalesQty237">'Бланк заказа'!$U$448:$U$448</definedName>
    <definedName name="SalesQty238">'Бланк заказа'!$U$449:$U$449</definedName>
    <definedName name="SalesQty239">'Бланк заказа'!$U$450:$U$450</definedName>
    <definedName name="SalesQty24">'Бланк заказа'!$U$70:$U$70</definedName>
    <definedName name="SalesQty240">'Бланк заказа'!$U$454:$U$454</definedName>
    <definedName name="SalesQty241">'Бланк заказа'!$U$455:$U$455</definedName>
    <definedName name="SalesQty242">'Бланк заказа'!$U$456:$U$456</definedName>
    <definedName name="SalesQty243">'Бланк заказа'!$U$460:$U$460</definedName>
    <definedName name="SalesQty244">'Бланк заказа'!$U$461:$U$461</definedName>
    <definedName name="SalesQty245">'Бланк заказа'!$U$466:$U$466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заказа'!$U$82:$U$82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заказа'!$U$91:$U$91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заказа'!$U$114:$U$114</definedName>
    <definedName name="SalesQty6">'Бланк заказа'!$U$30:$U$30</definedName>
    <definedName name="SalesQty60">'Бланк заказа'!$U$118:$U$118</definedName>
    <definedName name="SalesQty61">'Бланк заказа'!$U$119:$U$119</definedName>
    <definedName name="SalesQty62">'Бланк заказа'!$U$120:$U$120</definedName>
    <definedName name="SalesQty63">'Бланк заказа'!$U$121:$U$121</definedName>
    <definedName name="SalesQty64">'Бланк заказа'!$U$122:$U$122</definedName>
    <definedName name="SalesQty65">'Бланк заказа'!$U$127:$U$127</definedName>
    <definedName name="SalesQty66">'Бланк заказа'!$U$128:$U$128</definedName>
    <definedName name="SalesQty67">'Бланк заказа'!$U$129:$U$129</definedName>
    <definedName name="SalesQty68">'Бланк заказа'!$U$130:$U$130</definedName>
    <definedName name="SalesQty69">'Бланк заказа'!$U$136:$U$136</definedName>
    <definedName name="SalesQty7">'Бланк заказа'!$U$31:$U$31</definedName>
    <definedName name="SalesQty70">'Бланк заказа'!$U$137:$U$137</definedName>
    <definedName name="SalesQty71">'Бланк заказа'!$U$138:$U$138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заказа'!$U$149:$U$149</definedName>
    <definedName name="SalesQty79">'Бланк заказа'!$U$150:$U$150</definedName>
    <definedName name="SalesQty8">'Бланк заказа'!$U$35:$U$35</definedName>
    <definedName name="SalesQty80">'Бланк заказа'!$U$155:$U$155</definedName>
    <definedName name="SalesQty81">'Бланк заказа'!$U$156:$U$156</definedName>
    <definedName name="SalesQty82">'Бланк заказа'!$U$160:$U$160</definedName>
    <definedName name="SalesQty83">'Бланк заказа'!$U$161:$U$161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заказа'!$U$172:$U$172</definedName>
    <definedName name="SalesQty89">'Бланк заказа'!$U$173:$U$173</definedName>
    <definedName name="SalesQty9">'Бланк заказа'!$U$39:$U$39</definedName>
    <definedName name="SalesQty90">'Бланк заказа'!$U$174:$U$174</definedName>
    <definedName name="SalesQty91">'Бланк заказа'!$U$175:$U$175</definedName>
    <definedName name="SalesQty92">'Бланк заказа'!$U$176:$U$176</definedName>
    <definedName name="SalesQty93">'Бланк заказа'!$U$177:$U$177</definedName>
    <definedName name="SalesQty94">'Бланк заказа'!$U$178:$U$178</definedName>
    <definedName name="SalesQty95">'Бланк заказа'!$U$179:$U$179</definedName>
    <definedName name="SalesQty96">'Бланк заказа'!$U$180:$U$180</definedName>
    <definedName name="SalesQty97">'Бланк заказа'!$U$181:$U$181</definedName>
    <definedName name="SalesQty98">'Бланк заказа'!$U$182:$U$182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заказа'!$V$43:$V$43</definedName>
    <definedName name="SalesRoundBox100">'Бланк заказа'!$V$184:$V$184</definedName>
    <definedName name="SalesRoundBox101">'Бланк заказа'!$V$185:$V$185</definedName>
    <definedName name="SalesRoundBox102">'Бланк заказа'!$V$186:$V$186</definedName>
    <definedName name="SalesRoundBox103">'Бланк заказа'!$V$187:$V$187</definedName>
    <definedName name="SalesRoundBox104">'Бланк заказа'!$V$188:$V$188</definedName>
    <definedName name="SalesRoundBox105">'Бланк заказа'!$V$189:$V$189</definedName>
    <definedName name="SalesRoundBox106">'Бланк заказа'!$V$193:$V$193</definedName>
    <definedName name="SalesRoundBox107">'Бланк заказа'!$V$194:$V$194</definedName>
    <definedName name="SalesRoundBox108">'Бланк заказа'!$V$199:$V$199</definedName>
    <definedName name="SalesRoundBox109">'Бланк заказа'!$V$200:$V$200</definedName>
    <definedName name="SalesRoundBox11">'Бланк заказа'!$V$49:$V$49</definedName>
    <definedName name="SalesRoundBox110">'Бланк заказа'!$V$201:$V$201</definedName>
    <definedName name="SalesRoundBox111">'Бланк заказа'!$V$202:$V$202</definedName>
    <definedName name="SalesRoundBox112">'Бланк заказа'!$V$203:$V$203</definedName>
    <definedName name="SalesRoundBox113">'Бланк заказа'!$V$204:$V$204</definedName>
    <definedName name="SalesRoundBox114">'Бланк заказа'!$V$205:$V$205</definedName>
    <definedName name="SalesRoundBox115">'Бланк заказа'!$V$206:$V$206</definedName>
    <definedName name="SalesRoundBox116">'Бланк заказа'!$V$207:$V$207</definedName>
    <definedName name="SalesRoundBox117">'Бланк заказа'!$V$208:$V$208</definedName>
    <definedName name="SalesRoundBox118">'Бланк заказа'!$V$209:$V$209</definedName>
    <definedName name="SalesRoundBox119">'Бланк заказа'!$V$210:$V$210</definedName>
    <definedName name="SalesRoundBox12">'Бланк заказа'!$V$50:$V$50</definedName>
    <definedName name="SalesRoundBox120">'Бланк заказа'!$V$211:$V$211</definedName>
    <definedName name="SalesRoundBox121">'Бланк заказа'!$V$212:$V$212</definedName>
    <definedName name="SalesRoundBox122">'Бланк заказа'!$V$213:$V$213</definedName>
    <definedName name="SalesRoundBox123">'Бланк заказа'!$V$217:$V$217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заказа'!$V$224:$V$224</definedName>
    <definedName name="SalesRoundBox128">'Бланк заказа'!$V$228:$V$228</definedName>
    <definedName name="SalesRoundBox129">'Бланк заказа'!$V$229:$V$229</definedName>
    <definedName name="SalesRoundBox13">'Бланк заказа'!$V$55:$V$55</definedName>
    <definedName name="SalesRoundBox130">'Бланк заказа'!$V$230:$V$230</definedName>
    <definedName name="SalesRoundBox131">'Бланк заказа'!$V$231:$V$231</definedName>
    <definedName name="SalesRoundBox132">'Бланк заказа'!$V$232:$V$232</definedName>
    <definedName name="SalesRoundBox133">'Бланк заказа'!$V$233:$V$233</definedName>
    <definedName name="SalesRoundBox134">'Бланк заказа'!$V$237:$V$237</definedName>
    <definedName name="SalesRoundBox135">'Бланк заказа'!$V$238:$V$238</definedName>
    <definedName name="SalesRoundBox136">'Бланк заказа'!$V$239:$V$239</definedName>
    <definedName name="SalesRoundBox137">'Бланк заказа'!$V$243:$V$243</definedName>
    <definedName name="SalesRoundBox138">'Бланк заказа'!$V$244:$V$244</definedName>
    <definedName name="SalesRoundBox139">'Бланк заказа'!$V$245:$V$245</definedName>
    <definedName name="SalesRoundBox14">'Бланк заказа'!$V$56:$V$56</definedName>
    <definedName name="SalesRoundBox140">'Бланк заказа'!$V$249:$V$249</definedName>
    <definedName name="SalesRoundBox141">'Бланк заказа'!$V$250:$V$250</definedName>
    <definedName name="SalesRoundBox142">'Бланк заказа'!$V$251:$V$251</definedName>
    <definedName name="SalesRoundBox143">'Бланк заказа'!$V$256:$V$256</definedName>
    <definedName name="SalesRoundBox144">'Бланк заказа'!$V$257:$V$257</definedName>
    <definedName name="SalesRoundBox145">'Бланк заказа'!$V$258:$V$258</definedName>
    <definedName name="SalesRoundBox146">'Бланк заказа'!$V$259:$V$259</definedName>
    <definedName name="SalesRoundBox147">'Бланк заказа'!$V$260:$V$260</definedName>
    <definedName name="SalesRoundBox148">'Бланк заказа'!$V$261:$V$261</definedName>
    <definedName name="SalesRoundBox149">'Бланк заказа'!$V$262:$V$262</definedName>
    <definedName name="SalesRoundBox15">'Бланк заказа'!$V$57:$V$57</definedName>
    <definedName name="SalesRoundBox150">'Бланк заказа'!$V$266:$V$266</definedName>
    <definedName name="SalesRoundBox151">'Бланк заказа'!$V$267:$V$267</definedName>
    <definedName name="SalesRoundBox152">'Бланк заказа'!$V$272:$V$272</definedName>
    <definedName name="SalesRoundBox153">'Бланк заказа'!$V$276:$V$276</definedName>
    <definedName name="SalesRoundBox154">'Бланк заказа'!$V$277:$V$277</definedName>
    <definedName name="SalesRoundBox155">'Бланк заказа'!$V$278:$V$278</definedName>
    <definedName name="SalesRoundBox156">'Бланк заказа'!$V$282:$V$282</definedName>
    <definedName name="SalesRoundBox157">'Бланк заказа'!$V$286:$V$286</definedName>
    <definedName name="SalesRoundBox158">'Бланк заказа'!$V$292:$V$292</definedName>
    <definedName name="SalesRoundBox159">'Бланк заказа'!$V$293:$V$293</definedName>
    <definedName name="SalesRoundBox16">'Бланк заказа'!$V$58:$V$58</definedName>
    <definedName name="SalesRoundBox160">'Бланк заказа'!$V$294:$V$294</definedName>
    <definedName name="SalesRoundBox161">'Бланк заказа'!$V$295:$V$295</definedName>
    <definedName name="SalesRoundBox162">'Бланк заказа'!$V$296:$V$296</definedName>
    <definedName name="SalesRoundBox163">'Бланк заказа'!$V$297:$V$297</definedName>
    <definedName name="SalesRoundBox164">'Бланк заказа'!$V$298:$V$298</definedName>
    <definedName name="SalesRoundBox165">'Бланк заказа'!$V$299:$V$299</definedName>
    <definedName name="SalesRoundBox166">'Бланк заказа'!$V$303:$V$303</definedName>
    <definedName name="SalesRoundBox167">'Бланк заказа'!$V$304:$V$304</definedName>
    <definedName name="SalesRoundBox168">'Бланк заказа'!$V$308:$V$308</definedName>
    <definedName name="SalesRoundBox169">'Бланк заказа'!$V$312:$V$312</definedName>
    <definedName name="SalesRoundBox17">'Бланк заказа'!$V$63:$V$63</definedName>
    <definedName name="SalesRoundBox170">'Бланк заказа'!$V$317:$V$317</definedName>
    <definedName name="SalesRoundBox171">'Бланк заказа'!$V$318:$V$318</definedName>
    <definedName name="SalesRoundBox172">'Бланк заказа'!$V$319:$V$319</definedName>
    <definedName name="SalesRoundBox173">'Бланк заказа'!$V$320:$V$320</definedName>
    <definedName name="SalesRoundBox174">'Бланк заказа'!$V$324:$V$324</definedName>
    <definedName name="SalesRoundBox175">'Бланк заказа'!$V$325:$V$325</definedName>
    <definedName name="SalesRoundBox176">'Бланк заказа'!$V$329:$V$329</definedName>
    <definedName name="SalesRoundBox177">'Бланк заказа'!$V$330:$V$330</definedName>
    <definedName name="SalesRoundBox178">'Бланк заказа'!$V$331:$V$331</definedName>
    <definedName name="SalesRoundBox179">'Бланк заказа'!$V$332:$V$332</definedName>
    <definedName name="SalesRoundBox18">'Бланк заказа'!$V$64:$V$64</definedName>
    <definedName name="SalesRoundBox180">'Бланк заказа'!$V$336:$V$336</definedName>
    <definedName name="SalesRoundBox181">'Бланк заказа'!$V$342:$V$342</definedName>
    <definedName name="SalesRoundBox182">'Бланк заказа'!$V$343:$V$343</definedName>
    <definedName name="SalesRoundBox183">'Бланк заказа'!$V$347:$V$347</definedName>
    <definedName name="SalesRoundBox184">'Бланк заказа'!$V$348:$V$348</definedName>
    <definedName name="SalesRoundBox185">'Бланк заказа'!$V$349:$V$349</definedName>
    <definedName name="SalesRoundBox186">'Бланк заказа'!$V$350:$V$350</definedName>
    <definedName name="SalesRoundBox187">'Бланк заказа'!$V$351:$V$351</definedName>
    <definedName name="SalesRoundBox188">'Бланк заказа'!$V$352:$V$352</definedName>
    <definedName name="SalesRoundBox189">'Бланк заказа'!$V$353:$V$353</definedName>
    <definedName name="SalesRoundBox19">'Бланк заказа'!$V$65:$V$65</definedName>
    <definedName name="SalesRoundBox190">'Бланк заказа'!$V$354:$V$354</definedName>
    <definedName name="SalesRoundBox191">'Бланк заказа'!$V$355:$V$355</definedName>
    <definedName name="SalesRoundBox192">'Бланк заказа'!$V$356:$V$356</definedName>
    <definedName name="SalesRoundBox193">'Бланк заказа'!$V$357:$V$357</definedName>
    <definedName name="SalesRoundBox194">'Бланк заказа'!$V$358:$V$358</definedName>
    <definedName name="SalesRoundBox195">'Бланк заказа'!$V$359:$V$359</definedName>
    <definedName name="SalesRoundBox196">'Бланк заказа'!$V$363:$V$363</definedName>
    <definedName name="SalesRoundBox197">'Бланк заказа'!$V$364:$V$364</definedName>
    <definedName name="SalesRoundBox198">'Бланк заказа'!$V$365:$V$365</definedName>
    <definedName name="SalesRoundBox199">'Бланк заказа'!$V$366:$V$366</definedName>
    <definedName name="SalesRoundBox2">'Бланк заказа'!$V$26:$V$26</definedName>
    <definedName name="SalesRoundBox20">'Бланк заказа'!$V$66:$V$66</definedName>
    <definedName name="SalesRoundBox200">'Бланк заказа'!$V$370:$V$370</definedName>
    <definedName name="SalesRoundBox201">'Бланк заказа'!$V$374:$V$374</definedName>
    <definedName name="SalesRoundBox202">'Бланк заказа'!$V$375:$V$375</definedName>
    <definedName name="SalesRoundBox203">'Бланк заказа'!$V$376:$V$376</definedName>
    <definedName name="SalesRoundBox204">'Бланк заказа'!$V$380:$V$380</definedName>
    <definedName name="SalesRoundBox205">'Бланк заказа'!$V$385:$V$385</definedName>
    <definedName name="SalesRoundBox206">'Бланк заказа'!$V$386:$V$386</definedName>
    <definedName name="SalesRoundBox207">'Бланк заказа'!$V$390:$V$390</definedName>
    <definedName name="SalesRoundBox208">'Бланк заказа'!$V$391:$V$391</definedName>
    <definedName name="SalesRoundBox209">'Бланк заказа'!$V$392:$V$392</definedName>
    <definedName name="SalesRoundBox21">'Бланк заказа'!$V$67:$V$67</definedName>
    <definedName name="SalesRoundBox210">'Бланк заказа'!$V$393:$V$393</definedName>
    <definedName name="SalesRoundBox211">'Бланк заказа'!$V$394:$V$394</definedName>
    <definedName name="SalesRoundBox212">'Бланк заказа'!$V$395:$V$395</definedName>
    <definedName name="SalesRoundBox213">'Бланк заказа'!$V$396:$V$396</definedName>
    <definedName name="SalesRoundBox214">'Бланк заказа'!$V$400:$V$400</definedName>
    <definedName name="SalesRoundBox215">'Бланк заказа'!$V$404:$V$404</definedName>
    <definedName name="SalesRoundBox216">'Бланк заказа'!$V$410:$V$410</definedName>
    <definedName name="SalesRoundBox217">'Бланк заказа'!$V$411:$V$411</definedName>
    <definedName name="SalesRoundBox218">'Бланк заказа'!$V$412:$V$412</definedName>
    <definedName name="SalesRoundBox219">'Бланк заказа'!$V$413:$V$413</definedName>
    <definedName name="SalesRoundBox22">'Бланк заказа'!$V$68:$V$68</definedName>
    <definedName name="SalesRoundBox220">'Бланк заказа'!$V$414:$V$414</definedName>
    <definedName name="SalesRoundBox221">'Бланк заказа'!$V$415:$V$415</definedName>
    <definedName name="SalesRoundBox222">'Бланк заказа'!$V$416:$V$416</definedName>
    <definedName name="SalesRoundBox223">'Бланк заказа'!$V$417:$V$417</definedName>
    <definedName name="SalesRoundBox224">'Бланк заказа'!$V$418:$V$418</definedName>
    <definedName name="SalesRoundBox225">'Бланк заказа'!$V$422:$V$422</definedName>
    <definedName name="SalesRoundBox226">'Бланк заказа'!$V$423:$V$423</definedName>
    <definedName name="SalesRoundBox227">'Бланк заказа'!$V$427:$V$427</definedName>
    <definedName name="SalesRoundBox228">'Бланк заказа'!$V$428:$V$428</definedName>
    <definedName name="SalesRoundBox229">'Бланк заказа'!$V$429:$V$429</definedName>
    <definedName name="SalesRoundBox23">'Бланк заказа'!$V$69:$V$69</definedName>
    <definedName name="SalesRoundBox230">'Бланк заказа'!$V$430:$V$430</definedName>
    <definedName name="SalesRoundBox231">'Бланк заказа'!$V$431:$V$431</definedName>
    <definedName name="SalesRoundBox232">'Бланк заказа'!$V$432:$V$432</definedName>
    <definedName name="SalesRoundBox233">'Бланк заказа'!$V$436:$V$436</definedName>
    <definedName name="SalesRoundBox234">'Бланк заказа'!$V$437:$V$437</definedName>
    <definedName name="SalesRoundBox235">'Бланк заказа'!$V$443:$V$443</definedName>
    <definedName name="SalesRoundBox236">'Бланк заказа'!$V$444:$V$444</definedName>
    <definedName name="SalesRoundBox237">'Бланк заказа'!$V$448:$V$448</definedName>
    <definedName name="SalesRoundBox238">'Бланк заказа'!$V$449:$V$449</definedName>
    <definedName name="SalesRoundBox239">'Бланк заказа'!$V$450:$V$450</definedName>
    <definedName name="SalesRoundBox24">'Бланк заказа'!$V$70:$V$70</definedName>
    <definedName name="SalesRoundBox240">'Бланк заказа'!$V$454:$V$454</definedName>
    <definedName name="SalesRoundBox241">'Бланк заказа'!$V$455:$V$455</definedName>
    <definedName name="SalesRoundBox242">'Бланк заказа'!$V$456:$V$456</definedName>
    <definedName name="SalesRoundBox243">'Бланк заказа'!$V$460:$V$460</definedName>
    <definedName name="SalesRoundBox244">'Бланк заказа'!$V$461:$V$461</definedName>
    <definedName name="SalesRoundBox245">'Бланк заказа'!$V$466:$V$466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заказа'!$V$82:$V$82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заказа'!$V$91:$V$91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заказа'!$V$114:$V$114</definedName>
    <definedName name="SalesRoundBox6">'Бланк заказа'!$V$30:$V$30</definedName>
    <definedName name="SalesRoundBox60">'Бланк заказа'!$V$118:$V$118</definedName>
    <definedName name="SalesRoundBox61">'Бланк заказа'!$V$119:$V$119</definedName>
    <definedName name="SalesRoundBox62">'Бланк заказа'!$V$120:$V$120</definedName>
    <definedName name="SalesRoundBox63">'Бланк заказа'!$V$121:$V$121</definedName>
    <definedName name="SalesRoundBox64">'Бланк заказа'!$V$122:$V$122</definedName>
    <definedName name="SalesRoundBox65">'Бланк заказа'!$V$127:$V$127</definedName>
    <definedName name="SalesRoundBox66">'Бланк заказа'!$V$128:$V$128</definedName>
    <definedName name="SalesRoundBox67">'Бланк заказа'!$V$129:$V$129</definedName>
    <definedName name="SalesRoundBox68">'Бланк заказа'!$V$130:$V$130</definedName>
    <definedName name="SalesRoundBox69">'Бланк заказа'!$V$136:$V$136</definedName>
    <definedName name="SalesRoundBox7">'Бланк заказа'!$V$31:$V$31</definedName>
    <definedName name="SalesRoundBox70">'Бланк заказа'!$V$137:$V$137</definedName>
    <definedName name="SalesRoundBox71">'Бланк заказа'!$V$138:$V$138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заказа'!$V$149:$V$149</definedName>
    <definedName name="SalesRoundBox79">'Бланк заказа'!$V$150:$V$150</definedName>
    <definedName name="SalesRoundBox8">'Бланк заказа'!$V$35:$V$35</definedName>
    <definedName name="SalesRoundBox80">'Бланк заказа'!$V$155:$V$155</definedName>
    <definedName name="SalesRoundBox81">'Бланк заказа'!$V$156:$V$156</definedName>
    <definedName name="SalesRoundBox82">'Бланк заказа'!$V$160:$V$160</definedName>
    <definedName name="SalesRoundBox83">'Бланк заказа'!$V$161:$V$161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заказа'!$V$172:$V$172</definedName>
    <definedName name="SalesRoundBox89">'Бланк заказа'!$V$173:$V$173</definedName>
    <definedName name="SalesRoundBox9">'Бланк заказа'!$V$39:$V$39</definedName>
    <definedName name="SalesRoundBox90">'Бланк заказа'!$V$174:$V$174</definedName>
    <definedName name="SalesRoundBox91">'Бланк заказа'!$V$175:$V$175</definedName>
    <definedName name="SalesRoundBox92">'Бланк заказа'!$V$176:$V$176</definedName>
    <definedName name="SalesRoundBox93">'Бланк заказа'!$V$177:$V$177</definedName>
    <definedName name="SalesRoundBox94">'Бланк заказа'!$V$178:$V$178</definedName>
    <definedName name="SalesRoundBox95">'Бланк заказа'!$V$179:$V$179</definedName>
    <definedName name="SalesRoundBox96">'Бланк заказа'!$V$180:$V$180</definedName>
    <definedName name="SalesRoundBox97">'Бланк заказа'!$V$181:$V$181</definedName>
    <definedName name="SalesRoundBox98">'Бланк заказа'!$V$182:$V$182</definedName>
    <definedName name="SalesRoundBox99">'Бланк заказа'!$V$183:$V$183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заказа'!$T$43:$T$43</definedName>
    <definedName name="UnitOfMeasure100">'Бланк заказа'!$T$184:$T$184</definedName>
    <definedName name="UnitOfMeasure101">'Бланк заказа'!$T$185:$T$185</definedName>
    <definedName name="UnitOfMeasure102">'Бланк заказа'!$T$186:$T$186</definedName>
    <definedName name="UnitOfMeasure103">'Бланк заказа'!$T$187:$T$187</definedName>
    <definedName name="UnitOfMeasure104">'Бланк заказа'!$T$188:$T$188</definedName>
    <definedName name="UnitOfMeasure105">'Бланк заказа'!$T$189:$T$189</definedName>
    <definedName name="UnitOfMeasure106">'Бланк заказа'!$T$193:$T$193</definedName>
    <definedName name="UnitOfMeasure107">'Бланк заказа'!$T$194:$T$194</definedName>
    <definedName name="UnitOfMeasure108">'Бланк заказа'!$T$199:$T$199</definedName>
    <definedName name="UnitOfMeasure109">'Бланк заказа'!$T$200:$T$200</definedName>
    <definedName name="UnitOfMeasure11">'Бланк заказа'!$T$49:$T$49</definedName>
    <definedName name="UnitOfMeasure110">'Бланк заказа'!$T$201:$T$201</definedName>
    <definedName name="UnitOfMeasure111">'Бланк заказа'!$T$202:$T$202</definedName>
    <definedName name="UnitOfMeasure112">'Бланк заказа'!$T$203:$T$203</definedName>
    <definedName name="UnitOfMeasure113">'Бланк заказа'!$T$204:$T$204</definedName>
    <definedName name="UnitOfMeasure114">'Бланк заказа'!$T$205:$T$205</definedName>
    <definedName name="UnitOfMeasure115">'Бланк заказа'!$T$206:$T$206</definedName>
    <definedName name="UnitOfMeasure116">'Бланк заказа'!$T$207:$T$207</definedName>
    <definedName name="UnitOfMeasure117">'Бланк заказа'!$T$208:$T$208</definedName>
    <definedName name="UnitOfMeasure118">'Бланк заказа'!$T$209:$T$209</definedName>
    <definedName name="UnitOfMeasure119">'Бланк заказа'!$T$210:$T$210</definedName>
    <definedName name="UnitOfMeasure12">'Бланк заказа'!$T$50:$T$50</definedName>
    <definedName name="UnitOfMeasure120">'Бланк заказа'!$T$211:$T$211</definedName>
    <definedName name="UnitOfMeasure121">'Бланк заказа'!$T$212:$T$212</definedName>
    <definedName name="UnitOfMeasure122">'Бланк заказа'!$T$213:$T$213</definedName>
    <definedName name="UnitOfMeasure123">'Бланк заказа'!$T$217:$T$217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заказа'!$T$224:$T$224</definedName>
    <definedName name="UnitOfMeasure128">'Бланк заказа'!$T$228:$T$228</definedName>
    <definedName name="UnitOfMeasure129">'Бланк заказа'!$T$229:$T$229</definedName>
    <definedName name="UnitOfMeasure13">'Бланк заказа'!$T$55:$T$55</definedName>
    <definedName name="UnitOfMeasure130">'Бланк заказа'!$T$230:$T$230</definedName>
    <definedName name="UnitOfMeasure131">'Бланк заказа'!$T$231:$T$231</definedName>
    <definedName name="UnitOfMeasure132">'Бланк заказа'!$T$232:$T$232</definedName>
    <definedName name="UnitOfMeasure133">'Бланк заказа'!$T$233:$T$233</definedName>
    <definedName name="UnitOfMeasure134">'Бланк заказа'!$T$237:$T$237</definedName>
    <definedName name="UnitOfMeasure135">'Бланк заказа'!$T$238:$T$238</definedName>
    <definedName name="UnitOfMeasure136">'Бланк заказа'!$T$239:$T$239</definedName>
    <definedName name="UnitOfMeasure137">'Бланк заказа'!$T$243:$T$243</definedName>
    <definedName name="UnitOfMeasure138">'Бланк заказа'!$T$244:$T$244</definedName>
    <definedName name="UnitOfMeasure139">'Бланк заказа'!$T$245:$T$245</definedName>
    <definedName name="UnitOfMeasure14">'Бланк заказа'!$T$56:$T$56</definedName>
    <definedName name="UnitOfMeasure140">'Бланк заказа'!$T$249:$T$249</definedName>
    <definedName name="UnitOfMeasure141">'Бланк заказа'!$T$250:$T$250</definedName>
    <definedName name="UnitOfMeasure142">'Бланк заказа'!$T$251:$T$251</definedName>
    <definedName name="UnitOfMeasure143">'Бланк заказа'!$T$256:$T$256</definedName>
    <definedName name="UnitOfMeasure144">'Бланк заказа'!$T$257:$T$257</definedName>
    <definedName name="UnitOfMeasure145">'Бланк заказа'!$T$258:$T$258</definedName>
    <definedName name="UnitOfMeasure146">'Бланк заказа'!$T$259:$T$259</definedName>
    <definedName name="UnitOfMeasure147">'Бланк заказа'!$T$260:$T$260</definedName>
    <definedName name="UnitOfMeasure148">'Бланк заказа'!$T$261:$T$261</definedName>
    <definedName name="UnitOfMeasure149">'Бланк заказа'!$T$262:$T$262</definedName>
    <definedName name="UnitOfMeasure15">'Бланк заказа'!$T$57:$T$57</definedName>
    <definedName name="UnitOfMeasure150">'Бланк заказа'!$T$266:$T$266</definedName>
    <definedName name="UnitOfMeasure151">'Бланк заказа'!$T$267:$T$267</definedName>
    <definedName name="UnitOfMeasure152">'Бланк заказа'!$T$272:$T$272</definedName>
    <definedName name="UnitOfMeasure153">'Бланк заказа'!$T$276:$T$276</definedName>
    <definedName name="UnitOfMeasure154">'Бланк заказа'!$T$277:$T$277</definedName>
    <definedName name="UnitOfMeasure155">'Бланк заказа'!$T$278:$T$278</definedName>
    <definedName name="UnitOfMeasure156">'Бланк заказа'!$T$282:$T$282</definedName>
    <definedName name="UnitOfMeasure157">'Бланк заказа'!$T$286:$T$286</definedName>
    <definedName name="UnitOfMeasure158">'Бланк заказа'!$T$292:$T$292</definedName>
    <definedName name="UnitOfMeasure159">'Бланк заказа'!$T$293:$T$293</definedName>
    <definedName name="UnitOfMeasure16">'Бланк заказа'!$T$58:$T$58</definedName>
    <definedName name="UnitOfMeasure160">'Бланк заказа'!$T$294:$T$294</definedName>
    <definedName name="UnitOfMeasure161">'Бланк заказа'!$T$295:$T$295</definedName>
    <definedName name="UnitOfMeasure162">'Бланк заказа'!$T$296:$T$296</definedName>
    <definedName name="UnitOfMeasure163">'Бланк заказа'!$T$297:$T$297</definedName>
    <definedName name="UnitOfMeasure164">'Бланк заказа'!$T$298:$T$298</definedName>
    <definedName name="UnitOfMeasure165">'Бланк заказа'!$T$299:$T$299</definedName>
    <definedName name="UnitOfMeasure166">'Бланк заказа'!$T$303:$T$303</definedName>
    <definedName name="UnitOfMeasure167">'Бланк заказа'!$T$304:$T$304</definedName>
    <definedName name="UnitOfMeasure168">'Бланк заказа'!$T$308:$T$308</definedName>
    <definedName name="UnitOfMeasure169">'Бланк заказа'!$T$312:$T$312</definedName>
    <definedName name="UnitOfMeasure17">'Бланк заказа'!$T$63:$T$63</definedName>
    <definedName name="UnitOfMeasure170">'Бланк заказа'!$T$317:$T$317</definedName>
    <definedName name="UnitOfMeasure171">'Бланк заказа'!$T$318:$T$318</definedName>
    <definedName name="UnitOfMeasure172">'Бланк заказа'!$T$319:$T$319</definedName>
    <definedName name="UnitOfMeasure173">'Бланк заказа'!$T$320:$T$320</definedName>
    <definedName name="UnitOfMeasure174">'Бланк заказа'!$T$324:$T$324</definedName>
    <definedName name="UnitOfMeasure175">'Бланк заказа'!$T$325:$T$325</definedName>
    <definedName name="UnitOfMeasure176">'Бланк заказа'!$T$329:$T$329</definedName>
    <definedName name="UnitOfMeasure177">'Бланк заказа'!$T$330:$T$330</definedName>
    <definedName name="UnitOfMeasure178">'Бланк заказа'!$T$331:$T$331</definedName>
    <definedName name="UnitOfMeasure179">'Бланк заказа'!$T$332:$T$332</definedName>
    <definedName name="UnitOfMeasure18">'Бланк заказа'!$T$64:$T$64</definedName>
    <definedName name="UnitOfMeasure180">'Бланк заказа'!$T$336:$T$336</definedName>
    <definedName name="UnitOfMeasure181">'Бланк заказа'!$T$342:$T$342</definedName>
    <definedName name="UnitOfMeasure182">'Бланк заказа'!$T$343:$T$343</definedName>
    <definedName name="UnitOfMeasure183">'Бланк заказа'!$T$347:$T$347</definedName>
    <definedName name="UnitOfMeasure184">'Бланк заказа'!$T$348:$T$348</definedName>
    <definedName name="UnitOfMeasure185">'Бланк заказа'!$T$349:$T$349</definedName>
    <definedName name="UnitOfMeasure186">'Бланк заказа'!$T$350:$T$350</definedName>
    <definedName name="UnitOfMeasure187">'Бланк заказа'!$T$351:$T$351</definedName>
    <definedName name="UnitOfMeasure188">'Бланк заказа'!$T$352:$T$352</definedName>
    <definedName name="UnitOfMeasure189">'Бланк заказа'!$T$353:$T$353</definedName>
    <definedName name="UnitOfMeasure19">'Бланк заказа'!$T$65:$T$65</definedName>
    <definedName name="UnitOfMeasure190">'Бланк заказа'!$T$354:$T$354</definedName>
    <definedName name="UnitOfMeasure191">'Бланк заказа'!$T$355:$T$355</definedName>
    <definedName name="UnitOfMeasure192">'Бланк заказа'!$T$356:$T$356</definedName>
    <definedName name="UnitOfMeasure193">'Бланк заказа'!$T$357:$T$357</definedName>
    <definedName name="UnitOfMeasure194">'Бланк заказа'!$T$358:$T$358</definedName>
    <definedName name="UnitOfMeasure195">'Бланк заказа'!$T$359:$T$359</definedName>
    <definedName name="UnitOfMeasure196">'Бланк заказа'!$T$363:$T$363</definedName>
    <definedName name="UnitOfMeasure197">'Бланк заказа'!$T$364:$T$364</definedName>
    <definedName name="UnitOfMeasure198">'Бланк заказа'!$T$365:$T$365</definedName>
    <definedName name="UnitOfMeasure199">'Бланк заказа'!$T$366:$T$366</definedName>
    <definedName name="UnitOfMeasure2">'Бланк заказа'!$T$26:$T$26</definedName>
    <definedName name="UnitOfMeasure20">'Бланк заказа'!$T$66:$T$66</definedName>
    <definedName name="UnitOfMeasure200">'Бланк заказа'!$T$370:$T$370</definedName>
    <definedName name="UnitOfMeasure201">'Бланк заказа'!$T$374:$T$374</definedName>
    <definedName name="UnitOfMeasure202">'Бланк заказа'!$T$375:$T$375</definedName>
    <definedName name="UnitOfMeasure203">'Бланк заказа'!$T$376:$T$376</definedName>
    <definedName name="UnitOfMeasure204">'Бланк заказа'!$T$380:$T$380</definedName>
    <definedName name="UnitOfMeasure205">'Бланк заказа'!$T$385:$T$385</definedName>
    <definedName name="UnitOfMeasure206">'Бланк заказа'!$T$386:$T$386</definedName>
    <definedName name="UnitOfMeasure207">'Бланк заказа'!$T$390:$T$390</definedName>
    <definedName name="UnitOfMeasure208">'Бланк заказа'!$T$391:$T$391</definedName>
    <definedName name="UnitOfMeasure209">'Бланк заказа'!$T$392:$T$392</definedName>
    <definedName name="UnitOfMeasure21">'Бланк заказа'!$T$67:$T$67</definedName>
    <definedName name="UnitOfMeasure210">'Бланк заказа'!$T$393:$T$393</definedName>
    <definedName name="UnitOfMeasure211">'Бланк заказа'!$T$394:$T$394</definedName>
    <definedName name="UnitOfMeasure212">'Бланк заказа'!$T$395:$T$395</definedName>
    <definedName name="UnitOfMeasure213">'Бланк заказа'!$T$396:$T$396</definedName>
    <definedName name="UnitOfMeasure214">'Бланк заказа'!$T$400:$T$400</definedName>
    <definedName name="UnitOfMeasure215">'Бланк заказа'!$T$404:$T$404</definedName>
    <definedName name="UnitOfMeasure216">'Бланк заказа'!$T$410:$T$410</definedName>
    <definedName name="UnitOfMeasure217">'Бланк заказа'!$T$411:$T$411</definedName>
    <definedName name="UnitOfMeasure218">'Бланк заказа'!$T$412:$T$412</definedName>
    <definedName name="UnitOfMeasure219">'Бланк заказа'!$T$413:$T$413</definedName>
    <definedName name="UnitOfMeasure22">'Бланк заказа'!$T$68:$T$68</definedName>
    <definedName name="UnitOfMeasure220">'Бланк заказа'!$T$414:$T$414</definedName>
    <definedName name="UnitOfMeasure221">'Бланк заказа'!$T$415:$T$415</definedName>
    <definedName name="UnitOfMeasure222">'Бланк заказа'!$T$416:$T$416</definedName>
    <definedName name="UnitOfMeasure223">'Бланк заказа'!$T$417:$T$417</definedName>
    <definedName name="UnitOfMeasure224">'Бланк заказа'!$T$418:$T$418</definedName>
    <definedName name="UnitOfMeasure225">'Бланк заказа'!$T$422:$T$422</definedName>
    <definedName name="UnitOfMeasure226">'Бланк заказа'!$T$423:$T$423</definedName>
    <definedName name="UnitOfMeasure227">'Бланк заказа'!$T$427:$T$427</definedName>
    <definedName name="UnitOfMeasure228">'Бланк заказа'!$T$428:$T$428</definedName>
    <definedName name="UnitOfMeasure229">'Бланк заказа'!$T$429:$T$429</definedName>
    <definedName name="UnitOfMeasure23">'Бланк заказа'!$T$69:$T$69</definedName>
    <definedName name="UnitOfMeasure230">'Бланк заказа'!$T$430:$T$430</definedName>
    <definedName name="UnitOfMeasure231">'Бланк заказа'!$T$431:$T$431</definedName>
    <definedName name="UnitOfMeasure232">'Бланк заказа'!$T$432:$T$432</definedName>
    <definedName name="UnitOfMeasure233">'Бланк заказа'!$T$436:$T$436</definedName>
    <definedName name="UnitOfMeasure234">'Бланк заказа'!$T$437:$T$437</definedName>
    <definedName name="UnitOfMeasure235">'Бланк заказа'!$T$443:$T$443</definedName>
    <definedName name="UnitOfMeasure236">'Бланк заказа'!$T$444:$T$444</definedName>
    <definedName name="UnitOfMeasure237">'Бланк заказа'!$T$448:$T$448</definedName>
    <definedName name="UnitOfMeasure238">'Бланк заказа'!$T$449:$T$449</definedName>
    <definedName name="UnitOfMeasure239">'Бланк заказа'!$T$450:$T$450</definedName>
    <definedName name="UnitOfMeasure24">'Бланк заказа'!$T$70:$T$70</definedName>
    <definedName name="UnitOfMeasure240">'Бланк заказа'!$T$454:$T$454</definedName>
    <definedName name="UnitOfMeasure241">'Бланк заказа'!$T$455:$T$455</definedName>
    <definedName name="UnitOfMeasure242">'Бланк заказа'!$T$456:$T$456</definedName>
    <definedName name="UnitOfMeasure243">'Бланк заказа'!$T$460:$T$460</definedName>
    <definedName name="UnitOfMeasure244">'Бланк заказа'!$T$461:$T$461</definedName>
    <definedName name="UnitOfMeasure245">'Бланк заказа'!$T$466:$T$466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заказа'!$T$82:$T$82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заказа'!$T$91:$T$91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заказа'!$T$114:$T$114</definedName>
    <definedName name="UnitOfMeasure6">'Бланк заказа'!$T$30:$T$30</definedName>
    <definedName name="UnitOfMeasure60">'Бланк заказа'!$T$118:$T$118</definedName>
    <definedName name="UnitOfMeasure61">'Бланк заказа'!$T$119:$T$119</definedName>
    <definedName name="UnitOfMeasure62">'Бланк заказа'!$T$120:$T$120</definedName>
    <definedName name="UnitOfMeasure63">'Бланк заказа'!$T$121:$T$121</definedName>
    <definedName name="UnitOfMeasure64">'Бланк заказа'!$T$122:$T$122</definedName>
    <definedName name="UnitOfMeasure65">'Бланк заказа'!$T$127:$T$127</definedName>
    <definedName name="UnitOfMeasure66">'Бланк заказа'!$T$128:$T$128</definedName>
    <definedName name="UnitOfMeasure67">'Бланк заказа'!$T$129:$T$129</definedName>
    <definedName name="UnitOfMeasure68">'Бланк заказа'!$T$130:$T$130</definedName>
    <definedName name="UnitOfMeasure69">'Бланк заказа'!$T$136:$T$136</definedName>
    <definedName name="UnitOfMeasure7">'Бланк заказа'!$T$31:$T$31</definedName>
    <definedName name="UnitOfMeasure70">'Бланк заказа'!$T$137:$T$137</definedName>
    <definedName name="UnitOfMeasure71">'Бланк заказа'!$T$138:$T$138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заказа'!$T$149:$T$149</definedName>
    <definedName name="UnitOfMeasure79">'Бланк заказа'!$T$150:$T$150</definedName>
    <definedName name="UnitOfMeasure8">'Бланк заказа'!$T$35:$T$35</definedName>
    <definedName name="UnitOfMeasure80">'Бланк заказа'!$T$155:$T$155</definedName>
    <definedName name="UnitOfMeasure81">'Бланк заказа'!$T$156:$T$156</definedName>
    <definedName name="UnitOfMeasure82">'Бланк заказа'!$T$160:$T$160</definedName>
    <definedName name="UnitOfMeasure83">'Бланк заказа'!$T$161:$T$161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заказа'!$T$172:$T$172</definedName>
    <definedName name="UnitOfMeasure89">'Бланк заказа'!$T$173:$T$173</definedName>
    <definedName name="UnitOfMeasure9">'Бланк заказа'!$T$39:$T$39</definedName>
    <definedName name="UnitOfMeasure90">'Бланк заказа'!$T$174:$T$174</definedName>
    <definedName name="UnitOfMeasure91">'Бланк заказа'!$T$175:$T$175</definedName>
    <definedName name="UnitOfMeasure92">'Бланк заказа'!$T$176:$T$176</definedName>
    <definedName name="UnitOfMeasure93">'Бланк заказа'!$T$177:$T$177</definedName>
    <definedName name="UnitOfMeasure94">'Бланк заказа'!$T$178:$T$178</definedName>
    <definedName name="UnitOfMeasure95">'Бланк заказа'!$T$179:$T$179</definedName>
    <definedName name="UnitOfMeasure96">'Бланк заказа'!$T$180:$T$180</definedName>
    <definedName name="UnitOfMeasure97">'Бланк заказа'!$T$181:$T$181</definedName>
    <definedName name="UnitOfMeasure98">'Бланк заказа'!$T$182:$T$182</definedName>
    <definedName name="UnitOfMeasure99">'Бланк заказа'!$T$183:$T$183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  <definedName name="_xlnm._FilterDatabase" localSheetId="0" hidden="1">'Бланк заказа'!$B$18:$W$18</definedName>
  </definedNames>
  <calcPr calcId="162913" fullCalcOnLoad="1" refMode="R1C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51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38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542" fillId="0" borderId="0" pivotButton="0" quotePrefix="0" xfId="0"/>
    <xf numFmtId="0" fontId="544" fillId="0" borderId="0" pivotButton="0" quotePrefix="0" xfId="0"/>
    <xf numFmtId="0" fontId="546" fillId="0" borderId="0" pivotButton="0" quotePrefix="0" xfId="0"/>
    <xf numFmtId="0" fontId="548" fillId="0" borderId="0" pivotButton="0" quotePrefix="0" xfId="0"/>
    <xf numFmtId="0" fontId="550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549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545" fillId="0" borderId="21" applyAlignment="1" pivotButton="0" quotePrefix="0" xfId="0">
      <alignment horizontal="left" vertical="center" wrapText="1"/>
    </xf>
    <xf numFmtId="0" fontId="547" fillId="0" borderId="21" applyAlignment="1" pivotButton="0" quotePrefix="0" xfId="0">
      <alignment horizontal="left" vertical="center" wrapText="1"/>
    </xf>
    <xf numFmtId="0" fontId="539" fillId="0" borderId="21" applyAlignment="1" pivotButton="0" quotePrefix="0" xfId="0">
      <alignment horizontal="left" vertical="center" wrapText="1"/>
    </xf>
    <xf numFmtId="0" fontId="541" fillId="0" borderId="21" applyAlignment="1" pivotButton="0" quotePrefix="0" xfId="0">
      <alignment horizontal="left" vertical="center" wrapText="1"/>
    </xf>
    <xf numFmtId="0" fontId="543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541" fillId="0" borderId="16" applyAlignment="1" pivotButton="0" quotePrefix="0" xfId="0">
      <alignment horizontal="left" vertical="center" wrapText="1"/>
    </xf>
    <xf numFmtId="0" fontId="543" fillId="0" borderId="16" applyAlignment="1" pivotButton="0" quotePrefix="0" xfId="0">
      <alignment horizontal="left" vertical="center" wrapText="1"/>
    </xf>
    <xf numFmtId="0" fontId="545" fillId="0" borderId="16" applyAlignment="1" pivotButton="0" quotePrefix="0" xfId="0">
      <alignment horizontal="left" vertical="center" wrapText="1"/>
    </xf>
    <xf numFmtId="0" fontId="547" fillId="0" borderId="16" applyAlignment="1" pivotButton="0" quotePrefix="0" xfId="0">
      <alignment horizontal="left" vertical="center" wrapText="1"/>
    </xf>
    <xf numFmtId="0" fontId="549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8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AZ480"/>
  <sheetViews>
    <sheetView showGridLines="0" tabSelected="1" topLeftCell="F1" zoomScaleNormal="100" zoomScaleSheetLayoutView="100" workbookViewId="0">
      <selection activeCell="U22" sqref="U22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9.42578125" customWidth="1" style="5" min="11" max="11"/>
    <col width="10.42578125" customWidth="1" style="4" min="12" max="12"/>
    <col width="7.42578125" customWidth="1" style="2" min="13" max="13"/>
    <col width="15.5703125" customWidth="1" style="2" min="14" max="14"/>
    <col width="8.140625" customWidth="1" style="1" min="15" max="15"/>
    <col width="6.140625" customWidth="1" style="1" min="16" max="16"/>
    <col width="10.85546875" customWidth="1" style="3" min="17" max="17"/>
    <col width="10.42578125" customWidth="1" style="3" min="18" max="18"/>
    <col width="9.42578125" customWidth="1" style="3" min="19" max="19"/>
    <col width="8.42578125" customWidth="1" style="3" min="20" max="20"/>
    <col width="10" customWidth="1" style="1" min="21" max="21"/>
    <col width="11" customWidth="1" style="1" min="22" max="22"/>
    <col width="10" customWidth="1" style="1" min="23" max="23"/>
    <col width="11.5703125" customWidth="1" style="1" min="24" max="24"/>
    <col width="10.42578125" customWidth="1" style="1" min="25" max="25"/>
    <col width="11.42578125" bestFit="1" customWidth="1" style="61" min="26" max="26"/>
    <col width="9.140625" customWidth="1" style="61" min="27" max="27"/>
    <col width="8.85546875" customWidth="1" style="61" min="28" max="28"/>
    <col width="13.5703125" customWidth="1" style="1" min="29" max="29"/>
    <col width="9.140625" customWidth="1" style="1" min="30" max="16384"/>
  </cols>
  <sheetData>
    <row r="1" ht="45" customFormat="1" customHeight="1" s="610">
      <c r="A1" s="48" t="n"/>
      <c r="B1" s="48" t="n"/>
      <c r="C1" s="48" t="n"/>
      <c r="D1" s="629" t="inlineStr">
        <is>
          <t xml:space="preserve">  БЛАНК ЗАКАЗА </t>
        </is>
      </c>
      <c r="G1" s="14" t="inlineStr">
        <is>
          <t>КИ</t>
        </is>
      </c>
      <c r="H1" s="629" t="inlineStr">
        <is>
          <t>на отгрузку продукции с ООО Трейд-Сервис с</t>
        </is>
      </c>
      <c r="O1" s="630" t="inlineStr">
        <is>
          <t>16.10.2023</t>
        </is>
      </c>
      <c r="R1" s="15" t="n"/>
      <c r="S1" s="15" t="n"/>
      <c r="T1" s="15" t="n"/>
      <c r="U1" s="15" t="n"/>
      <c r="V1" s="15" t="n"/>
      <c r="W1" s="15" t="n"/>
      <c r="X1" s="15" t="n"/>
      <c r="Y1" s="62" t="n"/>
      <c r="Z1" s="62" t="n"/>
      <c r="AA1" s="62" t="n"/>
      <c r="AB1" s="62" t="n"/>
    </row>
    <row r="2" ht="16.5" customFormat="1" customHeight="1" s="610">
      <c r="A2" s="34" t="inlineStr">
        <is>
          <t>бланк создан</t>
        </is>
      </c>
      <c r="B2" s="35" t="inlineStr">
        <is>
          <t>11.10.2023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632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" t="n"/>
      <c r="O2" s="1" t="n"/>
      <c r="P2" s="1" t="n"/>
      <c r="Q2" s="1" t="n"/>
      <c r="R2" s="1" t="n"/>
      <c r="S2" s="1" t="n"/>
      <c r="T2" s="1" t="n"/>
      <c r="U2" s="19" t="n"/>
      <c r="V2" s="19" t="n"/>
      <c r="W2" s="19" t="n"/>
      <c r="X2" s="19" t="n"/>
      <c r="Y2" s="60" t="n"/>
      <c r="Z2" s="60" t="n"/>
      <c r="AA2" s="60" t="n"/>
    </row>
    <row r="3" ht="11.25" customFormat="1" customHeight="1" s="610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18" t="n"/>
      <c r="L3" s="18" t="n"/>
      <c r="M3" s="1" t="n"/>
      <c r="N3" s="1" t="n"/>
      <c r="O3" s="1" t="n"/>
      <c r="P3" s="1" t="n"/>
      <c r="Q3" s="1" t="n"/>
      <c r="R3" s="1" t="n"/>
      <c r="S3" s="1" t="n"/>
      <c r="T3" s="1" t="n"/>
      <c r="U3" s="19" t="n"/>
      <c r="V3" s="19" t="n"/>
      <c r="W3" s="19" t="n"/>
      <c r="X3" s="19" t="n"/>
      <c r="Y3" s="60" t="n"/>
      <c r="Z3" s="60" t="n"/>
      <c r="AA3" s="60" t="n"/>
    </row>
    <row r="4" ht="9" customFormat="1" customHeight="1" s="610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3" t="n"/>
      <c r="O4" s="23" t="n"/>
      <c r="P4" s="23" t="n"/>
      <c r="Q4" s="23" t="n"/>
      <c r="R4" s="23" t="n"/>
      <c r="S4" s="24" t="n"/>
      <c r="T4" s="25" t="n"/>
      <c r="U4" s="25" t="n"/>
      <c r="V4" s="25" t="n"/>
      <c r="W4" s="25" t="n"/>
      <c r="X4" s="25" t="n"/>
      <c r="Y4" s="60" t="n"/>
      <c r="Z4" s="60" t="n"/>
      <c r="AA4" s="60" t="n"/>
    </row>
    <row r="5" ht="23.45" customFormat="1" customHeight="1" s="610">
      <c r="A5" s="611" t="inlineStr">
        <is>
          <t xml:space="preserve">Ваш контактный телефон и имя: </t>
        </is>
      </c>
      <c r="B5" s="639" t="n"/>
      <c r="C5" s="640" t="n"/>
      <c r="D5" s="633" t="n"/>
      <c r="E5" s="641" t="n"/>
      <c r="F5" s="634" t="inlineStr">
        <is>
          <t>Комментарий к заказу:</t>
        </is>
      </c>
      <c r="G5" s="640" t="n"/>
      <c r="H5" s="633" t="n"/>
      <c r="I5" s="642" t="n"/>
      <c r="J5" s="642" t="n"/>
      <c r="K5" s="641" t="n"/>
      <c r="M5" s="29" t="inlineStr">
        <is>
          <t>Дата загрузки</t>
        </is>
      </c>
      <c r="N5" s="643" t="n">
        <v>45215</v>
      </c>
      <c r="O5" s="644" t="n"/>
      <c r="Q5" s="636" t="inlineStr">
        <is>
          <t>Способ доставки (доставка/самовывоз)</t>
        </is>
      </c>
      <c r="R5" s="645" t="n"/>
      <c r="S5" s="646" t="inlineStr">
        <is>
          <t>Самовывоз</t>
        </is>
      </c>
      <c r="T5" s="644" t="n"/>
      <c r="Y5" s="60" t="n"/>
      <c r="Z5" s="60" t="n"/>
      <c r="AA5" s="60" t="n"/>
    </row>
    <row r="6" ht="24" customFormat="1" customHeight="1" s="610">
      <c r="A6" s="611" t="inlineStr">
        <is>
          <t>Адрес доставки:</t>
        </is>
      </c>
      <c r="B6" s="639" t="n"/>
      <c r="C6" s="640" t="n"/>
      <c r="D6" s="612" t="inlineStr">
        <is>
          <t>ЛП, ООО, Крым Респ, Симферополь г, Данилова ул, д. 43В, лит В, офис 4</t>
        </is>
      </c>
      <c r="E6" s="647" t="n"/>
      <c r="F6" s="647" t="n"/>
      <c r="G6" s="647" t="n"/>
      <c r="H6" s="647" t="n"/>
      <c r="I6" s="647" t="n"/>
      <c r="J6" s="647" t="n"/>
      <c r="K6" s="644" t="n"/>
      <c r="M6" s="29" t="inlineStr">
        <is>
          <t>День недели</t>
        </is>
      </c>
      <c r="N6" s="613">
        <f>IF(N5=0," ",CHOOSE(WEEKDAY(N5,2),"Понедельник","Вторник","Среда","Четверг","Пятница","Суббота","Воскресенье"))</f>
        <v/>
      </c>
      <c r="O6" s="648" t="n"/>
      <c r="Q6" s="615" t="inlineStr">
        <is>
          <t>Наименование клиента</t>
        </is>
      </c>
      <c r="R6" s="645" t="n"/>
      <c r="S6" s="649" t="inlineStr">
        <is>
          <t>ОБЩЕСТВО С ОГРАНИЧЕННОЙ ОТВЕТСТВЕННОСТЬЮ "ЛОГИСТИЧЕСКИЙ ПАРТНЕР"</t>
        </is>
      </c>
      <c r="T6" s="650" t="n"/>
      <c r="Y6" s="60" t="n"/>
      <c r="Z6" s="60" t="n"/>
      <c r="AA6" s="60" t="n"/>
    </row>
    <row r="7" hidden="1" ht="21.75" customFormat="1" customHeight="1" s="610">
      <c r="A7" s="65" t="n"/>
      <c r="B7" s="65" t="n"/>
      <c r="C7" s="65" t="n"/>
      <c r="D7" s="651">
        <f>IFERROR(VLOOKUP(DeliveryAddress,Table,3,0),1)</f>
        <v/>
      </c>
      <c r="E7" s="652" t="n"/>
      <c r="F7" s="652" t="n"/>
      <c r="G7" s="652" t="n"/>
      <c r="H7" s="652" t="n"/>
      <c r="I7" s="652" t="n"/>
      <c r="J7" s="652" t="n"/>
      <c r="K7" s="653" t="n"/>
      <c r="M7" s="29" t="n"/>
      <c r="N7" s="49" t="n"/>
      <c r="O7" s="49" t="n"/>
      <c r="Q7" s="1" t="n"/>
      <c r="R7" s="645" t="n"/>
      <c r="S7" s="654" t="n"/>
      <c r="T7" s="655" t="n"/>
      <c r="Y7" s="60" t="n"/>
      <c r="Z7" s="60" t="n"/>
      <c r="AA7" s="60" t="n"/>
    </row>
    <row r="8" ht="25.5" customFormat="1" customHeight="1" s="610">
      <c r="A8" s="625" t="inlineStr">
        <is>
          <t>Адрес сдачи груза:</t>
        </is>
      </c>
      <c r="B8" s="656" t="n"/>
      <c r="C8" s="657" t="n"/>
      <c r="D8" s="626" t="n"/>
      <c r="E8" s="658" t="n"/>
      <c r="F8" s="658" t="n"/>
      <c r="G8" s="658" t="n"/>
      <c r="H8" s="658" t="n"/>
      <c r="I8" s="658" t="n"/>
      <c r="J8" s="658" t="n"/>
      <c r="K8" s="659" t="n"/>
      <c r="M8" s="29" t="inlineStr">
        <is>
          <t>Время загрузки</t>
        </is>
      </c>
      <c r="N8" s="606" t="n">
        <v>0.4166666666666667</v>
      </c>
      <c r="O8" s="644" t="n"/>
      <c r="Q8" s="1" t="n"/>
      <c r="R8" s="645" t="n"/>
      <c r="S8" s="654" t="n"/>
      <c r="T8" s="655" t="n"/>
      <c r="Y8" s="60" t="n"/>
      <c r="Z8" s="60" t="n"/>
      <c r="AA8" s="60" t="n"/>
    </row>
    <row r="9" ht="39.95" customFormat="1" customHeight="1" s="610">
      <c r="A9" s="602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603" t="inlineStr"/>
      <c r="E9" s="3" t="n"/>
      <c r="F9" s="602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627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627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M9" s="31" t="inlineStr">
        <is>
          <t>Дата доставки</t>
        </is>
      </c>
      <c r="N9" s="643" t="n"/>
      <c r="O9" s="644" t="n"/>
      <c r="Q9" s="1" t="n"/>
      <c r="R9" s="645" t="n"/>
      <c r="S9" s="660" t="n"/>
      <c r="T9" s="661" t="n"/>
      <c r="U9" s="50" t="n"/>
      <c r="V9" s="50" t="n"/>
      <c r="W9" s="50" t="n"/>
      <c r="X9" s="50" t="n"/>
      <c r="Y9" s="60" t="n"/>
      <c r="Z9" s="60" t="n"/>
      <c r="AA9" s="60" t="n"/>
    </row>
    <row r="10" ht="26.45" customFormat="1" customHeight="1" s="610">
      <c r="A10" s="602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603" t="n"/>
      <c r="E10" s="3" t="n"/>
      <c r="F10" s="602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605">
        <f>IFERROR(VLOOKUP($D$10,Proxy,2,FALSE),"")</f>
        <v/>
      </c>
      <c r="I10" s="1" t="n"/>
      <c r="J10" s="1" t="n"/>
      <c r="K10" s="1" t="n"/>
      <c r="M10" s="31" t="inlineStr">
        <is>
          <t>Время доставки</t>
        </is>
      </c>
      <c r="N10" s="606" t="n"/>
      <c r="O10" s="644" t="n"/>
      <c r="R10" s="29" t="inlineStr">
        <is>
          <t>КОД Аксапты Клиента</t>
        </is>
      </c>
      <c r="S10" s="662" t="inlineStr">
        <is>
          <t>590704</t>
        </is>
      </c>
      <c r="T10" s="650" t="n"/>
      <c r="U10" s="51" t="n"/>
      <c r="V10" s="51" t="n"/>
      <c r="W10" s="51" t="n"/>
      <c r="X10" s="51" t="n"/>
      <c r="Y10" s="60" t="n"/>
      <c r="Z10" s="60" t="n"/>
      <c r="AA10" s="60" t="n"/>
    </row>
    <row r="11" ht="15.95" customFormat="1" customHeight="1" s="610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M11" s="31" t="inlineStr">
        <is>
          <t>Время доставки 2 машины</t>
        </is>
      </c>
      <c r="N11" s="606" t="n"/>
      <c r="O11" s="644" t="n"/>
      <c r="R11" s="29" t="inlineStr">
        <is>
          <t>Тип заказа</t>
        </is>
      </c>
      <c r="S11" s="594" t="inlineStr">
        <is>
          <t>Основной заказ</t>
        </is>
      </c>
      <c r="T11" s="663" t="n"/>
      <c r="U11" s="52" t="n"/>
      <c r="V11" s="52" t="n"/>
      <c r="W11" s="52" t="n"/>
      <c r="X11" s="52" t="n"/>
      <c r="Y11" s="60" t="n"/>
      <c r="Z11" s="60" t="n"/>
      <c r="AA11" s="60" t="n"/>
    </row>
    <row r="12" ht="18.6" customFormat="1" customHeight="1" s="610">
      <c r="A12" s="593" t="inlineStr">
        <is>
          <t>Телефоны для заказов: 8(919)002-63-01  E-mail: kolbasa@abiproduct.ru  Телефон сотрудников склада: 8 (910) 775-52-91</t>
        </is>
      </c>
      <c r="B12" s="639" t="n"/>
      <c r="C12" s="639" t="n"/>
      <c r="D12" s="639" t="n"/>
      <c r="E12" s="639" t="n"/>
      <c r="F12" s="639" t="n"/>
      <c r="G12" s="639" t="n"/>
      <c r="H12" s="639" t="n"/>
      <c r="I12" s="639" t="n"/>
      <c r="J12" s="639" t="n"/>
      <c r="K12" s="640" t="n"/>
      <c r="M12" s="29" t="inlineStr">
        <is>
          <t>Время доставки 3 машины</t>
        </is>
      </c>
      <c r="N12" s="609" t="n"/>
      <c r="O12" s="653" t="n"/>
      <c r="P12" s="28" t="n"/>
      <c r="R12" s="29" t="inlineStr"/>
      <c r="S12" s="610" t="n"/>
      <c r="T12" s="1" t="n"/>
      <c r="Y12" s="60" t="n"/>
      <c r="Z12" s="60" t="n"/>
      <c r="AA12" s="60" t="n"/>
    </row>
    <row r="13" ht="23.25" customFormat="1" customHeight="1" s="610">
      <c r="A13" s="593" t="inlineStr">
        <is>
          <t>График приема заказов: Заказы принимаются за ДВА дня до отгрузки Пн-Пт: с 9:00 до 14:00, Суб., Вс. - до 12:00</t>
        </is>
      </c>
      <c r="B13" s="639" t="n"/>
      <c r="C13" s="639" t="n"/>
      <c r="D13" s="639" t="n"/>
      <c r="E13" s="639" t="n"/>
      <c r="F13" s="639" t="n"/>
      <c r="G13" s="639" t="n"/>
      <c r="H13" s="639" t="n"/>
      <c r="I13" s="639" t="n"/>
      <c r="J13" s="639" t="n"/>
      <c r="K13" s="640" t="n"/>
      <c r="L13" s="31" t="n"/>
      <c r="M13" s="31" t="inlineStr">
        <is>
          <t>Время доставки 4 машины</t>
        </is>
      </c>
      <c r="N13" s="594" t="n"/>
      <c r="O13" s="663" t="n"/>
      <c r="P13" s="28" t="n"/>
      <c r="U13" s="57" t="n"/>
      <c r="V13" s="57" t="n"/>
      <c r="W13" s="57" t="n"/>
      <c r="X13" s="57" t="n"/>
      <c r="Y13" s="60" t="n"/>
      <c r="Z13" s="60" t="n"/>
      <c r="AA13" s="60" t="n"/>
    </row>
    <row r="14" ht="18.6" customFormat="1" customHeight="1" s="610">
      <c r="A14" s="593" t="inlineStr">
        <is>
          <t>Телефон менеджера по логистике: 8 (919) 012-30-55 - по вопросам доставки продукции</t>
        </is>
      </c>
      <c r="B14" s="639" t="n"/>
      <c r="C14" s="639" t="n"/>
      <c r="D14" s="639" t="n"/>
      <c r="E14" s="639" t="n"/>
      <c r="F14" s="639" t="n"/>
      <c r="G14" s="639" t="n"/>
      <c r="H14" s="639" t="n"/>
      <c r="I14" s="639" t="n"/>
      <c r="J14" s="639" t="n"/>
      <c r="K14" s="640" t="n"/>
      <c r="U14" s="58" t="n"/>
      <c r="V14" s="58" t="n"/>
      <c r="W14" s="58" t="n"/>
      <c r="X14" s="58" t="n"/>
      <c r="Y14" s="60" t="n"/>
      <c r="Z14" s="60" t="n"/>
      <c r="AA14" s="60" t="n"/>
    </row>
    <row r="15" ht="22.5" customFormat="1" customHeight="1" s="610">
      <c r="A15" s="595" t="inlineStr">
        <is>
          <t>Телефон по работе с претензиями/жалобами (WhatSapp): 8 (980) 757-69-93       E-mail: Claims@abiproduct.ru</t>
        </is>
      </c>
      <c r="B15" s="639" t="n"/>
      <c r="C15" s="639" t="n"/>
      <c r="D15" s="639" t="n"/>
      <c r="E15" s="639" t="n"/>
      <c r="F15" s="639" t="n"/>
      <c r="G15" s="639" t="n"/>
      <c r="H15" s="639" t="n"/>
      <c r="I15" s="639" t="n"/>
      <c r="J15" s="639" t="n"/>
      <c r="K15" s="640" t="n"/>
      <c r="M15" s="597" t="inlineStr">
        <is>
          <t>Кликните на продукт, чтобы просмотреть изображение</t>
        </is>
      </c>
      <c r="U15" s="610" t="n"/>
      <c r="V15" s="610" t="n"/>
      <c r="W15" s="610" t="n"/>
      <c r="X15" s="610" t="n"/>
      <c r="Y15" s="60" t="n"/>
      <c r="Z15" s="60" t="n"/>
      <c r="AA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664" t="n"/>
      <c r="N16" s="664" t="n"/>
      <c r="O16" s="664" t="n"/>
      <c r="P16" s="664" t="n"/>
      <c r="Q16" s="664" t="n"/>
      <c r="R16" s="8" t="n"/>
      <c r="S16" s="8" t="n"/>
      <c r="T16" s="10" t="n"/>
      <c r="U16" s="11" t="n"/>
      <c r="V16" s="11" t="n"/>
      <c r="W16" s="11" t="n"/>
      <c r="X16" s="11" t="n"/>
      <c r="Y16" s="11" t="n"/>
    </row>
    <row r="17" ht="27.75" customHeight="1">
      <c r="A17" s="581" t="inlineStr">
        <is>
          <t>Код единицы продаж</t>
        </is>
      </c>
      <c r="B17" s="581" t="inlineStr">
        <is>
          <t>Код продукта</t>
        </is>
      </c>
      <c r="C17" s="599" t="inlineStr">
        <is>
          <t>Номер варианта</t>
        </is>
      </c>
      <c r="D17" s="581" t="inlineStr">
        <is>
          <t xml:space="preserve">Штрих-код </t>
        </is>
      </c>
      <c r="E17" s="665" t="n"/>
      <c r="F17" s="581" t="inlineStr">
        <is>
          <t>Вес нетто штуки, кг</t>
        </is>
      </c>
      <c r="G17" s="581" t="inlineStr">
        <is>
          <t>Кол-во штук в коробе, шт</t>
        </is>
      </c>
      <c r="H17" s="581" t="inlineStr">
        <is>
          <t>Вес нетто короба, кг</t>
        </is>
      </c>
      <c r="I17" s="581" t="inlineStr">
        <is>
          <t>Вес брутто короба, кг</t>
        </is>
      </c>
      <c r="J17" s="581" t="inlineStr">
        <is>
          <t>Кол-во кор. на паллте, шт</t>
        </is>
      </c>
      <c r="K17" s="581" t="inlineStr">
        <is>
          <t>Завод</t>
        </is>
      </c>
      <c r="L17" s="581" t="inlineStr">
        <is>
          <t>Срок годности, сут.</t>
        </is>
      </c>
      <c r="M17" s="581" t="inlineStr">
        <is>
          <t>Наименование</t>
        </is>
      </c>
      <c r="N17" s="666" t="n"/>
      <c r="O17" s="666" t="n"/>
      <c r="P17" s="666" t="n"/>
      <c r="Q17" s="665" t="n"/>
      <c r="R17" s="598" t="inlineStr">
        <is>
          <t>Доступно к отгрузке</t>
        </is>
      </c>
      <c r="S17" s="640" t="n"/>
      <c r="T17" s="581" t="inlineStr">
        <is>
          <t>Ед. изм.</t>
        </is>
      </c>
      <c r="U17" s="581" t="inlineStr">
        <is>
          <t>Заказ</t>
        </is>
      </c>
      <c r="V17" s="582" t="inlineStr">
        <is>
          <t>Заказ с округлением до короба</t>
        </is>
      </c>
      <c r="W17" s="581" t="inlineStr">
        <is>
          <t>Объём заказа, м3</t>
        </is>
      </c>
      <c r="X17" s="584" t="inlineStr">
        <is>
          <t>Примечание по продуктку</t>
        </is>
      </c>
      <c r="Y17" s="584" t="inlineStr">
        <is>
          <t>Признак "НОВИНКА"</t>
        </is>
      </c>
      <c r="Z17" s="584" t="inlineStr">
        <is>
          <t>Для формул</t>
        </is>
      </c>
      <c r="AA17" s="667" t="n"/>
      <c r="AB17" s="668" t="n"/>
      <c r="AC17" s="591" t="n"/>
      <c r="AZ17" s="592" t="inlineStr">
        <is>
          <t>Вид продукции</t>
        </is>
      </c>
    </row>
    <row r="18" ht="14.25" customHeight="1">
      <c r="A18" s="669" t="n"/>
      <c r="B18" s="669" t="n"/>
      <c r="C18" s="669" t="n"/>
      <c r="D18" s="670" t="n"/>
      <c r="E18" s="671" t="n"/>
      <c r="F18" s="669" t="n"/>
      <c r="G18" s="669" t="n"/>
      <c r="H18" s="669" t="n"/>
      <c r="I18" s="669" t="n"/>
      <c r="J18" s="669" t="n"/>
      <c r="K18" s="669" t="n"/>
      <c r="L18" s="669" t="n"/>
      <c r="M18" s="670" t="n"/>
      <c r="N18" s="672" t="n"/>
      <c r="O18" s="672" t="n"/>
      <c r="P18" s="672" t="n"/>
      <c r="Q18" s="671" t="n"/>
      <c r="R18" s="598" t="inlineStr">
        <is>
          <t>начиная с</t>
        </is>
      </c>
      <c r="S18" s="598" t="inlineStr">
        <is>
          <t>до</t>
        </is>
      </c>
      <c r="T18" s="669" t="n"/>
      <c r="U18" s="669" t="n"/>
      <c r="V18" s="673" t="n"/>
      <c r="W18" s="669" t="n"/>
      <c r="X18" s="674" t="n"/>
      <c r="Y18" s="674" t="n"/>
      <c r="Z18" s="675" t="n"/>
      <c r="AA18" s="676" t="n"/>
      <c r="AB18" s="677" t="n"/>
      <c r="AC18" s="678" t="n"/>
      <c r="AZ18" s="1" t="n"/>
    </row>
    <row r="19" ht="27.75" customHeight="1">
      <c r="A19" s="344" t="inlineStr">
        <is>
          <t>Ядрена копоть</t>
        </is>
      </c>
      <c r="B19" s="679" t="n"/>
      <c r="C19" s="679" t="n"/>
      <c r="D19" s="679" t="n"/>
      <c r="E19" s="679" t="n"/>
      <c r="F19" s="679" t="n"/>
      <c r="G19" s="679" t="n"/>
      <c r="H19" s="679" t="n"/>
      <c r="I19" s="679" t="n"/>
      <c r="J19" s="679" t="n"/>
      <c r="K19" s="679" t="n"/>
      <c r="L19" s="679" t="n"/>
      <c r="M19" s="679" t="n"/>
      <c r="N19" s="679" t="n"/>
      <c r="O19" s="679" t="n"/>
      <c r="P19" s="679" t="n"/>
      <c r="Q19" s="679" t="n"/>
      <c r="R19" s="679" t="n"/>
      <c r="S19" s="679" t="n"/>
      <c r="T19" s="679" t="n"/>
      <c r="U19" s="679" t="n"/>
      <c r="V19" s="679" t="n"/>
      <c r="W19" s="679" t="n"/>
      <c r="X19" s="55" t="n"/>
      <c r="Y19" s="55" t="n"/>
    </row>
    <row r="20" ht="16.5" customHeight="1">
      <c r="A20" s="321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321" t="n"/>
      <c r="Y20" s="321" t="n"/>
    </row>
    <row r="21" ht="14.25" customHeight="1">
      <c r="A21" s="322" t="inlineStr">
        <is>
          <t>Копченые колбасы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322" t="n"/>
      <c r="Y21" s="322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23" t="n">
        <v>4607091389258</v>
      </c>
      <c r="E22" s="648" t="n"/>
      <c r="F22" s="680" t="n">
        <v>0.3</v>
      </c>
      <c r="G22" s="38" t="n">
        <v>6</v>
      </c>
      <c r="H22" s="680" t="n">
        <v>1.8</v>
      </c>
      <c r="I22" s="680" t="n">
        <v>2</v>
      </c>
      <c r="J22" s="38" t="n">
        <v>156</v>
      </c>
      <c r="K22" s="39" t="inlineStr">
        <is>
          <t>СК2</t>
        </is>
      </c>
      <c r="L22" s="38" t="n">
        <v>35</v>
      </c>
      <c r="M22" s="681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N22" s="682" t="n"/>
      <c r="O22" s="682" t="n"/>
      <c r="P22" s="682" t="n"/>
      <c r="Q22" s="648" t="n"/>
      <c r="R22" s="40" t="inlineStr"/>
      <c r="S22" s="40" t="inlineStr"/>
      <c r="T22" s="41" t="inlineStr">
        <is>
          <t>кг</t>
        </is>
      </c>
      <c r="U22" s="683" t="n">
        <v>0</v>
      </c>
      <c r="V22" s="684">
        <f>IFERROR(IF(U22="",0,CEILING((U22/$H22),1)*$H22),"")</f>
        <v/>
      </c>
      <c r="W22" s="42">
        <f>IFERROR(IF(V22=0,"",ROUNDUP(V22/H22,0)*0.00753),"")</f>
        <v/>
      </c>
      <c r="X22" s="69" t="inlineStr"/>
      <c r="Y22" s="70" t="inlineStr"/>
      <c r="AC22" s="71" t="n"/>
      <c r="AZ22" s="73" t="inlineStr">
        <is>
          <t>КИ</t>
        </is>
      </c>
    </row>
    <row r="23">
      <c r="A23" s="33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685" t="n"/>
      <c r="M23" s="686" t="inlineStr">
        <is>
          <t>Итого</t>
        </is>
      </c>
      <c r="N23" s="656" t="n"/>
      <c r="O23" s="656" t="n"/>
      <c r="P23" s="656" t="n"/>
      <c r="Q23" s="656" t="n"/>
      <c r="R23" s="656" t="n"/>
      <c r="S23" s="657" t="n"/>
      <c r="T23" s="43" t="inlineStr">
        <is>
          <t>кор</t>
        </is>
      </c>
      <c r="U23" s="687">
        <f>IFERROR(U22/H22,"0")</f>
        <v/>
      </c>
      <c r="V23" s="687">
        <f>IFERROR(V22/H22,"0")</f>
        <v/>
      </c>
      <c r="W23" s="687">
        <f>IFERROR(IF(W22="",0,W22),"0")</f>
        <v/>
      </c>
      <c r="X23" s="688" t="n"/>
      <c r="Y23" s="688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685" t="n"/>
      <c r="M24" s="686" t="inlineStr">
        <is>
          <t>Итого</t>
        </is>
      </c>
      <c r="N24" s="656" t="n"/>
      <c r="O24" s="656" t="n"/>
      <c r="P24" s="656" t="n"/>
      <c r="Q24" s="656" t="n"/>
      <c r="R24" s="656" t="n"/>
      <c r="S24" s="657" t="n"/>
      <c r="T24" s="43" t="inlineStr">
        <is>
          <t>кг</t>
        </is>
      </c>
      <c r="U24" s="687">
        <f>IFERROR(SUM(U22:U22),"0")</f>
        <v/>
      </c>
      <c r="V24" s="687">
        <f>IFERROR(SUM(V22:V22),"0")</f>
        <v/>
      </c>
      <c r="W24" s="43" t="n"/>
      <c r="X24" s="688" t="n"/>
      <c r="Y24" s="688" t="n"/>
    </row>
    <row r="25" ht="14.25" customHeight="1">
      <c r="A25" s="322" t="inlineStr">
        <is>
          <t>Сосиски</t>
        </is>
      </c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322" t="n"/>
      <c r="Y25" s="322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23" t="n">
        <v>4607091383881</v>
      </c>
      <c r="E26" s="648" t="n"/>
      <c r="F26" s="680" t="n">
        <v>0.33</v>
      </c>
      <c r="G26" s="38" t="n">
        <v>6</v>
      </c>
      <c r="H26" s="680" t="n">
        <v>1.98</v>
      </c>
      <c r="I26" s="680" t="n">
        <v>2.246</v>
      </c>
      <c r="J26" s="38" t="n">
        <v>156</v>
      </c>
      <c r="K26" s="39" t="inlineStr">
        <is>
          <t>СК2</t>
        </is>
      </c>
      <c r="L26" s="38" t="n">
        <v>35</v>
      </c>
      <c r="M26" s="689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N26" s="682" t="n"/>
      <c r="O26" s="682" t="n"/>
      <c r="P26" s="682" t="n"/>
      <c r="Q26" s="648" t="n"/>
      <c r="R26" s="40" t="inlineStr"/>
      <c r="S26" s="40" t="inlineStr"/>
      <c r="T26" s="41" t="inlineStr">
        <is>
          <t>кг</t>
        </is>
      </c>
      <c r="U26" s="683" t="n">
        <v>0</v>
      </c>
      <c r="V26" s="684">
        <f>IFERROR(IF(U26="",0,CEILING((U26/$H26),1)*$H26),"")</f>
        <v/>
      </c>
      <c r="W26" s="42">
        <f>IFERROR(IF(V26=0,"",ROUNDUP(V26/H26,0)*0.00753),"")</f>
        <v/>
      </c>
      <c r="X26" s="69" t="inlineStr"/>
      <c r="Y26" s="70" t="inlineStr"/>
      <c r="AC26" s="71" t="n"/>
      <c r="AZ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23" t="n">
        <v>4607091388237</v>
      </c>
      <c r="E27" s="648" t="n"/>
      <c r="F27" s="680" t="n">
        <v>0.42</v>
      </c>
      <c r="G27" s="38" t="n">
        <v>6</v>
      </c>
      <c r="H27" s="680" t="n">
        <v>2.52</v>
      </c>
      <c r="I27" s="680" t="n">
        <v>2.786</v>
      </c>
      <c r="J27" s="38" t="n">
        <v>156</v>
      </c>
      <c r="K27" s="39" t="inlineStr">
        <is>
          <t>СК2</t>
        </is>
      </c>
      <c r="L27" s="38" t="n">
        <v>35</v>
      </c>
      <c r="M27" s="690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N27" s="682" t="n"/>
      <c r="O27" s="682" t="n"/>
      <c r="P27" s="682" t="n"/>
      <c r="Q27" s="648" t="n"/>
      <c r="R27" s="40" t="inlineStr"/>
      <c r="S27" s="40" t="inlineStr"/>
      <c r="T27" s="41" t="inlineStr">
        <is>
          <t>кг</t>
        </is>
      </c>
      <c r="U27" s="683" t="n">
        <v>0</v>
      </c>
      <c r="V27" s="684">
        <f>IFERROR(IF(U27="",0,CEILING((U27/$H27),1)*$H27),"")</f>
        <v/>
      </c>
      <c r="W27" s="42">
        <f>IFERROR(IF(V27=0,"",ROUNDUP(V27/H27,0)*0.00753),"")</f>
        <v/>
      </c>
      <c r="X27" s="69" t="inlineStr"/>
      <c r="Y27" s="70" t="inlineStr"/>
      <c r="AC27" s="71" t="n"/>
      <c r="AZ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23" t="n">
        <v>4607091383935</v>
      </c>
      <c r="E28" s="648" t="n"/>
      <c r="F28" s="680" t="n">
        <v>0.33</v>
      </c>
      <c r="G28" s="38" t="n">
        <v>6</v>
      </c>
      <c r="H28" s="680" t="n">
        <v>1.98</v>
      </c>
      <c r="I28" s="680" t="n">
        <v>2.246</v>
      </c>
      <c r="J28" s="38" t="n">
        <v>156</v>
      </c>
      <c r="K28" s="39" t="inlineStr">
        <is>
          <t>СК2</t>
        </is>
      </c>
      <c r="L28" s="38" t="n">
        <v>30</v>
      </c>
      <c r="M28" s="691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N28" s="682" t="n"/>
      <c r="O28" s="682" t="n"/>
      <c r="P28" s="682" t="n"/>
      <c r="Q28" s="648" t="n"/>
      <c r="R28" s="40" t="inlineStr"/>
      <c r="S28" s="40" t="inlineStr"/>
      <c r="T28" s="41" t="inlineStr">
        <is>
          <t>кг</t>
        </is>
      </c>
      <c r="U28" s="683" t="n">
        <v>0</v>
      </c>
      <c r="V28" s="684">
        <f>IFERROR(IF(U28="",0,CEILING((U28/$H28),1)*$H28),"")</f>
        <v/>
      </c>
      <c r="W28" s="42">
        <f>IFERROR(IF(V28=0,"",ROUNDUP(V28/H28,0)*0.00753),"")</f>
        <v/>
      </c>
      <c r="X28" s="69" t="inlineStr"/>
      <c r="Y28" s="70" t="inlineStr"/>
      <c r="AC28" s="71" t="n"/>
      <c r="AZ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23" t="n">
        <v>4680115881853</v>
      </c>
      <c r="E29" s="648" t="n"/>
      <c r="F29" s="680" t="n">
        <v>0.33</v>
      </c>
      <c r="G29" s="38" t="n">
        <v>6</v>
      </c>
      <c r="H29" s="680" t="n">
        <v>1.98</v>
      </c>
      <c r="I29" s="680" t="n">
        <v>2.246</v>
      </c>
      <c r="J29" s="38" t="n">
        <v>156</v>
      </c>
      <c r="K29" s="39" t="inlineStr">
        <is>
          <t>СК2</t>
        </is>
      </c>
      <c r="L29" s="38" t="n">
        <v>30</v>
      </c>
      <c r="M29" s="692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N29" s="682" t="n"/>
      <c r="O29" s="682" t="n"/>
      <c r="P29" s="682" t="n"/>
      <c r="Q29" s="648" t="n"/>
      <c r="R29" s="40" t="inlineStr"/>
      <c r="S29" s="40" t="inlineStr"/>
      <c r="T29" s="41" t="inlineStr">
        <is>
          <t>кг</t>
        </is>
      </c>
      <c r="U29" s="683" t="n">
        <v>0</v>
      </c>
      <c r="V29" s="684">
        <f>IFERROR(IF(U29="",0,CEILING((U29/$H29),1)*$H29),"")</f>
        <v/>
      </c>
      <c r="W29" s="42">
        <f>IFERROR(IF(V29=0,"",ROUNDUP(V29/H29,0)*0.00753),"")</f>
        <v/>
      </c>
      <c r="X29" s="69" t="inlineStr"/>
      <c r="Y29" s="70" t="inlineStr"/>
      <c r="AC29" s="71" t="n"/>
      <c r="AZ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23" t="n">
        <v>4607091383911</v>
      </c>
      <c r="E30" s="648" t="n"/>
      <c r="F30" s="680" t="n">
        <v>0.33</v>
      </c>
      <c r="G30" s="38" t="n">
        <v>6</v>
      </c>
      <c r="H30" s="680" t="n">
        <v>1.98</v>
      </c>
      <c r="I30" s="680" t="n">
        <v>2.246</v>
      </c>
      <c r="J30" s="38" t="n">
        <v>156</v>
      </c>
      <c r="K30" s="39" t="inlineStr">
        <is>
          <t>СК2</t>
        </is>
      </c>
      <c r="L30" s="38" t="n">
        <v>35</v>
      </c>
      <c r="M30" s="693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N30" s="682" t="n"/>
      <c r="O30" s="682" t="n"/>
      <c r="P30" s="682" t="n"/>
      <c r="Q30" s="648" t="n"/>
      <c r="R30" s="40" t="inlineStr"/>
      <c r="S30" s="40" t="inlineStr"/>
      <c r="T30" s="41" t="inlineStr">
        <is>
          <t>кг</t>
        </is>
      </c>
      <c r="U30" s="683" t="n">
        <v>0</v>
      </c>
      <c r="V30" s="684">
        <f>IFERROR(IF(U30="",0,CEILING((U30/$H30),1)*$H30),"")</f>
        <v/>
      </c>
      <c r="W30" s="42">
        <f>IFERROR(IF(V30=0,"",ROUNDUP(V30/H30,0)*0.00753),"")</f>
        <v/>
      </c>
      <c r="X30" s="69" t="inlineStr"/>
      <c r="Y30" s="70" t="inlineStr"/>
      <c r="AC30" s="71" t="n"/>
      <c r="AZ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23" t="n">
        <v>4607091388244</v>
      </c>
      <c r="E31" s="648" t="n"/>
      <c r="F31" s="680" t="n">
        <v>0.42</v>
      </c>
      <c r="G31" s="38" t="n">
        <v>6</v>
      </c>
      <c r="H31" s="680" t="n">
        <v>2.52</v>
      </c>
      <c r="I31" s="680" t="n">
        <v>2.786</v>
      </c>
      <c r="J31" s="38" t="n">
        <v>156</v>
      </c>
      <c r="K31" s="39" t="inlineStr">
        <is>
          <t>СК2</t>
        </is>
      </c>
      <c r="L31" s="38" t="n">
        <v>35</v>
      </c>
      <c r="M31" s="694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N31" s="682" t="n"/>
      <c r="O31" s="682" t="n"/>
      <c r="P31" s="682" t="n"/>
      <c r="Q31" s="648" t="n"/>
      <c r="R31" s="40" t="inlineStr"/>
      <c r="S31" s="40" t="inlineStr"/>
      <c r="T31" s="41" t="inlineStr">
        <is>
          <t>кг</t>
        </is>
      </c>
      <c r="U31" s="683" t="n">
        <v>0</v>
      </c>
      <c r="V31" s="684">
        <f>IFERROR(IF(U31="",0,CEILING((U31/$H31),1)*$H31),"")</f>
        <v/>
      </c>
      <c r="W31" s="42">
        <f>IFERROR(IF(V31=0,"",ROUNDUP(V31/H31,0)*0.00753),"")</f>
        <v/>
      </c>
      <c r="X31" s="69" t="inlineStr"/>
      <c r="Y31" s="70" t="inlineStr"/>
      <c r="AC31" s="71" t="n"/>
      <c r="AZ31" s="79" t="inlineStr">
        <is>
          <t>КИ</t>
        </is>
      </c>
    </row>
    <row r="32">
      <c r="A32" s="33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685" t="n"/>
      <c r="M32" s="686" t="inlineStr">
        <is>
          <t>Итого</t>
        </is>
      </c>
      <c r="N32" s="656" t="n"/>
      <c r="O32" s="656" t="n"/>
      <c r="P32" s="656" t="n"/>
      <c r="Q32" s="656" t="n"/>
      <c r="R32" s="656" t="n"/>
      <c r="S32" s="657" t="n"/>
      <c r="T32" s="43" t="inlineStr">
        <is>
          <t>кор</t>
        </is>
      </c>
      <c r="U32" s="687">
        <f>IFERROR(U26/H26,"0")+IFERROR(U27/H27,"0")+IFERROR(U28/H28,"0")+IFERROR(U29/H29,"0")+IFERROR(U30/H30,"0")+IFERROR(U31/H31,"0")</f>
        <v/>
      </c>
      <c r="V32" s="687">
        <f>IFERROR(V26/H26,"0")+IFERROR(V27/H27,"0")+IFERROR(V28/H28,"0")+IFERROR(V29/H29,"0")+IFERROR(V30/H30,"0")+IFERROR(V31/H31,"0")</f>
        <v/>
      </c>
      <c r="W32" s="687">
        <f>IFERROR(IF(W26="",0,W26),"0")+IFERROR(IF(W27="",0,W27),"0")+IFERROR(IF(W28="",0,W28),"0")+IFERROR(IF(W29="",0,W29),"0")+IFERROR(IF(W30="",0,W30),"0")+IFERROR(IF(W31="",0,W31),"0")</f>
        <v/>
      </c>
      <c r="X32" s="688" t="n"/>
      <c r="Y32" s="688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685" t="n"/>
      <c r="M33" s="686" t="inlineStr">
        <is>
          <t>Итого</t>
        </is>
      </c>
      <c r="N33" s="656" t="n"/>
      <c r="O33" s="656" t="n"/>
      <c r="P33" s="656" t="n"/>
      <c r="Q33" s="656" t="n"/>
      <c r="R33" s="656" t="n"/>
      <c r="S33" s="657" t="n"/>
      <c r="T33" s="43" t="inlineStr">
        <is>
          <t>кг</t>
        </is>
      </c>
      <c r="U33" s="687">
        <f>IFERROR(SUM(U26:U31),"0")</f>
        <v/>
      </c>
      <c r="V33" s="687">
        <f>IFERROR(SUM(V26:V31),"0")</f>
        <v/>
      </c>
      <c r="W33" s="43" t="n"/>
      <c r="X33" s="688" t="n"/>
      <c r="Y33" s="688" t="n"/>
    </row>
    <row r="34" ht="14.25" customHeight="1">
      <c r="A34" s="322" t="inlineStr">
        <is>
          <t>Сырокопченые колбасы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322" t="n"/>
      <c r="Y34" s="322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23" t="n">
        <v>4607091388503</v>
      </c>
      <c r="E35" s="648" t="n"/>
      <c r="F35" s="680" t="n">
        <v>0.05</v>
      </c>
      <c r="G35" s="38" t="n">
        <v>12</v>
      </c>
      <c r="H35" s="680" t="n">
        <v>0.6</v>
      </c>
      <c r="I35" s="680" t="n">
        <v>0.842</v>
      </c>
      <c r="J35" s="38" t="n">
        <v>156</v>
      </c>
      <c r="K35" s="39" t="inlineStr">
        <is>
          <t>АК</t>
        </is>
      </c>
      <c r="L35" s="38" t="n">
        <v>120</v>
      </c>
      <c r="M35" s="695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N35" s="682" t="n"/>
      <c r="O35" s="682" t="n"/>
      <c r="P35" s="682" t="n"/>
      <c r="Q35" s="648" t="n"/>
      <c r="R35" s="40" t="inlineStr"/>
      <c r="S35" s="40" t="inlineStr"/>
      <c r="T35" s="41" t="inlineStr">
        <is>
          <t>кг</t>
        </is>
      </c>
      <c r="U35" s="683" t="n">
        <v>0</v>
      </c>
      <c r="V35" s="684">
        <f>IFERROR(IF(U35="",0,CEILING((U35/$H35),1)*$H35),"")</f>
        <v/>
      </c>
      <c r="W35" s="42">
        <f>IFERROR(IF(V35=0,"",ROUNDUP(V35/H35,0)*0.00753),"")</f>
        <v/>
      </c>
      <c r="X35" s="69" t="inlineStr"/>
      <c r="Y35" s="70" t="inlineStr"/>
      <c r="AC35" s="71" t="n"/>
      <c r="AZ35" s="80" t="inlineStr">
        <is>
          <t>СНК</t>
        </is>
      </c>
    </row>
    <row r="36">
      <c r="A36" s="33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685" t="n"/>
      <c r="M36" s="686" t="inlineStr">
        <is>
          <t>Итого</t>
        </is>
      </c>
      <c r="N36" s="656" t="n"/>
      <c r="O36" s="656" t="n"/>
      <c r="P36" s="656" t="n"/>
      <c r="Q36" s="656" t="n"/>
      <c r="R36" s="656" t="n"/>
      <c r="S36" s="657" t="n"/>
      <c r="T36" s="43" t="inlineStr">
        <is>
          <t>кор</t>
        </is>
      </c>
      <c r="U36" s="687">
        <f>IFERROR(U35/H35,"0")</f>
        <v/>
      </c>
      <c r="V36" s="687">
        <f>IFERROR(V35/H35,"0")</f>
        <v/>
      </c>
      <c r="W36" s="687">
        <f>IFERROR(IF(W35="",0,W35),"0")</f>
        <v/>
      </c>
      <c r="X36" s="688" t="n"/>
      <c r="Y36" s="688" t="n"/>
    </row>
    <row r="37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685" t="n"/>
      <c r="M37" s="686" t="inlineStr">
        <is>
          <t>Итого</t>
        </is>
      </c>
      <c r="N37" s="656" t="n"/>
      <c r="O37" s="656" t="n"/>
      <c r="P37" s="656" t="n"/>
      <c r="Q37" s="656" t="n"/>
      <c r="R37" s="656" t="n"/>
      <c r="S37" s="657" t="n"/>
      <c r="T37" s="43" t="inlineStr">
        <is>
          <t>кг</t>
        </is>
      </c>
      <c r="U37" s="687">
        <f>IFERROR(SUM(U35:U35),"0")</f>
        <v/>
      </c>
      <c r="V37" s="687">
        <f>IFERROR(SUM(V35:V35),"0")</f>
        <v/>
      </c>
      <c r="W37" s="43" t="n"/>
      <c r="X37" s="688" t="n"/>
      <c r="Y37" s="688" t="n"/>
    </row>
    <row r="38" ht="14.25" customHeight="1">
      <c r="A38" s="322" t="inlineStr">
        <is>
          <t>Продукты из мяса птицы копчено-вареные</t>
        </is>
      </c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322" t="n"/>
      <c r="Y38" s="322" t="n"/>
    </row>
    <row r="39" ht="80.25" customHeight="1">
      <c r="A39" s="64" t="inlineStr">
        <is>
          <t>SU001872</t>
        </is>
      </c>
      <c r="B39" s="64" t="inlineStr">
        <is>
          <t>P001933</t>
        </is>
      </c>
      <c r="C39" s="37" t="n">
        <v>4301160001</v>
      </c>
      <c r="D39" s="323" t="n">
        <v>4607091388282</v>
      </c>
      <c r="E39" s="648" t="n"/>
      <c r="F39" s="680" t="n">
        <v>0.3</v>
      </c>
      <c r="G39" s="38" t="n">
        <v>6</v>
      </c>
      <c r="H39" s="680" t="n">
        <v>1.8</v>
      </c>
      <c r="I39" s="680" t="n">
        <v>2.084</v>
      </c>
      <c r="J39" s="38" t="n">
        <v>156</v>
      </c>
      <c r="K39" s="39" t="inlineStr">
        <is>
          <t>АК</t>
        </is>
      </c>
      <c r="L39" s="38" t="n">
        <v>30</v>
      </c>
      <c r="M39" s="696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N39" s="682" t="n"/>
      <c r="O39" s="682" t="n"/>
      <c r="P39" s="682" t="n"/>
      <c r="Q39" s="648" t="n"/>
      <c r="R39" s="40" t="inlineStr"/>
      <c r="S39" s="40" t="inlineStr"/>
      <c r="T39" s="41" t="inlineStr">
        <is>
          <t>кг</t>
        </is>
      </c>
      <c r="U39" s="683" t="n">
        <v>0</v>
      </c>
      <c r="V39" s="684">
        <f>IFERROR(IF(U39="",0,CEILING((U39/$H39),1)*$H39),"")</f>
        <v/>
      </c>
      <c r="W39" s="42">
        <f>IFERROR(IF(V39=0,"",ROUNDUP(V39/H39,0)*0.00753),"")</f>
        <v/>
      </c>
      <c r="X39" s="69" t="inlineStr">
        <is>
          <t>Предзаказ по четвергам до 12:00 на отгрузку со вторника следующей недели</t>
        </is>
      </c>
      <c r="Y39" s="70" t="inlineStr"/>
      <c r="AC39" s="71" t="n"/>
      <c r="AZ39" s="81" t="inlineStr">
        <is>
          <t>КИ</t>
        </is>
      </c>
    </row>
    <row r="40">
      <c r="A40" s="33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685" t="n"/>
      <c r="M40" s="686" t="inlineStr">
        <is>
          <t>Итого</t>
        </is>
      </c>
      <c r="N40" s="656" t="n"/>
      <c r="O40" s="656" t="n"/>
      <c r="P40" s="656" t="n"/>
      <c r="Q40" s="656" t="n"/>
      <c r="R40" s="656" t="n"/>
      <c r="S40" s="657" t="n"/>
      <c r="T40" s="43" t="inlineStr">
        <is>
          <t>кор</t>
        </is>
      </c>
      <c r="U40" s="687">
        <f>IFERROR(U39/H39,"0")</f>
        <v/>
      </c>
      <c r="V40" s="687">
        <f>IFERROR(V39/H39,"0")</f>
        <v/>
      </c>
      <c r="W40" s="687">
        <f>IFERROR(IF(W39="",0,W39),"0")</f>
        <v/>
      </c>
      <c r="X40" s="688" t="n"/>
      <c r="Y40" s="688" t="n"/>
    </row>
    <row r="41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685" t="n"/>
      <c r="M41" s="686" t="inlineStr">
        <is>
          <t>Итого</t>
        </is>
      </c>
      <c r="N41" s="656" t="n"/>
      <c r="O41" s="656" t="n"/>
      <c r="P41" s="656" t="n"/>
      <c r="Q41" s="656" t="n"/>
      <c r="R41" s="656" t="n"/>
      <c r="S41" s="657" t="n"/>
      <c r="T41" s="43" t="inlineStr">
        <is>
          <t>кг</t>
        </is>
      </c>
      <c r="U41" s="687">
        <f>IFERROR(SUM(U39:U39),"0")</f>
        <v/>
      </c>
      <c r="V41" s="687">
        <f>IFERROR(SUM(V39:V39),"0")</f>
        <v/>
      </c>
      <c r="W41" s="43" t="n"/>
      <c r="X41" s="688" t="n"/>
      <c r="Y41" s="688" t="n"/>
    </row>
    <row r="42" ht="14.25" customHeight="1">
      <c r="A42" s="322" t="inlineStr">
        <is>
          <t>Сыровяленые колбасы</t>
        </is>
      </c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322" t="n"/>
      <c r="Y42" s="322" t="n"/>
    </row>
    <row r="43" ht="27" customHeight="1">
      <c r="A43" s="64" t="inlineStr">
        <is>
          <t>SU002049</t>
        </is>
      </c>
      <c r="B43" s="64" t="inlineStr">
        <is>
          <t>P002191</t>
        </is>
      </c>
      <c r="C43" s="37" t="n">
        <v>4301170002</v>
      </c>
      <c r="D43" s="323" t="n">
        <v>4607091389111</v>
      </c>
      <c r="E43" s="648" t="n"/>
      <c r="F43" s="680" t="n">
        <v>0.025</v>
      </c>
      <c r="G43" s="38" t="n">
        <v>10</v>
      </c>
      <c r="H43" s="680" t="n">
        <v>0.25</v>
      </c>
      <c r="I43" s="680" t="n">
        <v>0.492</v>
      </c>
      <c r="J43" s="38" t="n">
        <v>156</v>
      </c>
      <c r="K43" s="39" t="inlineStr">
        <is>
          <t>АК</t>
        </is>
      </c>
      <c r="L43" s="38" t="n">
        <v>120</v>
      </c>
      <c r="M43" s="697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/>
      </c>
      <c r="N43" s="682" t="n"/>
      <c r="O43" s="682" t="n"/>
      <c r="P43" s="682" t="n"/>
      <c r="Q43" s="648" t="n"/>
      <c r="R43" s="40" t="inlineStr"/>
      <c r="S43" s="40" t="inlineStr"/>
      <c r="T43" s="41" t="inlineStr">
        <is>
          <t>кг</t>
        </is>
      </c>
      <c r="U43" s="683" t="n">
        <v>0</v>
      </c>
      <c r="V43" s="684">
        <f>IFERROR(IF(U43="",0,CEILING((U43/$H43),1)*$H43),"")</f>
        <v/>
      </c>
      <c r="W43" s="42">
        <f>IFERROR(IF(V43=0,"",ROUNDUP(V43/H43,0)*0.00753),"")</f>
        <v/>
      </c>
      <c r="X43" s="69" t="inlineStr"/>
      <c r="Y43" s="70" t="inlineStr"/>
      <c r="AC43" s="71" t="n"/>
      <c r="AZ43" s="82" t="inlineStr">
        <is>
          <t>СНК</t>
        </is>
      </c>
    </row>
    <row r="44">
      <c r="A44" s="33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685" t="n"/>
      <c r="M44" s="686" t="inlineStr">
        <is>
          <t>Итого</t>
        </is>
      </c>
      <c r="N44" s="656" t="n"/>
      <c r="O44" s="656" t="n"/>
      <c r="P44" s="656" t="n"/>
      <c r="Q44" s="656" t="n"/>
      <c r="R44" s="656" t="n"/>
      <c r="S44" s="657" t="n"/>
      <c r="T44" s="43" t="inlineStr">
        <is>
          <t>кор</t>
        </is>
      </c>
      <c r="U44" s="687">
        <f>IFERROR(U43/H43,"0")</f>
        <v/>
      </c>
      <c r="V44" s="687">
        <f>IFERROR(V43/H43,"0")</f>
        <v/>
      </c>
      <c r="W44" s="687">
        <f>IFERROR(IF(W43="",0,W43),"0")</f>
        <v/>
      </c>
      <c r="X44" s="688" t="n"/>
      <c r="Y44" s="688" t="n"/>
    </row>
    <row r="45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685" t="n"/>
      <c r="M45" s="686" t="inlineStr">
        <is>
          <t>Итого</t>
        </is>
      </c>
      <c r="N45" s="656" t="n"/>
      <c r="O45" s="656" t="n"/>
      <c r="P45" s="656" t="n"/>
      <c r="Q45" s="656" t="n"/>
      <c r="R45" s="656" t="n"/>
      <c r="S45" s="657" t="n"/>
      <c r="T45" s="43" t="inlineStr">
        <is>
          <t>кг</t>
        </is>
      </c>
      <c r="U45" s="687">
        <f>IFERROR(SUM(U43:U43),"0")</f>
        <v/>
      </c>
      <c r="V45" s="687">
        <f>IFERROR(SUM(V43:V43),"0")</f>
        <v/>
      </c>
      <c r="W45" s="43" t="n"/>
      <c r="X45" s="688" t="n"/>
      <c r="Y45" s="688" t="n"/>
    </row>
    <row r="46" ht="27.75" customHeight="1">
      <c r="A46" s="344" t="inlineStr">
        <is>
          <t>Вязанка</t>
        </is>
      </c>
      <c r="B46" s="679" t="n"/>
      <c r="C46" s="679" t="n"/>
      <c r="D46" s="679" t="n"/>
      <c r="E46" s="679" t="n"/>
      <c r="F46" s="679" t="n"/>
      <c r="G46" s="679" t="n"/>
      <c r="H46" s="679" t="n"/>
      <c r="I46" s="679" t="n"/>
      <c r="J46" s="679" t="n"/>
      <c r="K46" s="679" t="n"/>
      <c r="L46" s="679" t="n"/>
      <c r="M46" s="679" t="n"/>
      <c r="N46" s="679" t="n"/>
      <c r="O46" s="679" t="n"/>
      <c r="P46" s="679" t="n"/>
      <c r="Q46" s="679" t="n"/>
      <c r="R46" s="679" t="n"/>
      <c r="S46" s="679" t="n"/>
      <c r="T46" s="679" t="n"/>
      <c r="U46" s="679" t="n"/>
      <c r="V46" s="679" t="n"/>
      <c r="W46" s="679" t="n"/>
      <c r="X46" s="55" t="n"/>
      <c r="Y46" s="55" t="n"/>
    </row>
    <row r="47" ht="16.5" customHeight="1">
      <c r="A47" s="321" t="inlineStr">
        <is>
          <t>Столичная</t>
        </is>
      </c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321" t="n"/>
      <c r="Y47" s="321" t="n"/>
    </row>
    <row r="48" ht="14.25" customHeight="1">
      <c r="A48" s="322" t="inlineStr">
        <is>
          <t>Ветчины</t>
        </is>
      </c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322" t="n"/>
      <c r="Y48" s="322" t="n"/>
    </row>
    <row r="49" ht="27" customHeight="1">
      <c r="A49" s="64" t="inlineStr">
        <is>
          <t>SU002828</t>
        </is>
      </c>
      <c r="B49" s="64" t="inlineStr">
        <is>
          <t>P003234</t>
        </is>
      </c>
      <c r="C49" s="37" t="n">
        <v>4301020234</v>
      </c>
      <c r="D49" s="323" t="n">
        <v>4680115881440</v>
      </c>
      <c r="E49" s="648" t="n"/>
      <c r="F49" s="680" t="n">
        <v>1.35</v>
      </c>
      <c r="G49" s="38" t="n">
        <v>8</v>
      </c>
      <c r="H49" s="680" t="n">
        <v>10.8</v>
      </c>
      <c r="I49" s="680" t="n">
        <v>11.28</v>
      </c>
      <c r="J49" s="38" t="n">
        <v>56</v>
      </c>
      <c r="K49" s="39" t="inlineStr">
        <is>
          <t>СК1</t>
        </is>
      </c>
      <c r="L49" s="38" t="n">
        <v>50</v>
      </c>
      <c r="M49" s="698">
        <f>HYPERLINK("https://abi.ru/products/Охлажденные/Вязанка/Столичная/Ветчины/P003234/","Ветчины «Филейская» Весовые Вектор ТМ «Вязанка»")</f>
        <v/>
      </c>
      <c r="N49" s="682" t="n"/>
      <c r="O49" s="682" t="n"/>
      <c r="P49" s="682" t="n"/>
      <c r="Q49" s="648" t="n"/>
      <c r="R49" s="40" t="inlineStr"/>
      <c r="S49" s="40" t="inlineStr"/>
      <c r="T49" s="41" t="inlineStr">
        <is>
          <t>кг</t>
        </is>
      </c>
      <c r="U49" s="683" t="n">
        <v>400</v>
      </c>
      <c r="V49" s="684">
        <f>IFERROR(IF(U49="",0,CEILING((U49/$H49),1)*$H49),"")</f>
        <v/>
      </c>
      <c r="W49" s="42">
        <f>IFERROR(IF(V49=0,"",ROUNDUP(V49/H49,0)*0.02175),"")</f>
        <v/>
      </c>
      <c r="X49" s="69" t="inlineStr"/>
      <c r="Y49" s="70" t="inlineStr"/>
      <c r="AC49" s="71" t="n"/>
      <c r="AZ49" s="83" t="inlineStr">
        <is>
          <t>КИ</t>
        </is>
      </c>
    </row>
    <row r="50" ht="27" customHeight="1">
      <c r="A50" s="64" t="inlineStr">
        <is>
          <t>SU002814</t>
        </is>
      </c>
      <c r="B50" s="64" t="inlineStr">
        <is>
          <t>P003226</t>
        </is>
      </c>
      <c r="C50" s="37" t="n">
        <v>4301020232</v>
      </c>
      <c r="D50" s="323" t="n">
        <v>4680115881433</v>
      </c>
      <c r="E50" s="648" t="n"/>
      <c r="F50" s="680" t="n">
        <v>0.45</v>
      </c>
      <c r="G50" s="38" t="n">
        <v>6</v>
      </c>
      <c r="H50" s="680" t="n">
        <v>2.7</v>
      </c>
      <c r="I50" s="680" t="n">
        <v>2.9</v>
      </c>
      <c r="J50" s="38" t="n">
        <v>156</v>
      </c>
      <c r="K50" s="39" t="inlineStr">
        <is>
          <t>СК1</t>
        </is>
      </c>
      <c r="L50" s="38" t="n">
        <v>50</v>
      </c>
      <c r="M50" s="699">
        <f>HYPERLINK("https://abi.ru/products/Охлажденные/Вязанка/Столичная/Ветчины/P003226/","Ветчины «Филейская» Фикс.вес 0,45 Вектор ТМ «Вязанка»")</f>
        <v/>
      </c>
      <c r="N50" s="682" t="n"/>
      <c r="O50" s="682" t="n"/>
      <c r="P50" s="682" t="n"/>
      <c r="Q50" s="648" t="n"/>
      <c r="R50" s="40" t="inlineStr"/>
      <c r="S50" s="40" t="inlineStr"/>
      <c r="T50" s="41" t="inlineStr">
        <is>
          <t>кг</t>
        </is>
      </c>
      <c r="U50" s="683" t="n">
        <v>0</v>
      </c>
      <c r="V50" s="684">
        <f>IFERROR(IF(U50="",0,CEILING((U50/$H50),1)*$H50),"")</f>
        <v/>
      </c>
      <c r="W50" s="42">
        <f>IFERROR(IF(V50=0,"",ROUNDUP(V50/H50,0)*0.00753),"")</f>
        <v/>
      </c>
      <c r="X50" s="69" t="inlineStr"/>
      <c r="Y50" s="70" t="inlineStr"/>
      <c r="AC50" s="71" t="n"/>
      <c r="AZ50" s="84" t="inlineStr">
        <is>
          <t>КИ</t>
        </is>
      </c>
    </row>
    <row r="51">
      <c r="A51" s="33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685" t="n"/>
      <c r="M51" s="686" t="inlineStr">
        <is>
          <t>Итого</t>
        </is>
      </c>
      <c r="N51" s="656" t="n"/>
      <c r="O51" s="656" t="n"/>
      <c r="P51" s="656" t="n"/>
      <c r="Q51" s="656" t="n"/>
      <c r="R51" s="656" t="n"/>
      <c r="S51" s="657" t="n"/>
      <c r="T51" s="43" t="inlineStr">
        <is>
          <t>кор</t>
        </is>
      </c>
      <c r="U51" s="687">
        <f>IFERROR(U49/H49,"0")+IFERROR(U50/H50,"0")</f>
        <v/>
      </c>
      <c r="V51" s="687">
        <f>IFERROR(V49/H49,"0")+IFERROR(V50/H50,"0")</f>
        <v/>
      </c>
      <c r="W51" s="687">
        <f>IFERROR(IF(W49="",0,W49),"0")+IFERROR(IF(W50="",0,W50),"0")</f>
        <v/>
      </c>
      <c r="X51" s="688" t="n"/>
      <c r="Y51" s="688" t="n"/>
    </row>
    <row r="52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685" t="n"/>
      <c r="M52" s="686" t="inlineStr">
        <is>
          <t>Итого</t>
        </is>
      </c>
      <c r="N52" s="656" t="n"/>
      <c r="O52" s="656" t="n"/>
      <c r="P52" s="656" t="n"/>
      <c r="Q52" s="656" t="n"/>
      <c r="R52" s="656" t="n"/>
      <c r="S52" s="657" t="n"/>
      <c r="T52" s="43" t="inlineStr">
        <is>
          <t>кг</t>
        </is>
      </c>
      <c r="U52" s="687">
        <f>IFERROR(SUM(U49:U50),"0")</f>
        <v/>
      </c>
      <c r="V52" s="687">
        <f>IFERROR(SUM(V49:V50),"0")</f>
        <v/>
      </c>
      <c r="W52" s="43" t="n"/>
      <c r="X52" s="688" t="n"/>
      <c r="Y52" s="688" t="n"/>
    </row>
    <row r="53" ht="16.5" customHeight="1">
      <c r="A53" s="321" t="inlineStr">
        <is>
          <t>Классическая</t>
        </is>
      </c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321" t="n"/>
      <c r="Y53" s="321" t="n"/>
    </row>
    <row r="54" ht="14.25" customHeight="1">
      <c r="A54" s="322" t="inlineStr">
        <is>
          <t>Вареные колбасы</t>
        </is>
      </c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322" t="n"/>
      <c r="Y54" s="322" t="n"/>
    </row>
    <row r="55" ht="27" customHeight="1">
      <c r="A55" s="64" t="inlineStr">
        <is>
          <t>SU002829</t>
        </is>
      </c>
      <c r="B55" s="64" t="inlineStr">
        <is>
          <t>P003298</t>
        </is>
      </c>
      <c r="C55" s="37" t="n">
        <v>4301011481</v>
      </c>
      <c r="D55" s="323" t="n">
        <v>4680115881426</v>
      </c>
      <c r="E55" s="648" t="n"/>
      <c r="F55" s="680" t="n">
        <v>1.35</v>
      </c>
      <c r="G55" s="38" t="n">
        <v>8</v>
      </c>
      <c r="H55" s="680" t="n">
        <v>10.8</v>
      </c>
      <c r="I55" s="680" t="n">
        <v>11.28</v>
      </c>
      <c r="J55" s="38" t="n">
        <v>48</v>
      </c>
      <c r="K55" s="39" t="inlineStr">
        <is>
          <t>ВЗ</t>
        </is>
      </c>
      <c r="L55" s="38" t="n">
        <v>55</v>
      </c>
      <c r="M55" s="700" t="inlineStr">
        <is>
          <t>Вареные колбасы «Филейская» Весовые Вектор ТМ «Вязанка»</t>
        </is>
      </c>
      <c r="N55" s="682" t="n"/>
      <c r="O55" s="682" t="n"/>
      <c r="P55" s="682" t="n"/>
      <c r="Q55" s="648" t="n"/>
      <c r="R55" s="40" t="inlineStr"/>
      <c r="S55" s="40" t="inlineStr"/>
      <c r="T55" s="41" t="inlineStr">
        <is>
          <t>кг</t>
        </is>
      </c>
      <c r="U55" s="683" t="n">
        <v>0</v>
      </c>
      <c r="V55" s="684">
        <f>IFERROR(IF(U55="",0,CEILING((U55/$H55),1)*$H55),"")</f>
        <v/>
      </c>
      <c r="W55" s="42">
        <f>IFERROR(IF(V55=0,"",ROUNDUP(V55/H55,0)*0.02039),"")</f>
        <v/>
      </c>
      <c r="X55" s="69" t="inlineStr"/>
      <c r="Y55" s="70" t="inlineStr"/>
      <c r="AC55" s="71" t="n"/>
      <c r="AZ55" s="85" t="inlineStr">
        <is>
          <t>КИ</t>
        </is>
      </c>
    </row>
    <row r="56" ht="27" customHeight="1">
      <c r="A56" s="64" t="inlineStr">
        <is>
          <t>SU002829</t>
        </is>
      </c>
      <c r="B56" s="64" t="inlineStr">
        <is>
          <t>P003235</t>
        </is>
      </c>
      <c r="C56" s="37" t="n">
        <v>4301011452</v>
      </c>
      <c r="D56" s="323" t="n">
        <v>4680115881426</v>
      </c>
      <c r="E56" s="648" t="n"/>
      <c r="F56" s="680" t="n">
        <v>1.35</v>
      </c>
      <c r="G56" s="38" t="n">
        <v>8</v>
      </c>
      <c r="H56" s="680" t="n">
        <v>10.8</v>
      </c>
      <c r="I56" s="680" t="n">
        <v>11.28</v>
      </c>
      <c r="J56" s="38" t="n">
        <v>56</v>
      </c>
      <c r="K56" s="39" t="inlineStr">
        <is>
          <t>СК1</t>
        </is>
      </c>
      <c r="L56" s="38" t="n">
        <v>50</v>
      </c>
      <c r="M56" s="701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N56" s="682" t="n"/>
      <c r="O56" s="682" t="n"/>
      <c r="P56" s="682" t="n"/>
      <c r="Q56" s="648" t="n"/>
      <c r="R56" s="40" t="inlineStr"/>
      <c r="S56" s="40" t="inlineStr"/>
      <c r="T56" s="41" t="inlineStr">
        <is>
          <t>кг</t>
        </is>
      </c>
      <c r="U56" s="683" t="n">
        <v>0</v>
      </c>
      <c r="V56" s="684">
        <f>IFERROR(IF(U56="",0,CEILING((U56/$H56),1)*$H56),"")</f>
        <v/>
      </c>
      <c r="W56" s="42">
        <f>IFERROR(IF(V56=0,"",ROUNDUP(V56/H56,0)*0.02175),"")</f>
        <v/>
      </c>
      <c r="X56" s="69" t="inlineStr"/>
      <c r="Y56" s="70" t="inlineStr"/>
      <c r="AC56" s="71" t="n"/>
      <c r="AZ56" s="86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23" t="n">
        <v>4680115881419</v>
      </c>
      <c r="E57" s="648" t="n"/>
      <c r="F57" s="680" t="n">
        <v>0.45</v>
      </c>
      <c r="G57" s="38" t="n">
        <v>10</v>
      </c>
      <c r="H57" s="680" t="n">
        <v>4.5</v>
      </c>
      <c r="I57" s="680" t="n">
        <v>4.74</v>
      </c>
      <c r="J57" s="38" t="n">
        <v>120</v>
      </c>
      <c r="K57" s="39" t="inlineStr">
        <is>
          <t>СК1</t>
        </is>
      </c>
      <c r="L57" s="38" t="n">
        <v>50</v>
      </c>
      <c r="M57" s="702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N57" s="682" t="n"/>
      <c r="O57" s="682" t="n"/>
      <c r="P57" s="682" t="n"/>
      <c r="Q57" s="648" t="n"/>
      <c r="R57" s="40" t="inlineStr"/>
      <c r="S57" s="40" t="inlineStr"/>
      <c r="T57" s="41" t="inlineStr">
        <is>
          <t>кг</t>
        </is>
      </c>
      <c r="U57" s="683" t="n">
        <v>0</v>
      </c>
      <c r="V57" s="684">
        <f>IFERROR(IF(U57="",0,CEILING((U57/$H57),1)*$H57),"")</f>
        <v/>
      </c>
      <c r="W57" s="42">
        <f>IFERROR(IF(V57=0,"",ROUNDUP(V57/H57,0)*0.00937),"")</f>
        <v/>
      </c>
      <c r="X57" s="69" t="inlineStr"/>
      <c r="Y57" s="70" t="inlineStr"/>
      <c r="AC57" s="71" t="n"/>
      <c r="AZ57" s="87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23" t="n">
        <v>4680115881525</v>
      </c>
      <c r="E58" s="648" t="n"/>
      <c r="F58" s="680" t="n">
        <v>0.4</v>
      </c>
      <c r="G58" s="38" t="n">
        <v>10</v>
      </c>
      <c r="H58" s="680" t="n">
        <v>4</v>
      </c>
      <c r="I58" s="680" t="n">
        <v>4.24</v>
      </c>
      <c r="J58" s="38" t="n">
        <v>120</v>
      </c>
      <c r="K58" s="39" t="inlineStr">
        <is>
          <t>СК1</t>
        </is>
      </c>
      <c r="L58" s="38" t="n">
        <v>50</v>
      </c>
      <c r="M58" s="703" t="inlineStr">
        <is>
          <t>Колбаса вареная Филейская ТМ Вязанка ТС Классическая полиамид ф/в 0,4 кг</t>
        </is>
      </c>
      <c r="N58" s="682" t="n"/>
      <c r="O58" s="682" t="n"/>
      <c r="P58" s="682" t="n"/>
      <c r="Q58" s="648" t="n"/>
      <c r="R58" s="40" t="inlineStr"/>
      <c r="S58" s="40" t="inlineStr"/>
      <c r="T58" s="41" t="inlineStr">
        <is>
          <t>кг</t>
        </is>
      </c>
      <c r="U58" s="683" t="n">
        <v>0</v>
      </c>
      <c r="V58" s="684">
        <f>IFERROR(IF(U58="",0,CEILING((U58/$H58),1)*$H58),"")</f>
        <v/>
      </c>
      <c r="W58" s="42">
        <f>IFERROR(IF(V58=0,"",ROUNDUP(V58/H58,0)*0.00937),"")</f>
        <v/>
      </c>
      <c r="X58" s="69" t="inlineStr"/>
      <c r="Y58" s="70" t="inlineStr"/>
      <c r="AC58" s="71" t="n"/>
      <c r="AZ58" s="88" t="inlineStr">
        <is>
          <t>КИ</t>
        </is>
      </c>
    </row>
    <row r="59">
      <c r="A59" s="33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685" t="n"/>
      <c r="M59" s="686" t="inlineStr">
        <is>
          <t>Итого</t>
        </is>
      </c>
      <c r="N59" s="656" t="n"/>
      <c r="O59" s="656" t="n"/>
      <c r="P59" s="656" t="n"/>
      <c r="Q59" s="656" t="n"/>
      <c r="R59" s="656" t="n"/>
      <c r="S59" s="657" t="n"/>
      <c r="T59" s="43" t="inlineStr">
        <is>
          <t>кор</t>
        </is>
      </c>
      <c r="U59" s="687">
        <f>IFERROR(U55/H55,"0")+IFERROR(U56/H56,"0")+IFERROR(U57/H57,"0")+IFERROR(U58/H58,"0")</f>
        <v/>
      </c>
      <c r="V59" s="687">
        <f>IFERROR(V55/H55,"0")+IFERROR(V56/H56,"0")+IFERROR(V57/H57,"0")+IFERROR(V58/H58,"0")</f>
        <v/>
      </c>
      <c r="W59" s="687">
        <f>IFERROR(IF(W55="",0,W55),"0")+IFERROR(IF(W56="",0,W56),"0")+IFERROR(IF(W57="",0,W57),"0")+IFERROR(IF(W58="",0,W58),"0")</f>
        <v/>
      </c>
      <c r="X59" s="688" t="n"/>
      <c r="Y59" s="688" t="n"/>
    </row>
    <row r="60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685" t="n"/>
      <c r="M60" s="686" t="inlineStr">
        <is>
          <t>Итого</t>
        </is>
      </c>
      <c r="N60" s="656" t="n"/>
      <c r="O60" s="656" t="n"/>
      <c r="P60" s="656" t="n"/>
      <c r="Q60" s="656" t="n"/>
      <c r="R60" s="656" t="n"/>
      <c r="S60" s="657" t="n"/>
      <c r="T60" s="43" t="inlineStr">
        <is>
          <t>кг</t>
        </is>
      </c>
      <c r="U60" s="687">
        <f>IFERROR(SUM(U55:U58),"0")</f>
        <v/>
      </c>
      <c r="V60" s="687">
        <f>IFERROR(SUM(V55:V58),"0")</f>
        <v/>
      </c>
      <c r="W60" s="43" t="n"/>
      <c r="X60" s="688" t="n"/>
      <c r="Y60" s="688" t="n"/>
    </row>
    <row r="61" ht="16.5" customHeight="1">
      <c r="A61" s="321" t="inlineStr">
        <is>
          <t>Вязанка</t>
        </is>
      </c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321" t="n"/>
      <c r="Y61" s="321" t="n"/>
    </row>
    <row r="62" ht="14.25" customHeight="1">
      <c r="A62" s="322" t="inlineStr">
        <is>
          <t>Вареные колбасы</t>
        </is>
      </c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322" t="n"/>
      <c r="Y62" s="322" t="n"/>
    </row>
    <row r="63" ht="27" customHeight="1">
      <c r="A63" s="64" t="inlineStr">
        <is>
          <t>SU000124</t>
        </is>
      </c>
      <c r="B63" s="64" t="inlineStr">
        <is>
          <t>P003690</t>
        </is>
      </c>
      <c r="C63" s="37" t="n">
        <v>4301011623</v>
      </c>
      <c r="D63" s="323" t="n">
        <v>4607091382945</v>
      </c>
      <c r="E63" s="648" t="n"/>
      <c r="F63" s="680" t="n">
        <v>1.4</v>
      </c>
      <c r="G63" s="38" t="n">
        <v>8</v>
      </c>
      <c r="H63" s="680" t="n">
        <v>11.2</v>
      </c>
      <c r="I63" s="680" t="n">
        <v>11.68</v>
      </c>
      <c r="J63" s="38" t="n">
        <v>56</v>
      </c>
      <c r="K63" s="39" t="inlineStr">
        <is>
          <t>СК1</t>
        </is>
      </c>
      <c r="L63" s="38" t="n">
        <v>50</v>
      </c>
      <c r="M63" s="704" t="inlineStr">
        <is>
          <t>Вареные колбасы «Вязанка со шпиком» Весовые Вектор УВВ ТМ «Вязанка»</t>
        </is>
      </c>
      <c r="N63" s="682" t="n"/>
      <c r="O63" s="682" t="n"/>
      <c r="P63" s="682" t="n"/>
      <c r="Q63" s="648" t="n"/>
      <c r="R63" s="40" t="inlineStr"/>
      <c r="S63" s="40" t="inlineStr"/>
      <c r="T63" s="41" t="inlineStr">
        <is>
          <t>кг</t>
        </is>
      </c>
      <c r="U63" s="683" t="n">
        <v>0</v>
      </c>
      <c r="V63" s="684">
        <f>IFERROR(IF(U63="",0,CEILING((U63/$H63),1)*$H63),"")</f>
        <v/>
      </c>
      <c r="W63" s="42">
        <f>IFERROR(IF(V63=0,"",ROUNDUP(V63/H63,0)*0.02175),"")</f>
        <v/>
      </c>
      <c r="X63" s="69" t="inlineStr"/>
      <c r="Y63" s="70" t="inlineStr"/>
      <c r="AC63" s="71" t="n"/>
      <c r="AZ63" s="89" t="inlineStr">
        <is>
          <t>КИ</t>
        </is>
      </c>
    </row>
    <row r="64" ht="27" customHeight="1">
      <c r="A64" s="64" t="inlineStr">
        <is>
          <t>SU000722</t>
        </is>
      </c>
      <c r="B64" s="64" t="inlineStr">
        <is>
          <t>P003011</t>
        </is>
      </c>
      <c r="C64" s="37" t="n">
        <v>4301011380</v>
      </c>
      <c r="D64" s="323" t="n">
        <v>4607091385670</v>
      </c>
      <c r="E64" s="648" t="n"/>
      <c r="F64" s="680" t="n">
        <v>1.35</v>
      </c>
      <c r="G64" s="38" t="n">
        <v>8</v>
      </c>
      <c r="H64" s="680" t="n">
        <v>10.8</v>
      </c>
      <c r="I64" s="680" t="n">
        <v>11.28</v>
      </c>
      <c r="J64" s="38" t="n">
        <v>56</v>
      </c>
      <c r="K64" s="39" t="inlineStr">
        <is>
          <t>СК1</t>
        </is>
      </c>
      <c r="L64" s="38" t="n">
        <v>50</v>
      </c>
      <c r="M64" s="705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N64" s="682" t="n"/>
      <c r="O64" s="682" t="n"/>
      <c r="P64" s="682" t="n"/>
      <c r="Q64" s="648" t="n"/>
      <c r="R64" s="40" t="inlineStr"/>
      <c r="S64" s="40" t="inlineStr"/>
      <c r="T64" s="41" t="inlineStr">
        <is>
          <t>кг</t>
        </is>
      </c>
      <c r="U64" s="683" t="n">
        <v>660</v>
      </c>
      <c r="V64" s="684">
        <f>IFERROR(IF(U64="",0,CEILING((U64/$H64),1)*$H64),"")</f>
        <v/>
      </c>
      <c r="W64" s="42">
        <f>IFERROR(IF(V64=0,"",ROUNDUP(V64/H64,0)*0.02175),"")</f>
        <v/>
      </c>
      <c r="X64" s="69" t="inlineStr"/>
      <c r="Y64" s="70" t="inlineStr"/>
      <c r="AC64" s="71" t="n"/>
      <c r="AZ64" s="90" t="inlineStr">
        <is>
          <t>КИ</t>
        </is>
      </c>
    </row>
    <row r="65" ht="27" customHeight="1">
      <c r="A65" s="64" t="inlineStr">
        <is>
          <t>SU002830</t>
        </is>
      </c>
      <c r="B65" s="64" t="inlineStr">
        <is>
          <t>P003239</t>
        </is>
      </c>
      <c r="C65" s="37" t="n">
        <v>4301011468</v>
      </c>
      <c r="D65" s="323" t="n">
        <v>4680115881327</v>
      </c>
      <c r="E65" s="648" t="n"/>
      <c r="F65" s="680" t="n">
        <v>1.35</v>
      </c>
      <c r="G65" s="38" t="n">
        <v>8</v>
      </c>
      <c r="H65" s="680" t="n">
        <v>10.8</v>
      </c>
      <c r="I65" s="680" t="n">
        <v>11.28</v>
      </c>
      <c r="J65" s="38" t="n">
        <v>56</v>
      </c>
      <c r="K65" s="39" t="inlineStr">
        <is>
          <t>СК4</t>
        </is>
      </c>
      <c r="L65" s="38" t="n">
        <v>50</v>
      </c>
      <c r="M65" s="706">
        <f>HYPERLINK("https://abi.ru/products/Охлажденные/Вязанка/Вязанка/Вареные колбасы/P003239/","Вареные колбасы Молокуша Вязанка Вес п/а Вязанка")</f>
        <v/>
      </c>
      <c r="N65" s="682" t="n"/>
      <c r="O65" s="682" t="n"/>
      <c r="P65" s="682" t="n"/>
      <c r="Q65" s="648" t="n"/>
      <c r="R65" s="40" t="inlineStr"/>
      <c r="S65" s="40" t="inlineStr"/>
      <c r="T65" s="41" t="inlineStr">
        <is>
          <t>кг</t>
        </is>
      </c>
      <c r="U65" s="683" t="n">
        <v>800</v>
      </c>
      <c r="V65" s="684">
        <f>IFERROR(IF(U65="",0,CEILING((U65/$H65),1)*$H65),"")</f>
        <v/>
      </c>
      <c r="W65" s="42">
        <f>IFERROR(IF(V65=0,"",ROUNDUP(V65/H65,0)*0.02175),"")</f>
        <v/>
      </c>
      <c r="X65" s="69" t="inlineStr"/>
      <c r="Y65" s="70" t="inlineStr"/>
      <c r="AC65" s="71" t="n"/>
      <c r="AZ65" s="91" t="inlineStr">
        <is>
          <t>КИ</t>
        </is>
      </c>
    </row>
    <row r="66" ht="16.5" customHeight="1">
      <c r="A66" s="64" t="inlineStr">
        <is>
          <t>SU002928</t>
        </is>
      </c>
      <c r="B66" s="64" t="inlineStr">
        <is>
          <t>P003357</t>
        </is>
      </c>
      <c r="C66" s="37" t="n">
        <v>4301011514</v>
      </c>
      <c r="D66" s="323" t="n">
        <v>4680115882133</v>
      </c>
      <c r="E66" s="648" t="n"/>
      <c r="F66" s="680" t="n">
        <v>1.35</v>
      </c>
      <c r="G66" s="38" t="n">
        <v>8</v>
      </c>
      <c r="H66" s="680" t="n">
        <v>10.8</v>
      </c>
      <c r="I66" s="680" t="n">
        <v>11.28</v>
      </c>
      <c r="J66" s="38" t="n">
        <v>56</v>
      </c>
      <c r="K66" s="39" t="inlineStr">
        <is>
          <t>СК1</t>
        </is>
      </c>
      <c r="L66" s="38" t="n">
        <v>50</v>
      </c>
      <c r="M66" s="707">
        <f>HYPERLINK("https://abi.ru/products/Охлажденные/Вязанка/Вязанка/Вареные колбасы/P003357/","Вареные колбасы «Сливушка» Вес П/а ТМ «Вязанка»")</f>
        <v/>
      </c>
      <c r="N66" s="682" t="n"/>
      <c r="O66" s="682" t="n"/>
      <c r="P66" s="682" t="n"/>
      <c r="Q66" s="648" t="n"/>
      <c r="R66" s="40" t="inlineStr"/>
      <c r="S66" s="40" t="inlineStr"/>
      <c r="T66" s="41" t="inlineStr">
        <is>
          <t>кг</t>
        </is>
      </c>
      <c r="U66" s="683" t="n">
        <v>0</v>
      </c>
      <c r="V66" s="684">
        <f>IFERROR(IF(U66="",0,CEILING((U66/$H66),1)*$H66),"")</f>
        <v/>
      </c>
      <c r="W66" s="42">
        <f>IFERROR(IF(V66=0,"",ROUNDUP(V66/H66,0)*0.02175),"")</f>
        <v/>
      </c>
      <c r="X66" s="69" t="inlineStr"/>
      <c r="Y66" s="70" t="inlineStr"/>
      <c r="AC66" s="71" t="n"/>
      <c r="AZ66" s="92" t="inlineStr">
        <is>
          <t>КИ</t>
        </is>
      </c>
    </row>
    <row r="67" ht="27" customHeight="1">
      <c r="A67" s="64" t="inlineStr">
        <is>
          <t>SU000125</t>
        </is>
      </c>
      <c r="B67" s="64" t="inlineStr">
        <is>
          <t>P002479</t>
        </is>
      </c>
      <c r="C67" s="37" t="n">
        <v>4301011192</v>
      </c>
      <c r="D67" s="323" t="n">
        <v>4607091382952</v>
      </c>
      <c r="E67" s="648" t="n"/>
      <c r="F67" s="680" t="n">
        <v>0.5</v>
      </c>
      <c r="G67" s="38" t="n">
        <v>6</v>
      </c>
      <c r="H67" s="680" t="n">
        <v>3</v>
      </c>
      <c r="I67" s="680" t="n">
        <v>3.2</v>
      </c>
      <c r="J67" s="38" t="n">
        <v>156</v>
      </c>
      <c r="K67" s="39" t="inlineStr">
        <is>
          <t>СК1</t>
        </is>
      </c>
      <c r="L67" s="38" t="n">
        <v>50</v>
      </c>
      <c r="M67" s="708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N67" s="682" t="n"/>
      <c r="O67" s="682" t="n"/>
      <c r="P67" s="682" t="n"/>
      <c r="Q67" s="648" t="n"/>
      <c r="R67" s="40" t="inlineStr"/>
      <c r="S67" s="40" t="inlineStr"/>
      <c r="T67" s="41" t="inlineStr">
        <is>
          <t>кг</t>
        </is>
      </c>
      <c r="U67" s="683" t="n">
        <v>0</v>
      </c>
      <c r="V67" s="684">
        <f>IFERROR(IF(U67="",0,CEILING((U67/$H67),1)*$H67),"")</f>
        <v/>
      </c>
      <c r="W67" s="42">
        <f>IFERROR(IF(V67=0,"",ROUNDUP(V67/H67,0)*0.00753),"")</f>
        <v/>
      </c>
      <c r="X67" s="69" t="inlineStr"/>
      <c r="Y67" s="70" t="inlineStr"/>
      <c r="AC67" s="71" t="n"/>
      <c r="AZ67" s="93" t="inlineStr">
        <is>
          <t>КИ</t>
        </is>
      </c>
    </row>
    <row r="68" ht="27" customHeight="1">
      <c r="A68" s="64" t="inlineStr">
        <is>
          <t>SU002986</t>
        </is>
      </c>
      <c r="B68" s="64" t="inlineStr">
        <is>
          <t>P003429</t>
        </is>
      </c>
      <c r="C68" s="37" t="n">
        <v>4301011565</v>
      </c>
      <c r="D68" s="323" t="n">
        <v>4680115882539</v>
      </c>
      <c r="E68" s="648" t="n"/>
      <c r="F68" s="680" t="n">
        <v>0.37</v>
      </c>
      <c r="G68" s="38" t="n">
        <v>10</v>
      </c>
      <c r="H68" s="680" t="n">
        <v>3.7</v>
      </c>
      <c r="I68" s="680" t="n">
        <v>3.94</v>
      </c>
      <c r="J68" s="38" t="n">
        <v>120</v>
      </c>
      <c r="K68" s="39" t="inlineStr">
        <is>
          <t>СК3</t>
        </is>
      </c>
      <c r="L68" s="38" t="n">
        <v>50</v>
      </c>
      <c r="M68" s="709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N68" s="682" t="n"/>
      <c r="O68" s="682" t="n"/>
      <c r="P68" s="682" t="n"/>
      <c r="Q68" s="648" t="n"/>
      <c r="R68" s="40" t="inlineStr"/>
      <c r="S68" s="40" t="inlineStr"/>
      <c r="T68" s="41" t="inlineStr">
        <is>
          <t>кг</t>
        </is>
      </c>
      <c r="U68" s="683" t="n">
        <v>0</v>
      </c>
      <c r="V68" s="684">
        <f>IFERROR(IF(U68="",0,CEILING((U68/$H68),1)*$H68),"")</f>
        <v/>
      </c>
      <c r="W68" s="42">
        <f>IFERROR(IF(V68=0,"",ROUNDUP(V68/H68,0)*0.00937),"")</f>
        <v/>
      </c>
      <c r="X68" s="69" t="inlineStr"/>
      <c r="Y68" s="70" t="inlineStr"/>
      <c r="AC68" s="71" t="n"/>
      <c r="AZ68" s="94" t="inlineStr">
        <is>
          <t>КИ</t>
        </is>
      </c>
    </row>
    <row r="69" ht="27" customHeight="1">
      <c r="A69" s="64" t="inlineStr">
        <is>
          <t>SU001485</t>
        </is>
      </c>
      <c r="B69" s="64" t="inlineStr">
        <is>
          <t>P003008</t>
        </is>
      </c>
      <c r="C69" s="37" t="n">
        <v>4301011382</v>
      </c>
      <c r="D69" s="323" t="n">
        <v>4607091385687</v>
      </c>
      <c r="E69" s="648" t="n"/>
      <c r="F69" s="680" t="n">
        <v>0.4</v>
      </c>
      <c r="G69" s="38" t="n">
        <v>10</v>
      </c>
      <c r="H69" s="680" t="n">
        <v>4</v>
      </c>
      <c r="I69" s="680" t="n">
        <v>4.24</v>
      </c>
      <c r="J69" s="38" t="n">
        <v>120</v>
      </c>
      <c r="K69" s="39" t="inlineStr">
        <is>
          <t>СК3</t>
        </is>
      </c>
      <c r="L69" s="38" t="n">
        <v>50</v>
      </c>
      <c r="M69" s="710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N69" s="682" t="n"/>
      <c r="O69" s="682" t="n"/>
      <c r="P69" s="682" t="n"/>
      <c r="Q69" s="648" t="n"/>
      <c r="R69" s="40" t="inlineStr"/>
      <c r="S69" s="40" t="inlineStr"/>
      <c r="T69" s="41" t="inlineStr">
        <is>
          <t>кг</t>
        </is>
      </c>
      <c r="U69" s="683" t="n">
        <v>0</v>
      </c>
      <c r="V69" s="684">
        <f>IFERROR(IF(U69="",0,CEILING((U69/$H69),1)*$H69),"")</f>
        <v/>
      </c>
      <c r="W69" s="42">
        <f>IFERROR(IF(V69=0,"",ROUNDUP(V69/H69,0)*0.00937),"")</f>
        <v/>
      </c>
      <c r="X69" s="69" t="inlineStr"/>
      <c r="Y69" s="70" t="inlineStr"/>
      <c r="AC69" s="71" t="n"/>
      <c r="AZ69" s="95" t="inlineStr">
        <is>
          <t>КИ</t>
        </is>
      </c>
    </row>
    <row r="70" ht="27" customHeight="1">
      <c r="A70" s="64" t="inlineStr">
        <is>
          <t>SU002312</t>
        </is>
      </c>
      <c r="B70" s="64" t="inlineStr">
        <is>
          <t>P002577</t>
        </is>
      </c>
      <c r="C70" s="37" t="n">
        <v>4301011344</v>
      </c>
      <c r="D70" s="323" t="n">
        <v>4607091384604</v>
      </c>
      <c r="E70" s="648" t="n"/>
      <c r="F70" s="680" t="n">
        <v>0.4</v>
      </c>
      <c r="G70" s="38" t="n">
        <v>10</v>
      </c>
      <c r="H70" s="680" t="n">
        <v>4</v>
      </c>
      <c r="I70" s="680" t="n">
        <v>4.24</v>
      </c>
      <c r="J70" s="38" t="n">
        <v>120</v>
      </c>
      <c r="K70" s="39" t="inlineStr">
        <is>
          <t>СК1</t>
        </is>
      </c>
      <c r="L70" s="38" t="n">
        <v>50</v>
      </c>
      <c r="M70" s="711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N70" s="682" t="n"/>
      <c r="O70" s="682" t="n"/>
      <c r="P70" s="682" t="n"/>
      <c r="Q70" s="648" t="n"/>
      <c r="R70" s="40" t="inlineStr"/>
      <c r="S70" s="40" t="inlineStr"/>
      <c r="T70" s="41" t="inlineStr">
        <is>
          <t>кг</t>
        </is>
      </c>
      <c r="U70" s="683" t="n">
        <v>0</v>
      </c>
      <c r="V70" s="684">
        <f>IFERROR(IF(U70="",0,CEILING((U70/$H70),1)*$H70),"")</f>
        <v/>
      </c>
      <c r="W70" s="42">
        <f>IFERROR(IF(V70=0,"",ROUNDUP(V70/H70,0)*0.00937),"")</f>
        <v/>
      </c>
      <c r="X70" s="69" t="inlineStr"/>
      <c r="Y70" s="70" t="inlineStr"/>
      <c r="AC70" s="71" t="n"/>
      <c r="AZ70" s="96" t="inlineStr">
        <is>
          <t>КИ</t>
        </is>
      </c>
    </row>
    <row r="71" ht="27" customHeight="1">
      <c r="A71" s="64" t="inlineStr">
        <is>
          <t>SU002674</t>
        </is>
      </c>
      <c r="B71" s="64" t="inlineStr">
        <is>
          <t>P003045</t>
        </is>
      </c>
      <c r="C71" s="37" t="n">
        <v>4301011386</v>
      </c>
      <c r="D71" s="323" t="n">
        <v>4680115880283</v>
      </c>
      <c r="E71" s="648" t="n"/>
      <c r="F71" s="680" t="n">
        <v>0.6</v>
      </c>
      <c r="G71" s="38" t="n">
        <v>8</v>
      </c>
      <c r="H71" s="680" t="n">
        <v>4.8</v>
      </c>
      <c r="I71" s="680" t="n">
        <v>5.04</v>
      </c>
      <c r="J71" s="38" t="n">
        <v>120</v>
      </c>
      <c r="K71" s="39" t="inlineStr">
        <is>
          <t>СК1</t>
        </is>
      </c>
      <c r="L71" s="38" t="n">
        <v>45</v>
      </c>
      <c r="M71" s="712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N71" s="682" t="n"/>
      <c r="O71" s="682" t="n"/>
      <c r="P71" s="682" t="n"/>
      <c r="Q71" s="648" t="n"/>
      <c r="R71" s="40" t="inlineStr"/>
      <c r="S71" s="40" t="inlineStr"/>
      <c r="T71" s="41" t="inlineStr">
        <is>
          <t>кг</t>
        </is>
      </c>
      <c r="U71" s="683" t="n">
        <v>0</v>
      </c>
      <c r="V71" s="684">
        <f>IFERROR(IF(U71="",0,CEILING((U71/$H71),1)*$H71),"")</f>
        <v/>
      </c>
      <c r="W71" s="42">
        <f>IFERROR(IF(V71=0,"",ROUNDUP(V71/H71,0)*0.00937),"")</f>
        <v/>
      </c>
      <c r="X71" s="69" t="inlineStr"/>
      <c r="Y71" s="70" t="inlineStr"/>
      <c r="AC71" s="71" t="n"/>
      <c r="AZ71" s="97" t="inlineStr">
        <is>
          <t>КИ</t>
        </is>
      </c>
    </row>
    <row r="72" ht="16.5" customHeight="1">
      <c r="A72" s="64" t="inlineStr">
        <is>
          <t>SU002832</t>
        </is>
      </c>
      <c r="B72" s="64" t="inlineStr">
        <is>
          <t>P003245</t>
        </is>
      </c>
      <c r="C72" s="37" t="n">
        <v>4301011476</v>
      </c>
      <c r="D72" s="323" t="n">
        <v>4680115881518</v>
      </c>
      <c r="E72" s="648" t="n"/>
      <c r="F72" s="680" t="n">
        <v>0.4</v>
      </c>
      <c r="G72" s="38" t="n">
        <v>10</v>
      </c>
      <c r="H72" s="680" t="n">
        <v>4</v>
      </c>
      <c r="I72" s="680" t="n">
        <v>4.24</v>
      </c>
      <c r="J72" s="38" t="n">
        <v>120</v>
      </c>
      <c r="K72" s="39" t="inlineStr">
        <is>
          <t>СК3</t>
        </is>
      </c>
      <c r="L72" s="38" t="n">
        <v>50</v>
      </c>
      <c r="M72" s="713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N72" s="682" t="n"/>
      <c r="O72" s="682" t="n"/>
      <c r="P72" s="682" t="n"/>
      <c r="Q72" s="648" t="n"/>
      <c r="R72" s="40" t="inlineStr"/>
      <c r="S72" s="40" t="inlineStr"/>
      <c r="T72" s="41" t="inlineStr">
        <is>
          <t>кг</t>
        </is>
      </c>
      <c r="U72" s="683" t="n">
        <v>0</v>
      </c>
      <c r="V72" s="684">
        <f>IFERROR(IF(U72="",0,CEILING((U72/$H72),1)*$H72),"")</f>
        <v/>
      </c>
      <c r="W72" s="42">
        <f>IFERROR(IF(V72=0,"",ROUNDUP(V72/H72,0)*0.00937),"")</f>
        <v/>
      </c>
      <c r="X72" s="69" t="inlineStr"/>
      <c r="Y72" s="70" t="inlineStr"/>
      <c r="AC72" s="71" t="n"/>
      <c r="AZ72" s="98" t="inlineStr">
        <is>
          <t>КИ</t>
        </is>
      </c>
    </row>
    <row r="73" ht="27" customHeight="1">
      <c r="A73" s="64" t="inlineStr">
        <is>
          <t>SU002816</t>
        </is>
      </c>
      <c r="B73" s="64" t="inlineStr">
        <is>
          <t>P003228</t>
        </is>
      </c>
      <c r="C73" s="37" t="n">
        <v>4301011443</v>
      </c>
      <c r="D73" s="323" t="n">
        <v>4680115881303</v>
      </c>
      <c r="E73" s="648" t="n"/>
      <c r="F73" s="680" t="n">
        <v>0.45</v>
      </c>
      <c r="G73" s="38" t="n">
        <v>10</v>
      </c>
      <c r="H73" s="680" t="n">
        <v>4.5</v>
      </c>
      <c r="I73" s="680" t="n">
        <v>4.71</v>
      </c>
      <c r="J73" s="38" t="n">
        <v>120</v>
      </c>
      <c r="K73" s="39" t="inlineStr">
        <is>
          <t>СК4</t>
        </is>
      </c>
      <c r="L73" s="38" t="n">
        <v>50</v>
      </c>
      <c r="M73" s="714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N73" s="682" t="n"/>
      <c r="O73" s="682" t="n"/>
      <c r="P73" s="682" t="n"/>
      <c r="Q73" s="648" t="n"/>
      <c r="R73" s="40" t="inlineStr"/>
      <c r="S73" s="40" t="inlineStr"/>
      <c r="T73" s="41" t="inlineStr">
        <is>
          <t>кг</t>
        </is>
      </c>
      <c r="U73" s="683" t="n">
        <v>0</v>
      </c>
      <c r="V73" s="684">
        <f>IFERROR(IF(U73="",0,CEILING((U73/$H73),1)*$H73),"")</f>
        <v/>
      </c>
      <c r="W73" s="42">
        <f>IFERROR(IF(V73=0,"",ROUNDUP(V73/H73,0)*0.00937),"")</f>
        <v/>
      </c>
      <c r="X73" s="69" t="inlineStr"/>
      <c r="Y73" s="70" t="inlineStr"/>
      <c r="AC73" s="71" t="n"/>
      <c r="AZ73" s="99" t="inlineStr">
        <is>
          <t>КИ</t>
        </is>
      </c>
    </row>
    <row r="74" ht="27" customHeight="1">
      <c r="A74" s="64" t="inlineStr">
        <is>
          <t>SU002983</t>
        </is>
      </c>
      <c r="B74" s="64" t="inlineStr">
        <is>
          <t>P003437</t>
        </is>
      </c>
      <c r="C74" s="37" t="n">
        <v>4301011562</v>
      </c>
      <c r="D74" s="323" t="n">
        <v>4680115882577</v>
      </c>
      <c r="E74" s="648" t="n"/>
      <c r="F74" s="680" t="n">
        <v>0.4</v>
      </c>
      <c r="G74" s="38" t="n">
        <v>8</v>
      </c>
      <c r="H74" s="680" t="n">
        <v>3.2</v>
      </c>
      <c r="I74" s="680" t="n">
        <v>3.4</v>
      </c>
      <c r="J74" s="38" t="n">
        <v>156</v>
      </c>
      <c r="K74" s="39" t="inlineStr">
        <is>
          <t>АК</t>
        </is>
      </c>
      <c r="L74" s="38" t="n">
        <v>90</v>
      </c>
      <c r="M74" s="715" t="inlineStr">
        <is>
          <t>Колбаса вареная Мусульманская ТМ Вязанка Халяль вектор ф/в 0,4 кг Казахстан АК</t>
        </is>
      </c>
      <c r="N74" s="682" t="n"/>
      <c r="O74" s="682" t="n"/>
      <c r="P74" s="682" t="n"/>
      <c r="Q74" s="648" t="n"/>
      <c r="R74" s="40" t="inlineStr"/>
      <c r="S74" s="40" t="inlineStr"/>
      <c r="T74" s="41" t="inlineStr">
        <is>
          <t>кг</t>
        </is>
      </c>
      <c r="U74" s="683" t="n">
        <v>112</v>
      </c>
      <c r="V74" s="684">
        <f>IFERROR(IF(U74="",0,CEILING((U74/$H74),1)*$H74),"")</f>
        <v/>
      </c>
      <c r="W74" s="42">
        <f>IFERROR(IF(V74=0,"",ROUNDUP(V74/H74,0)*0.00753),"")</f>
        <v/>
      </c>
      <c r="X74" s="69" t="inlineStr"/>
      <c r="Y74" s="70" t="inlineStr"/>
      <c r="AC74" s="71" t="n"/>
      <c r="AZ74" s="100" t="inlineStr">
        <is>
          <t>КИ</t>
        </is>
      </c>
    </row>
    <row r="75" ht="27" customHeight="1">
      <c r="A75" s="64" t="inlineStr">
        <is>
          <t>SU001905</t>
        </is>
      </c>
      <c r="B75" s="64" t="inlineStr">
        <is>
          <t>P001685</t>
        </is>
      </c>
      <c r="C75" s="37" t="n">
        <v>4301011352</v>
      </c>
      <c r="D75" s="323" t="n">
        <v>4607091388466</v>
      </c>
      <c r="E75" s="648" t="n"/>
      <c r="F75" s="680" t="n">
        <v>0.45</v>
      </c>
      <c r="G75" s="38" t="n">
        <v>6</v>
      </c>
      <c r="H75" s="680" t="n">
        <v>2.7</v>
      </c>
      <c r="I75" s="680" t="n">
        <v>2.9</v>
      </c>
      <c r="J75" s="38" t="n">
        <v>156</v>
      </c>
      <c r="K75" s="39" t="inlineStr">
        <is>
          <t>СК3</t>
        </is>
      </c>
      <c r="L75" s="38" t="n">
        <v>45</v>
      </c>
      <c r="M75" s="716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N75" s="682" t="n"/>
      <c r="O75" s="682" t="n"/>
      <c r="P75" s="682" t="n"/>
      <c r="Q75" s="648" t="n"/>
      <c r="R75" s="40" t="inlineStr"/>
      <c r="S75" s="40" t="inlineStr"/>
      <c r="T75" s="41" t="inlineStr">
        <is>
          <t>кг</t>
        </is>
      </c>
      <c r="U75" s="683" t="n">
        <v>0</v>
      </c>
      <c r="V75" s="684">
        <f>IFERROR(IF(U75="",0,CEILING((U75/$H75),1)*$H75),"")</f>
        <v/>
      </c>
      <c r="W75" s="42">
        <f>IFERROR(IF(V75=0,"",ROUNDUP(V75/H75,0)*0.00753),"")</f>
        <v/>
      </c>
      <c r="X75" s="69" t="inlineStr"/>
      <c r="Y75" s="70" t="inlineStr"/>
      <c r="AC75" s="71" t="n"/>
      <c r="AZ75" s="101" t="inlineStr">
        <is>
          <t>КИ</t>
        </is>
      </c>
    </row>
    <row r="76" ht="27" customHeight="1">
      <c r="A76" s="64" t="inlineStr">
        <is>
          <t>SU002733</t>
        </is>
      </c>
      <c r="B76" s="64" t="inlineStr">
        <is>
          <t>P003102</t>
        </is>
      </c>
      <c r="C76" s="37" t="n">
        <v>4301011417</v>
      </c>
      <c r="D76" s="323" t="n">
        <v>4680115880269</v>
      </c>
      <c r="E76" s="648" t="n"/>
      <c r="F76" s="680" t="n">
        <v>0.375</v>
      </c>
      <c r="G76" s="38" t="n">
        <v>10</v>
      </c>
      <c r="H76" s="680" t="n">
        <v>3.75</v>
      </c>
      <c r="I76" s="680" t="n">
        <v>3.99</v>
      </c>
      <c r="J76" s="38" t="n">
        <v>120</v>
      </c>
      <c r="K76" s="39" t="inlineStr">
        <is>
          <t>СК3</t>
        </is>
      </c>
      <c r="L76" s="38" t="n">
        <v>50</v>
      </c>
      <c r="M76" s="717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N76" s="682" t="n"/>
      <c r="O76" s="682" t="n"/>
      <c r="P76" s="682" t="n"/>
      <c r="Q76" s="648" t="n"/>
      <c r="R76" s="40" t="inlineStr"/>
      <c r="S76" s="40" t="inlineStr"/>
      <c r="T76" s="41" t="inlineStr">
        <is>
          <t>кг</t>
        </is>
      </c>
      <c r="U76" s="683" t="n">
        <v>0</v>
      </c>
      <c r="V76" s="684">
        <f>IFERROR(IF(U76="",0,CEILING((U76/$H76),1)*$H76),"")</f>
        <v/>
      </c>
      <c r="W76" s="42">
        <f>IFERROR(IF(V76=0,"",ROUNDUP(V76/H76,0)*0.00937),"")</f>
        <v/>
      </c>
      <c r="X76" s="69" t="inlineStr"/>
      <c r="Y76" s="70" t="inlineStr"/>
      <c r="AC76" s="71" t="n"/>
      <c r="AZ76" s="102" t="inlineStr">
        <is>
          <t>КИ</t>
        </is>
      </c>
    </row>
    <row r="77" ht="16.5" customHeight="1">
      <c r="A77" s="64" t="inlineStr">
        <is>
          <t>SU002734</t>
        </is>
      </c>
      <c r="B77" s="64" t="inlineStr">
        <is>
          <t>P003103</t>
        </is>
      </c>
      <c r="C77" s="37" t="n">
        <v>4301011415</v>
      </c>
      <c r="D77" s="323" t="n">
        <v>4680115880429</v>
      </c>
      <c r="E77" s="648" t="n"/>
      <c r="F77" s="680" t="n">
        <v>0.45</v>
      </c>
      <c r="G77" s="38" t="n">
        <v>10</v>
      </c>
      <c r="H77" s="680" t="n">
        <v>4.5</v>
      </c>
      <c r="I77" s="680" t="n">
        <v>4.74</v>
      </c>
      <c r="J77" s="38" t="n">
        <v>120</v>
      </c>
      <c r="K77" s="39" t="inlineStr">
        <is>
          <t>СК3</t>
        </is>
      </c>
      <c r="L77" s="38" t="n">
        <v>50</v>
      </c>
      <c r="M77" s="718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N77" s="682" t="n"/>
      <c r="O77" s="682" t="n"/>
      <c r="P77" s="682" t="n"/>
      <c r="Q77" s="648" t="n"/>
      <c r="R77" s="40" t="inlineStr"/>
      <c r="S77" s="40" t="inlineStr"/>
      <c r="T77" s="41" t="inlineStr">
        <is>
          <t>кг</t>
        </is>
      </c>
      <c r="U77" s="683" t="n">
        <v>27</v>
      </c>
      <c r="V77" s="684">
        <f>IFERROR(IF(U77="",0,CEILING((U77/$H77),1)*$H77),"")</f>
        <v/>
      </c>
      <c r="W77" s="42">
        <f>IFERROR(IF(V77=0,"",ROUNDUP(V77/H77,0)*0.00937),"")</f>
        <v/>
      </c>
      <c r="X77" s="69" t="inlineStr"/>
      <c r="Y77" s="70" t="inlineStr"/>
      <c r="AC77" s="71" t="n"/>
      <c r="AZ77" s="103" t="inlineStr">
        <is>
          <t>КИ</t>
        </is>
      </c>
    </row>
    <row r="78" ht="16.5" customHeight="1">
      <c r="A78" s="64" t="inlineStr">
        <is>
          <t>SU002827</t>
        </is>
      </c>
      <c r="B78" s="64" t="inlineStr">
        <is>
          <t>P003233</t>
        </is>
      </c>
      <c r="C78" s="37" t="n">
        <v>4301011462</v>
      </c>
      <c r="D78" s="323" t="n">
        <v>4680115881457</v>
      </c>
      <c r="E78" s="648" t="n"/>
      <c r="F78" s="680" t="n">
        <v>0.75</v>
      </c>
      <c r="G78" s="38" t="n">
        <v>6</v>
      </c>
      <c r="H78" s="680" t="n">
        <v>4.5</v>
      </c>
      <c r="I78" s="680" t="n">
        <v>4.74</v>
      </c>
      <c r="J78" s="38" t="n">
        <v>120</v>
      </c>
      <c r="K78" s="39" t="inlineStr">
        <is>
          <t>СК3</t>
        </is>
      </c>
      <c r="L78" s="38" t="n">
        <v>50</v>
      </c>
      <c r="M78" s="719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N78" s="682" t="n"/>
      <c r="O78" s="682" t="n"/>
      <c r="P78" s="682" t="n"/>
      <c r="Q78" s="648" t="n"/>
      <c r="R78" s="40" t="inlineStr"/>
      <c r="S78" s="40" t="inlineStr"/>
      <c r="T78" s="41" t="inlineStr">
        <is>
          <t>кг</t>
        </is>
      </c>
      <c r="U78" s="683" t="n">
        <v>0</v>
      </c>
      <c r="V78" s="684">
        <f>IFERROR(IF(U78="",0,CEILING((U78/$H78),1)*$H78),"")</f>
        <v/>
      </c>
      <c r="W78" s="42">
        <f>IFERROR(IF(V78=0,"",ROUNDUP(V78/H78,0)*0.00937),"")</f>
        <v/>
      </c>
      <c r="X78" s="69" t="inlineStr"/>
      <c r="Y78" s="70" t="inlineStr"/>
      <c r="AC78" s="71" t="n"/>
      <c r="AZ78" s="104" t="inlineStr">
        <is>
          <t>КИ</t>
        </is>
      </c>
    </row>
    <row r="79">
      <c r="A79" s="33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685" t="n"/>
      <c r="M79" s="686" t="inlineStr">
        <is>
          <t>Итого</t>
        </is>
      </c>
      <c r="N79" s="656" t="n"/>
      <c r="O79" s="656" t="n"/>
      <c r="P79" s="656" t="n"/>
      <c r="Q79" s="656" t="n"/>
      <c r="R79" s="656" t="n"/>
      <c r="S79" s="657" t="n"/>
      <c r="T79" s="43" t="inlineStr">
        <is>
          <t>кор</t>
        </is>
      </c>
      <c r="U79" s="687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</f>
        <v/>
      </c>
      <c r="V79" s="687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/>
      </c>
      <c r="W79" s="687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</f>
        <v/>
      </c>
      <c r="X79" s="688" t="n"/>
      <c r="Y79" s="688" t="n"/>
    </row>
    <row r="80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685" t="n"/>
      <c r="M80" s="686" t="inlineStr">
        <is>
          <t>Итого</t>
        </is>
      </c>
      <c r="N80" s="656" t="n"/>
      <c r="O80" s="656" t="n"/>
      <c r="P80" s="656" t="n"/>
      <c r="Q80" s="656" t="n"/>
      <c r="R80" s="656" t="n"/>
      <c r="S80" s="657" t="n"/>
      <c r="T80" s="43" t="inlineStr">
        <is>
          <t>кг</t>
        </is>
      </c>
      <c r="U80" s="687">
        <f>IFERROR(SUM(U63:U78),"0")</f>
        <v/>
      </c>
      <c r="V80" s="687">
        <f>IFERROR(SUM(V63:V78),"0")</f>
        <v/>
      </c>
      <c r="W80" s="43" t="n"/>
      <c r="X80" s="688" t="n"/>
      <c r="Y80" s="688" t="n"/>
    </row>
    <row r="81" ht="14.25" customHeight="1">
      <c r="A81" s="322" t="inlineStr">
        <is>
          <t>Ветчины</t>
        </is>
      </c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322" t="n"/>
      <c r="Y81" s="322" t="n"/>
    </row>
    <row r="82" ht="27" customHeight="1">
      <c r="A82" s="64" t="inlineStr">
        <is>
          <t>SU002488</t>
        </is>
      </c>
      <c r="B82" s="64" t="inlineStr">
        <is>
          <t>P002800</t>
        </is>
      </c>
      <c r="C82" s="37" t="n">
        <v>4301020189</v>
      </c>
      <c r="D82" s="323" t="n">
        <v>4607091384789</v>
      </c>
      <c r="E82" s="648" t="n"/>
      <c r="F82" s="680" t="n">
        <v>1</v>
      </c>
      <c r="G82" s="38" t="n">
        <v>6</v>
      </c>
      <c r="H82" s="680" t="n">
        <v>6</v>
      </c>
      <c r="I82" s="680" t="n">
        <v>6.36</v>
      </c>
      <c r="J82" s="38" t="n">
        <v>104</v>
      </c>
      <c r="K82" s="39" t="inlineStr">
        <is>
          <t>СК1</t>
        </is>
      </c>
      <c r="L82" s="38" t="n">
        <v>45</v>
      </c>
      <c r="M82" s="720" t="inlineStr">
        <is>
          <t>Ветчины Запекуша с сочным окороком Вязанка Весовые П/а Вязанка</t>
        </is>
      </c>
      <c r="N82" s="682" t="n"/>
      <c r="O82" s="682" t="n"/>
      <c r="P82" s="682" t="n"/>
      <c r="Q82" s="648" t="n"/>
      <c r="R82" s="40" t="inlineStr"/>
      <c r="S82" s="40" t="inlineStr"/>
      <c r="T82" s="41" t="inlineStr">
        <is>
          <t>кг</t>
        </is>
      </c>
      <c r="U82" s="683" t="n">
        <v>0</v>
      </c>
      <c r="V82" s="684">
        <f>IFERROR(IF(U82="",0,CEILING((U82/$H82),1)*$H82),"")</f>
        <v/>
      </c>
      <c r="W82" s="42">
        <f>IFERROR(IF(V82=0,"",ROUNDUP(V82/H82,0)*0.01196),"")</f>
        <v/>
      </c>
      <c r="X82" s="69" t="inlineStr"/>
      <c r="Y82" s="70" t="inlineStr"/>
      <c r="AC82" s="71" t="n"/>
      <c r="AZ82" s="105" t="inlineStr">
        <is>
          <t>КИ</t>
        </is>
      </c>
    </row>
    <row r="83" ht="16.5" customHeight="1">
      <c r="A83" s="64" t="inlineStr">
        <is>
          <t>SU002833</t>
        </is>
      </c>
      <c r="B83" s="64" t="inlineStr">
        <is>
          <t>P003236</t>
        </is>
      </c>
      <c r="C83" s="37" t="n">
        <v>4301020235</v>
      </c>
      <c r="D83" s="323" t="n">
        <v>4680115881488</v>
      </c>
      <c r="E83" s="648" t="n"/>
      <c r="F83" s="680" t="n">
        <v>1.35</v>
      </c>
      <c r="G83" s="38" t="n">
        <v>8</v>
      </c>
      <c r="H83" s="680" t="n">
        <v>10.8</v>
      </c>
      <c r="I83" s="680" t="n">
        <v>11.28</v>
      </c>
      <c r="J83" s="38" t="n">
        <v>48</v>
      </c>
      <c r="K83" s="39" t="inlineStr">
        <is>
          <t>СК1</t>
        </is>
      </c>
      <c r="L83" s="38" t="n">
        <v>50</v>
      </c>
      <c r="M83" s="721">
        <f>HYPERLINK("https://abi.ru/products/Охлажденные/Вязанка/Вязанка/Ветчины/P003236/","Ветчины Сливушка с индейкой Вязанка вес П/а Вязанка")</f>
        <v/>
      </c>
      <c r="N83" s="682" t="n"/>
      <c r="O83" s="682" t="n"/>
      <c r="P83" s="682" t="n"/>
      <c r="Q83" s="648" t="n"/>
      <c r="R83" s="40" t="inlineStr"/>
      <c r="S83" s="40" t="inlineStr"/>
      <c r="T83" s="41" t="inlineStr">
        <is>
          <t>кг</t>
        </is>
      </c>
      <c r="U83" s="683" t="n">
        <v>0</v>
      </c>
      <c r="V83" s="684">
        <f>IFERROR(IF(U83="",0,CEILING((U83/$H83),1)*$H83),"")</f>
        <v/>
      </c>
      <c r="W83" s="42">
        <f>IFERROR(IF(V83=0,"",ROUNDUP(V83/H83,0)*0.02175),"")</f>
        <v/>
      </c>
      <c r="X83" s="69" t="inlineStr"/>
      <c r="Y83" s="70" t="inlineStr"/>
      <c r="AC83" s="71" t="n"/>
      <c r="AZ83" s="106" t="inlineStr">
        <is>
          <t>КИ</t>
        </is>
      </c>
    </row>
    <row r="84" ht="27" customHeight="1">
      <c r="A84" s="64" t="inlineStr">
        <is>
          <t>SU002313</t>
        </is>
      </c>
      <c r="B84" s="64" t="inlineStr">
        <is>
          <t>P002583</t>
        </is>
      </c>
      <c r="C84" s="37" t="n">
        <v>4301020183</v>
      </c>
      <c r="D84" s="323" t="n">
        <v>4607091384765</v>
      </c>
      <c r="E84" s="648" t="n"/>
      <c r="F84" s="680" t="n">
        <v>0.42</v>
      </c>
      <c r="G84" s="38" t="n">
        <v>6</v>
      </c>
      <c r="H84" s="680" t="n">
        <v>2.52</v>
      </c>
      <c r="I84" s="680" t="n">
        <v>2.72</v>
      </c>
      <c r="J84" s="38" t="n">
        <v>156</v>
      </c>
      <c r="K84" s="39" t="inlineStr">
        <is>
          <t>СК1</t>
        </is>
      </c>
      <c r="L84" s="38" t="n">
        <v>45</v>
      </c>
      <c r="M84" s="722" t="inlineStr">
        <is>
          <t>Ветчины Запекуша с сочным окороком Вязанка Фикс.вес 0,42 п/а Вязанка</t>
        </is>
      </c>
      <c r="N84" s="682" t="n"/>
      <c r="O84" s="682" t="n"/>
      <c r="P84" s="682" t="n"/>
      <c r="Q84" s="648" t="n"/>
      <c r="R84" s="40" t="inlineStr"/>
      <c r="S84" s="40" t="inlineStr"/>
      <c r="T84" s="41" t="inlineStr">
        <is>
          <t>кг</t>
        </is>
      </c>
      <c r="U84" s="683" t="n">
        <v>0</v>
      </c>
      <c r="V84" s="684">
        <f>IFERROR(IF(U84="",0,CEILING((U84/$H84),1)*$H84),"")</f>
        <v/>
      </c>
      <c r="W84" s="42">
        <f>IFERROR(IF(V84=0,"",ROUNDUP(V84/H84,0)*0.00753),"")</f>
        <v/>
      </c>
      <c r="X84" s="69" t="inlineStr"/>
      <c r="Y84" s="70" t="inlineStr"/>
      <c r="AC84" s="71" t="n"/>
      <c r="AZ84" s="107" t="inlineStr">
        <is>
          <t>КИ</t>
        </is>
      </c>
    </row>
    <row r="85" ht="27" customHeight="1">
      <c r="A85" s="64" t="inlineStr">
        <is>
          <t>SU003037</t>
        </is>
      </c>
      <c r="B85" s="64" t="inlineStr">
        <is>
          <t>P003575</t>
        </is>
      </c>
      <c r="C85" s="37" t="n">
        <v>4301020258</v>
      </c>
      <c r="D85" s="323" t="n">
        <v>4680115882775</v>
      </c>
      <c r="E85" s="648" t="n"/>
      <c r="F85" s="680" t="n">
        <v>0.3</v>
      </c>
      <c r="G85" s="38" t="n">
        <v>8</v>
      </c>
      <c r="H85" s="680" t="n">
        <v>2.4</v>
      </c>
      <c r="I85" s="680" t="n">
        <v>2.5</v>
      </c>
      <c r="J85" s="38" t="n">
        <v>234</v>
      </c>
      <c r="K85" s="39" t="inlineStr">
        <is>
          <t>СК3</t>
        </is>
      </c>
      <c r="L85" s="38" t="n">
        <v>50</v>
      </c>
      <c r="M85" s="723" t="inlineStr">
        <is>
          <t>Ветчины «Сливушка с индейкой» Фикс.вес 0,3 П/а ТМ «Вязанка»</t>
        </is>
      </c>
      <c r="N85" s="682" t="n"/>
      <c r="O85" s="682" t="n"/>
      <c r="P85" s="682" t="n"/>
      <c r="Q85" s="648" t="n"/>
      <c r="R85" s="40" t="inlineStr"/>
      <c r="S85" s="40" t="inlineStr"/>
      <c r="T85" s="41" t="inlineStr">
        <is>
          <t>кг</t>
        </is>
      </c>
      <c r="U85" s="683" t="n">
        <v>0</v>
      </c>
      <c r="V85" s="684">
        <f>IFERROR(IF(U85="",0,CEILING((U85/$H85),1)*$H85),"")</f>
        <v/>
      </c>
      <c r="W85" s="42">
        <f>IFERROR(IF(V85=0,"",ROUNDUP(V85/H85,0)*0.00502),"")</f>
        <v/>
      </c>
      <c r="X85" s="69" t="inlineStr"/>
      <c r="Y85" s="70" t="inlineStr"/>
      <c r="AC85" s="71" t="n"/>
      <c r="AZ85" s="108" t="inlineStr">
        <is>
          <t>КИ</t>
        </is>
      </c>
    </row>
    <row r="86" ht="27" customHeight="1">
      <c r="A86" s="64" t="inlineStr">
        <is>
          <t>SU002735</t>
        </is>
      </c>
      <c r="B86" s="64" t="inlineStr">
        <is>
          <t>P003107</t>
        </is>
      </c>
      <c r="C86" s="37" t="n">
        <v>4301020217</v>
      </c>
      <c r="D86" s="323" t="n">
        <v>4680115880658</v>
      </c>
      <c r="E86" s="648" t="n"/>
      <c r="F86" s="680" t="n">
        <v>0.4</v>
      </c>
      <c r="G86" s="38" t="n">
        <v>6</v>
      </c>
      <c r="H86" s="680" t="n">
        <v>2.4</v>
      </c>
      <c r="I86" s="680" t="n">
        <v>2.6</v>
      </c>
      <c r="J86" s="38" t="n">
        <v>156</v>
      </c>
      <c r="K86" s="39" t="inlineStr">
        <is>
          <t>СК1</t>
        </is>
      </c>
      <c r="L86" s="38" t="n">
        <v>50</v>
      </c>
      <c r="M86" s="724">
        <f>HYPERLINK("https://abi.ru/products/Охлажденные/Вязанка/Вязанка/Ветчины/P003107/","Ветчины Сливушка с индейкой Вязанка Фикс.вес 0,4 П/а Вязанка")</f>
        <v/>
      </c>
      <c r="N86" s="682" t="n"/>
      <c r="O86" s="682" t="n"/>
      <c r="P86" s="682" t="n"/>
      <c r="Q86" s="648" t="n"/>
      <c r="R86" s="40" t="inlineStr"/>
      <c r="S86" s="40" t="inlineStr"/>
      <c r="T86" s="41" t="inlineStr">
        <is>
          <t>кг</t>
        </is>
      </c>
      <c r="U86" s="683" t="n">
        <v>0</v>
      </c>
      <c r="V86" s="684">
        <f>IFERROR(IF(U86="",0,CEILING((U86/$H86),1)*$H86),"")</f>
        <v/>
      </c>
      <c r="W86" s="42">
        <f>IFERROR(IF(V86=0,"",ROUNDUP(V86/H86,0)*0.00753),"")</f>
        <v/>
      </c>
      <c r="X86" s="69" t="inlineStr"/>
      <c r="Y86" s="70" t="inlineStr"/>
      <c r="AC86" s="71" t="n"/>
      <c r="AZ86" s="109" t="inlineStr">
        <is>
          <t>КИ</t>
        </is>
      </c>
    </row>
    <row r="87" ht="27" customHeight="1">
      <c r="A87" s="64" t="inlineStr">
        <is>
          <t>SU000082</t>
        </is>
      </c>
      <c r="B87" s="64" t="inlineStr">
        <is>
          <t>P003164</t>
        </is>
      </c>
      <c r="C87" s="37" t="n">
        <v>4301020223</v>
      </c>
      <c r="D87" s="323" t="n">
        <v>4607091381962</v>
      </c>
      <c r="E87" s="648" t="n"/>
      <c r="F87" s="680" t="n">
        <v>0.5</v>
      </c>
      <c r="G87" s="38" t="n">
        <v>6</v>
      </c>
      <c r="H87" s="680" t="n">
        <v>3</v>
      </c>
      <c r="I87" s="680" t="n">
        <v>3.2</v>
      </c>
      <c r="J87" s="38" t="n">
        <v>156</v>
      </c>
      <c r="K87" s="39" t="inlineStr">
        <is>
          <t>СК1</t>
        </is>
      </c>
      <c r="L87" s="38" t="n">
        <v>50</v>
      </c>
      <c r="M87" s="725">
        <f>HYPERLINK("https://abi.ru/products/Охлажденные/Вязанка/Вязанка/Ветчины/P003164/","Ветчины Столичная Вязанка Фикс.вес 0,5 Вектор Вязанка")</f>
        <v/>
      </c>
      <c r="N87" s="682" t="n"/>
      <c r="O87" s="682" t="n"/>
      <c r="P87" s="682" t="n"/>
      <c r="Q87" s="648" t="n"/>
      <c r="R87" s="40" t="inlineStr"/>
      <c r="S87" s="40" t="inlineStr"/>
      <c r="T87" s="41" t="inlineStr">
        <is>
          <t>кг</t>
        </is>
      </c>
      <c r="U87" s="683" t="n">
        <v>0</v>
      </c>
      <c r="V87" s="684">
        <f>IFERROR(IF(U87="",0,CEILING((U87/$H87),1)*$H87),"")</f>
        <v/>
      </c>
      <c r="W87" s="42">
        <f>IFERROR(IF(V87=0,"",ROUNDUP(V87/H87,0)*0.00753),"")</f>
        <v/>
      </c>
      <c r="X87" s="69" t="inlineStr"/>
      <c r="Y87" s="70" t="inlineStr"/>
      <c r="AC87" s="71" t="n"/>
      <c r="AZ87" s="110" t="inlineStr">
        <is>
          <t>КИ</t>
        </is>
      </c>
    </row>
    <row r="88">
      <c r="A88" s="33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685" t="n"/>
      <c r="M88" s="686" t="inlineStr">
        <is>
          <t>Итого</t>
        </is>
      </c>
      <c r="N88" s="656" t="n"/>
      <c r="O88" s="656" t="n"/>
      <c r="P88" s="656" t="n"/>
      <c r="Q88" s="656" t="n"/>
      <c r="R88" s="656" t="n"/>
      <c r="S88" s="657" t="n"/>
      <c r="T88" s="43" t="inlineStr">
        <is>
          <t>кор</t>
        </is>
      </c>
      <c r="U88" s="687">
        <f>IFERROR(U82/H82,"0")+IFERROR(U83/H83,"0")+IFERROR(U84/H84,"0")+IFERROR(U85/H85,"0")+IFERROR(U86/H86,"0")+IFERROR(U87/H87,"0")</f>
        <v/>
      </c>
      <c r="V88" s="687">
        <f>IFERROR(V82/H82,"0")+IFERROR(V83/H83,"0")+IFERROR(V84/H84,"0")+IFERROR(V85/H85,"0")+IFERROR(V86/H86,"0")+IFERROR(V87/H87,"0")</f>
        <v/>
      </c>
      <c r="W88" s="687">
        <f>IFERROR(IF(W82="",0,W82),"0")+IFERROR(IF(W83="",0,W83),"0")+IFERROR(IF(W84="",0,W84),"0")+IFERROR(IF(W85="",0,W85),"0")+IFERROR(IF(W86="",0,W86),"0")+IFERROR(IF(W87="",0,W87),"0")</f>
        <v/>
      </c>
      <c r="X88" s="688" t="n"/>
      <c r="Y88" s="688" t="n"/>
    </row>
    <row r="89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685" t="n"/>
      <c r="M89" s="686" t="inlineStr">
        <is>
          <t>Итого</t>
        </is>
      </c>
      <c r="N89" s="656" t="n"/>
      <c r="O89" s="656" t="n"/>
      <c r="P89" s="656" t="n"/>
      <c r="Q89" s="656" t="n"/>
      <c r="R89" s="656" t="n"/>
      <c r="S89" s="657" t="n"/>
      <c r="T89" s="43" t="inlineStr">
        <is>
          <t>кг</t>
        </is>
      </c>
      <c r="U89" s="687">
        <f>IFERROR(SUM(U82:U87),"0")</f>
        <v/>
      </c>
      <c r="V89" s="687">
        <f>IFERROR(SUM(V82:V87),"0")</f>
        <v/>
      </c>
      <c r="W89" s="43" t="n"/>
      <c r="X89" s="688" t="n"/>
      <c r="Y89" s="688" t="n"/>
    </row>
    <row r="90" ht="14.25" customHeight="1">
      <c r="A90" s="322" t="inlineStr">
        <is>
          <t>Копченые колбасы</t>
        </is>
      </c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322" t="n"/>
      <c r="Y90" s="322" t="n"/>
    </row>
    <row r="91" ht="27" customHeight="1">
      <c r="A91" s="64" t="inlineStr">
        <is>
          <t>SU002985</t>
        </is>
      </c>
      <c r="B91" s="64" t="inlineStr">
        <is>
          <t>P003439</t>
        </is>
      </c>
      <c r="C91" s="37" t="n">
        <v>4301031234</v>
      </c>
      <c r="D91" s="323" t="n">
        <v>4680115883444</v>
      </c>
      <c r="E91" s="648" t="n"/>
      <c r="F91" s="680" t="n">
        <v>0.35</v>
      </c>
      <c r="G91" s="38" t="n">
        <v>8</v>
      </c>
      <c r="H91" s="680" t="n">
        <v>2.8</v>
      </c>
      <c r="I91" s="680" t="n">
        <v>3.088</v>
      </c>
      <c r="J91" s="38" t="n">
        <v>156</v>
      </c>
      <c r="K91" s="39" t="inlineStr">
        <is>
          <t>АК</t>
        </is>
      </c>
      <c r="L91" s="38" t="n">
        <v>90</v>
      </c>
      <c r="M91" s="726" t="inlineStr">
        <is>
          <t>П/к колбасы «Аль-Ислами халяль» ф/в 0,35 фиброуз ТМ «Вязанка»</t>
        </is>
      </c>
      <c r="N91" s="682" t="n"/>
      <c r="O91" s="682" t="n"/>
      <c r="P91" s="682" t="n"/>
      <c r="Q91" s="648" t="n"/>
      <c r="R91" s="40" t="inlineStr"/>
      <c r="S91" s="40" t="inlineStr"/>
      <c r="T91" s="41" t="inlineStr">
        <is>
          <t>кг</t>
        </is>
      </c>
      <c r="U91" s="683" t="n">
        <v>0</v>
      </c>
      <c r="V91" s="684">
        <f>IFERROR(IF(U91="",0,CEILING((U91/$H91),1)*$H91),"")</f>
        <v/>
      </c>
      <c r="W91" s="42">
        <f>IFERROR(IF(V91=0,"",ROUNDUP(V91/H91,0)*0.00753),"")</f>
        <v/>
      </c>
      <c r="X91" s="69" t="inlineStr"/>
      <c r="Y91" s="70" t="inlineStr">
        <is>
          <t>Новинка</t>
        </is>
      </c>
      <c r="AC91" s="71" t="n"/>
      <c r="AZ91" s="111" t="inlineStr">
        <is>
          <t>КИ</t>
        </is>
      </c>
    </row>
    <row r="92" ht="27" customHeight="1">
      <c r="A92" s="64" t="inlineStr">
        <is>
          <t>SU002985</t>
        </is>
      </c>
      <c r="B92" s="64" t="inlineStr">
        <is>
          <t>P003442</t>
        </is>
      </c>
      <c r="C92" s="37" t="n">
        <v>4301031235</v>
      </c>
      <c r="D92" s="323" t="n">
        <v>4680115883444</v>
      </c>
      <c r="E92" s="648" t="n"/>
      <c r="F92" s="680" t="n">
        <v>0.35</v>
      </c>
      <c r="G92" s="38" t="n">
        <v>8</v>
      </c>
      <c r="H92" s="680" t="n">
        <v>2.8</v>
      </c>
      <c r="I92" s="680" t="n">
        <v>3.088</v>
      </c>
      <c r="J92" s="38" t="n">
        <v>156</v>
      </c>
      <c r="K92" s="39" t="inlineStr">
        <is>
          <t>АК</t>
        </is>
      </c>
      <c r="L92" s="38" t="n">
        <v>90</v>
      </c>
      <c r="M92" s="727" t="inlineStr">
        <is>
          <t>П/к колбасы «Аль-Ислами халяль» ф/в 0,35 фиброуз ТМ «Вязанка»</t>
        </is>
      </c>
      <c r="N92" s="682" t="n"/>
      <c r="O92" s="682" t="n"/>
      <c r="P92" s="682" t="n"/>
      <c r="Q92" s="648" t="n"/>
      <c r="R92" s="40" t="inlineStr"/>
      <c r="S92" s="40" t="inlineStr"/>
      <c r="T92" s="41" t="inlineStr">
        <is>
          <t>кг</t>
        </is>
      </c>
      <c r="U92" s="683" t="n">
        <v>0</v>
      </c>
      <c r="V92" s="684">
        <f>IFERROR(IF(U92="",0,CEILING((U92/$H92),1)*$H92),"")</f>
        <v/>
      </c>
      <c r="W92" s="42">
        <f>IFERROR(IF(V92=0,"",ROUNDUP(V92/H92,0)*0.00753),"")</f>
        <v/>
      </c>
      <c r="X92" s="69" t="inlineStr"/>
      <c r="Y92" s="70" t="inlineStr">
        <is>
          <t>Новинка</t>
        </is>
      </c>
      <c r="AC92" s="71" t="n"/>
      <c r="AZ92" s="112" t="inlineStr">
        <is>
          <t>КИ</t>
        </is>
      </c>
    </row>
    <row r="93" ht="16.5" customHeight="1">
      <c r="A93" s="64" t="inlineStr">
        <is>
          <t>SU000064</t>
        </is>
      </c>
      <c r="B93" s="64" t="inlineStr">
        <is>
          <t>P001841</t>
        </is>
      </c>
      <c r="C93" s="37" t="n">
        <v>4301030895</v>
      </c>
      <c r="D93" s="323" t="n">
        <v>4607091387667</v>
      </c>
      <c r="E93" s="648" t="n"/>
      <c r="F93" s="680" t="n">
        <v>0.9</v>
      </c>
      <c r="G93" s="38" t="n">
        <v>10</v>
      </c>
      <c r="H93" s="680" t="n">
        <v>9</v>
      </c>
      <c r="I93" s="680" t="n">
        <v>9.630000000000001</v>
      </c>
      <c r="J93" s="38" t="n">
        <v>56</v>
      </c>
      <c r="K93" s="39" t="inlineStr">
        <is>
          <t>СК1</t>
        </is>
      </c>
      <c r="L93" s="38" t="n">
        <v>40</v>
      </c>
      <c r="M93" s="728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N93" s="682" t="n"/>
      <c r="O93" s="682" t="n"/>
      <c r="P93" s="682" t="n"/>
      <c r="Q93" s="648" t="n"/>
      <c r="R93" s="40" t="inlineStr"/>
      <c r="S93" s="40" t="inlineStr"/>
      <c r="T93" s="41" t="inlineStr">
        <is>
          <t>кг</t>
        </is>
      </c>
      <c r="U93" s="683" t="n">
        <v>0</v>
      </c>
      <c r="V93" s="684">
        <f>IFERROR(IF(U93="",0,CEILING((U93/$H93),1)*$H93),"")</f>
        <v/>
      </c>
      <c r="W93" s="42">
        <f>IFERROR(IF(V93=0,"",ROUNDUP(V93/H93,0)*0.02175),"")</f>
        <v/>
      </c>
      <c r="X93" s="69" t="inlineStr"/>
      <c r="Y93" s="70" t="inlineStr"/>
      <c r="AC93" s="71" t="n"/>
      <c r="AZ93" s="113" t="inlineStr">
        <is>
          <t>КИ</t>
        </is>
      </c>
    </row>
    <row r="94" ht="27" customHeight="1">
      <c r="A94" s="64" t="inlineStr">
        <is>
          <t>SU000664</t>
        </is>
      </c>
      <c r="B94" s="64" t="inlineStr">
        <is>
          <t>P002177</t>
        </is>
      </c>
      <c r="C94" s="37" t="n">
        <v>4301030961</v>
      </c>
      <c r="D94" s="323" t="n">
        <v>4607091387636</v>
      </c>
      <c r="E94" s="648" t="n"/>
      <c r="F94" s="680" t="n">
        <v>0.7</v>
      </c>
      <c r="G94" s="38" t="n">
        <v>6</v>
      </c>
      <c r="H94" s="680" t="n">
        <v>4.2</v>
      </c>
      <c r="I94" s="680" t="n">
        <v>4.5</v>
      </c>
      <c r="J94" s="38" t="n">
        <v>120</v>
      </c>
      <c r="K94" s="39" t="inlineStr">
        <is>
          <t>СК2</t>
        </is>
      </c>
      <c r="L94" s="38" t="n">
        <v>40</v>
      </c>
      <c r="M94" s="729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N94" s="682" t="n"/>
      <c r="O94" s="682" t="n"/>
      <c r="P94" s="682" t="n"/>
      <c r="Q94" s="648" t="n"/>
      <c r="R94" s="40" t="inlineStr"/>
      <c r="S94" s="40" t="inlineStr"/>
      <c r="T94" s="41" t="inlineStr">
        <is>
          <t>кг</t>
        </is>
      </c>
      <c r="U94" s="683" t="n">
        <v>0</v>
      </c>
      <c r="V94" s="684">
        <f>IFERROR(IF(U94="",0,CEILING((U94/$H94),1)*$H94),"")</f>
        <v/>
      </c>
      <c r="W94" s="42">
        <f>IFERROR(IF(V94=0,"",ROUNDUP(V94/H94,0)*0.00937),"")</f>
        <v/>
      </c>
      <c r="X94" s="69" t="inlineStr"/>
      <c r="Y94" s="70" t="inlineStr"/>
      <c r="AC94" s="71" t="n"/>
      <c r="AZ94" s="114" t="inlineStr">
        <is>
          <t>КИ</t>
        </is>
      </c>
    </row>
    <row r="95" ht="27" customHeight="1">
      <c r="A95" s="64" t="inlineStr">
        <is>
          <t>SU002308</t>
        </is>
      </c>
      <c r="B95" s="64" t="inlineStr">
        <is>
          <t>P002572</t>
        </is>
      </c>
      <c r="C95" s="37" t="n">
        <v>4301031078</v>
      </c>
      <c r="D95" s="323" t="n">
        <v>4607091384727</v>
      </c>
      <c r="E95" s="648" t="n"/>
      <c r="F95" s="680" t="n">
        <v>0.8</v>
      </c>
      <c r="G95" s="38" t="n">
        <v>6</v>
      </c>
      <c r="H95" s="680" t="n">
        <v>4.8</v>
      </c>
      <c r="I95" s="680" t="n">
        <v>5.16</v>
      </c>
      <c r="J95" s="38" t="n">
        <v>104</v>
      </c>
      <c r="K95" s="39" t="inlineStr">
        <is>
          <t>СК2</t>
        </is>
      </c>
      <c r="L95" s="38" t="n">
        <v>45</v>
      </c>
      <c r="M95" s="730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N95" s="682" t="n"/>
      <c r="O95" s="682" t="n"/>
      <c r="P95" s="682" t="n"/>
      <c r="Q95" s="648" t="n"/>
      <c r="R95" s="40" t="inlineStr"/>
      <c r="S95" s="40" t="inlineStr"/>
      <c r="T95" s="41" t="inlineStr">
        <is>
          <t>кг</t>
        </is>
      </c>
      <c r="U95" s="683" t="n">
        <v>0</v>
      </c>
      <c r="V95" s="684">
        <f>IFERROR(IF(U95="",0,CEILING((U95/$H95),1)*$H95),"")</f>
        <v/>
      </c>
      <c r="W95" s="42">
        <f>IFERROR(IF(V95=0,"",ROUNDUP(V95/H95,0)*0.01196),"")</f>
        <v/>
      </c>
      <c r="X95" s="69" t="inlineStr"/>
      <c r="Y95" s="70" t="inlineStr"/>
      <c r="AC95" s="71" t="n"/>
      <c r="AZ95" s="115" t="inlineStr">
        <is>
          <t>КИ</t>
        </is>
      </c>
    </row>
    <row r="96" ht="27" customHeight="1">
      <c r="A96" s="64" t="inlineStr">
        <is>
          <t>SU002310</t>
        </is>
      </c>
      <c r="B96" s="64" t="inlineStr">
        <is>
          <t>P002574</t>
        </is>
      </c>
      <c r="C96" s="37" t="n">
        <v>4301031080</v>
      </c>
      <c r="D96" s="323" t="n">
        <v>4607091386745</v>
      </c>
      <c r="E96" s="648" t="n"/>
      <c r="F96" s="680" t="n">
        <v>0.8</v>
      </c>
      <c r="G96" s="38" t="n">
        <v>6</v>
      </c>
      <c r="H96" s="680" t="n">
        <v>4.8</v>
      </c>
      <c r="I96" s="680" t="n">
        <v>5.16</v>
      </c>
      <c r="J96" s="38" t="n">
        <v>104</v>
      </c>
      <c r="K96" s="39" t="inlineStr">
        <is>
          <t>СК2</t>
        </is>
      </c>
      <c r="L96" s="38" t="n">
        <v>45</v>
      </c>
      <c r="M96" s="731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N96" s="682" t="n"/>
      <c r="O96" s="682" t="n"/>
      <c r="P96" s="682" t="n"/>
      <c r="Q96" s="648" t="n"/>
      <c r="R96" s="40" t="inlineStr"/>
      <c r="S96" s="40" t="inlineStr"/>
      <c r="T96" s="41" t="inlineStr">
        <is>
          <t>кг</t>
        </is>
      </c>
      <c r="U96" s="683" t="n">
        <v>0</v>
      </c>
      <c r="V96" s="684">
        <f>IFERROR(IF(U96="",0,CEILING((U96/$H96),1)*$H96),"")</f>
        <v/>
      </c>
      <c r="W96" s="42">
        <f>IFERROR(IF(V96=0,"",ROUNDUP(V96/H96,0)*0.01196),"")</f>
        <v/>
      </c>
      <c r="X96" s="69" t="inlineStr"/>
      <c r="Y96" s="70" t="inlineStr"/>
      <c r="AC96" s="71" t="n"/>
      <c r="AZ96" s="116" t="inlineStr">
        <is>
          <t>КИ</t>
        </is>
      </c>
    </row>
    <row r="97" ht="16.5" customHeight="1">
      <c r="A97" s="64" t="inlineStr">
        <is>
          <t>SU000097</t>
        </is>
      </c>
      <c r="B97" s="64" t="inlineStr">
        <is>
          <t>P002179</t>
        </is>
      </c>
      <c r="C97" s="37" t="n">
        <v>4301030963</v>
      </c>
      <c r="D97" s="323" t="n">
        <v>4607091382426</v>
      </c>
      <c r="E97" s="648" t="n"/>
      <c r="F97" s="680" t="n">
        <v>0.9</v>
      </c>
      <c r="G97" s="38" t="n">
        <v>10</v>
      </c>
      <c r="H97" s="680" t="n">
        <v>9</v>
      </c>
      <c r="I97" s="680" t="n">
        <v>9.630000000000001</v>
      </c>
      <c r="J97" s="38" t="n">
        <v>56</v>
      </c>
      <c r="K97" s="39" t="inlineStr">
        <is>
          <t>СК2</t>
        </is>
      </c>
      <c r="L97" s="38" t="n">
        <v>40</v>
      </c>
      <c r="M97" s="732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N97" s="682" t="n"/>
      <c r="O97" s="682" t="n"/>
      <c r="P97" s="682" t="n"/>
      <c r="Q97" s="648" t="n"/>
      <c r="R97" s="40" t="inlineStr"/>
      <c r="S97" s="40" t="inlineStr"/>
      <c r="T97" s="41" t="inlineStr">
        <is>
          <t>кг</t>
        </is>
      </c>
      <c r="U97" s="683" t="n">
        <v>0</v>
      </c>
      <c r="V97" s="684">
        <f>IFERROR(IF(U97="",0,CEILING((U97/$H97),1)*$H97),"")</f>
        <v/>
      </c>
      <c r="W97" s="42">
        <f>IFERROR(IF(V97=0,"",ROUNDUP(V97/H97,0)*0.02175),"")</f>
        <v/>
      </c>
      <c r="X97" s="69" t="inlineStr"/>
      <c r="Y97" s="70" t="inlineStr"/>
      <c r="AC97" s="71" t="n"/>
      <c r="AZ97" s="117" t="inlineStr">
        <is>
          <t>КИ</t>
        </is>
      </c>
    </row>
    <row r="98" ht="27" customHeight="1">
      <c r="A98" s="64" t="inlineStr">
        <is>
          <t>SU000665</t>
        </is>
      </c>
      <c r="B98" s="64" t="inlineStr">
        <is>
          <t>P002178</t>
        </is>
      </c>
      <c r="C98" s="37" t="n">
        <v>4301030962</v>
      </c>
      <c r="D98" s="323" t="n">
        <v>4607091386547</v>
      </c>
      <c r="E98" s="648" t="n"/>
      <c r="F98" s="680" t="n">
        <v>0.35</v>
      </c>
      <c r="G98" s="38" t="n">
        <v>8</v>
      </c>
      <c r="H98" s="680" t="n">
        <v>2.8</v>
      </c>
      <c r="I98" s="680" t="n">
        <v>2.94</v>
      </c>
      <c r="J98" s="38" t="n">
        <v>234</v>
      </c>
      <c r="K98" s="39" t="inlineStr">
        <is>
          <t>СК2</t>
        </is>
      </c>
      <c r="L98" s="38" t="n">
        <v>40</v>
      </c>
      <c r="M98" s="733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N98" s="682" t="n"/>
      <c r="O98" s="682" t="n"/>
      <c r="P98" s="682" t="n"/>
      <c r="Q98" s="648" t="n"/>
      <c r="R98" s="40" t="inlineStr"/>
      <c r="S98" s="40" t="inlineStr"/>
      <c r="T98" s="41" t="inlineStr">
        <is>
          <t>кг</t>
        </is>
      </c>
      <c r="U98" s="683" t="n">
        <v>0</v>
      </c>
      <c r="V98" s="684">
        <f>IFERROR(IF(U98="",0,CEILING((U98/$H98),1)*$H98),"")</f>
        <v/>
      </c>
      <c r="W98" s="42">
        <f>IFERROR(IF(V98=0,"",ROUNDUP(V98/H98,0)*0.00502),"")</f>
        <v/>
      </c>
      <c r="X98" s="69" t="inlineStr"/>
      <c r="Y98" s="70" t="inlineStr"/>
      <c r="AC98" s="71" t="n"/>
      <c r="AZ98" s="118" t="inlineStr">
        <is>
          <t>КИ</t>
        </is>
      </c>
    </row>
    <row r="99" ht="27" customHeight="1">
      <c r="A99" s="64" t="inlineStr">
        <is>
          <t>SU002307</t>
        </is>
      </c>
      <c r="B99" s="64" t="inlineStr">
        <is>
          <t>P002571</t>
        </is>
      </c>
      <c r="C99" s="37" t="n">
        <v>4301031077</v>
      </c>
      <c r="D99" s="323" t="n">
        <v>4607091384703</v>
      </c>
      <c r="E99" s="648" t="n"/>
      <c r="F99" s="680" t="n">
        <v>0.35</v>
      </c>
      <c r="G99" s="38" t="n">
        <v>6</v>
      </c>
      <c r="H99" s="680" t="n">
        <v>2.1</v>
      </c>
      <c r="I99" s="680" t="n">
        <v>2.2</v>
      </c>
      <c r="J99" s="38" t="n">
        <v>234</v>
      </c>
      <c r="K99" s="39" t="inlineStr">
        <is>
          <t>СК2</t>
        </is>
      </c>
      <c r="L99" s="38" t="n">
        <v>45</v>
      </c>
      <c r="M99" s="734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/>
      </c>
      <c r="N99" s="682" t="n"/>
      <c r="O99" s="682" t="n"/>
      <c r="P99" s="682" t="n"/>
      <c r="Q99" s="648" t="n"/>
      <c r="R99" s="40" t="inlineStr"/>
      <c r="S99" s="40" t="inlineStr"/>
      <c r="T99" s="41" t="inlineStr">
        <is>
          <t>кг</t>
        </is>
      </c>
      <c r="U99" s="683" t="n">
        <v>0</v>
      </c>
      <c r="V99" s="684">
        <f>IFERROR(IF(U99="",0,CEILING((U99/$H99),1)*$H99),"")</f>
        <v/>
      </c>
      <c r="W99" s="42">
        <f>IFERROR(IF(V99=0,"",ROUNDUP(V99/H99,0)*0.00502),"")</f>
        <v/>
      </c>
      <c r="X99" s="69" t="inlineStr"/>
      <c r="Y99" s="70" t="inlineStr"/>
      <c r="AC99" s="71" t="n"/>
      <c r="AZ99" s="119" t="inlineStr">
        <is>
          <t>КИ</t>
        </is>
      </c>
    </row>
    <row r="100" ht="27" customHeight="1">
      <c r="A100" s="64" t="inlineStr">
        <is>
          <t>SU002309</t>
        </is>
      </c>
      <c r="B100" s="64" t="inlineStr">
        <is>
          <t>P002573</t>
        </is>
      </c>
      <c r="C100" s="37" t="n">
        <v>4301031079</v>
      </c>
      <c r="D100" s="323" t="n">
        <v>4607091384734</v>
      </c>
      <c r="E100" s="648" t="n"/>
      <c r="F100" s="680" t="n">
        <v>0.35</v>
      </c>
      <c r="G100" s="38" t="n">
        <v>6</v>
      </c>
      <c r="H100" s="680" t="n">
        <v>2.1</v>
      </c>
      <c r="I100" s="680" t="n">
        <v>2.2</v>
      </c>
      <c r="J100" s="38" t="n">
        <v>234</v>
      </c>
      <c r="K100" s="39" t="inlineStr">
        <is>
          <t>СК2</t>
        </is>
      </c>
      <c r="L100" s="38" t="n">
        <v>45</v>
      </c>
      <c r="M100" s="735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N100" s="682" t="n"/>
      <c r="O100" s="682" t="n"/>
      <c r="P100" s="682" t="n"/>
      <c r="Q100" s="648" t="n"/>
      <c r="R100" s="40" t="inlineStr"/>
      <c r="S100" s="40" t="inlineStr"/>
      <c r="T100" s="41" t="inlineStr">
        <is>
          <t>кг</t>
        </is>
      </c>
      <c r="U100" s="683" t="n">
        <v>0</v>
      </c>
      <c r="V100" s="684">
        <f>IFERROR(IF(U100="",0,CEILING((U100/$H100),1)*$H100),"")</f>
        <v/>
      </c>
      <c r="W100" s="42">
        <f>IFERROR(IF(V100=0,"",ROUNDUP(V100/H100,0)*0.00502),"")</f>
        <v/>
      </c>
      <c r="X100" s="69" t="inlineStr"/>
      <c r="Y100" s="70" t="inlineStr"/>
      <c r="AC100" s="71" t="n"/>
      <c r="AZ100" s="120" t="inlineStr">
        <is>
          <t>КИ</t>
        </is>
      </c>
    </row>
    <row r="101" ht="27" customHeight="1">
      <c r="A101" s="64" t="inlineStr">
        <is>
          <t>SU001605</t>
        </is>
      </c>
      <c r="B101" s="64" t="inlineStr">
        <is>
          <t>P002180</t>
        </is>
      </c>
      <c r="C101" s="37" t="n">
        <v>4301030964</v>
      </c>
      <c r="D101" s="323" t="n">
        <v>4607091382464</v>
      </c>
      <c r="E101" s="648" t="n"/>
      <c r="F101" s="680" t="n">
        <v>0.35</v>
      </c>
      <c r="G101" s="38" t="n">
        <v>8</v>
      </c>
      <c r="H101" s="680" t="n">
        <v>2.8</v>
      </c>
      <c r="I101" s="680" t="n">
        <v>2.964</v>
      </c>
      <c r="J101" s="38" t="n">
        <v>234</v>
      </c>
      <c r="K101" s="39" t="inlineStr">
        <is>
          <t>СК2</t>
        </is>
      </c>
      <c r="L101" s="38" t="n">
        <v>40</v>
      </c>
      <c r="M101" s="736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N101" s="682" t="n"/>
      <c r="O101" s="682" t="n"/>
      <c r="P101" s="682" t="n"/>
      <c r="Q101" s="648" t="n"/>
      <c r="R101" s="40" t="inlineStr"/>
      <c r="S101" s="40" t="inlineStr"/>
      <c r="T101" s="41" t="inlineStr">
        <is>
          <t>кг</t>
        </is>
      </c>
      <c r="U101" s="683" t="n">
        <v>0</v>
      </c>
      <c r="V101" s="684">
        <f>IFERROR(IF(U101="",0,CEILING((U101/$H101),1)*$H101),"")</f>
        <v/>
      </c>
      <c r="W101" s="42">
        <f>IFERROR(IF(V101=0,"",ROUNDUP(V101/H101,0)*0.00502),"")</f>
        <v/>
      </c>
      <c r="X101" s="69" t="inlineStr"/>
      <c r="Y101" s="70" t="inlineStr"/>
      <c r="AC101" s="71" t="n"/>
      <c r="AZ101" s="121" t="inlineStr">
        <is>
          <t>КИ</t>
        </is>
      </c>
    </row>
    <row r="102">
      <c r="A102" s="33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685" t="n"/>
      <c r="M102" s="686" t="inlineStr">
        <is>
          <t>Итого</t>
        </is>
      </c>
      <c r="N102" s="656" t="n"/>
      <c r="O102" s="656" t="n"/>
      <c r="P102" s="656" t="n"/>
      <c r="Q102" s="656" t="n"/>
      <c r="R102" s="656" t="n"/>
      <c r="S102" s="657" t="n"/>
      <c r="T102" s="43" t="inlineStr">
        <is>
          <t>кор</t>
        </is>
      </c>
      <c r="U102" s="687">
        <f>IFERROR(U91/H91,"0")+IFERROR(U92/H92,"0")+IFERROR(U93/H93,"0")+IFERROR(U94/H94,"0")+IFERROR(U95/H95,"0")+IFERROR(U96/H96,"0")+IFERROR(U97/H97,"0")+IFERROR(U98/H98,"0")+IFERROR(U99/H99,"0")+IFERROR(U100/H100,"0")+IFERROR(U101/H101,"0")</f>
        <v/>
      </c>
      <c r="V102" s="687">
        <f>IFERROR(V91/H91,"0")+IFERROR(V92/H92,"0")+IFERROR(V93/H93,"0")+IFERROR(V94/H94,"0")+IFERROR(V95/H95,"0")+IFERROR(V96/H96,"0")+IFERROR(V97/H97,"0")+IFERROR(V98/H98,"0")+IFERROR(V99/H99,"0")+IFERROR(V100/H100,"0")+IFERROR(V101/H101,"0")</f>
        <v/>
      </c>
      <c r="W102" s="687">
        <f>IFERROR(IF(W91="",0,W91),"0")+IFERROR(IF(W92="",0,W92),"0")+IFERROR(IF(W93="",0,W93),"0")+IFERROR(IF(W94="",0,W94),"0")+IFERROR(IF(W95="",0,W95),"0")+IFERROR(IF(W96="",0,W96),"0")+IFERROR(IF(W97="",0,W97),"0")+IFERROR(IF(W98="",0,W98),"0")+IFERROR(IF(W99="",0,W99),"0")+IFERROR(IF(W100="",0,W100),"0")+IFERROR(IF(W101="",0,W101),"0")</f>
        <v/>
      </c>
      <c r="X102" s="688" t="n"/>
      <c r="Y102" s="688" t="n"/>
    </row>
    <row r="103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685" t="n"/>
      <c r="M103" s="686" t="inlineStr">
        <is>
          <t>Итого</t>
        </is>
      </c>
      <c r="N103" s="656" t="n"/>
      <c r="O103" s="656" t="n"/>
      <c r="P103" s="656" t="n"/>
      <c r="Q103" s="656" t="n"/>
      <c r="R103" s="656" t="n"/>
      <c r="S103" s="657" t="n"/>
      <c r="T103" s="43" t="inlineStr">
        <is>
          <t>кг</t>
        </is>
      </c>
      <c r="U103" s="687">
        <f>IFERROR(SUM(U91:U101),"0")</f>
        <v/>
      </c>
      <c r="V103" s="687">
        <f>IFERROR(SUM(V91:V101),"0")</f>
        <v/>
      </c>
      <c r="W103" s="43" t="n"/>
      <c r="X103" s="688" t="n"/>
      <c r="Y103" s="688" t="n"/>
    </row>
    <row r="104" ht="14.25" customHeight="1">
      <c r="A104" s="322" t="inlineStr">
        <is>
          <t>Сосиски</t>
        </is>
      </c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322" t="n"/>
      <c r="Y104" s="322" t="n"/>
    </row>
    <row r="105" ht="27" customHeight="1">
      <c r="A105" s="64" t="inlineStr">
        <is>
          <t>SU001523</t>
        </is>
      </c>
      <c r="B105" s="64" t="inlineStr">
        <is>
          <t>P003328</t>
        </is>
      </c>
      <c r="C105" s="37" t="n">
        <v>4301051437</v>
      </c>
      <c r="D105" s="323" t="n">
        <v>4607091386967</v>
      </c>
      <c r="E105" s="648" t="n"/>
      <c r="F105" s="680" t="n">
        <v>1.35</v>
      </c>
      <c r="G105" s="38" t="n">
        <v>6</v>
      </c>
      <c r="H105" s="680" t="n">
        <v>8.1</v>
      </c>
      <c r="I105" s="680" t="n">
        <v>8.664</v>
      </c>
      <c r="J105" s="38" t="n">
        <v>56</v>
      </c>
      <c r="K105" s="39" t="inlineStr">
        <is>
          <t>СК3</t>
        </is>
      </c>
      <c r="L105" s="38" t="n">
        <v>45</v>
      </c>
      <c r="M105" s="737" t="inlineStr">
        <is>
          <t>Сосиски Молокуши (Вязанка Молочные) Вязанка Весовые П/а мгс Вязанка</t>
        </is>
      </c>
      <c r="N105" s="682" t="n"/>
      <c r="O105" s="682" t="n"/>
      <c r="P105" s="682" t="n"/>
      <c r="Q105" s="648" t="n"/>
      <c r="R105" s="40" t="inlineStr"/>
      <c r="S105" s="40" t="inlineStr"/>
      <c r="T105" s="41" t="inlineStr">
        <is>
          <t>кг</t>
        </is>
      </c>
      <c r="U105" s="683" t="n">
        <v>0</v>
      </c>
      <c r="V105" s="684">
        <f>IFERROR(IF(U105="",0,CEILING((U105/$H105),1)*$H105),"")</f>
        <v/>
      </c>
      <c r="W105" s="42">
        <f>IFERROR(IF(V105=0,"",ROUNDUP(V105/H105,0)*0.02175),"")</f>
        <v/>
      </c>
      <c r="X105" s="69" t="inlineStr"/>
      <c r="Y105" s="70" t="inlineStr"/>
      <c r="AC105" s="71" t="n"/>
      <c r="AZ105" s="122" t="inlineStr">
        <is>
          <t>КИ</t>
        </is>
      </c>
    </row>
    <row r="106" ht="27" customHeight="1">
      <c r="A106" s="64" t="inlineStr">
        <is>
          <t>SU001523</t>
        </is>
      </c>
      <c r="B106" s="64" t="inlineStr">
        <is>
          <t>P003691</t>
        </is>
      </c>
      <c r="C106" s="37" t="n">
        <v>4301051543</v>
      </c>
      <c r="D106" s="323" t="n">
        <v>4607091386967</v>
      </c>
      <c r="E106" s="648" t="n"/>
      <c r="F106" s="680" t="n">
        <v>1.4</v>
      </c>
      <c r="G106" s="38" t="n">
        <v>6</v>
      </c>
      <c r="H106" s="680" t="n">
        <v>8.4</v>
      </c>
      <c r="I106" s="680" t="n">
        <v>8.964</v>
      </c>
      <c r="J106" s="38" t="n">
        <v>56</v>
      </c>
      <c r="K106" s="39" t="inlineStr">
        <is>
          <t>СК2</t>
        </is>
      </c>
      <c r="L106" s="38" t="n">
        <v>45</v>
      </c>
      <c r="M106" s="738" t="inlineStr">
        <is>
          <t>Сосиски «Молокуши (Вязанка Молочные)» Весовые П/а мгс УВВ ТМ «Вязанка»</t>
        </is>
      </c>
      <c r="N106" s="682" t="n"/>
      <c r="O106" s="682" t="n"/>
      <c r="P106" s="682" t="n"/>
      <c r="Q106" s="648" t="n"/>
      <c r="R106" s="40" t="inlineStr"/>
      <c r="S106" s="40" t="inlineStr"/>
      <c r="T106" s="41" t="inlineStr">
        <is>
          <t>кг</t>
        </is>
      </c>
      <c r="U106" s="683" t="n">
        <v>400</v>
      </c>
      <c r="V106" s="684">
        <f>IFERROR(IF(U106="",0,CEILING((U106/$H106),1)*$H106),"")</f>
        <v/>
      </c>
      <c r="W106" s="42">
        <f>IFERROR(IF(V106=0,"",ROUNDUP(V106/H106,0)*0.02175),"")</f>
        <v/>
      </c>
      <c r="X106" s="69" t="inlineStr"/>
      <c r="Y106" s="70" t="inlineStr"/>
      <c r="AC106" s="71" t="n"/>
      <c r="AZ106" s="123" t="inlineStr">
        <is>
          <t>КИ</t>
        </is>
      </c>
    </row>
    <row r="107" ht="16.5" customHeight="1">
      <c r="A107" s="64" t="inlineStr">
        <is>
          <t>SU001351</t>
        </is>
      </c>
      <c r="B107" s="64" t="inlineStr">
        <is>
          <t>P003025</t>
        </is>
      </c>
      <c r="C107" s="37" t="n">
        <v>4301051311</v>
      </c>
      <c r="D107" s="323" t="n">
        <v>4607091385304</v>
      </c>
      <c r="E107" s="648" t="n"/>
      <c r="F107" s="680" t="n">
        <v>1.35</v>
      </c>
      <c r="G107" s="38" t="n">
        <v>6</v>
      </c>
      <c r="H107" s="680" t="n">
        <v>8.1</v>
      </c>
      <c r="I107" s="680" t="n">
        <v>8.664</v>
      </c>
      <c r="J107" s="38" t="n">
        <v>56</v>
      </c>
      <c r="K107" s="39" t="inlineStr">
        <is>
          <t>СК2</t>
        </is>
      </c>
      <c r="L107" s="38" t="n">
        <v>40</v>
      </c>
      <c r="M107" s="739">
        <f>HYPERLINK("https://abi.ru/products/Охлажденные/Вязанка/Вязанка/Сосиски/P003025/","Сосиски Рубленые Вязанка Весовые п/а мгс Вязанка")</f>
        <v/>
      </c>
      <c r="N107" s="682" t="n"/>
      <c r="O107" s="682" t="n"/>
      <c r="P107" s="682" t="n"/>
      <c r="Q107" s="648" t="n"/>
      <c r="R107" s="40" t="inlineStr"/>
      <c r="S107" s="40" t="inlineStr"/>
      <c r="T107" s="41" t="inlineStr">
        <is>
          <t>кг</t>
        </is>
      </c>
      <c r="U107" s="683" t="n">
        <v>0</v>
      </c>
      <c r="V107" s="684">
        <f>IFERROR(IF(U107="",0,CEILING((U107/$H107),1)*$H107),"")</f>
        <v/>
      </c>
      <c r="W107" s="42">
        <f>IFERROR(IF(V107=0,"",ROUNDUP(V107/H107,0)*0.02175),"")</f>
        <v/>
      </c>
      <c r="X107" s="69" t="inlineStr"/>
      <c r="Y107" s="70" t="inlineStr"/>
      <c r="AC107" s="71" t="n"/>
      <c r="AZ107" s="124" t="inlineStr">
        <is>
          <t>КИ</t>
        </is>
      </c>
    </row>
    <row r="108" ht="16.5" customHeight="1">
      <c r="A108" s="64" t="inlineStr">
        <is>
          <t>SU001527</t>
        </is>
      </c>
      <c r="B108" s="64" t="inlineStr">
        <is>
          <t>P002217</t>
        </is>
      </c>
      <c r="C108" s="37" t="n">
        <v>4301051306</v>
      </c>
      <c r="D108" s="323" t="n">
        <v>4607091386264</v>
      </c>
      <c r="E108" s="648" t="n"/>
      <c r="F108" s="680" t="n">
        <v>0.5</v>
      </c>
      <c r="G108" s="38" t="n">
        <v>6</v>
      </c>
      <c r="H108" s="680" t="n">
        <v>3</v>
      </c>
      <c r="I108" s="680" t="n">
        <v>3.278</v>
      </c>
      <c r="J108" s="38" t="n">
        <v>156</v>
      </c>
      <c r="K108" s="39" t="inlineStr">
        <is>
          <t>СК2</t>
        </is>
      </c>
      <c r="L108" s="38" t="n">
        <v>31</v>
      </c>
      <c r="M108" s="740">
        <f>HYPERLINK("https://abi.ru/products/Охлажденные/Вязанка/Вязанка/Сосиски/P002217/","Сосиски Венские Вязанка Фикс.вес 0,5 NDX мгс Вязанка")</f>
        <v/>
      </c>
      <c r="N108" s="682" t="n"/>
      <c r="O108" s="682" t="n"/>
      <c r="P108" s="682" t="n"/>
      <c r="Q108" s="648" t="n"/>
      <c r="R108" s="40" t="inlineStr"/>
      <c r="S108" s="40" t="inlineStr"/>
      <c r="T108" s="41" t="inlineStr">
        <is>
          <t>кг</t>
        </is>
      </c>
      <c r="U108" s="683" t="n">
        <v>0</v>
      </c>
      <c r="V108" s="684">
        <f>IFERROR(IF(U108="",0,CEILING((U108/$H108),1)*$H108),"")</f>
        <v/>
      </c>
      <c r="W108" s="42">
        <f>IFERROR(IF(V108=0,"",ROUNDUP(V108/H108,0)*0.00753),"")</f>
        <v/>
      </c>
      <c r="X108" s="69" t="inlineStr"/>
      <c r="Y108" s="70" t="inlineStr"/>
      <c r="AC108" s="71" t="n"/>
      <c r="AZ108" s="125" t="inlineStr">
        <is>
          <t>КИ</t>
        </is>
      </c>
    </row>
    <row r="109" ht="16.5" customHeight="1">
      <c r="A109" s="64" t="inlineStr">
        <is>
          <t>SU002984</t>
        </is>
      </c>
      <c r="B109" s="64" t="inlineStr">
        <is>
          <t>P003438</t>
        </is>
      </c>
      <c r="C109" s="37" t="n">
        <v>4301051476</v>
      </c>
      <c r="D109" s="323" t="n">
        <v>4680115882584</v>
      </c>
      <c r="E109" s="648" t="n"/>
      <c r="F109" s="680" t="n">
        <v>0.33</v>
      </c>
      <c r="G109" s="38" t="n">
        <v>8</v>
      </c>
      <c r="H109" s="680" t="n">
        <v>2.64</v>
      </c>
      <c r="I109" s="680" t="n">
        <v>2.928</v>
      </c>
      <c r="J109" s="38" t="n">
        <v>156</v>
      </c>
      <c r="K109" s="39" t="inlineStr">
        <is>
          <t>АК</t>
        </is>
      </c>
      <c r="L109" s="38" t="n">
        <v>60</v>
      </c>
      <c r="M109" s="741" t="inlineStr">
        <is>
          <t>Сосиски Восточные халяль ТМ Вязанка полиамид в/у ф/в 0,33 кг Казахстан АК</t>
        </is>
      </c>
      <c r="N109" s="682" t="n"/>
      <c r="O109" s="682" t="n"/>
      <c r="P109" s="682" t="n"/>
      <c r="Q109" s="648" t="n"/>
      <c r="R109" s="40" t="inlineStr"/>
      <c r="S109" s="40" t="inlineStr"/>
      <c r="T109" s="41" t="inlineStr">
        <is>
          <t>кг</t>
        </is>
      </c>
      <c r="U109" s="683" t="n">
        <v>69.3</v>
      </c>
      <c r="V109" s="684">
        <f>IFERROR(IF(U109="",0,CEILING((U109/$H109),1)*$H109),"")</f>
        <v/>
      </c>
      <c r="W109" s="42">
        <f>IFERROR(IF(V109=0,"",ROUNDUP(V109/H109,0)*0.00753),"")</f>
        <v/>
      </c>
      <c r="X109" s="69" t="inlineStr"/>
      <c r="Y109" s="70" t="inlineStr"/>
      <c r="AC109" s="71" t="n"/>
      <c r="AZ109" s="126" t="inlineStr">
        <is>
          <t>КИ</t>
        </is>
      </c>
    </row>
    <row r="110" ht="27" customHeight="1">
      <c r="A110" s="64" t="inlineStr">
        <is>
          <t>SU001718</t>
        </is>
      </c>
      <c r="B110" s="64" t="inlineStr">
        <is>
          <t>P003327</t>
        </is>
      </c>
      <c r="C110" s="37" t="n">
        <v>4301051436</v>
      </c>
      <c r="D110" s="323" t="n">
        <v>4607091385731</v>
      </c>
      <c r="E110" s="648" t="n"/>
      <c r="F110" s="680" t="n">
        <v>0.45</v>
      </c>
      <c r="G110" s="38" t="n">
        <v>6</v>
      </c>
      <c r="H110" s="680" t="n">
        <v>2.7</v>
      </c>
      <c r="I110" s="680" t="n">
        <v>2.972</v>
      </c>
      <c r="J110" s="38" t="n">
        <v>156</v>
      </c>
      <c r="K110" s="39" t="inlineStr">
        <is>
          <t>СК3</t>
        </is>
      </c>
      <c r="L110" s="38" t="n">
        <v>45</v>
      </c>
      <c r="M110" s="742" t="inlineStr">
        <is>
          <t>Сосиски Молокуши (Вязанка Молочные) Вязанка Фикс.вес 0,45 П/а мгс Вязанка</t>
        </is>
      </c>
      <c r="N110" s="682" t="n"/>
      <c r="O110" s="682" t="n"/>
      <c r="P110" s="682" t="n"/>
      <c r="Q110" s="648" t="n"/>
      <c r="R110" s="40" t="inlineStr"/>
      <c r="S110" s="40" t="inlineStr"/>
      <c r="T110" s="41" t="inlineStr">
        <is>
          <t>кг</t>
        </is>
      </c>
      <c r="U110" s="683" t="n">
        <v>121.5</v>
      </c>
      <c r="V110" s="684">
        <f>IFERROR(IF(U110="",0,CEILING((U110/$H110),1)*$H110),"")</f>
        <v/>
      </c>
      <c r="W110" s="42">
        <f>IFERROR(IF(V110=0,"",ROUNDUP(V110/H110,0)*0.00753),"")</f>
        <v/>
      </c>
      <c r="X110" s="69" t="inlineStr"/>
      <c r="Y110" s="70" t="inlineStr"/>
      <c r="AC110" s="71" t="n"/>
      <c r="AZ110" s="127" t="inlineStr">
        <is>
          <t>КИ</t>
        </is>
      </c>
    </row>
    <row r="111" ht="27" customHeight="1">
      <c r="A111" s="64" t="inlineStr">
        <is>
          <t>SU002658</t>
        </is>
      </c>
      <c r="B111" s="64" t="inlineStr">
        <is>
          <t>P003326</t>
        </is>
      </c>
      <c r="C111" s="37" t="n">
        <v>4301051439</v>
      </c>
      <c r="D111" s="323" t="n">
        <v>4680115880214</v>
      </c>
      <c r="E111" s="648" t="n"/>
      <c r="F111" s="680" t="n">
        <v>0.45</v>
      </c>
      <c r="G111" s="38" t="n">
        <v>6</v>
      </c>
      <c r="H111" s="680" t="n">
        <v>2.7</v>
      </c>
      <c r="I111" s="680" t="n">
        <v>2.988</v>
      </c>
      <c r="J111" s="38" t="n">
        <v>120</v>
      </c>
      <c r="K111" s="39" t="inlineStr">
        <is>
          <t>СК3</t>
        </is>
      </c>
      <c r="L111" s="38" t="n">
        <v>45</v>
      </c>
      <c r="M111" s="743" t="inlineStr">
        <is>
          <t>Сосиски Молокуши миникушай Вязанка Ф/в 0,45 амилюкс мгс Вязанка</t>
        </is>
      </c>
      <c r="N111" s="682" t="n"/>
      <c r="O111" s="682" t="n"/>
      <c r="P111" s="682" t="n"/>
      <c r="Q111" s="648" t="n"/>
      <c r="R111" s="40" t="inlineStr"/>
      <c r="S111" s="40" t="inlineStr"/>
      <c r="T111" s="41" t="inlineStr">
        <is>
          <t>кг</t>
        </is>
      </c>
      <c r="U111" s="683" t="n">
        <v>0</v>
      </c>
      <c r="V111" s="684">
        <f>IFERROR(IF(U111="",0,CEILING((U111/$H111),1)*$H111),"")</f>
        <v/>
      </c>
      <c r="W111" s="42">
        <f>IFERROR(IF(V111=0,"",ROUNDUP(V111/H111,0)*0.00937),"")</f>
        <v/>
      </c>
      <c r="X111" s="69" t="inlineStr"/>
      <c r="Y111" s="70" t="inlineStr"/>
      <c r="AC111" s="71" t="n"/>
      <c r="AZ111" s="128" t="inlineStr">
        <is>
          <t>КИ</t>
        </is>
      </c>
    </row>
    <row r="112" ht="27" customHeight="1">
      <c r="A112" s="64" t="inlineStr">
        <is>
          <t>SU002769</t>
        </is>
      </c>
      <c r="B112" s="64" t="inlineStr">
        <is>
          <t>P003324</t>
        </is>
      </c>
      <c r="C112" s="37" t="n">
        <v>4301051438</v>
      </c>
      <c r="D112" s="323" t="n">
        <v>4680115880894</v>
      </c>
      <c r="E112" s="648" t="n"/>
      <c r="F112" s="680" t="n">
        <v>0.33</v>
      </c>
      <c r="G112" s="38" t="n">
        <v>6</v>
      </c>
      <c r="H112" s="680" t="n">
        <v>1.98</v>
      </c>
      <c r="I112" s="680" t="n">
        <v>2.258</v>
      </c>
      <c r="J112" s="38" t="n">
        <v>156</v>
      </c>
      <c r="K112" s="39" t="inlineStr">
        <is>
          <t>СК3</t>
        </is>
      </c>
      <c r="L112" s="38" t="n">
        <v>45</v>
      </c>
      <c r="M112" s="744" t="inlineStr">
        <is>
          <t>Сосиски Молокуши Миникушай Вязанка фикс.вес 0,33 п/а Вязанка</t>
        </is>
      </c>
      <c r="N112" s="682" t="n"/>
      <c r="O112" s="682" t="n"/>
      <c r="P112" s="682" t="n"/>
      <c r="Q112" s="648" t="n"/>
      <c r="R112" s="40" t="inlineStr"/>
      <c r="S112" s="40" t="inlineStr"/>
      <c r="T112" s="41" t="inlineStr">
        <is>
          <t>кг</t>
        </is>
      </c>
      <c r="U112" s="683" t="n">
        <v>0</v>
      </c>
      <c r="V112" s="684">
        <f>IFERROR(IF(U112="",0,CEILING((U112/$H112),1)*$H112),"")</f>
        <v/>
      </c>
      <c r="W112" s="42">
        <f>IFERROR(IF(V112=0,"",ROUNDUP(V112/H112,0)*0.00753),"")</f>
        <v/>
      </c>
      <c r="X112" s="69" t="inlineStr"/>
      <c r="Y112" s="70" t="inlineStr"/>
      <c r="AC112" s="71" t="n"/>
      <c r="AZ112" s="129" t="inlineStr">
        <is>
          <t>КИ</t>
        </is>
      </c>
    </row>
    <row r="113" ht="16.5" customHeight="1">
      <c r="A113" s="64" t="inlineStr">
        <is>
          <t>SU001354</t>
        </is>
      </c>
      <c r="B113" s="64" t="inlineStr">
        <is>
          <t>P003030</t>
        </is>
      </c>
      <c r="C113" s="37" t="n">
        <v>4301051313</v>
      </c>
      <c r="D113" s="323" t="n">
        <v>4607091385427</v>
      </c>
      <c r="E113" s="648" t="n"/>
      <c r="F113" s="680" t="n">
        <v>0.5</v>
      </c>
      <c r="G113" s="38" t="n">
        <v>6</v>
      </c>
      <c r="H113" s="680" t="n">
        <v>3</v>
      </c>
      <c r="I113" s="680" t="n">
        <v>3.272</v>
      </c>
      <c r="J113" s="38" t="n">
        <v>156</v>
      </c>
      <c r="K113" s="39" t="inlineStr">
        <is>
          <t>СК2</t>
        </is>
      </c>
      <c r="L113" s="38" t="n">
        <v>40</v>
      </c>
      <c r="M113" s="745">
        <f>HYPERLINK("https://abi.ru/products/Охлажденные/Вязанка/Вязанка/Сосиски/P003030/","Сосиски Рубленые Вязанка Фикс.вес 0,5 п/а мгс Вязанка")</f>
        <v/>
      </c>
      <c r="N113" s="682" t="n"/>
      <c r="O113" s="682" t="n"/>
      <c r="P113" s="682" t="n"/>
      <c r="Q113" s="648" t="n"/>
      <c r="R113" s="40" t="inlineStr"/>
      <c r="S113" s="40" t="inlineStr"/>
      <c r="T113" s="41" t="inlineStr">
        <is>
          <t>кг</t>
        </is>
      </c>
      <c r="U113" s="683" t="n">
        <v>0</v>
      </c>
      <c r="V113" s="684">
        <f>IFERROR(IF(U113="",0,CEILING((U113/$H113),1)*$H113),"")</f>
        <v/>
      </c>
      <c r="W113" s="42">
        <f>IFERROR(IF(V113=0,"",ROUNDUP(V113/H113,0)*0.00753),"")</f>
        <v/>
      </c>
      <c r="X113" s="69" t="inlineStr"/>
      <c r="Y113" s="70" t="inlineStr"/>
      <c r="AC113" s="71" t="n"/>
      <c r="AZ113" s="130" t="inlineStr">
        <is>
          <t>КИ</t>
        </is>
      </c>
    </row>
    <row r="114" ht="16.5" customHeight="1">
      <c r="A114" s="64" t="inlineStr">
        <is>
          <t>SU002996</t>
        </is>
      </c>
      <c r="B114" s="64" t="inlineStr">
        <is>
          <t>P003464</t>
        </is>
      </c>
      <c r="C114" s="37" t="n">
        <v>4301051480</v>
      </c>
      <c r="D114" s="323" t="n">
        <v>4680115882645</v>
      </c>
      <c r="E114" s="648" t="n"/>
      <c r="F114" s="680" t="n">
        <v>0.3</v>
      </c>
      <c r="G114" s="38" t="n">
        <v>6</v>
      </c>
      <c r="H114" s="680" t="n">
        <v>1.8</v>
      </c>
      <c r="I114" s="680" t="n">
        <v>2.66</v>
      </c>
      <c r="J114" s="38" t="n">
        <v>156</v>
      </c>
      <c r="K114" s="39" t="inlineStr">
        <is>
          <t>СК2</t>
        </is>
      </c>
      <c r="L114" s="38" t="n">
        <v>40</v>
      </c>
      <c r="M114" s="746" t="inlineStr">
        <is>
          <t>Сосиски «Сливушки с сыром» ф/в 0,3 п/а ТМ «Вязанка»</t>
        </is>
      </c>
      <c r="N114" s="682" t="n"/>
      <c r="O114" s="682" t="n"/>
      <c r="P114" s="682" t="n"/>
      <c r="Q114" s="648" t="n"/>
      <c r="R114" s="40" t="inlineStr"/>
      <c r="S114" s="40" t="inlineStr"/>
      <c r="T114" s="41" t="inlineStr">
        <is>
          <t>кг</t>
        </is>
      </c>
      <c r="U114" s="683" t="n">
        <v>0</v>
      </c>
      <c r="V114" s="684">
        <f>IFERROR(IF(U114="",0,CEILING((U114/$H114),1)*$H114),"")</f>
        <v/>
      </c>
      <c r="W114" s="42">
        <f>IFERROR(IF(V114=0,"",ROUNDUP(V114/H114,0)*0.00753),"")</f>
        <v/>
      </c>
      <c r="X114" s="69" t="inlineStr"/>
      <c r="Y114" s="70" t="inlineStr"/>
      <c r="AC114" s="71" t="n"/>
      <c r="AZ114" s="131" t="inlineStr">
        <is>
          <t>КИ</t>
        </is>
      </c>
    </row>
    <row r="115">
      <c r="A115" s="33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685" t="n"/>
      <c r="M115" s="686" t="inlineStr">
        <is>
          <t>Итого</t>
        </is>
      </c>
      <c r="N115" s="656" t="n"/>
      <c r="O115" s="656" t="n"/>
      <c r="P115" s="656" t="n"/>
      <c r="Q115" s="656" t="n"/>
      <c r="R115" s="656" t="n"/>
      <c r="S115" s="657" t="n"/>
      <c r="T115" s="43" t="inlineStr">
        <is>
          <t>кор</t>
        </is>
      </c>
      <c r="U115" s="687">
        <f>IFERROR(U105/H105,"0")+IFERROR(U106/H106,"0")+IFERROR(U107/H107,"0")+IFERROR(U108/H108,"0")+IFERROR(U109/H109,"0")+IFERROR(U110/H110,"0")+IFERROR(U111/H111,"0")+IFERROR(U112/H112,"0")+IFERROR(U113/H113,"0")+IFERROR(U114/H114,"0")</f>
        <v/>
      </c>
      <c r="V115" s="687">
        <f>IFERROR(V105/H105,"0")+IFERROR(V106/H106,"0")+IFERROR(V107/H107,"0")+IFERROR(V108/H108,"0")+IFERROR(V109/H109,"0")+IFERROR(V110/H110,"0")+IFERROR(V111/H111,"0")+IFERROR(V112/H112,"0")+IFERROR(V113/H113,"0")+IFERROR(V114/H114,"0")</f>
        <v/>
      </c>
      <c r="W115" s="687">
        <f>IFERROR(IF(W105="",0,W105),"0")+IFERROR(IF(W106="",0,W106),"0")+IFERROR(IF(W107="",0,W107),"0")+IFERROR(IF(W108="",0,W108),"0")+IFERROR(IF(W109="",0,W109),"0")+IFERROR(IF(W110="",0,W110),"0")+IFERROR(IF(W111="",0,W111),"0")+IFERROR(IF(W112="",0,W112),"0")+IFERROR(IF(W113="",0,W113),"0")+IFERROR(IF(W114="",0,W114),"0")</f>
        <v/>
      </c>
      <c r="X115" s="688" t="n"/>
      <c r="Y115" s="688" t="n"/>
    </row>
    <row r="116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685" t="n"/>
      <c r="M116" s="686" t="inlineStr">
        <is>
          <t>Итого</t>
        </is>
      </c>
      <c r="N116" s="656" t="n"/>
      <c r="O116" s="656" t="n"/>
      <c r="P116" s="656" t="n"/>
      <c r="Q116" s="656" t="n"/>
      <c r="R116" s="656" t="n"/>
      <c r="S116" s="657" t="n"/>
      <c r="T116" s="43" t="inlineStr">
        <is>
          <t>кг</t>
        </is>
      </c>
      <c r="U116" s="687">
        <f>IFERROR(SUM(U105:U114),"0")</f>
        <v/>
      </c>
      <c r="V116" s="687">
        <f>IFERROR(SUM(V105:V114),"0")</f>
        <v/>
      </c>
      <c r="W116" s="43" t="n"/>
      <c r="X116" s="688" t="n"/>
      <c r="Y116" s="688" t="n"/>
    </row>
    <row r="117" ht="14.25" customHeight="1">
      <c r="A117" s="322" t="inlineStr">
        <is>
          <t>Сардельки</t>
        </is>
      </c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322" t="n"/>
      <c r="Y117" s="322" t="n"/>
    </row>
    <row r="118" ht="27" customHeight="1">
      <c r="A118" s="64" t="inlineStr">
        <is>
          <t>SU002071</t>
        </is>
      </c>
      <c r="B118" s="64" t="inlineStr">
        <is>
          <t>P002233</t>
        </is>
      </c>
      <c r="C118" s="37" t="n">
        <v>4301060296</v>
      </c>
      <c r="D118" s="323" t="n">
        <v>4607091383065</v>
      </c>
      <c r="E118" s="648" t="n"/>
      <c r="F118" s="680" t="n">
        <v>0.83</v>
      </c>
      <c r="G118" s="38" t="n">
        <v>4</v>
      </c>
      <c r="H118" s="680" t="n">
        <v>3.32</v>
      </c>
      <c r="I118" s="680" t="n">
        <v>3.582</v>
      </c>
      <c r="J118" s="38" t="n">
        <v>120</v>
      </c>
      <c r="K118" s="39" t="inlineStr">
        <is>
          <t>СК2</t>
        </is>
      </c>
      <c r="L118" s="38" t="n">
        <v>30</v>
      </c>
      <c r="M118" s="747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N118" s="682" t="n"/>
      <c r="O118" s="682" t="n"/>
      <c r="P118" s="682" t="n"/>
      <c r="Q118" s="648" t="n"/>
      <c r="R118" s="40" t="inlineStr"/>
      <c r="S118" s="40" t="inlineStr"/>
      <c r="T118" s="41" t="inlineStr">
        <is>
          <t>кг</t>
        </is>
      </c>
      <c r="U118" s="683" t="n">
        <v>0</v>
      </c>
      <c r="V118" s="684">
        <f>IFERROR(IF(U118="",0,CEILING((U118/$H118),1)*$H118),"")</f>
        <v/>
      </c>
      <c r="W118" s="42">
        <f>IFERROR(IF(V118=0,"",ROUNDUP(V118/H118,0)*0.00937),"")</f>
        <v/>
      </c>
      <c r="X118" s="69" t="inlineStr"/>
      <c r="Y118" s="70" t="inlineStr"/>
      <c r="AC118" s="71" t="n"/>
      <c r="AZ118" s="132" t="inlineStr">
        <is>
          <t>КИ</t>
        </is>
      </c>
    </row>
    <row r="119" ht="27" customHeight="1">
      <c r="A119" s="64" t="inlineStr">
        <is>
          <t>SU002835</t>
        </is>
      </c>
      <c r="B119" s="64" t="inlineStr">
        <is>
          <t>P003237</t>
        </is>
      </c>
      <c r="C119" s="37" t="n">
        <v>4301060350</v>
      </c>
      <c r="D119" s="323" t="n">
        <v>4680115881532</v>
      </c>
      <c r="E119" s="648" t="n"/>
      <c r="F119" s="680" t="n">
        <v>1.35</v>
      </c>
      <c r="G119" s="38" t="n">
        <v>6</v>
      </c>
      <c r="H119" s="680" t="n">
        <v>8.1</v>
      </c>
      <c r="I119" s="680" t="n">
        <v>8.58</v>
      </c>
      <c r="J119" s="38" t="n">
        <v>56</v>
      </c>
      <c r="K119" s="39" t="inlineStr">
        <is>
          <t>СК3</t>
        </is>
      </c>
      <c r="L119" s="38" t="n">
        <v>30</v>
      </c>
      <c r="M119" s="748">
        <f>HYPERLINK("https://abi.ru/products/Охлажденные/Вязанка/Вязанка/Сардельки/P003237/","Сардельки «Филейские» Весовые NDX мгс ТМ «Вязанка»")</f>
        <v/>
      </c>
      <c r="N119" s="682" t="n"/>
      <c r="O119" s="682" t="n"/>
      <c r="P119" s="682" t="n"/>
      <c r="Q119" s="648" t="n"/>
      <c r="R119" s="40" t="inlineStr"/>
      <c r="S119" s="40" t="inlineStr"/>
      <c r="T119" s="41" t="inlineStr">
        <is>
          <t>кг</t>
        </is>
      </c>
      <c r="U119" s="683" t="n">
        <v>0</v>
      </c>
      <c r="V119" s="684">
        <f>IFERROR(IF(U119="",0,CEILING((U119/$H119),1)*$H119),"")</f>
        <v/>
      </c>
      <c r="W119" s="42">
        <f>IFERROR(IF(V119=0,"",ROUNDUP(V119/H119,0)*0.02175),"")</f>
        <v/>
      </c>
      <c r="X119" s="69" t="inlineStr"/>
      <c r="Y119" s="70" t="inlineStr"/>
      <c r="AC119" s="71" t="n"/>
      <c r="AZ119" s="133" t="inlineStr">
        <is>
          <t>КИ</t>
        </is>
      </c>
    </row>
    <row r="120" ht="27" customHeight="1">
      <c r="A120" s="64" t="inlineStr">
        <is>
          <t>SU002997</t>
        </is>
      </c>
      <c r="B120" s="64" t="inlineStr">
        <is>
          <t>P003465</t>
        </is>
      </c>
      <c r="C120" s="37" t="n">
        <v>4301060356</v>
      </c>
      <c r="D120" s="323" t="n">
        <v>4680115882652</v>
      </c>
      <c r="E120" s="648" t="n"/>
      <c r="F120" s="680" t="n">
        <v>0.33</v>
      </c>
      <c r="G120" s="38" t="n">
        <v>6</v>
      </c>
      <c r="H120" s="680" t="n">
        <v>1.98</v>
      </c>
      <c r="I120" s="680" t="n">
        <v>2.84</v>
      </c>
      <c r="J120" s="38" t="n">
        <v>156</v>
      </c>
      <c r="K120" s="39" t="inlineStr">
        <is>
          <t>СК2</t>
        </is>
      </c>
      <c r="L120" s="38" t="n">
        <v>40</v>
      </c>
      <c r="M120" s="749" t="inlineStr">
        <is>
          <t>Сардельки «Сливушки с сыром #минидельки» ф/в 0,33 айпил ТМ «Вязанка»</t>
        </is>
      </c>
      <c r="N120" s="682" t="n"/>
      <c r="O120" s="682" t="n"/>
      <c r="P120" s="682" t="n"/>
      <c r="Q120" s="648" t="n"/>
      <c r="R120" s="40" t="inlineStr"/>
      <c r="S120" s="40" t="inlineStr"/>
      <c r="T120" s="41" t="inlineStr">
        <is>
          <t>кг</t>
        </is>
      </c>
      <c r="U120" s="683" t="n">
        <v>0</v>
      </c>
      <c r="V120" s="684">
        <f>IFERROR(IF(U120="",0,CEILING((U120/$H120),1)*$H120),"")</f>
        <v/>
      </c>
      <c r="W120" s="42">
        <f>IFERROR(IF(V120=0,"",ROUNDUP(V120/H120,0)*0.00753),"")</f>
        <v/>
      </c>
      <c r="X120" s="69" t="inlineStr"/>
      <c r="Y120" s="70" t="inlineStr"/>
      <c r="AC120" s="71" t="n"/>
      <c r="AZ120" s="134" t="inlineStr">
        <is>
          <t>КИ</t>
        </is>
      </c>
    </row>
    <row r="121" ht="16.5" customHeight="1">
      <c r="A121" s="64" t="inlineStr">
        <is>
          <t>SU002367</t>
        </is>
      </c>
      <c r="B121" s="64" t="inlineStr">
        <is>
          <t>P002644</t>
        </is>
      </c>
      <c r="C121" s="37" t="n">
        <v>4301060309</v>
      </c>
      <c r="D121" s="323" t="n">
        <v>4680115880238</v>
      </c>
      <c r="E121" s="648" t="n"/>
      <c r="F121" s="680" t="n">
        <v>0.33</v>
      </c>
      <c r="G121" s="38" t="n">
        <v>6</v>
      </c>
      <c r="H121" s="680" t="n">
        <v>1.98</v>
      </c>
      <c r="I121" s="680" t="n">
        <v>2.258</v>
      </c>
      <c r="J121" s="38" t="n">
        <v>156</v>
      </c>
      <c r="K121" s="39" t="inlineStr">
        <is>
          <t>СК2</t>
        </is>
      </c>
      <c r="L121" s="38" t="n">
        <v>40</v>
      </c>
      <c r="M121" s="750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N121" s="682" t="n"/>
      <c r="O121" s="682" t="n"/>
      <c r="P121" s="682" t="n"/>
      <c r="Q121" s="648" t="n"/>
      <c r="R121" s="40" t="inlineStr"/>
      <c r="S121" s="40" t="inlineStr"/>
      <c r="T121" s="41" t="inlineStr">
        <is>
          <t>кг</t>
        </is>
      </c>
      <c r="U121" s="683" t="n">
        <v>0</v>
      </c>
      <c r="V121" s="684">
        <f>IFERROR(IF(U121="",0,CEILING((U121/$H121),1)*$H121),"")</f>
        <v/>
      </c>
      <c r="W121" s="42">
        <f>IFERROR(IF(V121=0,"",ROUNDUP(V121/H121,0)*0.00753),"")</f>
        <v/>
      </c>
      <c r="X121" s="69" t="inlineStr"/>
      <c r="Y121" s="70" t="inlineStr"/>
      <c r="AC121" s="71" t="n"/>
      <c r="AZ121" s="135" t="inlineStr">
        <is>
          <t>КИ</t>
        </is>
      </c>
    </row>
    <row r="122" ht="27" customHeight="1">
      <c r="A122" s="64" t="inlineStr">
        <is>
          <t>SU002834</t>
        </is>
      </c>
      <c r="B122" s="64" t="inlineStr">
        <is>
          <t>P003238</t>
        </is>
      </c>
      <c r="C122" s="37" t="n">
        <v>4301060351</v>
      </c>
      <c r="D122" s="323" t="n">
        <v>4680115881464</v>
      </c>
      <c r="E122" s="648" t="n"/>
      <c r="F122" s="680" t="n">
        <v>0.4</v>
      </c>
      <c r="G122" s="38" t="n">
        <v>6</v>
      </c>
      <c r="H122" s="680" t="n">
        <v>2.4</v>
      </c>
      <c r="I122" s="680" t="n">
        <v>2.6</v>
      </c>
      <c r="J122" s="38" t="n">
        <v>156</v>
      </c>
      <c r="K122" s="39" t="inlineStr">
        <is>
          <t>СК3</t>
        </is>
      </c>
      <c r="L122" s="38" t="n">
        <v>30</v>
      </c>
      <c r="M122" s="751" t="inlineStr">
        <is>
          <t>Сардельки «Филейские» Фикс.вес 0,4 NDX мгс ТМ «Вязанка»</t>
        </is>
      </c>
      <c r="N122" s="682" t="n"/>
      <c r="O122" s="682" t="n"/>
      <c r="P122" s="682" t="n"/>
      <c r="Q122" s="648" t="n"/>
      <c r="R122" s="40" t="inlineStr"/>
      <c r="S122" s="40" t="inlineStr"/>
      <c r="T122" s="41" t="inlineStr">
        <is>
          <t>кг</t>
        </is>
      </c>
      <c r="U122" s="683" t="n">
        <v>0</v>
      </c>
      <c r="V122" s="684">
        <f>IFERROR(IF(U122="",0,CEILING((U122/$H122),1)*$H122),"")</f>
        <v/>
      </c>
      <c r="W122" s="42">
        <f>IFERROR(IF(V122=0,"",ROUNDUP(V122/H122,0)*0.00753),"")</f>
        <v/>
      </c>
      <c r="X122" s="69" t="inlineStr"/>
      <c r="Y122" s="70" t="inlineStr"/>
      <c r="AC122" s="71" t="n"/>
      <c r="AZ122" s="136" t="inlineStr">
        <is>
          <t>КИ</t>
        </is>
      </c>
    </row>
    <row r="123">
      <c r="A123" s="33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685" t="n"/>
      <c r="M123" s="686" t="inlineStr">
        <is>
          <t>Итого</t>
        </is>
      </c>
      <c r="N123" s="656" t="n"/>
      <c r="O123" s="656" t="n"/>
      <c r="P123" s="656" t="n"/>
      <c r="Q123" s="656" t="n"/>
      <c r="R123" s="656" t="n"/>
      <c r="S123" s="657" t="n"/>
      <c r="T123" s="43" t="inlineStr">
        <is>
          <t>кор</t>
        </is>
      </c>
      <c r="U123" s="687">
        <f>IFERROR(U118/H118,"0")+IFERROR(U119/H119,"0")+IFERROR(U120/H120,"0")+IFERROR(U121/H121,"0")+IFERROR(U122/H122,"0")</f>
        <v/>
      </c>
      <c r="V123" s="687">
        <f>IFERROR(V118/H118,"0")+IFERROR(V119/H119,"0")+IFERROR(V120/H120,"0")+IFERROR(V121/H121,"0")+IFERROR(V122/H122,"0")</f>
        <v/>
      </c>
      <c r="W123" s="687">
        <f>IFERROR(IF(W118="",0,W118),"0")+IFERROR(IF(W119="",0,W119),"0")+IFERROR(IF(W120="",0,W120),"0")+IFERROR(IF(W121="",0,W121),"0")+IFERROR(IF(W122="",0,W122),"0")</f>
        <v/>
      </c>
      <c r="X123" s="688" t="n"/>
      <c r="Y123" s="688" t="n"/>
    </row>
    <row r="124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685" t="n"/>
      <c r="M124" s="686" t="inlineStr">
        <is>
          <t>Итого</t>
        </is>
      </c>
      <c r="N124" s="656" t="n"/>
      <c r="O124" s="656" t="n"/>
      <c r="P124" s="656" t="n"/>
      <c r="Q124" s="656" t="n"/>
      <c r="R124" s="656" t="n"/>
      <c r="S124" s="657" t="n"/>
      <c r="T124" s="43" t="inlineStr">
        <is>
          <t>кг</t>
        </is>
      </c>
      <c r="U124" s="687">
        <f>IFERROR(SUM(U118:U122),"0")</f>
        <v/>
      </c>
      <c r="V124" s="687">
        <f>IFERROR(SUM(V118:V122),"0")</f>
        <v/>
      </c>
      <c r="W124" s="43" t="n"/>
      <c r="X124" s="688" t="n"/>
      <c r="Y124" s="688" t="n"/>
    </row>
    <row r="125" ht="16.5" customHeight="1">
      <c r="A125" s="321" t="inlineStr">
        <is>
          <t>Сливушки</t>
        </is>
      </c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321" t="n"/>
      <c r="Y125" s="321" t="n"/>
    </row>
    <row r="126" ht="14.25" customHeight="1">
      <c r="A126" s="322" t="inlineStr">
        <is>
          <t>Сосиски</t>
        </is>
      </c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322" t="n"/>
      <c r="Y126" s="322" t="n"/>
    </row>
    <row r="127" ht="27" customHeight="1">
      <c r="A127" s="64" t="inlineStr">
        <is>
          <t>SU001721</t>
        </is>
      </c>
      <c r="B127" s="64" t="inlineStr">
        <is>
          <t>P003161</t>
        </is>
      </c>
      <c r="C127" s="37" t="n">
        <v>4301051360</v>
      </c>
      <c r="D127" s="323" t="n">
        <v>4607091385168</v>
      </c>
      <c r="E127" s="648" t="n"/>
      <c r="F127" s="680" t="n">
        <v>1.35</v>
      </c>
      <c r="G127" s="38" t="n">
        <v>6</v>
      </c>
      <c r="H127" s="680" t="n">
        <v>8.1</v>
      </c>
      <c r="I127" s="680" t="n">
        <v>8.657999999999999</v>
      </c>
      <c r="J127" s="38" t="n">
        <v>56</v>
      </c>
      <c r="K127" s="39" t="inlineStr">
        <is>
          <t>СК3</t>
        </is>
      </c>
      <c r="L127" s="38" t="n">
        <v>45</v>
      </c>
      <c r="M127" s="752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N127" s="682" t="n"/>
      <c r="O127" s="682" t="n"/>
      <c r="P127" s="682" t="n"/>
      <c r="Q127" s="648" t="n"/>
      <c r="R127" s="40" t="inlineStr"/>
      <c r="S127" s="40" t="inlineStr"/>
      <c r="T127" s="41" t="inlineStr">
        <is>
          <t>кг</t>
        </is>
      </c>
      <c r="U127" s="683" t="n">
        <v>0</v>
      </c>
      <c r="V127" s="684">
        <f>IFERROR(IF(U127="",0,CEILING((U127/$H127),1)*$H127),"")</f>
        <v/>
      </c>
      <c r="W127" s="42">
        <f>IFERROR(IF(V127=0,"",ROUNDUP(V127/H127,0)*0.02175),"")</f>
        <v/>
      </c>
      <c r="X127" s="69" t="inlineStr"/>
      <c r="Y127" s="70" t="inlineStr"/>
      <c r="AC127" s="71" t="n"/>
      <c r="AZ127" s="137" t="inlineStr">
        <is>
          <t>КИ</t>
        </is>
      </c>
    </row>
    <row r="128" ht="16.5" customHeight="1">
      <c r="A128" s="64" t="inlineStr">
        <is>
          <t>SU002139</t>
        </is>
      </c>
      <c r="B128" s="64" t="inlineStr">
        <is>
          <t>P003162</t>
        </is>
      </c>
      <c r="C128" s="37" t="n">
        <v>4301051362</v>
      </c>
      <c r="D128" s="323" t="n">
        <v>4607091383256</v>
      </c>
      <c r="E128" s="648" t="n"/>
      <c r="F128" s="680" t="n">
        <v>0.33</v>
      </c>
      <c r="G128" s="38" t="n">
        <v>6</v>
      </c>
      <c r="H128" s="680" t="n">
        <v>1.98</v>
      </c>
      <c r="I128" s="680" t="n">
        <v>2.246</v>
      </c>
      <c r="J128" s="38" t="n">
        <v>156</v>
      </c>
      <c r="K128" s="39" t="inlineStr">
        <is>
          <t>СК3</t>
        </is>
      </c>
      <c r="L128" s="38" t="n">
        <v>45</v>
      </c>
      <c r="M128" s="753">
        <f>HYPERLINK("https://abi.ru/products/Охлажденные/Вязанка/Сливушки/Сосиски/P003162/","Сосиски Сливочные Сливушки Фикс.вес 0,33 П/а мгс Вязанка")</f>
        <v/>
      </c>
      <c r="N128" s="682" t="n"/>
      <c r="O128" s="682" t="n"/>
      <c r="P128" s="682" t="n"/>
      <c r="Q128" s="648" t="n"/>
      <c r="R128" s="40" t="inlineStr"/>
      <c r="S128" s="40" t="inlineStr"/>
      <c r="T128" s="41" t="inlineStr">
        <is>
          <t>кг</t>
        </is>
      </c>
      <c r="U128" s="683" t="n">
        <v>0</v>
      </c>
      <c r="V128" s="684">
        <f>IFERROR(IF(U128="",0,CEILING((U128/$H128),1)*$H128),"")</f>
        <v/>
      </c>
      <c r="W128" s="42">
        <f>IFERROR(IF(V128=0,"",ROUNDUP(V128/H128,0)*0.00753),"")</f>
        <v/>
      </c>
      <c r="X128" s="69" t="inlineStr"/>
      <c r="Y128" s="70" t="inlineStr"/>
      <c r="AC128" s="71" t="n"/>
      <c r="AZ128" s="138" t="inlineStr">
        <is>
          <t>КИ</t>
        </is>
      </c>
    </row>
    <row r="129" ht="16.5" customHeight="1">
      <c r="A129" s="64" t="inlineStr">
        <is>
          <t>SU001720</t>
        </is>
      </c>
      <c r="B129" s="64" t="inlineStr">
        <is>
          <t>P003160</t>
        </is>
      </c>
      <c r="C129" s="37" t="n">
        <v>4301051358</v>
      </c>
      <c r="D129" s="323" t="n">
        <v>4607091385748</v>
      </c>
      <c r="E129" s="648" t="n"/>
      <c r="F129" s="680" t="n">
        <v>0.45</v>
      </c>
      <c r="G129" s="38" t="n">
        <v>6</v>
      </c>
      <c r="H129" s="680" t="n">
        <v>2.7</v>
      </c>
      <c r="I129" s="680" t="n">
        <v>2.972</v>
      </c>
      <c r="J129" s="38" t="n">
        <v>156</v>
      </c>
      <c r="K129" s="39" t="inlineStr">
        <is>
          <t>СК3</t>
        </is>
      </c>
      <c r="L129" s="38" t="n">
        <v>45</v>
      </c>
      <c r="M129" s="754">
        <f>HYPERLINK("https://abi.ru/products/Охлажденные/Вязанка/Сливушки/Сосиски/P003160/","Сосиски Сливочные Сливушки Фикс.вес 0,45 П/а мгс Вязанка")</f>
        <v/>
      </c>
      <c r="N129" s="682" t="n"/>
      <c r="O129" s="682" t="n"/>
      <c r="P129" s="682" t="n"/>
      <c r="Q129" s="648" t="n"/>
      <c r="R129" s="40" t="inlineStr"/>
      <c r="S129" s="40" t="inlineStr"/>
      <c r="T129" s="41" t="inlineStr">
        <is>
          <t>кг</t>
        </is>
      </c>
      <c r="U129" s="683" t="n">
        <v>92.25</v>
      </c>
      <c r="V129" s="684">
        <f>IFERROR(IF(U129="",0,CEILING((U129/$H129),1)*$H129),"")</f>
        <v/>
      </c>
      <c r="W129" s="42">
        <f>IFERROR(IF(V129=0,"",ROUNDUP(V129/H129,0)*0.00753),"")</f>
        <v/>
      </c>
      <c r="X129" s="69" t="inlineStr"/>
      <c r="Y129" s="70" t="inlineStr"/>
      <c r="AC129" s="71" t="n"/>
      <c r="AZ129" s="139" t="inlineStr">
        <is>
          <t>КИ</t>
        </is>
      </c>
    </row>
    <row r="130" ht="16.5" customHeight="1">
      <c r="A130" s="64" t="inlineStr">
        <is>
          <t>SU002438</t>
        </is>
      </c>
      <c r="B130" s="64" t="inlineStr">
        <is>
          <t>P003163</t>
        </is>
      </c>
      <c r="C130" s="37" t="n">
        <v>4301051364</v>
      </c>
      <c r="D130" s="323" t="n">
        <v>4607091384581</v>
      </c>
      <c r="E130" s="648" t="n"/>
      <c r="F130" s="680" t="n">
        <v>0.67</v>
      </c>
      <c r="G130" s="38" t="n">
        <v>4</v>
      </c>
      <c r="H130" s="680" t="n">
        <v>2.68</v>
      </c>
      <c r="I130" s="680" t="n">
        <v>2.942</v>
      </c>
      <c r="J130" s="38" t="n">
        <v>120</v>
      </c>
      <c r="K130" s="39" t="inlineStr">
        <is>
          <t>СК3</t>
        </is>
      </c>
      <c r="L130" s="38" t="n">
        <v>45</v>
      </c>
      <c r="M130" s="755">
        <f>HYPERLINK("https://abi.ru/products/Охлажденные/Вязанка/Сливушки/Сосиски/P003163/","Сосиски Сливочные Сливушки Фикс.вес 0,67 П/а мгс Вязанка")</f>
        <v/>
      </c>
      <c r="N130" s="682" t="n"/>
      <c r="O130" s="682" t="n"/>
      <c r="P130" s="682" t="n"/>
      <c r="Q130" s="648" t="n"/>
      <c r="R130" s="40" t="inlineStr"/>
      <c r="S130" s="40" t="inlineStr"/>
      <c r="T130" s="41" t="inlineStr">
        <is>
          <t>кг</t>
        </is>
      </c>
      <c r="U130" s="683" t="n">
        <v>0</v>
      </c>
      <c r="V130" s="684">
        <f>IFERROR(IF(U130="",0,CEILING((U130/$H130),1)*$H130),"")</f>
        <v/>
      </c>
      <c r="W130" s="42">
        <f>IFERROR(IF(V130=0,"",ROUNDUP(V130/H130,0)*0.00937),"")</f>
        <v/>
      </c>
      <c r="X130" s="69" t="inlineStr"/>
      <c r="Y130" s="70" t="inlineStr"/>
      <c r="AC130" s="71" t="n"/>
      <c r="AZ130" s="140" t="inlineStr">
        <is>
          <t>КИ</t>
        </is>
      </c>
    </row>
    <row r="131">
      <c r="A131" s="33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685" t="n"/>
      <c r="M131" s="686" t="inlineStr">
        <is>
          <t>Итого</t>
        </is>
      </c>
      <c r="N131" s="656" t="n"/>
      <c r="O131" s="656" t="n"/>
      <c r="P131" s="656" t="n"/>
      <c r="Q131" s="656" t="n"/>
      <c r="R131" s="656" t="n"/>
      <c r="S131" s="657" t="n"/>
      <c r="T131" s="43" t="inlineStr">
        <is>
          <t>кор</t>
        </is>
      </c>
      <c r="U131" s="687">
        <f>IFERROR(U127/H127,"0")+IFERROR(U128/H128,"0")+IFERROR(U129/H129,"0")+IFERROR(U130/H130,"0")</f>
        <v/>
      </c>
      <c r="V131" s="687">
        <f>IFERROR(V127/H127,"0")+IFERROR(V128/H128,"0")+IFERROR(V129/H129,"0")+IFERROR(V130/H130,"0")</f>
        <v/>
      </c>
      <c r="W131" s="687">
        <f>IFERROR(IF(W127="",0,W127),"0")+IFERROR(IF(W128="",0,W128),"0")+IFERROR(IF(W129="",0,W129),"0")+IFERROR(IF(W130="",0,W130),"0")</f>
        <v/>
      </c>
      <c r="X131" s="688" t="n"/>
      <c r="Y131" s="688" t="n"/>
    </row>
    <row r="132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685" t="n"/>
      <c r="M132" s="686" t="inlineStr">
        <is>
          <t>Итого</t>
        </is>
      </c>
      <c r="N132" s="656" t="n"/>
      <c r="O132" s="656" t="n"/>
      <c r="P132" s="656" t="n"/>
      <c r="Q132" s="656" t="n"/>
      <c r="R132" s="656" t="n"/>
      <c r="S132" s="657" t="n"/>
      <c r="T132" s="43" t="inlineStr">
        <is>
          <t>кг</t>
        </is>
      </c>
      <c r="U132" s="687">
        <f>IFERROR(SUM(U127:U130),"0")</f>
        <v/>
      </c>
      <c r="V132" s="687">
        <f>IFERROR(SUM(V127:V130),"0")</f>
        <v/>
      </c>
      <c r="W132" s="43" t="n"/>
      <c r="X132" s="688" t="n"/>
      <c r="Y132" s="688" t="n"/>
    </row>
    <row r="133" ht="27.75" customHeight="1">
      <c r="A133" s="344" t="inlineStr">
        <is>
          <t>Стародворье</t>
        </is>
      </c>
      <c r="B133" s="679" t="n"/>
      <c r="C133" s="679" t="n"/>
      <c r="D133" s="679" t="n"/>
      <c r="E133" s="679" t="n"/>
      <c r="F133" s="679" t="n"/>
      <c r="G133" s="679" t="n"/>
      <c r="H133" s="679" t="n"/>
      <c r="I133" s="679" t="n"/>
      <c r="J133" s="679" t="n"/>
      <c r="K133" s="679" t="n"/>
      <c r="L133" s="679" t="n"/>
      <c r="M133" s="679" t="n"/>
      <c r="N133" s="679" t="n"/>
      <c r="O133" s="679" t="n"/>
      <c r="P133" s="679" t="n"/>
      <c r="Q133" s="679" t="n"/>
      <c r="R133" s="679" t="n"/>
      <c r="S133" s="679" t="n"/>
      <c r="T133" s="679" t="n"/>
      <c r="U133" s="679" t="n"/>
      <c r="V133" s="679" t="n"/>
      <c r="W133" s="679" t="n"/>
      <c r="X133" s="55" t="n"/>
      <c r="Y133" s="55" t="n"/>
    </row>
    <row r="134" ht="16.5" customHeight="1">
      <c r="A134" s="321" t="inlineStr">
        <is>
          <t>Золоченная в печи</t>
        </is>
      </c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321" t="n"/>
      <c r="Y134" s="321" t="n"/>
    </row>
    <row r="135" ht="14.25" customHeight="1">
      <c r="A135" s="322" t="inlineStr">
        <is>
          <t>Вареные колбасы</t>
        </is>
      </c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322" t="n"/>
      <c r="Y135" s="322" t="n"/>
    </row>
    <row r="136" ht="27" customHeight="1">
      <c r="A136" s="64" t="inlineStr">
        <is>
          <t>SU002201</t>
        </is>
      </c>
      <c r="B136" s="64" t="inlineStr">
        <is>
          <t>P002567</t>
        </is>
      </c>
      <c r="C136" s="37" t="n">
        <v>4301011223</v>
      </c>
      <c r="D136" s="323" t="n">
        <v>4607091383423</v>
      </c>
      <c r="E136" s="648" t="n"/>
      <c r="F136" s="680" t="n">
        <v>1.35</v>
      </c>
      <c r="G136" s="38" t="n">
        <v>8</v>
      </c>
      <c r="H136" s="680" t="n">
        <v>10.8</v>
      </c>
      <c r="I136" s="680" t="n">
        <v>11.376</v>
      </c>
      <c r="J136" s="38" t="n">
        <v>56</v>
      </c>
      <c r="K136" s="39" t="inlineStr">
        <is>
          <t>СК3</t>
        </is>
      </c>
      <c r="L136" s="38" t="n">
        <v>35</v>
      </c>
      <c r="M136" s="756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N136" s="682" t="n"/>
      <c r="O136" s="682" t="n"/>
      <c r="P136" s="682" t="n"/>
      <c r="Q136" s="648" t="n"/>
      <c r="R136" s="40" t="inlineStr"/>
      <c r="S136" s="40" t="inlineStr"/>
      <c r="T136" s="41" t="inlineStr">
        <is>
          <t>кг</t>
        </is>
      </c>
      <c r="U136" s="683" t="n">
        <v>0</v>
      </c>
      <c r="V136" s="684">
        <f>IFERROR(IF(U136="",0,CEILING((U136/$H136),1)*$H136),"")</f>
        <v/>
      </c>
      <c r="W136" s="42">
        <f>IFERROR(IF(V136=0,"",ROUNDUP(V136/H136,0)*0.02175),"")</f>
        <v/>
      </c>
      <c r="X136" s="69" t="inlineStr"/>
      <c r="Y136" s="70" t="inlineStr"/>
      <c r="AC136" s="71" t="n"/>
      <c r="AZ136" s="141" t="inlineStr">
        <is>
          <t>КИ</t>
        </is>
      </c>
    </row>
    <row r="137" ht="27" customHeight="1">
      <c r="A137" s="64" t="inlineStr">
        <is>
          <t>SU002203</t>
        </is>
      </c>
      <c r="B137" s="64" t="inlineStr">
        <is>
          <t>P002568</t>
        </is>
      </c>
      <c r="C137" s="37" t="n">
        <v>4301011338</v>
      </c>
      <c r="D137" s="323" t="n">
        <v>4607091381405</v>
      </c>
      <c r="E137" s="648" t="n"/>
      <c r="F137" s="680" t="n">
        <v>1.35</v>
      </c>
      <c r="G137" s="38" t="n">
        <v>8</v>
      </c>
      <c r="H137" s="680" t="n">
        <v>10.8</v>
      </c>
      <c r="I137" s="680" t="n">
        <v>11.376</v>
      </c>
      <c r="J137" s="38" t="n">
        <v>56</v>
      </c>
      <c r="K137" s="39" t="inlineStr">
        <is>
          <t>СК2</t>
        </is>
      </c>
      <c r="L137" s="38" t="n">
        <v>35</v>
      </c>
      <c r="M137" s="757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N137" s="682" t="n"/>
      <c r="O137" s="682" t="n"/>
      <c r="P137" s="682" t="n"/>
      <c r="Q137" s="648" t="n"/>
      <c r="R137" s="40" t="inlineStr"/>
      <c r="S137" s="40" t="inlineStr"/>
      <c r="T137" s="41" t="inlineStr">
        <is>
          <t>кг</t>
        </is>
      </c>
      <c r="U137" s="683" t="n">
        <v>0</v>
      </c>
      <c r="V137" s="684">
        <f>IFERROR(IF(U137="",0,CEILING((U137/$H137),1)*$H137),"")</f>
        <v/>
      </c>
      <c r="W137" s="42">
        <f>IFERROR(IF(V137=0,"",ROUNDUP(V137/H137,0)*0.02175),"")</f>
        <v/>
      </c>
      <c r="X137" s="69" t="inlineStr"/>
      <c r="Y137" s="70" t="inlineStr"/>
      <c r="AC137" s="71" t="n"/>
      <c r="AZ137" s="142" t="inlineStr">
        <is>
          <t>КИ</t>
        </is>
      </c>
    </row>
    <row r="138" ht="27" customHeight="1">
      <c r="A138" s="64" t="inlineStr">
        <is>
          <t>SU002216</t>
        </is>
      </c>
      <c r="B138" s="64" t="inlineStr">
        <is>
          <t>P002400</t>
        </is>
      </c>
      <c r="C138" s="37" t="n">
        <v>4301011333</v>
      </c>
      <c r="D138" s="323" t="n">
        <v>4607091386516</v>
      </c>
      <c r="E138" s="648" t="n"/>
      <c r="F138" s="680" t="n">
        <v>1.4</v>
      </c>
      <c r="G138" s="38" t="n">
        <v>8</v>
      </c>
      <c r="H138" s="680" t="n">
        <v>11.2</v>
      </c>
      <c r="I138" s="680" t="n">
        <v>11.776</v>
      </c>
      <c r="J138" s="38" t="n">
        <v>56</v>
      </c>
      <c r="K138" s="39" t="inlineStr">
        <is>
          <t>СК2</t>
        </is>
      </c>
      <c r="L138" s="38" t="n">
        <v>30</v>
      </c>
      <c r="M138" s="758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N138" s="682" t="n"/>
      <c r="O138" s="682" t="n"/>
      <c r="P138" s="682" t="n"/>
      <c r="Q138" s="648" t="n"/>
      <c r="R138" s="40" t="inlineStr"/>
      <c r="S138" s="40" t="inlineStr"/>
      <c r="T138" s="41" t="inlineStr">
        <is>
          <t>кг</t>
        </is>
      </c>
      <c r="U138" s="683" t="n">
        <v>0</v>
      </c>
      <c r="V138" s="684">
        <f>IFERROR(IF(U138="",0,CEILING((U138/$H138),1)*$H138),"")</f>
        <v/>
      </c>
      <c r="W138" s="42">
        <f>IFERROR(IF(V138=0,"",ROUNDUP(V138/H138,0)*0.02175),"")</f>
        <v/>
      </c>
      <c r="X138" s="69" t="inlineStr"/>
      <c r="Y138" s="70" t="inlineStr"/>
      <c r="AC138" s="71" t="n"/>
      <c r="AZ138" s="143" t="inlineStr">
        <is>
          <t>КИ</t>
        </is>
      </c>
    </row>
    <row r="139">
      <c r="A139" s="33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685" t="n"/>
      <c r="M139" s="686" t="inlineStr">
        <is>
          <t>Итого</t>
        </is>
      </c>
      <c r="N139" s="656" t="n"/>
      <c r="O139" s="656" t="n"/>
      <c r="P139" s="656" t="n"/>
      <c r="Q139" s="656" t="n"/>
      <c r="R139" s="656" t="n"/>
      <c r="S139" s="657" t="n"/>
      <c r="T139" s="43" t="inlineStr">
        <is>
          <t>кор</t>
        </is>
      </c>
      <c r="U139" s="687">
        <f>IFERROR(U136/H136,"0")+IFERROR(U137/H137,"0")+IFERROR(U138/H138,"0")</f>
        <v/>
      </c>
      <c r="V139" s="687">
        <f>IFERROR(V136/H136,"0")+IFERROR(V137/H137,"0")+IFERROR(V138/H138,"0")</f>
        <v/>
      </c>
      <c r="W139" s="687">
        <f>IFERROR(IF(W136="",0,W136),"0")+IFERROR(IF(W137="",0,W137),"0")+IFERROR(IF(W138="",0,W138),"0")</f>
        <v/>
      </c>
      <c r="X139" s="688" t="n"/>
      <c r="Y139" s="688" t="n"/>
    </row>
    <row r="140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685" t="n"/>
      <c r="M140" s="686" t="inlineStr">
        <is>
          <t>Итого</t>
        </is>
      </c>
      <c r="N140" s="656" t="n"/>
      <c r="O140" s="656" t="n"/>
      <c r="P140" s="656" t="n"/>
      <c r="Q140" s="656" t="n"/>
      <c r="R140" s="656" t="n"/>
      <c r="S140" s="657" t="n"/>
      <c r="T140" s="43" t="inlineStr">
        <is>
          <t>кг</t>
        </is>
      </c>
      <c r="U140" s="687">
        <f>IFERROR(SUM(U136:U138),"0")</f>
        <v/>
      </c>
      <c r="V140" s="687">
        <f>IFERROR(SUM(V136:V138),"0")</f>
        <v/>
      </c>
      <c r="W140" s="43" t="n"/>
      <c r="X140" s="688" t="n"/>
      <c r="Y140" s="688" t="n"/>
    </row>
    <row r="141" ht="16.5" customHeight="1">
      <c r="A141" s="321" t="inlineStr">
        <is>
          <t>Мясорубская</t>
        </is>
      </c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321" t="n"/>
      <c r="Y141" s="321" t="n"/>
    </row>
    <row r="142" ht="14.25" customHeight="1">
      <c r="A142" s="322" t="inlineStr">
        <is>
          <t>Копченые колбасы</t>
        </is>
      </c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322" t="n"/>
      <c r="Y142" s="322" t="n"/>
    </row>
    <row r="143" ht="27" customHeight="1">
      <c r="A143" s="64" t="inlineStr">
        <is>
          <t>SU002756</t>
        </is>
      </c>
      <c r="B143" s="64" t="inlineStr">
        <is>
          <t>P003179</t>
        </is>
      </c>
      <c r="C143" s="37" t="n">
        <v>4301031191</v>
      </c>
      <c r="D143" s="323" t="n">
        <v>4680115880993</v>
      </c>
      <c r="E143" s="648" t="n"/>
      <c r="F143" s="680" t="n">
        <v>0.7</v>
      </c>
      <c r="G143" s="38" t="n">
        <v>6</v>
      </c>
      <c r="H143" s="680" t="n">
        <v>4.2</v>
      </c>
      <c r="I143" s="680" t="n">
        <v>4.46</v>
      </c>
      <c r="J143" s="38" t="n">
        <v>156</v>
      </c>
      <c r="K143" s="39" t="inlineStr">
        <is>
          <t>СК2</t>
        </is>
      </c>
      <c r="L143" s="38" t="n">
        <v>40</v>
      </c>
      <c r="M143" s="759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N143" s="682" t="n"/>
      <c r="O143" s="682" t="n"/>
      <c r="P143" s="682" t="n"/>
      <c r="Q143" s="648" t="n"/>
      <c r="R143" s="40" t="inlineStr"/>
      <c r="S143" s="40" t="inlineStr"/>
      <c r="T143" s="41" t="inlineStr">
        <is>
          <t>кг</t>
        </is>
      </c>
      <c r="U143" s="683" t="n">
        <v>125</v>
      </c>
      <c r="V143" s="684">
        <f>IFERROR(IF(U143="",0,CEILING((U143/$H143),1)*$H143),"")</f>
        <v/>
      </c>
      <c r="W143" s="42">
        <f>IFERROR(IF(V143=0,"",ROUNDUP(V143/H143,0)*0.00753),"")</f>
        <v/>
      </c>
      <c r="X143" s="69" t="inlineStr"/>
      <c r="Y143" s="70" t="inlineStr"/>
      <c r="AC143" s="71" t="n"/>
      <c r="AZ143" s="144" t="inlineStr">
        <is>
          <t>КИ</t>
        </is>
      </c>
    </row>
    <row r="144" ht="27" customHeight="1">
      <c r="A144" s="64" t="inlineStr">
        <is>
          <t>SU002876</t>
        </is>
      </c>
      <c r="B144" s="64" t="inlineStr">
        <is>
          <t>P003276</t>
        </is>
      </c>
      <c r="C144" s="37" t="n">
        <v>4301031204</v>
      </c>
      <c r="D144" s="323" t="n">
        <v>4680115881761</v>
      </c>
      <c r="E144" s="648" t="n"/>
      <c r="F144" s="680" t="n">
        <v>0.7</v>
      </c>
      <c r="G144" s="38" t="n">
        <v>6</v>
      </c>
      <c r="H144" s="680" t="n">
        <v>4.2</v>
      </c>
      <c r="I144" s="680" t="n">
        <v>4.46</v>
      </c>
      <c r="J144" s="38" t="n">
        <v>156</v>
      </c>
      <c r="K144" s="39" t="inlineStr">
        <is>
          <t>СК2</t>
        </is>
      </c>
      <c r="L144" s="38" t="n">
        <v>40</v>
      </c>
      <c r="M144" s="760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N144" s="682" t="n"/>
      <c r="O144" s="682" t="n"/>
      <c r="P144" s="682" t="n"/>
      <c r="Q144" s="648" t="n"/>
      <c r="R144" s="40" t="inlineStr"/>
      <c r="S144" s="40" t="inlineStr"/>
      <c r="T144" s="41" t="inlineStr">
        <is>
          <t>кг</t>
        </is>
      </c>
      <c r="U144" s="683" t="n">
        <v>0</v>
      </c>
      <c r="V144" s="684">
        <f>IFERROR(IF(U144="",0,CEILING((U144/$H144),1)*$H144),"")</f>
        <v/>
      </c>
      <c r="W144" s="42">
        <f>IFERROR(IF(V144=0,"",ROUNDUP(V144/H144,0)*0.00753),"")</f>
        <v/>
      </c>
      <c r="X144" s="69" t="inlineStr"/>
      <c r="Y144" s="70" t="inlineStr"/>
      <c r="AC144" s="71" t="n"/>
      <c r="AZ144" s="145" t="inlineStr">
        <is>
          <t>КИ</t>
        </is>
      </c>
    </row>
    <row r="145" ht="27" customHeight="1">
      <c r="A145" s="64" t="inlineStr">
        <is>
          <t>SU002847</t>
        </is>
      </c>
      <c r="B145" s="64" t="inlineStr">
        <is>
          <t>P003259</t>
        </is>
      </c>
      <c r="C145" s="37" t="n">
        <v>4301031201</v>
      </c>
      <c r="D145" s="323" t="n">
        <v>4680115881563</v>
      </c>
      <c r="E145" s="648" t="n"/>
      <c r="F145" s="680" t="n">
        <v>0.7</v>
      </c>
      <c r="G145" s="38" t="n">
        <v>6</v>
      </c>
      <c r="H145" s="680" t="n">
        <v>4.2</v>
      </c>
      <c r="I145" s="680" t="n">
        <v>4.4</v>
      </c>
      <c r="J145" s="38" t="n">
        <v>156</v>
      </c>
      <c r="K145" s="39" t="inlineStr">
        <is>
          <t>СК2</t>
        </is>
      </c>
      <c r="L145" s="38" t="n">
        <v>40</v>
      </c>
      <c r="M145" s="761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N145" s="682" t="n"/>
      <c r="O145" s="682" t="n"/>
      <c r="P145" s="682" t="n"/>
      <c r="Q145" s="648" t="n"/>
      <c r="R145" s="40" t="inlineStr"/>
      <c r="S145" s="40" t="inlineStr"/>
      <c r="T145" s="41" t="inlineStr">
        <is>
          <t>кг</t>
        </is>
      </c>
      <c r="U145" s="683" t="n">
        <v>240</v>
      </c>
      <c r="V145" s="684">
        <f>IFERROR(IF(U145="",0,CEILING((U145/$H145),1)*$H145),"")</f>
        <v/>
      </c>
      <c r="W145" s="42">
        <f>IFERROR(IF(V145=0,"",ROUNDUP(V145/H145,0)*0.00753),"")</f>
        <v/>
      </c>
      <c r="X145" s="69" t="inlineStr"/>
      <c r="Y145" s="70" t="inlineStr"/>
      <c r="AC145" s="71" t="n"/>
      <c r="AZ145" s="146" t="inlineStr">
        <is>
          <t>КИ</t>
        </is>
      </c>
    </row>
    <row r="146" ht="27" customHeight="1">
      <c r="A146" s="64" t="inlineStr">
        <is>
          <t>SU002660</t>
        </is>
      </c>
      <c r="B146" s="64" t="inlineStr">
        <is>
          <t>P003256</t>
        </is>
      </c>
      <c r="C146" s="37" t="n">
        <v>4301031199</v>
      </c>
      <c r="D146" s="323" t="n">
        <v>4680115880986</v>
      </c>
      <c r="E146" s="648" t="n"/>
      <c r="F146" s="680" t="n">
        <v>0.35</v>
      </c>
      <c r="G146" s="38" t="n">
        <v>6</v>
      </c>
      <c r="H146" s="680" t="n">
        <v>2.1</v>
      </c>
      <c r="I146" s="680" t="n">
        <v>2.23</v>
      </c>
      <c r="J146" s="38" t="n">
        <v>234</v>
      </c>
      <c r="K146" s="39" t="inlineStr">
        <is>
          <t>СК2</t>
        </is>
      </c>
      <c r="L146" s="38" t="n">
        <v>40</v>
      </c>
      <c r="M146" s="762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N146" s="682" t="n"/>
      <c r="O146" s="682" t="n"/>
      <c r="P146" s="682" t="n"/>
      <c r="Q146" s="648" t="n"/>
      <c r="R146" s="40" t="inlineStr"/>
      <c r="S146" s="40" t="inlineStr"/>
      <c r="T146" s="41" t="inlineStr">
        <is>
          <t>кг</t>
        </is>
      </c>
      <c r="U146" s="683" t="n">
        <v>0</v>
      </c>
      <c r="V146" s="684">
        <f>IFERROR(IF(U146="",0,CEILING((U146/$H146),1)*$H146),"")</f>
        <v/>
      </c>
      <c r="W146" s="42">
        <f>IFERROR(IF(V146=0,"",ROUNDUP(V146/H146,0)*0.00502),"")</f>
        <v/>
      </c>
      <c r="X146" s="69" t="inlineStr"/>
      <c r="Y146" s="70" t="inlineStr"/>
      <c r="AC146" s="71" t="n"/>
      <c r="AZ146" s="147" t="inlineStr">
        <is>
          <t>КИ</t>
        </is>
      </c>
    </row>
    <row r="147" ht="27" customHeight="1">
      <c r="A147" s="64" t="inlineStr">
        <is>
          <t>SU002826</t>
        </is>
      </c>
      <c r="B147" s="64" t="inlineStr">
        <is>
          <t>P003178</t>
        </is>
      </c>
      <c r="C147" s="37" t="n">
        <v>4301031190</v>
      </c>
      <c r="D147" s="323" t="n">
        <v>4680115880207</v>
      </c>
      <c r="E147" s="648" t="n"/>
      <c r="F147" s="680" t="n">
        <v>0.4</v>
      </c>
      <c r="G147" s="38" t="n">
        <v>6</v>
      </c>
      <c r="H147" s="680" t="n">
        <v>2.4</v>
      </c>
      <c r="I147" s="680" t="n">
        <v>2.63</v>
      </c>
      <c r="J147" s="38" t="n">
        <v>156</v>
      </c>
      <c r="K147" s="39" t="inlineStr">
        <is>
          <t>СК2</t>
        </is>
      </c>
      <c r="L147" s="38" t="n">
        <v>40</v>
      </c>
      <c r="M147" s="763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N147" s="682" t="n"/>
      <c r="O147" s="682" t="n"/>
      <c r="P147" s="682" t="n"/>
      <c r="Q147" s="648" t="n"/>
      <c r="R147" s="40" t="inlineStr"/>
      <c r="S147" s="40" t="inlineStr"/>
      <c r="T147" s="41" t="inlineStr">
        <is>
          <t>кг</t>
        </is>
      </c>
      <c r="U147" s="683" t="n">
        <v>0</v>
      </c>
      <c r="V147" s="684">
        <f>IFERROR(IF(U147="",0,CEILING((U147/$H147),1)*$H147),"")</f>
        <v/>
      </c>
      <c r="W147" s="42">
        <f>IFERROR(IF(V147=0,"",ROUNDUP(V147/H147,0)*0.00753),"")</f>
        <v/>
      </c>
      <c r="X147" s="69" t="inlineStr"/>
      <c r="Y147" s="70" t="inlineStr"/>
      <c r="AC147" s="71" t="n"/>
      <c r="AZ147" s="148" t="inlineStr">
        <is>
          <t>КИ</t>
        </is>
      </c>
    </row>
    <row r="148" ht="27" customHeight="1">
      <c r="A148" s="64" t="inlineStr">
        <is>
          <t>SU002877</t>
        </is>
      </c>
      <c r="B148" s="64" t="inlineStr">
        <is>
          <t>P003277</t>
        </is>
      </c>
      <c r="C148" s="37" t="n">
        <v>4301031205</v>
      </c>
      <c r="D148" s="323" t="n">
        <v>4680115881785</v>
      </c>
      <c r="E148" s="648" t="n"/>
      <c r="F148" s="680" t="n">
        <v>0.35</v>
      </c>
      <c r="G148" s="38" t="n">
        <v>6</v>
      </c>
      <c r="H148" s="680" t="n">
        <v>2.1</v>
      </c>
      <c r="I148" s="680" t="n">
        <v>2.23</v>
      </c>
      <c r="J148" s="38" t="n">
        <v>234</v>
      </c>
      <c r="K148" s="39" t="inlineStr">
        <is>
          <t>СК2</t>
        </is>
      </c>
      <c r="L148" s="38" t="n">
        <v>40</v>
      </c>
      <c r="M148" s="764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N148" s="682" t="n"/>
      <c r="O148" s="682" t="n"/>
      <c r="P148" s="682" t="n"/>
      <c r="Q148" s="648" t="n"/>
      <c r="R148" s="40" t="inlineStr"/>
      <c r="S148" s="40" t="inlineStr"/>
      <c r="T148" s="41" t="inlineStr">
        <is>
          <t>кг</t>
        </is>
      </c>
      <c r="U148" s="683" t="n">
        <v>0</v>
      </c>
      <c r="V148" s="684">
        <f>IFERROR(IF(U148="",0,CEILING((U148/$H148),1)*$H148),"")</f>
        <v/>
      </c>
      <c r="W148" s="42">
        <f>IFERROR(IF(V148=0,"",ROUNDUP(V148/H148,0)*0.00502),"")</f>
        <v/>
      </c>
      <c r="X148" s="69" t="inlineStr"/>
      <c r="Y148" s="70" t="inlineStr"/>
      <c r="AC148" s="71" t="n"/>
      <c r="AZ148" s="149" t="inlineStr">
        <is>
          <t>КИ</t>
        </is>
      </c>
    </row>
    <row r="149" ht="27" customHeight="1">
      <c r="A149" s="64" t="inlineStr">
        <is>
          <t>SU002848</t>
        </is>
      </c>
      <c r="B149" s="64" t="inlineStr">
        <is>
          <t>P003260</t>
        </is>
      </c>
      <c r="C149" s="37" t="n">
        <v>4301031202</v>
      </c>
      <c r="D149" s="323" t="n">
        <v>4680115881679</v>
      </c>
      <c r="E149" s="648" t="n"/>
      <c r="F149" s="680" t="n">
        <v>0.35</v>
      </c>
      <c r="G149" s="38" t="n">
        <v>6</v>
      </c>
      <c r="H149" s="680" t="n">
        <v>2.1</v>
      </c>
      <c r="I149" s="680" t="n">
        <v>2.2</v>
      </c>
      <c r="J149" s="38" t="n">
        <v>234</v>
      </c>
      <c r="K149" s="39" t="inlineStr">
        <is>
          <t>СК2</t>
        </is>
      </c>
      <c r="L149" s="38" t="n">
        <v>40</v>
      </c>
      <c r="M149" s="765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N149" s="682" t="n"/>
      <c r="O149" s="682" t="n"/>
      <c r="P149" s="682" t="n"/>
      <c r="Q149" s="648" t="n"/>
      <c r="R149" s="40" t="inlineStr"/>
      <c r="S149" s="40" t="inlineStr"/>
      <c r="T149" s="41" t="inlineStr">
        <is>
          <t>кг</t>
        </is>
      </c>
      <c r="U149" s="683" t="n">
        <v>94.5</v>
      </c>
      <c r="V149" s="684">
        <f>IFERROR(IF(U149="",0,CEILING((U149/$H149),1)*$H149),"")</f>
        <v/>
      </c>
      <c r="W149" s="42">
        <f>IFERROR(IF(V149=0,"",ROUNDUP(V149/H149,0)*0.00502),"")</f>
        <v/>
      </c>
      <c r="X149" s="69" t="inlineStr"/>
      <c r="Y149" s="70" t="inlineStr"/>
      <c r="AC149" s="71" t="n"/>
      <c r="AZ149" s="150" t="inlineStr">
        <is>
          <t>КИ</t>
        </is>
      </c>
    </row>
    <row r="150" ht="27" customHeight="1">
      <c r="A150" s="64" t="inlineStr">
        <is>
          <t>SU002659</t>
        </is>
      </c>
      <c r="B150" s="64" t="inlineStr">
        <is>
          <t>P003034</t>
        </is>
      </c>
      <c r="C150" s="37" t="n">
        <v>4301031158</v>
      </c>
      <c r="D150" s="323" t="n">
        <v>4680115880191</v>
      </c>
      <c r="E150" s="648" t="n"/>
      <c r="F150" s="680" t="n">
        <v>0.4</v>
      </c>
      <c r="G150" s="38" t="n">
        <v>6</v>
      </c>
      <c r="H150" s="680" t="n">
        <v>2.4</v>
      </c>
      <c r="I150" s="680" t="n">
        <v>2.6</v>
      </c>
      <c r="J150" s="38" t="n">
        <v>156</v>
      </c>
      <c r="K150" s="39" t="inlineStr">
        <is>
          <t>СК2</t>
        </is>
      </c>
      <c r="L150" s="38" t="n">
        <v>40</v>
      </c>
      <c r="M150" s="766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N150" s="682" t="n"/>
      <c r="O150" s="682" t="n"/>
      <c r="P150" s="682" t="n"/>
      <c r="Q150" s="648" t="n"/>
      <c r="R150" s="40" t="inlineStr"/>
      <c r="S150" s="40" t="inlineStr"/>
      <c r="T150" s="41" t="inlineStr">
        <is>
          <t>кг</t>
        </is>
      </c>
      <c r="U150" s="683" t="n">
        <v>0</v>
      </c>
      <c r="V150" s="684">
        <f>IFERROR(IF(U150="",0,CEILING((U150/$H150),1)*$H150),"")</f>
        <v/>
      </c>
      <c r="W150" s="42">
        <f>IFERROR(IF(V150=0,"",ROUNDUP(V150/H150,0)*0.00753),"")</f>
        <v/>
      </c>
      <c r="X150" s="69" t="inlineStr"/>
      <c r="Y150" s="70" t="inlineStr"/>
      <c r="AC150" s="71" t="n"/>
      <c r="AZ150" s="151" t="inlineStr">
        <is>
          <t>КИ</t>
        </is>
      </c>
    </row>
    <row r="151">
      <c r="A151" s="33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685" t="n"/>
      <c r="M151" s="686" t="inlineStr">
        <is>
          <t>Итого</t>
        </is>
      </c>
      <c r="N151" s="656" t="n"/>
      <c r="O151" s="656" t="n"/>
      <c r="P151" s="656" t="n"/>
      <c r="Q151" s="656" t="n"/>
      <c r="R151" s="656" t="n"/>
      <c r="S151" s="657" t="n"/>
      <c r="T151" s="43" t="inlineStr">
        <is>
          <t>кор</t>
        </is>
      </c>
      <c r="U151" s="687">
        <f>IFERROR(U143/H143,"0")+IFERROR(U144/H144,"0")+IFERROR(U145/H145,"0")+IFERROR(U146/H146,"0")+IFERROR(U147/H147,"0")+IFERROR(U148/H148,"0")+IFERROR(U149/H149,"0")+IFERROR(U150/H150,"0")</f>
        <v/>
      </c>
      <c r="V151" s="687">
        <f>IFERROR(V143/H143,"0")+IFERROR(V144/H144,"0")+IFERROR(V145/H145,"0")+IFERROR(V146/H146,"0")+IFERROR(V147/H147,"0")+IFERROR(V148/H148,"0")+IFERROR(V149/H149,"0")+IFERROR(V150/H150,"0")</f>
        <v/>
      </c>
      <c r="W151" s="687">
        <f>IFERROR(IF(W143="",0,W143),"0")+IFERROR(IF(W144="",0,W144),"0")+IFERROR(IF(W145="",0,W145),"0")+IFERROR(IF(W146="",0,W146),"0")+IFERROR(IF(W147="",0,W147),"0")+IFERROR(IF(W148="",0,W148),"0")+IFERROR(IF(W149="",0,W149),"0")+IFERROR(IF(W150="",0,W150),"0")</f>
        <v/>
      </c>
      <c r="X151" s="688" t="n"/>
      <c r="Y151" s="688" t="n"/>
    </row>
    <row r="152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685" t="n"/>
      <c r="M152" s="686" t="inlineStr">
        <is>
          <t>Итого</t>
        </is>
      </c>
      <c r="N152" s="656" t="n"/>
      <c r="O152" s="656" t="n"/>
      <c r="P152" s="656" t="n"/>
      <c r="Q152" s="656" t="n"/>
      <c r="R152" s="656" t="n"/>
      <c r="S152" s="657" t="n"/>
      <c r="T152" s="43" t="inlineStr">
        <is>
          <t>кг</t>
        </is>
      </c>
      <c r="U152" s="687">
        <f>IFERROR(SUM(U143:U150),"0")</f>
        <v/>
      </c>
      <c r="V152" s="687">
        <f>IFERROR(SUM(V143:V150),"0")</f>
        <v/>
      </c>
      <c r="W152" s="43" t="n"/>
      <c r="X152" s="688" t="n"/>
      <c r="Y152" s="688" t="n"/>
    </row>
    <row r="153" ht="16.5" customHeight="1">
      <c r="A153" s="321" t="inlineStr">
        <is>
          <t>Сочинка</t>
        </is>
      </c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321" t="n"/>
      <c r="Y153" s="321" t="n"/>
    </row>
    <row r="154" ht="14.25" customHeight="1">
      <c r="A154" s="322" t="inlineStr">
        <is>
          <t>Вареные колбасы</t>
        </is>
      </c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322" t="n"/>
      <c r="Y154" s="322" t="n"/>
    </row>
    <row r="155" ht="16.5" customHeight="1">
      <c r="A155" s="64" t="inlineStr">
        <is>
          <t>SU002824</t>
        </is>
      </c>
      <c r="B155" s="64" t="inlineStr">
        <is>
          <t>P003231</t>
        </is>
      </c>
      <c r="C155" s="37" t="n">
        <v>4301011450</v>
      </c>
      <c r="D155" s="323" t="n">
        <v>4680115881402</v>
      </c>
      <c r="E155" s="648" t="n"/>
      <c r="F155" s="680" t="n">
        <v>1.35</v>
      </c>
      <c r="G155" s="38" t="n">
        <v>8</v>
      </c>
      <c r="H155" s="680" t="n">
        <v>10.8</v>
      </c>
      <c r="I155" s="680" t="n">
        <v>11.28</v>
      </c>
      <c r="J155" s="38" t="n">
        <v>56</v>
      </c>
      <c r="K155" s="39" t="inlineStr">
        <is>
          <t>СК1</t>
        </is>
      </c>
      <c r="L155" s="38" t="n">
        <v>55</v>
      </c>
      <c r="M155" s="767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N155" s="682" t="n"/>
      <c r="O155" s="682" t="n"/>
      <c r="P155" s="682" t="n"/>
      <c r="Q155" s="648" t="n"/>
      <c r="R155" s="40" t="inlineStr"/>
      <c r="S155" s="40" t="inlineStr"/>
      <c r="T155" s="41" t="inlineStr">
        <is>
          <t>кг</t>
        </is>
      </c>
      <c r="U155" s="683" t="n">
        <v>0</v>
      </c>
      <c r="V155" s="684">
        <f>IFERROR(IF(U155="",0,CEILING((U155/$H155),1)*$H155),"")</f>
        <v/>
      </c>
      <c r="W155" s="42">
        <f>IFERROR(IF(V155=0,"",ROUNDUP(V155/H155,0)*0.02175),"")</f>
        <v/>
      </c>
      <c r="X155" s="69" t="inlineStr"/>
      <c r="Y155" s="70" t="inlineStr"/>
      <c r="AC155" s="71" t="n"/>
      <c r="AZ155" s="152" t="inlineStr">
        <is>
          <t>КИ</t>
        </is>
      </c>
    </row>
    <row r="156" ht="27" customHeight="1">
      <c r="A156" s="64" t="inlineStr">
        <is>
          <t>SU002823</t>
        </is>
      </c>
      <c r="B156" s="64" t="inlineStr">
        <is>
          <t>P003230</t>
        </is>
      </c>
      <c r="C156" s="37" t="n">
        <v>4301011454</v>
      </c>
      <c r="D156" s="323" t="n">
        <v>4680115881396</v>
      </c>
      <c r="E156" s="648" t="n"/>
      <c r="F156" s="680" t="n">
        <v>0.45</v>
      </c>
      <c r="G156" s="38" t="n">
        <v>6</v>
      </c>
      <c r="H156" s="680" t="n">
        <v>2.7</v>
      </c>
      <c r="I156" s="680" t="n">
        <v>2.9</v>
      </c>
      <c r="J156" s="38" t="n">
        <v>156</v>
      </c>
      <c r="K156" s="39" t="inlineStr">
        <is>
          <t>СК2</t>
        </is>
      </c>
      <c r="L156" s="38" t="n">
        <v>55</v>
      </c>
      <c r="M156" s="768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N156" s="682" t="n"/>
      <c r="O156" s="682" t="n"/>
      <c r="P156" s="682" t="n"/>
      <c r="Q156" s="648" t="n"/>
      <c r="R156" s="40" t="inlineStr"/>
      <c r="S156" s="40" t="inlineStr"/>
      <c r="T156" s="41" t="inlineStr">
        <is>
          <t>кг</t>
        </is>
      </c>
      <c r="U156" s="683" t="n">
        <v>0</v>
      </c>
      <c r="V156" s="684">
        <f>IFERROR(IF(U156="",0,CEILING((U156/$H156),1)*$H156),"")</f>
        <v/>
      </c>
      <c r="W156" s="42">
        <f>IFERROR(IF(V156=0,"",ROUNDUP(V156/H156,0)*0.00753),"")</f>
        <v/>
      </c>
      <c r="X156" s="69" t="inlineStr"/>
      <c r="Y156" s="70" t="inlineStr"/>
      <c r="AC156" s="71" t="n"/>
      <c r="AZ156" s="153" t="inlineStr">
        <is>
          <t>КИ</t>
        </is>
      </c>
    </row>
    <row r="157">
      <c r="A157" s="33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685" t="n"/>
      <c r="M157" s="686" t="inlineStr">
        <is>
          <t>Итого</t>
        </is>
      </c>
      <c r="N157" s="656" t="n"/>
      <c r="O157" s="656" t="n"/>
      <c r="P157" s="656" t="n"/>
      <c r="Q157" s="656" t="n"/>
      <c r="R157" s="656" t="n"/>
      <c r="S157" s="657" t="n"/>
      <c r="T157" s="43" t="inlineStr">
        <is>
          <t>кор</t>
        </is>
      </c>
      <c r="U157" s="687">
        <f>IFERROR(U155/H155,"0")+IFERROR(U156/H156,"0")</f>
        <v/>
      </c>
      <c r="V157" s="687">
        <f>IFERROR(V155/H155,"0")+IFERROR(V156/H156,"0")</f>
        <v/>
      </c>
      <c r="W157" s="687">
        <f>IFERROR(IF(W155="",0,W155),"0")+IFERROR(IF(W156="",0,W156),"0")</f>
        <v/>
      </c>
      <c r="X157" s="688" t="n"/>
      <c r="Y157" s="688" t="n"/>
    </row>
    <row r="15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685" t="n"/>
      <c r="M158" s="686" t="inlineStr">
        <is>
          <t>Итого</t>
        </is>
      </c>
      <c r="N158" s="656" t="n"/>
      <c r="O158" s="656" t="n"/>
      <c r="P158" s="656" t="n"/>
      <c r="Q158" s="656" t="n"/>
      <c r="R158" s="656" t="n"/>
      <c r="S158" s="657" t="n"/>
      <c r="T158" s="43" t="inlineStr">
        <is>
          <t>кг</t>
        </is>
      </c>
      <c r="U158" s="687">
        <f>IFERROR(SUM(U155:U156),"0")</f>
        <v/>
      </c>
      <c r="V158" s="687">
        <f>IFERROR(SUM(V155:V156),"0")</f>
        <v/>
      </c>
      <c r="W158" s="43" t="n"/>
      <c r="X158" s="688" t="n"/>
      <c r="Y158" s="688" t="n"/>
    </row>
    <row r="159" ht="14.25" customHeight="1">
      <c r="A159" s="322" t="inlineStr">
        <is>
          <t>Ветчины</t>
        </is>
      </c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322" t="n"/>
      <c r="Y159" s="322" t="n"/>
    </row>
    <row r="160" ht="16.5" customHeight="1">
      <c r="A160" s="64" t="inlineStr">
        <is>
          <t>SU003068</t>
        </is>
      </c>
      <c r="B160" s="64" t="inlineStr">
        <is>
          <t>P003611</t>
        </is>
      </c>
      <c r="C160" s="37" t="n">
        <v>4301020262</v>
      </c>
      <c r="D160" s="323" t="n">
        <v>4680115882935</v>
      </c>
      <c r="E160" s="648" t="n"/>
      <c r="F160" s="680" t="n">
        <v>1.35</v>
      </c>
      <c r="G160" s="38" t="n">
        <v>8</v>
      </c>
      <c r="H160" s="680" t="n">
        <v>10.8</v>
      </c>
      <c r="I160" s="680" t="n">
        <v>11.28</v>
      </c>
      <c r="J160" s="38" t="n">
        <v>56</v>
      </c>
      <c r="K160" s="39" t="inlineStr">
        <is>
          <t>СК3</t>
        </is>
      </c>
      <c r="L160" s="38" t="n">
        <v>50</v>
      </c>
      <c r="M160" s="769" t="inlineStr">
        <is>
          <t>Ветчина «Сочинка с сочным окороком» Весовой п/а ТМ «Стародворье»</t>
        </is>
      </c>
      <c r="N160" s="682" t="n"/>
      <c r="O160" s="682" t="n"/>
      <c r="P160" s="682" t="n"/>
      <c r="Q160" s="648" t="n"/>
      <c r="R160" s="40" t="inlineStr"/>
      <c r="S160" s="40" t="inlineStr"/>
      <c r="T160" s="41" t="inlineStr">
        <is>
          <t>кг</t>
        </is>
      </c>
      <c r="U160" s="683" t="n">
        <v>0</v>
      </c>
      <c r="V160" s="684">
        <f>IFERROR(IF(U160="",0,CEILING((U160/$H160),1)*$H160),"")</f>
        <v/>
      </c>
      <c r="W160" s="42">
        <f>IFERROR(IF(V160=0,"",ROUNDUP(V160/H160,0)*0.02175),"")</f>
        <v/>
      </c>
      <c r="X160" s="69" t="inlineStr"/>
      <c r="Y160" s="70" t="inlineStr"/>
      <c r="AC160" s="71" t="n"/>
      <c r="AZ160" s="154" t="inlineStr">
        <is>
          <t>КИ</t>
        </is>
      </c>
    </row>
    <row r="161" ht="16.5" customHeight="1">
      <c r="A161" s="64" t="inlineStr">
        <is>
          <t>SU002757</t>
        </is>
      </c>
      <c r="B161" s="64" t="inlineStr">
        <is>
          <t>P003128</t>
        </is>
      </c>
      <c r="C161" s="37" t="n">
        <v>4301020220</v>
      </c>
      <c r="D161" s="323" t="n">
        <v>4680115880764</v>
      </c>
      <c r="E161" s="648" t="n"/>
      <c r="F161" s="680" t="n">
        <v>0.35</v>
      </c>
      <c r="G161" s="38" t="n">
        <v>6</v>
      </c>
      <c r="H161" s="680" t="n">
        <v>2.1</v>
      </c>
      <c r="I161" s="680" t="n">
        <v>2.3</v>
      </c>
      <c r="J161" s="38" t="n">
        <v>156</v>
      </c>
      <c r="K161" s="39" t="inlineStr">
        <is>
          <t>СК1</t>
        </is>
      </c>
      <c r="L161" s="38" t="n">
        <v>50</v>
      </c>
      <c r="M161" s="770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N161" s="682" t="n"/>
      <c r="O161" s="682" t="n"/>
      <c r="P161" s="682" t="n"/>
      <c r="Q161" s="648" t="n"/>
      <c r="R161" s="40" t="inlineStr"/>
      <c r="S161" s="40" t="inlineStr"/>
      <c r="T161" s="41" t="inlineStr">
        <is>
          <t>кг</t>
        </is>
      </c>
      <c r="U161" s="683" t="n">
        <v>0</v>
      </c>
      <c r="V161" s="684">
        <f>IFERROR(IF(U161="",0,CEILING((U161/$H161),1)*$H161),"")</f>
        <v/>
      </c>
      <c r="W161" s="42">
        <f>IFERROR(IF(V161=0,"",ROUNDUP(V161/H161,0)*0.00753),"")</f>
        <v/>
      </c>
      <c r="X161" s="69" t="inlineStr"/>
      <c r="Y161" s="70" t="inlineStr"/>
      <c r="AC161" s="71" t="n"/>
      <c r="AZ161" s="155" t="inlineStr">
        <is>
          <t>КИ</t>
        </is>
      </c>
    </row>
    <row r="162">
      <c r="A162" s="33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685" t="n"/>
      <c r="M162" s="686" t="inlineStr">
        <is>
          <t>Итого</t>
        </is>
      </c>
      <c r="N162" s="656" t="n"/>
      <c r="O162" s="656" t="n"/>
      <c r="P162" s="656" t="n"/>
      <c r="Q162" s="656" t="n"/>
      <c r="R162" s="656" t="n"/>
      <c r="S162" s="657" t="n"/>
      <c r="T162" s="43" t="inlineStr">
        <is>
          <t>кор</t>
        </is>
      </c>
      <c r="U162" s="687">
        <f>IFERROR(U160/H160,"0")+IFERROR(U161/H161,"0")</f>
        <v/>
      </c>
      <c r="V162" s="687">
        <f>IFERROR(V160/H160,"0")+IFERROR(V161/H161,"0")</f>
        <v/>
      </c>
      <c r="W162" s="687">
        <f>IFERROR(IF(W160="",0,W160),"0")+IFERROR(IF(W161="",0,W161),"0")</f>
        <v/>
      </c>
      <c r="X162" s="688" t="n"/>
      <c r="Y162" s="688" t="n"/>
    </row>
    <row r="163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685" t="n"/>
      <c r="M163" s="686" t="inlineStr">
        <is>
          <t>Итого</t>
        </is>
      </c>
      <c r="N163" s="656" t="n"/>
      <c r="O163" s="656" t="n"/>
      <c r="P163" s="656" t="n"/>
      <c r="Q163" s="656" t="n"/>
      <c r="R163" s="656" t="n"/>
      <c r="S163" s="657" t="n"/>
      <c r="T163" s="43" t="inlineStr">
        <is>
          <t>кг</t>
        </is>
      </c>
      <c r="U163" s="687">
        <f>IFERROR(SUM(U160:U161),"0")</f>
        <v/>
      </c>
      <c r="V163" s="687">
        <f>IFERROR(SUM(V160:V161),"0")</f>
        <v/>
      </c>
      <c r="W163" s="43" t="n"/>
      <c r="X163" s="688" t="n"/>
      <c r="Y163" s="688" t="n"/>
    </row>
    <row r="164" ht="14.25" customHeight="1">
      <c r="A164" s="322" t="inlineStr">
        <is>
          <t>Копченые колбасы</t>
        </is>
      </c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322" t="n"/>
      <c r="Y164" s="322" t="n"/>
    </row>
    <row r="165" ht="27" customHeight="1">
      <c r="A165" s="64" t="inlineStr">
        <is>
          <t>SU002941</t>
        </is>
      </c>
      <c r="B165" s="64" t="inlineStr">
        <is>
          <t>P003387</t>
        </is>
      </c>
      <c r="C165" s="37" t="n">
        <v>4301031224</v>
      </c>
      <c r="D165" s="323" t="n">
        <v>4680115882683</v>
      </c>
      <c r="E165" s="648" t="n"/>
      <c r="F165" s="680" t="n">
        <v>0.9</v>
      </c>
      <c r="G165" s="38" t="n">
        <v>6</v>
      </c>
      <c r="H165" s="680" t="n">
        <v>5.4</v>
      </c>
      <c r="I165" s="680" t="n">
        <v>5.61</v>
      </c>
      <c r="J165" s="38" t="n">
        <v>120</v>
      </c>
      <c r="K165" s="39" t="inlineStr">
        <is>
          <t>СК2</t>
        </is>
      </c>
      <c r="L165" s="38" t="n">
        <v>40</v>
      </c>
      <c r="M165" s="771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N165" s="682" t="n"/>
      <c r="O165" s="682" t="n"/>
      <c r="P165" s="682" t="n"/>
      <c r="Q165" s="648" t="n"/>
      <c r="R165" s="40" t="inlineStr"/>
      <c r="S165" s="40" t="inlineStr"/>
      <c r="T165" s="41" t="inlineStr">
        <is>
          <t>кг</t>
        </is>
      </c>
      <c r="U165" s="683" t="n">
        <v>0</v>
      </c>
      <c r="V165" s="684">
        <f>IFERROR(IF(U165="",0,CEILING((U165/$H165),1)*$H165),"")</f>
        <v/>
      </c>
      <c r="W165" s="42">
        <f>IFERROR(IF(V165=0,"",ROUNDUP(V165/H165,0)*0.00937),"")</f>
        <v/>
      </c>
      <c r="X165" s="69" t="inlineStr"/>
      <c r="Y165" s="70" t="inlineStr"/>
      <c r="AC165" s="71" t="n"/>
      <c r="AZ165" s="156" t="inlineStr">
        <is>
          <t>КИ</t>
        </is>
      </c>
    </row>
    <row r="166" ht="27" customHeight="1">
      <c r="A166" s="64" t="inlineStr">
        <is>
          <t>SU002943</t>
        </is>
      </c>
      <c r="B166" s="64" t="inlineStr">
        <is>
          <t>P003401</t>
        </is>
      </c>
      <c r="C166" s="37" t="n">
        <v>4301031230</v>
      </c>
      <c r="D166" s="323" t="n">
        <v>4680115882690</v>
      </c>
      <c r="E166" s="648" t="n"/>
      <c r="F166" s="680" t="n">
        <v>0.9</v>
      </c>
      <c r="G166" s="38" t="n">
        <v>6</v>
      </c>
      <c r="H166" s="680" t="n">
        <v>5.4</v>
      </c>
      <c r="I166" s="680" t="n">
        <v>5.61</v>
      </c>
      <c r="J166" s="38" t="n">
        <v>120</v>
      </c>
      <c r="K166" s="39" t="inlineStr">
        <is>
          <t>СК2</t>
        </is>
      </c>
      <c r="L166" s="38" t="n">
        <v>40</v>
      </c>
      <c r="M166" s="772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N166" s="682" t="n"/>
      <c r="O166" s="682" t="n"/>
      <c r="P166" s="682" t="n"/>
      <c r="Q166" s="648" t="n"/>
      <c r="R166" s="40" t="inlineStr"/>
      <c r="S166" s="40" t="inlineStr"/>
      <c r="T166" s="41" t="inlineStr">
        <is>
          <t>кг</t>
        </is>
      </c>
      <c r="U166" s="683" t="n">
        <v>150</v>
      </c>
      <c r="V166" s="684">
        <f>IFERROR(IF(U166="",0,CEILING((U166/$H166),1)*$H166),"")</f>
        <v/>
      </c>
      <c r="W166" s="42">
        <f>IFERROR(IF(V166=0,"",ROUNDUP(V166/H166,0)*0.00937),"")</f>
        <v/>
      </c>
      <c r="X166" s="69" t="inlineStr"/>
      <c r="Y166" s="70" t="inlineStr"/>
      <c r="AC166" s="71" t="n"/>
      <c r="AZ166" s="157" t="inlineStr">
        <is>
          <t>КИ</t>
        </is>
      </c>
    </row>
    <row r="167" ht="27" customHeight="1">
      <c r="A167" s="64" t="inlineStr">
        <is>
          <t>SU002945</t>
        </is>
      </c>
      <c r="B167" s="64" t="inlineStr">
        <is>
          <t>P003383</t>
        </is>
      </c>
      <c r="C167" s="37" t="n">
        <v>4301031220</v>
      </c>
      <c r="D167" s="323" t="n">
        <v>4680115882669</v>
      </c>
      <c r="E167" s="648" t="n"/>
      <c r="F167" s="680" t="n">
        <v>0.9</v>
      </c>
      <c r="G167" s="38" t="n">
        <v>6</v>
      </c>
      <c r="H167" s="680" t="n">
        <v>5.4</v>
      </c>
      <c r="I167" s="680" t="n">
        <v>5.61</v>
      </c>
      <c r="J167" s="38" t="n">
        <v>120</v>
      </c>
      <c r="K167" s="39" t="inlineStr">
        <is>
          <t>СК2</t>
        </is>
      </c>
      <c r="L167" s="38" t="n">
        <v>40</v>
      </c>
      <c r="M167" s="773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N167" s="682" t="n"/>
      <c r="O167" s="682" t="n"/>
      <c r="P167" s="682" t="n"/>
      <c r="Q167" s="648" t="n"/>
      <c r="R167" s="40" t="inlineStr"/>
      <c r="S167" s="40" t="inlineStr"/>
      <c r="T167" s="41" t="inlineStr">
        <is>
          <t>кг</t>
        </is>
      </c>
      <c r="U167" s="683" t="n">
        <v>0</v>
      </c>
      <c r="V167" s="684">
        <f>IFERROR(IF(U167="",0,CEILING((U167/$H167),1)*$H167),"")</f>
        <v/>
      </c>
      <c r="W167" s="42">
        <f>IFERROR(IF(V167=0,"",ROUNDUP(V167/H167,0)*0.00937),"")</f>
        <v/>
      </c>
      <c r="X167" s="69" t="inlineStr"/>
      <c r="Y167" s="70" t="inlineStr"/>
      <c r="AC167" s="71" t="n"/>
      <c r="AZ167" s="158" t="inlineStr">
        <is>
          <t>КИ</t>
        </is>
      </c>
    </row>
    <row r="168" ht="27" customHeight="1">
      <c r="A168" s="64" t="inlineStr">
        <is>
          <t>SU002947</t>
        </is>
      </c>
      <c r="B168" s="64" t="inlineStr">
        <is>
          <t>P003384</t>
        </is>
      </c>
      <c r="C168" s="37" t="n">
        <v>4301031221</v>
      </c>
      <c r="D168" s="323" t="n">
        <v>4680115882676</v>
      </c>
      <c r="E168" s="648" t="n"/>
      <c r="F168" s="680" t="n">
        <v>0.9</v>
      </c>
      <c r="G168" s="38" t="n">
        <v>6</v>
      </c>
      <c r="H168" s="680" t="n">
        <v>5.4</v>
      </c>
      <c r="I168" s="680" t="n">
        <v>5.61</v>
      </c>
      <c r="J168" s="38" t="n">
        <v>120</v>
      </c>
      <c r="K168" s="39" t="inlineStr">
        <is>
          <t>СК2</t>
        </is>
      </c>
      <c r="L168" s="38" t="n">
        <v>40</v>
      </c>
      <c r="M168" s="774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N168" s="682" t="n"/>
      <c r="O168" s="682" t="n"/>
      <c r="P168" s="682" t="n"/>
      <c r="Q168" s="648" t="n"/>
      <c r="R168" s="40" t="inlineStr"/>
      <c r="S168" s="40" t="inlineStr"/>
      <c r="T168" s="41" t="inlineStr">
        <is>
          <t>кг</t>
        </is>
      </c>
      <c r="U168" s="683" t="n">
        <v>0</v>
      </c>
      <c r="V168" s="684">
        <f>IFERROR(IF(U168="",0,CEILING((U168/$H168),1)*$H168),"")</f>
        <v/>
      </c>
      <c r="W168" s="42">
        <f>IFERROR(IF(V168=0,"",ROUNDUP(V168/H168,0)*0.00937),"")</f>
        <v/>
      </c>
      <c r="X168" s="69" t="inlineStr"/>
      <c r="Y168" s="70" t="inlineStr"/>
      <c r="AC168" s="71" t="n"/>
      <c r="AZ168" s="159" t="inlineStr">
        <is>
          <t>КИ</t>
        </is>
      </c>
    </row>
    <row r="169">
      <c r="A169" s="33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685" t="n"/>
      <c r="M169" s="686" t="inlineStr">
        <is>
          <t>Итого</t>
        </is>
      </c>
      <c r="N169" s="656" t="n"/>
      <c r="O169" s="656" t="n"/>
      <c r="P169" s="656" t="n"/>
      <c r="Q169" s="656" t="n"/>
      <c r="R169" s="656" t="n"/>
      <c r="S169" s="657" t="n"/>
      <c r="T169" s="43" t="inlineStr">
        <is>
          <t>кор</t>
        </is>
      </c>
      <c r="U169" s="687">
        <f>IFERROR(U165/H165,"0")+IFERROR(U166/H166,"0")+IFERROR(U167/H167,"0")+IFERROR(U168/H168,"0")</f>
        <v/>
      </c>
      <c r="V169" s="687">
        <f>IFERROR(V165/H165,"0")+IFERROR(V166/H166,"0")+IFERROR(V167/H167,"0")+IFERROR(V168/H168,"0")</f>
        <v/>
      </c>
      <c r="W169" s="687">
        <f>IFERROR(IF(W165="",0,W165),"0")+IFERROR(IF(W166="",0,W166),"0")+IFERROR(IF(W167="",0,W167),"0")+IFERROR(IF(W168="",0,W168),"0")</f>
        <v/>
      </c>
      <c r="X169" s="688" t="n"/>
      <c r="Y169" s="688" t="n"/>
    </row>
    <row r="170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685" t="n"/>
      <c r="M170" s="686" t="inlineStr">
        <is>
          <t>Итого</t>
        </is>
      </c>
      <c r="N170" s="656" t="n"/>
      <c r="O170" s="656" t="n"/>
      <c r="P170" s="656" t="n"/>
      <c r="Q170" s="656" t="n"/>
      <c r="R170" s="656" t="n"/>
      <c r="S170" s="657" t="n"/>
      <c r="T170" s="43" t="inlineStr">
        <is>
          <t>кг</t>
        </is>
      </c>
      <c r="U170" s="687">
        <f>IFERROR(SUM(U165:U168),"0")</f>
        <v/>
      </c>
      <c r="V170" s="687">
        <f>IFERROR(SUM(V165:V168),"0")</f>
        <v/>
      </c>
      <c r="W170" s="43" t="n"/>
      <c r="X170" s="688" t="n"/>
      <c r="Y170" s="688" t="n"/>
    </row>
    <row r="171" ht="14.25" customHeight="1">
      <c r="A171" s="322" t="inlineStr">
        <is>
          <t>Сосиски</t>
        </is>
      </c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322" t="n"/>
      <c r="Y171" s="322" t="n"/>
    </row>
    <row r="172" ht="27" customHeight="1">
      <c r="A172" s="64" t="inlineStr">
        <is>
          <t>SU002857</t>
        </is>
      </c>
      <c r="B172" s="64" t="inlineStr">
        <is>
          <t>P003264</t>
        </is>
      </c>
      <c r="C172" s="37" t="n">
        <v>4301051409</v>
      </c>
      <c r="D172" s="323" t="n">
        <v>4680115881556</v>
      </c>
      <c r="E172" s="648" t="n"/>
      <c r="F172" s="680" t="n">
        <v>1</v>
      </c>
      <c r="G172" s="38" t="n">
        <v>4</v>
      </c>
      <c r="H172" s="680" t="n">
        <v>4</v>
      </c>
      <c r="I172" s="680" t="n">
        <v>4.408</v>
      </c>
      <c r="J172" s="38" t="n">
        <v>104</v>
      </c>
      <c r="K172" s="39" t="inlineStr">
        <is>
          <t>СК3</t>
        </is>
      </c>
      <c r="L172" s="38" t="n">
        <v>45</v>
      </c>
      <c r="M172" s="775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N172" s="682" t="n"/>
      <c r="O172" s="682" t="n"/>
      <c r="P172" s="682" t="n"/>
      <c r="Q172" s="648" t="n"/>
      <c r="R172" s="40" t="inlineStr"/>
      <c r="S172" s="40" t="inlineStr"/>
      <c r="T172" s="41" t="inlineStr">
        <is>
          <t>кг</t>
        </is>
      </c>
      <c r="U172" s="683" t="n">
        <v>0</v>
      </c>
      <c r="V172" s="684">
        <f>IFERROR(IF(U172="",0,CEILING((U172/$H172),1)*$H172),"")</f>
        <v/>
      </c>
      <c r="W172" s="42">
        <f>IFERROR(IF(V172=0,"",ROUNDUP(V172/H172,0)*0.01196),"")</f>
        <v/>
      </c>
      <c r="X172" s="69" t="inlineStr"/>
      <c r="Y172" s="70" t="inlineStr"/>
      <c r="AC172" s="71" t="n"/>
      <c r="AZ172" s="160" t="inlineStr">
        <is>
          <t>КИ</t>
        </is>
      </c>
    </row>
    <row r="173" ht="16.5" customHeight="1">
      <c r="A173" s="64" t="inlineStr">
        <is>
          <t>SU002725</t>
        </is>
      </c>
      <c r="B173" s="64" t="inlineStr">
        <is>
          <t>P003672</t>
        </is>
      </c>
      <c r="C173" s="37" t="n">
        <v>4301051538</v>
      </c>
      <c r="D173" s="323" t="n">
        <v>4680115880573</v>
      </c>
      <c r="E173" s="648" t="n"/>
      <c r="F173" s="680" t="n">
        <v>1.45</v>
      </c>
      <c r="G173" s="38" t="n">
        <v>6</v>
      </c>
      <c r="H173" s="680" t="n">
        <v>8.699999999999999</v>
      </c>
      <c r="I173" s="680" t="n">
        <v>9.263999999999999</v>
      </c>
      <c r="J173" s="38" t="n">
        <v>56</v>
      </c>
      <c r="K173" s="39" t="inlineStr">
        <is>
          <t>СК2</t>
        </is>
      </c>
      <c r="L173" s="38" t="n">
        <v>45</v>
      </c>
      <c r="M173" s="776" t="inlineStr">
        <is>
          <t>Сосиски «Сочинки» Весовой п/а ТМ «Стародворье»</t>
        </is>
      </c>
      <c r="N173" s="682" t="n"/>
      <c r="O173" s="682" t="n"/>
      <c r="P173" s="682" t="n"/>
      <c r="Q173" s="648" t="n"/>
      <c r="R173" s="40" t="inlineStr"/>
      <c r="S173" s="40" t="inlineStr"/>
      <c r="T173" s="41" t="inlineStr">
        <is>
          <t>кг</t>
        </is>
      </c>
      <c r="U173" s="683" t="n">
        <v>180</v>
      </c>
      <c r="V173" s="684">
        <f>IFERROR(IF(U173="",0,CEILING((U173/$H173),1)*$H173),"")</f>
        <v/>
      </c>
      <c r="W173" s="42">
        <f>IFERROR(IF(V173=0,"",ROUNDUP(V173/H173,0)*0.02175),"")</f>
        <v/>
      </c>
      <c r="X173" s="69" t="inlineStr"/>
      <c r="Y173" s="70" t="inlineStr"/>
      <c r="AC173" s="71" t="n"/>
      <c r="AZ173" s="161" t="inlineStr">
        <is>
          <t>КИ</t>
        </is>
      </c>
    </row>
    <row r="174" ht="27" customHeight="1">
      <c r="A174" s="64" t="inlineStr">
        <is>
          <t>SU002843</t>
        </is>
      </c>
      <c r="B174" s="64" t="inlineStr">
        <is>
          <t>P003263</t>
        </is>
      </c>
      <c r="C174" s="37" t="n">
        <v>4301051408</v>
      </c>
      <c r="D174" s="323" t="n">
        <v>4680115881594</v>
      </c>
      <c r="E174" s="648" t="n"/>
      <c r="F174" s="680" t="n">
        <v>1.35</v>
      </c>
      <c r="G174" s="38" t="n">
        <v>6</v>
      </c>
      <c r="H174" s="680" t="n">
        <v>8.1</v>
      </c>
      <c r="I174" s="680" t="n">
        <v>8.664</v>
      </c>
      <c r="J174" s="38" t="n">
        <v>56</v>
      </c>
      <c r="K174" s="39" t="inlineStr">
        <is>
          <t>СК3</t>
        </is>
      </c>
      <c r="L174" s="38" t="n">
        <v>40</v>
      </c>
      <c r="M174" s="777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N174" s="682" t="n"/>
      <c r="O174" s="682" t="n"/>
      <c r="P174" s="682" t="n"/>
      <c r="Q174" s="648" t="n"/>
      <c r="R174" s="40" t="inlineStr"/>
      <c r="S174" s="40" t="inlineStr"/>
      <c r="T174" s="41" t="inlineStr">
        <is>
          <t>кг</t>
        </is>
      </c>
      <c r="U174" s="683" t="n">
        <v>0</v>
      </c>
      <c r="V174" s="684">
        <f>IFERROR(IF(U174="",0,CEILING((U174/$H174),1)*$H174),"")</f>
        <v/>
      </c>
      <c r="W174" s="42">
        <f>IFERROR(IF(V174=0,"",ROUNDUP(V174/H174,0)*0.02175),"")</f>
        <v/>
      </c>
      <c r="X174" s="69" t="inlineStr"/>
      <c r="Y174" s="70" t="inlineStr"/>
      <c r="AC174" s="71" t="n"/>
      <c r="AZ174" s="162" t="inlineStr">
        <is>
          <t>КИ</t>
        </is>
      </c>
    </row>
    <row r="175" ht="27" customHeight="1">
      <c r="A175" s="64" t="inlineStr">
        <is>
          <t>SU002858</t>
        </is>
      </c>
      <c r="B175" s="64" t="inlineStr">
        <is>
          <t>P003322</t>
        </is>
      </c>
      <c r="C175" s="37" t="n">
        <v>4301051433</v>
      </c>
      <c r="D175" s="323" t="n">
        <v>4680115881587</v>
      </c>
      <c r="E175" s="648" t="n"/>
      <c r="F175" s="680" t="n">
        <v>1</v>
      </c>
      <c r="G175" s="38" t="n">
        <v>4</v>
      </c>
      <c r="H175" s="680" t="n">
        <v>4</v>
      </c>
      <c r="I175" s="680" t="n">
        <v>4.408</v>
      </c>
      <c r="J175" s="38" t="n">
        <v>104</v>
      </c>
      <c r="K175" s="39" t="inlineStr">
        <is>
          <t>СК2</t>
        </is>
      </c>
      <c r="L175" s="38" t="n">
        <v>35</v>
      </c>
      <c r="M175" s="778">
        <f>HYPERLINK("https://abi.ru/products/Охлажденные/Стародворье/Сочинка/Сосиски/P003322/","Сосиски Сочинки по-баварски с сыром Бордо Весовой п/а Стародворье")</f>
        <v/>
      </c>
      <c r="N175" s="682" t="n"/>
      <c r="O175" s="682" t="n"/>
      <c r="P175" s="682" t="n"/>
      <c r="Q175" s="648" t="n"/>
      <c r="R175" s="40" t="inlineStr"/>
      <c r="S175" s="40" t="inlineStr"/>
      <c r="T175" s="41" t="inlineStr">
        <is>
          <t>кг</t>
        </is>
      </c>
      <c r="U175" s="683" t="n">
        <v>0</v>
      </c>
      <c r="V175" s="684">
        <f>IFERROR(IF(U175="",0,CEILING((U175/$H175),1)*$H175),"")</f>
        <v/>
      </c>
      <c r="W175" s="42">
        <f>IFERROR(IF(V175=0,"",ROUNDUP(V175/H175,0)*0.01196),"")</f>
        <v/>
      </c>
      <c r="X175" s="69" t="inlineStr"/>
      <c r="Y175" s="70" t="inlineStr"/>
      <c r="AC175" s="71" t="n"/>
      <c r="AZ175" s="163" t="inlineStr">
        <is>
          <t>КИ</t>
        </is>
      </c>
    </row>
    <row r="176" ht="27" customHeight="1">
      <c r="A176" s="64" t="inlineStr">
        <is>
          <t>SU002858</t>
        </is>
      </c>
      <c r="B176" s="64" t="inlineStr">
        <is>
          <t>P003581</t>
        </is>
      </c>
      <c r="C176" s="37" t="n">
        <v>4301051505</v>
      </c>
      <c r="D176" s="323" t="n">
        <v>4680115881587</v>
      </c>
      <c r="E176" s="648" t="n"/>
      <c r="F176" s="680" t="n">
        <v>1</v>
      </c>
      <c r="G176" s="38" t="n">
        <v>4</v>
      </c>
      <c r="H176" s="680" t="n">
        <v>4</v>
      </c>
      <c r="I176" s="680" t="n">
        <v>4.408</v>
      </c>
      <c r="J176" s="38" t="n">
        <v>104</v>
      </c>
      <c r="K176" s="39" t="inlineStr">
        <is>
          <t>СК2</t>
        </is>
      </c>
      <c r="L176" s="38" t="n">
        <v>40</v>
      </c>
      <c r="M176" s="779" t="inlineStr">
        <is>
          <t>Сосиски «Сочинки по-баварски с сыром» вес п/а ТМ «Стародворье» 1,0 кг</t>
        </is>
      </c>
      <c r="N176" s="682" t="n"/>
      <c r="O176" s="682" t="n"/>
      <c r="P176" s="682" t="n"/>
      <c r="Q176" s="648" t="n"/>
      <c r="R176" s="40" t="inlineStr"/>
      <c r="S176" s="40" t="inlineStr"/>
      <c r="T176" s="41" t="inlineStr">
        <is>
          <t>кг</t>
        </is>
      </c>
      <c r="U176" s="683" t="n">
        <v>0</v>
      </c>
      <c r="V176" s="684">
        <f>IFERROR(IF(U176="",0,CEILING((U176/$H176),1)*$H176),"")</f>
        <v/>
      </c>
      <c r="W176" s="42">
        <f>IFERROR(IF(V176=0,"",ROUNDUP(V176/H176,0)*0.01196),"")</f>
        <v/>
      </c>
      <c r="X176" s="69" t="inlineStr"/>
      <c r="Y176" s="70" t="inlineStr"/>
      <c r="AC176" s="71" t="n"/>
      <c r="AZ176" s="164" t="inlineStr">
        <is>
          <t>КИ</t>
        </is>
      </c>
    </row>
    <row r="177" ht="16.5" customHeight="1">
      <c r="A177" s="64" t="inlineStr">
        <is>
          <t>SU002795</t>
        </is>
      </c>
      <c r="B177" s="64" t="inlineStr">
        <is>
          <t>P003203</t>
        </is>
      </c>
      <c r="C177" s="37" t="n">
        <v>4301051380</v>
      </c>
      <c r="D177" s="323" t="n">
        <v>4680115880962</v>
      </c>
      <c r="E177" s="648" t="n"/>
      <c r="F177" s="680" t="n">
        <v>1.3</v>
      </c>
      <c r="G177" s="38" t="n">
        <v>6</v>
      </c>
      <c r="H177" s="680" t="n">
        <v>7.8</v>
      </c>
      <c r="I177" s="680" t="n">
        <v>8.364000000000001</v>
      </c>
      <c r="J177" s="38" t="n">
        <v>56</v>
      </c>
      <c r="K177" s="39" t="inlineStr">
        <is>
          <t>СК2</t>
        </is>
      </c>
      <c r="L177" s="38" t="n">
        <v>40</v>
      </c>
      <c r="M177" s="780">
        <f>HYPERLINK("https://abi.ru/products/Охлажденные/Стародворье/Сочинка/Сосиски/P003203/","Сосиски Сочинки с сыром Бордо Весовой п/а Стародворье")</f>
        <v/>
      </c>
      <c r="N177" s="682" t="n"/>
      <c r="O177" s="682" t="n"/>
      <c r="P177" s="682" t="n"/>
      <c r="Q177" s="648" t="n"/>
      <c r="R177" s="40" t="inlineStr"/>
      <c r="S177" s="40" t="inlineStr"/>
      <c r="T177" s="41" t="inlineStr">
        <is>
          <t>кг</t>
        </is>
      </c>
      <c r="U177" s="683" t="n">
        <v>0</v>
      </c>
      <c r="V177" s="684">
        <f>IFERROR(IF(U177="",0,CEILING((U177/$H177),1)*$H177),"")</f>
        <v/>
      </c>
      <c r="W177" s="42">
        <f>IFERROR(IF(V177=0,"",ROUNDUP(V177/H177,0)*0.02175),"")</f>
        <v/>
      </c>
      <c r="X177" s="69" t="inlineStr"/>
      <c r="Y177" s="70" t="inlineStr"/>
      <c r="AC177" s="71" t="n"/>
      <c r="AZ177" s="165" t="inlineStr">
        <is>
          <t>КИ</t>
        </is>
      </c>
    </row>
    <row r="178" ht="27" customHeight="1">
      <c r="A178" s="64" t="inlineStr">
        <is>
          <t>SU002845</t>
        </is>
      </c>
      <c r="B178" s="64" t="inlineStr">
        <is>
          <t>P003266</t>
        </is>
      </c>
      <c r="C178" s="37" t="n">
        <v>4301051411</v>
      </c>
      <c r="D178" s="323" t="n">
        <v>4680115881617</v>
      </c>
      <c r="E178" s="648" t="n"/>
      <c r="F178" s="680" t="n">
        <v>1.35</v>
      </c>
      <c r="G178" s="38" t="n">
        <v>6</v>
      </c>
      <c r="H178" s="680" t="n">
        <v>8.1</v>
      </c>
      <c r="I178" s="680" t="n">
        <v>8.646000000000001</v>
      </c>
      <c r="J178" s="38" t="n">
        <v>56</v>
      </c>
      <c r="K178" s="39" t="inlineStr">
        <is>
          <t>СК3</t>
        </is>
      </c>
      <c r="L178" s="38" t="n">
        <v>40</v>
      </c>
      <c r="M178" s="781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N178" s="682" t="n"/>
      <c r="O178" s="682" t="n"/>
      <c r="P178" s="682" t="n"/>
      <c r="Q178" s="648" t="n"/>
      <c r="R178" s="40" t="inlineStr"/>
      <c r="S178" s="40" t="inlineStr"/>
      <c r="T178" s="41" t="inlineStr">
        <is>
          <t>кг</t>
        </is>
      </c>
      <c r="U178" s="683" t="n">
        <v>0</v>
      </c>
      <c r="V178" s="684">
        <f>IFERROR(IF(U178="",0,CEILING((U178/$H178),1)*$H178),"")</f>
        <v/>
      </c>
      <c r="W178" s="42">
        <f>IFERROR(IF(V178=0,"",ROUNDUP(V178/H178,0)*0.02175),"")</f>
        <v/>
      </c>
      <c r="X178" s="69" t="inlineStr"/>
      <c r="Y178" s="70" t="inlineStr"/>
      <c r="AC178" s="71" t="n"/>
      <c r="AZ178" s="166" t="inlineStr">
        <is>
          <t>КИ</t>
        </is>
      </c>
    </row>
    <row r="179" ht="27" customHeight="1">
      <c r="A179" s="64" t="inlineStr">
        <is>
          <t>SU002801</t>
        </is>
      </c>
      <c r="B179" s="64" t="inlineStr">
        <is>
          <t>P003475</t>
        </is>
      </c>
      <c r="C179" s="37" t="n">
        <v>4301051487</v>
      </c>
      <c r="D179" s="323" t="n">
        <v>4680115881228</v>
      </c>
      <c r="E179" s="648" t="n"/>
      <c r="F179" s="680" t="n">
        <v>0.4</v>
      </c>
      <c r="G179" s="38" t="n">
        <v>6</v>
      </c>
      <c r="H179" s="680" t="n">
        <v>2.4</v>
      </c>
      <c r="I179" s="680" t="n">
        <v>2.672</v>
      </c>
      <c r="J179" s="38" t="n">
        <v>156</v>
      </c>
      <c r="K179" s="39" t="inlineStr">
        <is>
          <t>СК2</t>
        </is>
      </c>
      <c r="L179" s="38" t="n">
        <v>40</v>
      </c>
      <c r="M179" s="782" t="inlineStr">
        <is>
          <t>Сосиски «Сочинки по-баварски с сыром» Фикс.вес 0,4 П/а мгс ТМ «Стародворье»</t>
        </is>
      </c>
      <c r="N179" s="682" t="n"/>
      <c r="O179" s="682" t="n"/>
      <c r="P179" s="682" t="n"/>
      <c r="Q179" s="648" t="n"/>
      <c r="R179" s="40" t="inlineStr"/>
      <c r="S179" s="40" t="inlineStr"/>
      <c r="T179" s="41" t="inlineStr">
        <is>
          <t>кг</t>
        </is>
      </c>
      <c r="U179" s="683" t="n">
        <v>244</v>
      </c>
      <c r="V179" s="684">
        <f>IFERROR(IF(U179="",0,CEILING((U179/$H179),1)*$H179),"")</f>
        <v/>
      </c>
      <c r="W179" s="42">
        <f>IFERROR(IF(V179=0,"",ROUNDUP(V179/H179,0)*0.00753),"")</f>
        <v/>
      </c>
      <c r="X179" s="69" t="inlineStr"/>
      <c r="Y179" s="70" t="inlineStr"/>
      <c r="AC179" s="71" t="n"/>
      <c r="AZ179" s="167" t="inlineStr">
        <is>
          <t>КИ</t>
        </is>
      </c>
    </row>
    <row r="180" ht="27" customHeight="1">
      <c r="A180" s="64" t="inlineStr">
        <is>
          <t>SU002802</t>
        </is>
      </c>
      <c r="B180" s="64" t="inlineStr">
        <is>
          <t>P003321</t>
        </is>
      </c>
      <c r="C180" s="37" t="n">
        <v>4301051432</v>
      </c>
      <c r="D180" s="323" t="n">
        <v>4680115881037</v>
      </c>
      <c r="E180" s="648" t="n"/>
      <c r="F180" s="680" t="n">
        <v>0.84</v>
      </c>
      <c r="G180" s="38" t="n">
        <v>4</v>
      </c>
      <c r="H180" s="680" t="n">
        <v>3.36</v>
      </c>
      <c r="I180" s="680" t="n">
        <v>3.618</v>
      </c>
      <c r="J180" s="38" t="n">
        <v>120</v>
      </c>
      <c r="K180" s="39" t="inlineStr">
        <is>
          <t>СК2</t>
        </is>
      </c>
      <c r="L180" s="38" t="n">
        <v>35</v>
      </c>
      <c r="M180" s="783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/>
      </c>
      <c r="N180" s="682" t="n"/>
      <c r="O180" s="682" t="n"/>
      <c r="P180" s="682" t="n"/>
      <c r="Q180" s="648" t="n"/>
      <c r="R180" s="40" t="inlineStr"/>
      <c r="S180" s="40" t="inlineStr"/>
      <c r="T180" s="41" t="inlineStr">
        <is>
          <t>кг</t>
        </is>
      </c>
      <c r="U180" s="683" t="n">
        <v>0</v>
      </c>
      <c r="V180" s="684">
        <f>IFERROR(IF(U180="",0,CEILING((U180/$H180),1)*$H180),"")</f>
        <v/>
      </c>
      <c r="W180" s="42">
        <f>IFERROR(IF(V180=0,"",ROUNDUP(V180/H180,0)*0.00937),"")</f>
        <v/>
      </c>
      <c r="X180" s="69" t="inlineStr"/>
      <c r="Y180" s="70" t="inlineStr"/>
      <c r="AC180" s="71" t="n"/>
      <c r="AZ180" s="168" t="inlineStr">
        <is>
          <t>КИ</t>
        </is>
      </c>
    </row>
    <row r="181" ht="27" customHeight="1">
      <c r="A181" s="64" t="inlineStr">
        <is>
          <t>SU002802</t>
        </is>
      </c>
      <c r="B181" s="64" t="inlineStr">
        <is>
          <t>P003580</t>
        </is>
      </c>
      <c r="C181" s="37" t="n">
        <v>4301051506</v>
      </c>
      <c r="D181" s="323" t="n">
        <v>4680115881037</v>
      </c>
      <c r="E181" s="648" t="n"/>
      <c r="F181" s="680" t="n">
        <v>0.84</v>
      </c>
      <c r="G181" s="38" t="n">
        <v>4</v>
      </c>
      <c r="H181" s="680" t="n">
        <v>3.36</v>
      </c>
      <c r="I181" s="680" t="n">
        <v>3.618</v>
      </c>
      <c r="J181" s="38" t="n">
        <v>120</v>
      </c>
      <c r="K181" s="39" t="inlineStr">
        <is>
          <t>СК2</t>
        </is>
      </c>
      <c r="L181" s="38" t="n">
        <v>40</v>
      </c>
      <c r="M181" s="784" t="inlineStr">
        <is>
          <t>Сосиски «Сочинки по-баварски с сыром» Фикс.вес 0,84 кг п/а мгс ТМ «Стародворье»</t>
        </is>
      </c>
      <c r="N181" s="682" t="n"/>
      <c r="O181" s="682" t="n"/>
      <c r="P181" s="682" t="n"/>
      <c r="Q181" s="648" t="n"/>
      <c r="R181" s="40" t="inlineStr"/>
      <c r="S181" s="40" t="inlineStr"/>
      <c r="T181" s="41" t="inlineStr">
        <is>
          <t>кг</t>
        </is>
      </c>
      <c r="U181" s="683" t="n">
        <v>0</v>
      </c>
      <c r="V181" s="684">
        <f>IFERROR(IF(U181="",0,CEILING((U181/$H181),1)*$H181),"")</f>
        <v/>
      </c>
      <c r="W181" s="42">
        <f>IFERROR(IF(V181=0,"",ROUNDUP(V181/H181,0)*0.00937),"")</f>
        <v/>
      </c>
      <c r="X181" s="69" t="inlineStr"/>
      <c r="Y181" s="70" t="inlineStr"/>
      <c r="AC181" s="71" t="n"/>
      <c r="AZ181" s="169" t="inlineStr">
        <is>
          <t>КИ</t>
        </is>
      </c>
    </row>
    <row r="182" ht="27" customHeight="1">
      <c r="A182" s="64" t="inlineStr">
        <is>
          <t>SU002799</t>
        </is>
      </c>
      <c r="B182" s="64" t="inlineStr">
        <is>
          <t>P003217</t>
        </is>
      </c>
      <c r="C182" s="37" t="n">
        <v>4301051384</v>
      </c>
      <c r="D182" s="323" t="n">
        <v>4680115881211</v>
      </c>
      <c r="E182" s="648" t="n"/>
      <c r="F182" s="680" t="n">
        <v>0.4</v>
      </c>
      <c r="G182" s="38" t="n">
        <v>6</v>
      </c>
      <c r="H182" s="680" t="n">
        <v>2.4</v>
      </c>
      <c r="I182" s="680" t="n">
        <v>2.6</v>
      </c>
      <c r="J182" s="38" t="n">
        <v>156</v>
      </c>
      <c r="K182" s="39" t="inlineStr">
        <is>
          <t>СК2</t>
        </is>
      </c>
      <c r="L182" s="38" t="n">
        <v>45</v>
      </c>
      <c r="M182" s="785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N182" s="682" t="n"/>
      <c r="O182" s="682" t="n"/>
      <c r="P182" s="682" t="n"/>
      <c r="Q182" s="648" t="n"/>
      <c r="R182" s="40" t="inlineStr"/>
      <c r="S182" s="40" t="inlineStr"/>
      <c r="T182" s="41" t="inlineStr">
        <is>
          <t>кг</t>
        </is>
      </c>
      <c r="U182" s="683" t="n">
        <v>192</v>
      </c>
      <c r="V182" s="684">
        <f>IFERROR(IF(U182="",0,CEILING((U182/$H182),1)*$H182),"")</f>
        <v/>
      </c>
      <c r="W182" s="42">
        <f>IFERROR(IF(V182=0,"",ROUNDUP(V182/H182,0)*0.00753),"")</f>
        <v/>
      </c>
      <c r="X182" s="69" t="inlineStr"/>
      <c r="Y182" s="70" t="inlineStr"/>
      <c r="AC182" s="71" t="n"/>
      <c r="AZ182" s="170" t="inlineStr">
        <is>
          <t>КИ</t>
        </is>
      </c>
    </row>
    <row r="183" ht="27" customHeight="1">
      <c r="A183" s="64" t="inlineStr">
        <is>
          <t>SU002800</t>
        </is>
      </c>
      <c r="B183" s="64" t="inlineStr">
        <is>
          <t>P003201</t>
        </is>
      </c>
      <c r="C183" s="37" t="n">
        <v>4301051378</v>
      </c>
      <c r="D183" s="323" t="n">
        <v>4680115881020</v>
      </c>
      <c r="E183" s="648" t="n"/>
      <c r="F183" s="680" t="n">
        <v>0.84</v>
      </c>
      <c r="G183" s="38" t="n">
        <v>4</v>
      </c>
      <c r="H183" s="680" t="n">
        <v>3.36</v>
      </c>
      <c r="I183" s="680" t="n">
        <v>3.57</v>
      </c>
      <c r="J183" s="38" t="n">
        <v>120</v>
      </c>
      <c r="K183" s="39" t="inlineStr">
        <is>
          <t>СК2</t>
        </is>
      </c>
      <c r="L183" s="38" t="n">
        <v>45</v>
      </c>
      <c r="M183" s="786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N183" s="682" t="n"/>
      <c r="O183" s="682" t="n"/>
      <c r="P183" s="682" t="n"/>
      <c r="Q183" s="648" t="n"/>
      <c r="R183" s="40" t="inlineStr"/>
      <c r="S183" s="40" t="inlineStr"/>
      <c r="T183" s="41" t="inlineStr">
        <is>
          <t>кг</t>
        </is>
      </c>
      <c r="U183" s="683" t="n">
        <v>0</v>
      </c>
      <c r="V183" s="684">
        <f>IFERROR(IF(U183="",0,CEILING((U183/$H183),1)*$H183),"")</f>
        <v/>
      </c>
      <c r="W183" s="42">
        <f>IFERROR(IF(V183=0,"",ROUNDUP(V183/H183,0)*0.00937),"")</f>
        <v/>
      </c>
      <c r="X183" s="69" t="inlineStr"/>
      <c r="Y183" s="70" t="inlineStr"/>
      <c r="AC183" s="71" t="n"/>
      <c r="AZ183" s="171" t="inlineStr">
        <is>
          <t>КИ</t>
        </is>
      </c>
    </row>
    <row r="184" ht="27" customHeight="1">
      <c r="A184" s="64" t="inlineStr">
        <is>
          <t>SU002842</t>
        </is>
      </c>
      <c r="B184" s="64" t="inlineStr">
        <is>
          <t>P003262</t>
        </is>
      </c>
      <c r="C184" s="37" t="n">
        <v>4301051407</v>
      </c>
      <c r="D184" s="323" t="n">
        <v>4680115882195</v>
      </c>
      <c r="E184" s="648" t="n"/>
      <c r="F184" s="680" t="n">
        <v>0.4</v>
      </c>
      <c r="G184" s="38" t="n">
        <v>6</v>
      </c>
      <c r="H184" s="680" t="n">
        <v>2.4</v>
      </c>
      <c r="I184" s="680" t="n">
        <v>2.69</v>
      </c>
      <c r="J184" s="38" t="n">
        <v>156</v>
      </c>
      <c r="K184" s="39" t="inlineStr">
        <is>
          <t>СК3</t>
        </is>
      </c>
      <c r="L184" s="38" t="n">
        <v>40</v>
      </c>
      <c r="M184" s="787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N184" s="682" t="n"/>
      <c r="O184" s="682" t="n"/>
      <c r="P184" s="682" t="n"/>
      <c r="Q184" s="648" t="n"/>
      <c r="R184" s="40" t="inlineStr"/>
      <c r="S184" s="40" t="inlineStr"/>
      <c r="T184" s="41" t="inlineStr">
        <is>
          <t>кг</t>
        </is>
      </c>
      <c r="U184" s="683" t="n">
        <v>32</v>
      </c>
      <c r="V184" s="684">
        <f>IFERROR(IF(U184="",0,CEILING((U184/$H184),1)*$H184),"")</f>
        <v/>
      </c>
      <c r="W184" s="42">
        <f>IFERROR(IF(V184=0,"",ROUNDUP(V184/H184,0)*0.00753),"")</f>
        <v/>
      </c>
      <c r="X184" s="69" t="inlineStr"/>
      <c r="Y184" s="70" t="inlineStr"/>
      <c r="AC184" s="71" t="n"/>
      <c r="AZ184" s="172" t="inlineStr">
        <is>
          <t>КИ</t>
        </is>
      </c>
    </row>
    <row r="185" ht="27" customHeight="1">
      <c r="A185" s="64" t="inlineStr">
        <is>
          <t>SU002618</t>
        </is>
      </c>
      <c r="B185" s="64" t="inlineStr">
        <is>
          <t>P003398</t>
        </is>
      </c>
      <c r="C185" s="37" t="n">
        <v>4301051468</v>
      </c>
      <c r="D185" s="323" t="n">
        <v>4680115880092</v>
      </c>
      <c r="E185" s="648" t="n"/>
      <c r="F185" s="680" t="n">
        <v>0.4</v>
      </c>
      <c r="G185" s="38" t="n">
        <v>6</v>
      </c>
      <c r="H185" s="680" t="n">
        <v>2.4</v>
      </c>
      <c r="I185" s="680" t="n">
        <v>2.672</v>
      </c>
      <c r="J185" s="38" t="n">
        <v>156</v>
      </c>
      <c r="K185" s="39" t="inlineStr">
        <is>
          <t>СК3</t>
        </is>
      </c>
      <c r="L185" s="38" t="n">
        <v>45</v>
      </c>
      <c r="M185" s="788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N185" s="682" t="n"/>
      <c r="O185" s="682" t="n"/>
      <c r="P185" s="682" t="n"/>
      <c r="Q185" s="648" t="n"/>
      <c r="R185" s="40" t="inlineStr"/>
      <c r="S185" s="40" t="inlineStr"/>
      <c r="T185" s="41" t="inlineStr">
        <is>
          <t>кг</t>
        </is>
      </c>
      <c r="U185" s="683" t="n">
        <v>304</v>
      </c>
      <c r="V185" s="684">
        <f>IFERROR(IF(U185="",0,CEILING((U185/$H185),1)*$H185),"")</f>
        <v/>
      </c>
      <c r="W185" s="42">
        <f>IFERROR(IF(V185=0,"",ROUNDUP(V185/H185,0)*0.00753),"")</f>
        <v/>
      </c>
      <c r="X185" s="69" t="inlineStr"/>
      <c r="Y185" s="70" t="inlineStr"/>
      <c r="AC185" s="71" t="n"/>
      <c r="AZ185" s="173" t="inlineStr">
        <is>
          <t>КИ</t>
        </is>
      </c>
    </row>
    <row r="186" ht="27" customHeight="1">
      <c r="A186" s="64" t="inlineStr">
        <is>
          <t>SU002621</t>
        </is>
      </c>
      <c r="B186" s="64" t="inlineStr">
        <is>
          <t>P003399</t>
        </is>
      </c>
      <c r="C186" s="37" t="n">
        <v>4301051469</v>
      </c>
      <c r="D186" s="323" t="n">
        <v>4680115880221</v>
      </c>
      <c r="E186" s="648" t="n"/>
      <c r="F186" s="680" t="n">
        <v>0.4</v>
      </c>
      <c r="G186" s="38" t="n">
        <v>6</v>
      </c>
      <c r="H186" s="680" t="n">
        <v>2.4</v>
      </c>
      <c r="I186" s="680" t="n">
        <v>2.672</v>
      </c>
      <c r="J186" s="38" t="n">
        <v>156</v>
      </c>
      <c r="K186" s="39" t="inlineStr">
        <is>
          <t>СК3</t>
        </is>
      </c>
      <c r="L186" s="38" t="n">
        <v>45</v>
      </c>
      <c r="M186" s="789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N186" s="682" t="n"/>
      <c r="O186" s="682" t="n"/>
      <c r="P186" s="682" t="n"/>
      <c r="Q186" s="648" t="n"/>
      <c r="R186" s="40" t="inlineStr"/>
      <c r="S186" s="40" t="inlineStr"/>
      <c r="T186" s="41" t="inlineStr">
        <is>
          <t>кг</t>
        </is>
      </c>
      <c r="U186" s="683" t="n">
        <v>40</v>
      </c>
      <c r="V186" s="684">
        <f>IFERROR(IF(U186="",0,CEILING((U186/$H186),1)*$H186),"")</f>
        <v/>
      </c>
      <c r="W186" s="42">
        <f>IFERROR(IF(V186=0,"",ROUNDUP(V186/H186,0)*0.00753),"")</f>
        <v/>
      </c>
      <c r="X186" s="69" t="inlineStr"/>
      <c r="Y186" s="70" t="inlineStr"/>
      <c r="AC186" s="71" t="n"/>
      <c r="AZ186" s="174" t="inlineStr">
        <is>
          <t>КИ</t>
        </is>
      </c>
    </row>
    <row r="187" ht="16.5" customHeight="1">
      <c r="A187" s="64" t="inlineStr">
        <is>
          <t>SU003073</t>
        </is>
      </c>
      <c r="B187" s="64" t="inlineStr">
        <is>
          <t>P003613</t>
        </is>
      </c>
      <c r="C187" s="37" t="n">
        <v>4301051523</v>
      </c>
      <c r="D187" s="323" t="n">
        <v>4680115882942</v>
      </c>
      <c r="E187" s="648" t="n"/>
      <c r="F187" s="680" t="n">
        <v>0.3</v>
      </c>
      <c r="G187" s="38" t="n">
        <v>6</v>
      </c>
      <c r="H187" s="680" t="n">
        <v>1.8</v>
      </c>
      <c r="I187" s="680" t="n">
        <v>2.072</v>
      </c>
      <c r="J187" s="38" t="n">
        <v>156</v>
      </c>
      <c r="K187" s="39" t="inlineStr">
        <is>
          <t>СК2</t>
        </is>
      </c>
      <c r="L187" s="38" t="n">
        <v>40</v>
      </c>
      <c r="M187" s="790">
        <f>HYPERLINK("https://abi.ru/products/Охлажденные/Стародворье/Сочинка/Сосиски/P003613/","Сосиски «Сочинки с сыром» ф/в 0,3 кг п/а ТМ «Стародворье»")</f>
        <v/>
      </c>
      <c r="N187" s="682" t="n"/>
      <c r="O187" s="682" t="n"/>
      <c r="P187" s="682" t="n"/>
      <c r="Q187" s="648" t="n"/>
      <c r="R187" s="40" t="inlineStr"/>
      <c r="S187" s="40" t="inlineStr"/>
      <c r="T187" s="41" t="inlineStr">
        <is>
          <t>кг</t>
        </is>
      </c>
      <c r="U187" s="683" t="n">
        <v>0</v>
      </c>
      <c r="V187" s="684">
        <f>IFERROR(IF(U187="",0,CEILING((U187/$H187),1)*$H187),"")</f>
        <v/>
      </c>
      <c r="W187" s="42">
        <f>IFERROR(IF(V187=0,"",ROUNDUP(V187/H187,0)*0.00753),"")</f>
        <v/>
      </c>
      <c r="X187" s="69" t="inlineStr"/>
      <c r="Y187" s="70" t="inlineStr"/>
      <c r="AC187" s="71" t="n"/>
      <c r="AZ187" s="175" t="inlineStr">
        <is>
          <t>КИ</t>
        </is>
      </c>
    </row>
    <row r="188" ht="16.5" customHeight="1">
      <c r="A188" s="64" t="inlineStr">
        <is>
          <t>SU002686</t>
        </is>
      </c>
      <c r="B188" s="64" t="inlineStr">
        <is>
          <t>P003071</t>
        </is>
      </c>
      <c r="C188" s="37" t="n">
        <v>4301051326</v>
      </c>
      <c r="D188" s="323" t="n">
        <v>4680115880504</v>
      </c>
      <c r="E188" s="648" t="n"/>
      <c r="F188" s="680" t="n">
        <v>0.4</v>
      </c>
      <c r="G188" s="38" t="n">
        <v>6</v>
      </c>
      <c r="H188" s="680" t="n">
        <v>2.4</v>
      </c>
      <c r="I188" s="680" t="n">
        <v>2.672</v>
      </c>
      <c r="J188" s="38" t="n">
        <v>156</v>
      </c>
      <c r="K188" s="39" t="inlineStr">
        <is>
          <t>СК2</t>
        </is>
      </c>
      <c r="L188" s="38" t="n">
        <v>40</v>
      </c>
      <c r="M188" s="791">
        <f>HYPERLINK("https://abi.ru/products/Охлажденные/Стародворье/Сочинка/Сосиски/P003071/","Сосиски Сочинки с сыром Бордо ф/в 0,4 кг п/а Стародворье")</f>
        <v/>
      </c>
      <c r="N188" s="682" t="n"/>
      <c r="O188" s="682" t="n"/>
      <c r="P188" s="682" t="n"/>
      <c r="Q188" s="648" t="n"/>
      <c r="R188" s="40" t="inlineStr"/>
      <c r="S188" s="40" t="inlineStr"/>
      <c r="T188" s="41" t="inlineStr">
        <is>
          <t>кг</t>
        </is>
      </c>
      <c r="U188" s="683" t="n">
        <v>14</v>
      </c>
      <c r="V188" s="684">
        <f>IFERROR(IF(U188="",0,CEILING((U188/$H188),1)*$H188),"")</f>
        <v/>
      </c>
      <c r="W188" s="42">
        <f>IFERROR(IF(V188=0,"",ROUNDUP(V188/H188,0)*0.00753),"")</f>
        <v/>
      </c>
      <c r="X188" s="69" t="inlineStr"/>
      <c r="Y188" s="70" t="inlineStr"/>
      <c r="AC188" s="71" t="n"/>
      <c r="AZ188" s="176" t="inlineStr">
        <is>
          <t>КИ</t>
        </is>
      </c>
    </row>
    <row r="189" ht="27" customHeight="1">
      <c r="A189" s="64" t="inlineStr">
        <is>
          <t>SU002844</t>
        </is>
      </c>
      <c r="B189" s="64" t="inlineStr">
        <is>
          <t>P003265</t>
        </is>
      </c>
      <c r="C189" s="37" t="n">
        <v>4301051410</v>
      </c>
      <c r="D189" s="323" t="n">
        <v>4680115882164</v>
      </c>
      <c r="E189" s="648" t="n"/>
      <c r="F189" s="680" t="n">
        <v>0.4</v>
      </c>
      <c r="G189" s="38" t="n">
        <v>6</v>
      </c>
      <c r="H189" s="680" t="n">
        <v>2.4</v>
      </c>
      <c r="I189" s="680" t="n">
        <v>2.678</v>
      </c>
      <c r="J189" s="38" t="n">
        <v>156</v>
      </c>
      <c r="K189" s="39" t="inlineStr">
        <is>
          <t>СК3</t>
        </is>
      </c>
      <c r="L189" s="38" t="n">
        <v>40</v>
      </c>
      <c r="M189" s="792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N189" s="682" t="n"/>
      <c r="O189" s="682" t="n"/>
      <c r="P189" s="682" t="n"/>
      <c r="Q189" s="648" t="n"/>
      <c r="R189" s="40" t="inlineStr"/>
      <c r="S189" s="40" t="inlineStr"/>
      <c r="T189" s="41" t="inlineStr">
        <is>
          <t>кг</t>
        </is>
      </c>
      <c r="U189" s="683" t="n">
        <v>44</v>
      </c>
      <c r="V189" s="684">
        <f>IFERROR(IF(U189="",0,CEILING((U189/$H189),1)*$H189),"")</f>
        <v/>
      </c>
      <c r="W189" s="42">
        <f>IFERROR(IF(V189=0,"",ROUNDUP(V189/H189,0)*0.00753),"")</f>
        <v/>
      </c>
      <c r="X189" s="69" t="inlineStr"/>
      <c r="Y189" s="70" t="inlineStr"/>
      <c r="AC189" s="71" t="n"/>
      <c r="AZ189" s="177" t="inlineStr">
        <is>
          <t>КИ</t>
        </is>
      </c>
    </row>
    <row r="190">
      <c r="A190" s="33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685" t="n"/>
      <c r="M190" s="686" t="inlineStr">
        <is>
          <t>Итого</t>
        </is>
      </c>
      <c r="N190" s="656" t="n"/>
      <c r="O190" s="656" t="n"/>
      <c r="P190" s="656" t="n"/>
      <c r="Q190" s="656" t="n"/>
      <c r="R190" s="656" t="n"/>
      <c r="S190" s="657" t="n"/>
      <c r="T190" s="43" t="inlineStr">
        <is>
          <t>кор</t>
        </is>
      </c>
      <c r="U190" s="687">
        <f>IFERROR(U172/H172,"0")+IFERROR(U173/H173,"0")+IFERROR(U174/H174,"0")+IFERROR(U175/H175,"0")+IFERROR(U176/H176,"0")+IFERROR(U177/H177,"0")+IFERROR(U178/H178,"0")+IFERROR(U179/H179,"0")+IFERROR(U180/H180,"0")+IFERROR(U181/H181,"0")+IFERROR(U182/H182,"0")+IFERROR(U183/H183,"0")+IFERROR(U184/H184,"0")+IFERROR(U185/H185,"0")+IFERROR(U186/H186,"0")+IFERROR(U187/H187,"0")+IFERROR(U188/H188,"0")+IFERROR(U189/H189,"0")</f>
        <v/>
      </c>
      <c r="V190" s="687">
        <f>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</f>
        <v/>
      </c>
      <c r="W190" s="687">
        <f>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+IFERROR(IF(W182="",0,W182),"0")+IFERROR(IF(W183="",0,W183),"0")+IFERROR(IF(W184="",0,W184),"0")+IFERROR(IF(W185="",0,W185),"0")+IFERROR(IF(W186="",0,W186),"0")+IFERROR(IF(W187="",0,W187),"0")+IFERROR(IF(W188="",0,W188),"0")+IFERROR(IF(W189="",0,W189),"0")</f>
        <v/>
      </c>
      <c r="X190" s="688" t="n"/>
      <c r="Y190" s="688" t="n"/>
    </row>
    <row r="191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685" t="n"/>
      <c r="M191" s="686" t="inlineStr">
        <is>
          <t>Итого</t>
        </is>
      </c>
      <c r="N191" s="656" t="n"/>
      <c r="O191" s="656" t="n"/>
      <c r="P191" s="656" t="n"/>
      <c r="Q191" s="656" t="n"/>
      <c r="R191" s="656" t="n"/>
      <c r="S191" s="657" t="n"/>
      <c r="T191" s="43" t="inlineStr">
        <is>
          <t>кг</t>
        </is>
      </c>
      <c r="U191" s="687">
        <f>IFERROR(SUM(U172:U189),"0")</f>
        <v/>
      </c>
      <c r="V191" s="687">
        <f>IFERROR(SUM(V172:V189),"0")</f>
        <v/>
      </c>
      <c r="W191" s="43" t="n"/>
      <c r="X191" s="688" t="n"/>
      <c r="Y191" s="688" t="n"/>
    </row>
    <row r="192" ht="14.25" customHeight="1">
      <c r="A192" s="322" t="inlineStr">
        <is>
          <t>Сардельки</t>
        </is>
      </c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322" t="n"/>
      <c r="Y192" s="322" t="n"/>
    </row>
    <row r="193" ht="16.5" customHeight="1">
      <c r="A193" s="64" t="inlineStr">
        <is>
          <t>SU002758</t>
        </is>
      </c>
      <c r="B193" s="64" t="inlineStr">
        <is>
          <t>P003129</t>
        </is>
      </c>
      <c r="C193" s="37" t="n">
        <v>4301060338</v>
      </c>
      <c r="D193" s="323" t="n">
        <v>4680115880801</v>
      </c>
      <c r="E193" s="648" t="n"/>
      <c r="F193" s="680" t="n">
        <v>0.4</v>
      </c>
      <c r="G193" s="38" t="n">
        <v>6</v>
      </c>
      <c r="H193" s="680" t="n">
        <v>2.4</v>
      </c>
      <c r="I193" s="680" t="n">
        <v>2.672</v>
      </c>
      <c r="J193" s="38" t="n">
        <v>156</v>
      </c>
      <c r="K193" s="39" t="inlineStr">
        <is>
          <t>СК2</t>
        </is>
      </c>
      <c r="L193" s="38" t="n">
        <v>40</v>
      </c>
      <c r="M193" s="793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N193" s="682" t="n"/>
      <c r="O193" s="682" t="n"/>
      <c r="P193" s="682" t="n"/>
      <c r="Q193" s="648" t="n"/>
      <c r="R193" s="40" t="inlineStr"/>
      <c r="S193" s="40" t="inlineStr"/>
      <c r="T193" s="41" t="inlineStr">
        <is>
          <t>кг</t>
        </is>
      </c>
      <c r="U193" s="683" t="n">
        <v>0</v>
      </c>
      <c r="V193" s="684">
        <f>IFERROR(IF(U193="",0,CEILING((U193/$H193),1)*$H193),"")</f>
        <v/>
      </c>
      <c r="W193" s="42">
        <f>IFERROR(IF(V193=0,"",ROUNDUP(V193/H193,0)*0.00753),"")</f>
        <v/>
      </c>
      <c r="X193" s="69" t="inlineStr"/>
      <c r="Y193" s="70" t="inlineStr"/>
      <c r="AC193" s="71" t="n"/>
      <c r="AZ193" s="178" t="inlineStr">
        <is>
          <t>КИ</t>
        </is>
      </c>
    </row>
    <row r="194" ht="27" customHeight="1">
      <c r="A194" s="64" t="inlineStr">
        <is>
          <t>SU002759</t>
        </is>
      </c>
      <c r="B194" s="64" t="inlineStr">
        <is>
          <t>P003130</t>
        </is>
      </c>
      <c r="C194" s="37" t="n">
        <v>4301060339</v>
      </c>
      <c r="D194" s="323" t="n">
        <v>4680115880818</v>
      </c>
      <c r="E194" s="648" t="n"/>
      <c r="F194" s="680" t="n">
        <v>0.4</v>
      </c>
      <c r="G194" s="38" t="n">
        <v>6</v>
      </c>
      <c r="H194" s="680" t="n">
        <v>2.4</v>
      </c>
      <c r="I194" s="680" t="n">
        <v>2.672</v>
      </c>
      <c r="J194" s="38" t="n">
        <v>156</v>
      </c>
      <c r="K194" s="39" t="inlineStr">
        <is>
          <t>СК2</t>
        </is>
      </c>
      <c r="L194" s="38" t="n">
        <v>40</v>
      </c>
      <c r="M194" s="794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N194" s="682" t="n"/>
      <c r="O194" s="682" t="n"/>
      <c r="P194" s="682" t="n"/>
      <c r="Q194" s="648" t="n"/>
      <c r="R194" s="40" t="inlineStr"/>
      <c r="S194" s="40" t="inlineStr"/>
      <c r="T194" s="41" t="inlineStr">
        <is>
          <t>кг</t>
        </is>
      </c>
      <c r="U194" s="683" t="n">
        <v>6</v>
      </c>
      <c r="V194" s="684">
        <f>IFERROR(IF(U194="",0,CEILING((U194/$H194),1)*$H194),"")</f>
        <v/>
      </c>
      <c r="W194" s="42">
        <f>IFERROR(IF(V194=0,"",ROUNDUP(V194/H194,0)*0.00753),"")</f>
        <v/>
      </c>
      <c r="X194" s="69" t="inlineStr"/>
      <c r="Y194" s="70" t="inlineStr"/>
      <c r="AC194" s="71" t="n"/>
      <c r="AZ194" s="179" t="inlineStr">
        <is>
          <t>КИ</t>
        </is>
      </c>
    </row>
    <row r="195">
      <c r="A195" s="33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685" t="n"/>
      <c r="M195" s="686" t="inlineStr">
        <is>
          <t>Итого</t>
        </is>
      </c>
      <c r="N195" s="656" t="n"/>
      <c r="O195" s="656" t="n"/>
      <c r="P195" s="656" t="n"/>
      <c r="Q195" s="656" t="n"/>
      <c r="R195" s="656" t="n"/>
      <c r="S195" s="657" t="n"/>
      <c r="T195" s="43" t="inlineStr">
        <is>
          <t>кор</t>
        </is>
      </c>
      <c r="U195" s="687">
        <f>IFERROR(U193/H193,"0")+IFERROR(U194/H194,"0")</f>
        <v/>
      </c>
      <c r="V195" s="687">
        <f>IFERROR(V193/H193,"0")+IFERROR(V194/H194,"0")</f>
        <v/>
      </c>
      <c r="W195" s="687">
        <f>IFERROR(IF(W193="",0,W193),"0")+IFERROR(IF(W194="",0,W194),"0")</f>
        <v/>
      </c>
      <c r="X195" s="688" t="n"/>
      <c r="Y195" s="688" t="n"/>
    </row>
    <row r="196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685" t="n"/>
      <c r="M196" s="686" t="inlineStr">
        <is>
          <t>Итого</t>
        </is>
      </c>
      <c r="N196" s="656" t="n"/>
      <c r="O196" s="656" t="n"/>
      <c r="P196" s="656" t="n"/>
      <c r="Q196" s="656" t="n"/>
      <c r="R196" s="656" t="n"/>
      <c r="S196" s="657" t="n"/>
      <c r="T196" s="43" t="inlineStr">
        <is>
          <t>кг</t>
        </is>
      </c>
      <c r="U196" s="687">
        <f>IFERROR(SUM(U193:U194),"0")</f>
        <v/>
      </c>
      <c r="V196" s="687">
        <f>IFERROR(SUM(V193:V194),"0")</f>
        <v/>
      </c>
      <c r="W196" s="43" t="n"/>
      <c r="X196" s="688" t="n"/>
      <c r="Y196" s="688" t="n"/>
    </row>
    <row r="197" ht="16.5" customHeight="1">
      <c r="A197" s="321" t="inlineStr">
        <is>
          <t>Бордо</t>
        </is>
      </c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321" t="n"/>
      <c r="Y197" s="321" t="n"/>
    </row>
    <row r="198" ht="14.25" customHeight="1">
      <c r="A198" s="322" t="inlineStr">
        <is>
          <t>Вареные колбасы</t>
        </is>
      </c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322" t="n"/>
      <c r="Y198" s="322" t="n"/>
    </row>
    <row r="199" ht="27" customHeight="1">
      <c r="A199" s="64" t="inlineStr">
        <is>
          <t>SU000057</t>
        </is>
      </c>
      <c r="B199" s="64" t="inlineStr">
        <is>
          <t>P002047</t>
        </is>
      </c>
      <c r="C199" s="37" t="n">
        <v>4301011346</v>
      </c>
      <c r="D199" s="323" t="n">
        <v>4607091387445</v>
      </c>
      <c r="E199" s="648" t="n"/>
      <c r="F199" s="680" t="n">
        <v>0.9</v>
      </c>
      <c r="G199" s="38" t="n">
        <v>10</v>
      </c>
      <c r="H199" s="680" t="n">
        <v>9</v>
      </c>
      <c r="I199" s="680" t="n">
        <v>9.630000000000001</v>
      </c>
      <c r="J199" s="38" t="n">
        <v>56</v>
      </c>
      <c r="K199" s="39" t="inlineStr">
        <is>
          <t>СК1</t>
        </is>
      </c>
      <c r="L199" s="38" t="n">
        <v>31</v>
      </c>
      <c r="M199" s="795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N199" s="682" t="n"/>
      <c r="O199" s="682" t="n"/>
      <c r="P199" s="682" t="n"/>
      <c r="Q199" s="648" t="n"/>
      <c r="R199" s="40" t="inlineStr"/>
      <c r="S199" s="40" t="inlineStr"/>
      <c r="T199" s="41" t="inlineStr">
        <is>
          <t>кг</t>
        </is>
      </c>
      <c r="U199" s="683" t="n">
        <v>0</v>
      </c>
      <c r="V199" s="684">
        <f>IFERROR(IF(U199="",0,CEILING((U199/$H199),1)*$H199),"")</f>
        <v/>
      </c>
      <c r="W199" s="42">
        <f>IFERROR(IF(V199=0,"",ROUNDUP(V199/H199,0)*0.02175),"")</f>
        <v/>
      </c>
      <c r="X199" s="69" t="inlineStr"/>
      <c r="Y199" s="70" t="inlineStr"/>
      <c r="AC199" s="71" t="n"/>
      <c r="AZ199" s="180" t="inlineStr">
        <is>
          <t>КИ</t>
        </is>
      </c>
    </row>
    <row r="200" ht="27" customHeight="1">
      <c r="A200" s="64" t="inlineStr">
        <is>
          <t>SU001777</t>
        </is>
      </c>
      <c r="B200" s="64" t="inlineStr">
        <is>
          <t>P002226</t>
        </is>
      </c>
      <c r="C200" s="37" t="n">
        <v>4301011362</v>
      </c>
      <c r="D200" s="323" t="n">
        <v>4607091386004</v>
      </c>
      <c r="E200" s="648" t="n"/>
      <c r="F200" s="680" t="n">
        <v>1.35</v>
      </c>
      <c r="G200" s="38" t="n">
        <v>8</v>
      </c>
      <c r="H200" s="680" t="n">
        <v>10.8</v>
      </c>
      <c r="I200" s="680" t="n">
        <v>11.28</v>
      </c>
      <c r="J200" s="38" t="n">
        <v>48</v>
      </c>
      <c r="K200" s="39" t="inlineStr">
        <is>
          <t>ВЗ</t>
        </is>
      </c>
      <c r="L200" s="38" t="n">
        <v>55</v>
      </c>
      <c r="M200" s="796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N200" s="682" t="n"/>
      <c r="O200" s="682" t="n"/>
      <c r="P200" s="682" t="n"/>
      <c r="Q200" s="648" t="n"/>
      <c r="R200" s="40" t="inlineStr"/>
      <c r="S200" s="40" t="inlineStr"/>
      <c r="T200" s="41" t="inlineStr">
        <is>
          <t>кг</t>
        </is>
      </c>
      <c r="U200" s="683" t="n">
        <v>0</v>
      </c>
      <c r="V200" s="684">
        <f>IFERROR(IF(U200="",0,CEILING((U200/$H200),1)*$H200),"")</f>
        <v/>
      </c>
      <c r="W200" s="42">
        <f>IFERROR(IF(V200=0,"",ROUNDUP(V200/H200,0)*0.02039),"")</f>
        <v/>
      </c>
      <c r="X200" s="69" t="inlineStr"/>
      <c r="Y200" s="70" t="inlineStr"/>
      <c r="AC200" s="71" t="n"/>
      <c r="AZ200" s="181" t="inlineStr">
        <is>
          <t>КИ</t>
        </is>
      </c>
    </row>
    <row r="201" ht="27" customHeight="1">
      <c r="A201" s="64" t="inlineStr">
        <is>
          <t>SU001777</t>
        </is>
      </c>
      <c r="B201" s="64" t="inlineStr">
        <is>
          <t>P001777</t>
        </is>
      </c>
      <c r="C201" s="37" t="n">
        <v>4301011308</v>
      </c>
      <c r="D201" s="323" t="n">
        <v>4607091386004</v>
      </c>
      <c r="E201" s="648" t="n"/>
      <c r="F201" s="680" t="n">
        <v>1.35</v>
      </c>
      <c r="G201" s="38" t="n">
        <v>8</v>
      </c>
      <c r="H201" s="680" t="n">
        <v>10.8</v>
      </c>
      <c r="I201" s="680" t="n">
        <v>11.28</v>
      </c>
      <c r="J201" s="38" t="n">
        <v>56</v>
      </c>
      <c r="K201" s="39" t="inlineStr">
        <is>
          <t>СК1</t>
        </is>
      </c>
      <c r="L201" s="38" t="n">
        <v>55</v>
      </c>
      <c r="M201" s="797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N201" s="682" t="n"/>
      <c r="O201" s="682" t="n"/>
      <c r="P201" s="682" t="n"/>
      <c r="Q201" s="648" t="n"/>
      <c r="R201" s="40" t="inlineStr"/>
      <c r="S201" s="40" t="inlineStr"/>
      <c r="T201" s="41" t="inlineStr">
        <is>
          <t>кг</t>
        </is>
      </c>
      <c r="U201" s="683" t="n">
        <v>0</v>
      </c>
      <c r="V201" s="684">
        <f>IFERROR(IF(U201="",0,CEILING((U201/$H201),1)*$H201),"")</f>
        <v/>
      </c>
      <c r="W201" s="42">
        <f>IFERROR(IF(V201=0,"",ROUNDUP(V201/H201,0)*0.02175),"")</f>
        <v/>
      </c>
      <c r="X201" s="69" t="inlineStr"/>
      <c r="Y201" s="70" t="inlineStr"/>
      <c r="AC201" s="71" t="n"/>
      <c r="AZ201" s="182" t="inlineStr">
        <is>
          <t>КИ</t>
        </is>
      </c>
    </row>
    <row r="202" ht="27" customHeight="1">
      <c r="A202" s="64" t="inlineStr">
        <is>
          <t>SU000058</t>
        </is>
      </c>
      <c r="B202" s="64" t="inlineStr">
        <is>
          <t>P002048</t>
        </is>
      </c>
      <c r="C202" s="37" t="n">
        <v>4301011347</v>
      </c>
      <c r="D202" s="323" t="n">
        <v>4607091386073</v>
      </c>
      <c r="E202" s="648" t="n"/>
      <c r="F202" s="680" t="n">
        <v>0.9</v>
      </c>
      <c r="G202" s="38" t="n">
        <v>10</v>
      </c>
      <c r="H202" s="680" t="n">
        <v>9</v>
      </c>
      <c r="I202" s="680" t="n">
        <v>9.630000000000001</v>
      </c>
      <c r="J202" s="38" t="n">
        <v>56</v>
      </c>
      <c r="K202" s="39" t="inlineStr">
        <is>
          <t>СК1</t>
        </is>
      </c>
      <c r="L202" s="38" t="n">
        <v>31</v>
      </c>
      <c r="M202" s="798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N202" s="682" t="n"/>
      <c r="O202" s="682" t="n"/>
      <c r="P202" s="682" t="n"/>
      <c r="Q202" s="648" t="n"/>
      <c r="R202" s="40" t="inlineStr"/>
      <c r="S202" s="40" t="inlineStr"/>
      <c r="T202" s="41" t="inlineStr">
        <is>
          <t>кг</t>
        </is>
      </c>
      <c r="U202" s="683" t="n">
        <v>0</v>
      </c>
      <c r="V202" s="684">
        <f>IFERROR(IF(U202="",0,CEILING((U202/$H202),1)*$H202),"")</f>
        <v/>
      </c>
      <c r="W202" s="42">
        <f>IFERROR(IF(V202=0,"",ROUNDUP(V202/H202,0)*0.02175),"")</f>
        <v/>
      </c>
      <c r="X202" s="69" t="inlineStr"/>
      <c r="Y202" s="70" t="inlineStr"/>
      <c r="AC202" s="71" t="n"/>
      <c r="AZ202" s="183" t="inlineStr">
        <is>
          <t>КИ</t>
        </is>
      </c>
    </row>
    <row r="203" ht="27" customHeight="1">
      <c r="A203" s="64" t="inlineStr">
        <is>
          <t>SU001780</t>
        </is>
      </c>
      <c r="B203" s="64" t="inlineStr">
        <is>
          <t>P001780</t>
        </is>
      </c>
      <c r="C203" s="37" t="n">
        <v>4301010928</v>
      </c>
      <c r="D203" s="323" t="n">
        <v>4607091387322</v>
      </c>
      <c r="E203" s="648" t="n"/>
      <c r="F203" s="680" t="n">
        <v>1.35</v>
      </c>
      <c r="G203" s="38" t="n">
        <v>8</v>
      </c>
      <c r="H203" s="680" t="n">
        <v>10.8</v>
      </c>
      <c r="I203" s="680" t="n">
        <v>11.28</v>
      </c>
      <c r="J203" s="38" t="n">
        <v>56</v>
      </c>
      <c r="K203" s="39" t="inlineStr">
        <is>
          <t>СК1</t>
        </is>
      </c>
      <c r="L203" s="38" t="n">
        <v>55</v>
      </c>
      <c r="M203" s="799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N203" s="682" t="n"/>
      <c r="O203" s="682" t="n"/>
      <c r="P203" s="682" t="n"/>
      <c r="Q203" s="648" t="n"/>
      <c r="R203" s="40" t="inlineStr"/>
      <c r="S203" s="40" t="inlineStr"/>
      <c r="T203" s="41" t="inlineStr">
        <is>
          <t>кг</t>
        </is>
      </c>
      <c r="U203" s="683" t="n">
        <v>0</v>
      </c>
      <c r="V203" s="684">
        <f>IFERROR(IF(U203="",0,CEILING((U203/$H203),1)*$H203),"")</f>
        <v/>
      </c>
      <c r="W203" s="42">
        <f>IFERROR(IF(V203=0,"",ROUNDUP(V203/H203,0)*0.02175),"")</f>
        <v/>
      </c>
      <c r="X203" s="69" t="inlineStr"/>
      <c r="Y203" s="70" t="inlineStr"/>
      <c r="AC203" s="71" t="n"/>
      <c r="AZ203" s="184" t="inlineStr">
        <is>
          <t>КИ</t>
        </is>
      </c>
    </row>
    <row r="204" ht="27" customHeight="1">
      <c r="A204" s="64" t="inlineStr">
        <is>
          <t>SU001780</t>
        </is>
      </c>
      <c r="B204" s="64" t="inlineStr">
        <is>
          <t>P003075</t>
        </is>
      </c>
      <c r="C204" s="37" t="n">
        <v>4301011395</v>
      </c>
      <c r="D204" s="323" t="n">
        <v>4607091387322</v>
      </c>
      <c r="E204" s="648" t="n"/>
      <c r="F204" s="680" t="n">
        <v>1.35</v>
      </c>
      <c r="G204" s="38" t="n">
        <v>8</v>
      </c>
      <c r="H204" s="680" t="n">
        <v>10.8</v>
      </c>
      <c r="I204" s="680" t="n">
        <v>11.28</v>
      </c>
      <c r="J204" s="38" t="n">
        <v>48</v>
      </c>
      <c r="K204" s="39" t="inlineStr">
        <is>
          <t>ВЗ</t>
        </is>
      </c>
      <c r="L204" s="38" t="n">
        <v>55</v>
      </c>
      <c r="M204" s="800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N204" s="682" t="n"/>
      <c r="O204" s="682" t="n"/>
      <c r="P204" s="682" t="n"/>
      <c r="Q204" s="648" t="n"/>
      <c r="R204" s="40" t="inlineStr"/>
      <c r="S204" s="40" t="inlineStr"/>
      <c r="T204" s="41" t="inlineStr">
        <is>
          <t>кг</t>
        </is>
      </c>
      <c r="U204" s="683" t="n">
        <v>0</v>
      </c>
      <c r="V204" s="684">
        <f>IFERROR(IF(U204="",0,CEILING((U204/$H204),1)*$H204),"")</f>
        <v/>
      </c>
      <c r="W204" s="42">
        <f>IFERROR(IF(V204=0,"",ROUNDUP(V204/H204,0)*0.02039),"")</f>
        <v/>
      </c>
      <c r="X204" s="69" t="inlineStr"/>
      <c r="Y204" s="70" t="inlineStr"/>
      <c r="AC204" s="71" t="n"/>
      <c r="AZ204" s="185" t="inlineStr">
        <is>
          <t>КИ</t>
        </is>
      </c>
    </row>
    <row r="205" ht="27" customHeight="1">
      <c r="A205" s="64" t="inlineStr">
        <is>
          <t>SU001778</t>
        </is>
      </c>
      <c r="B205" s="64" t="inlineStr">
        <is>
          <t>P001778</t>
        </is>
      </c>
      <c r="C205" s="37" t="n">
        <v>4301011311</v>
      </c>
      <c r="D205" s="323" t="n">
        <v>4607091387377</v>
      </c>
      <c r="E205" s="648" t="n"/>
      <c r="F205" s="680" t="n">
        <v>1.35</v>
      </c>
      <c r="G205" s="38" t="n">
        <v>8</v>
      </c>
      <c r="H205" s="680" t="n">
        <v>10.8</v>
      </c>
      <c r="I205" s="680" t="n">
        <v>11.28</v>
      </c>
      <c r="J205" s="38" t="n">
        <v>56</v>
      </c>
      <c r="K205" s="39" t="inlineStr">
        <is>
          <t>СК1</t>
        </is>
      </c>
      <c r="L205" s="38" t="n">
        <v>55</v>
      </c>
      <c r="M205" s="801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N205" s="682" t="n"/>
      <c r="O205" s="682" t="n"/>
      <c r="P205" s="682" t="n"/>
      <c r="Q205" s="648" t="n"/>
      <c r="R205" s="40" t="inlineStr"/>
      <c r="S205" s="40" t="inlineStr"/>
      <c r="T205" s="41" t="inlineStr">
        <is>
          <t>кг</t>
        </is>
      </c>
      <c r="U205" s="683" t="n">
        <v>0</v>
      </c>
      <c r="V205" s="684">
        <f>IFERROR(IF(U205="",0,CEILING((U205/$H205),1)*$H205),"")</f>
        <v/>
      </c>
      <c r="W205" s="42">
        <f>IFERROR(IF(V205=0,"",ROUNDUP(V205/H205,0)*0.02175),"")</f>
        <v/>
      </c>
      <c r="X205" s="69" t="inlineStr"/>
      <c r="Y205" s="70" t="inlineStr"/>
      <c r="AC205" s="71" t="n"/>
      <c r="AZ205" s="186" t="inlineStr">
        <is>
          <t>КИ</t>
        </is>
      </c>
    </row>
    <row r="206" ht="27" customHeight="1">
      <c r="A206" s="64" t="inlineStr">
        <is>
          <t>SU000043</t>
        </is>
      </c>
      <c r="B206" s="64" t="inlineStr">
        <is>
          <t>P001807</t>
        </is>
      </c>
      <c r="C206" s="37" t="n">
        <v>4301010945</v>
      </c>
      <c r="D206" s="323" t="n">
        <v>4607091387353</v>
      </c>
      <c r="E206" s="648" t="n"/>
      <c r="F206" s="680" t="n">
        <v>1.35</v>
      </c>
      <c r="G206" s="38" t="n">
        <v>8</v>
      </c>
      <c r="H206" s="680" t="n">
        <v>10.8</v>
      </c>
      <c r="I206" s="680" t="n">
        <v>11.28</v>
      </c>
      <c r="J206" s="38" t="n">
        <v>56</v>
      </c>
      <c r="K206" s="39" t="inlineStr">
        <is>
          <t>СК1</t>
        </is>
      </c>
      <c r="L206" s="38" t="n">
        <v>55</v>
      </c>
      <c r="M206" s="802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N206" s="682" t="n"/>
      <c r="O206" s="682" t="n"/>
      <c r="P206" s="682" t="n"/>
      <c r="Q206" s="648" t="n"/>
      <c r="R206" s="40" t="inlineStr"/>
      <c r="S206" s="40" t="inlineStr"/>
      <c r="T206" s="41" t="inlineStr">
        <is>
          <t>кг</t>
        </is>
      </c>
      <c r="U206" s="683" t="n">
        <v>0</v>
      </c>
      <c r="V206" s="684">
        <f>IFERROR(IF(U206="",0,CEILING((U206/$H206),1)*$H206),"")</f>
        <v/>
      </c>
      <c r="W206" s="42">
        <f>IFERROR(IF(V206=0,"",ROUNDUP(V206/H206,0)*0.02175),"")</f>
        <v/>
      </c>
      <c r="X206" s="69" t="inlineStr"/>
      <c r="Y206" s="70" t="inlineStr"/>
      <c r="AC206" s="71" t="n"/>
      <c r="AZ206" s="187" t="inlineStr">
        <is>
          <t>КИ</t>
        </is>
      </c>
    </row>
    <row r="207" ht="27" customHeight="1">
      <c r="A207" s="64" t="inlineStr">
        <is>
          <t>SU001800</t>
        </is>
      </c>
      <c r="B207" s="64" t="inlineStr">
        <is>
          <t>P001800</t>
        </is>
      </c>
      <c r="C207" s="37" t="n">
        <v>4301011328</v>
      </c>
      <c r="D207" s="323" t="n">
        <v>4607091386011</v>
      </c>
      <c r="E207" s="648" t="n"/>
      <c r="F207" s="680" t="n">
        <v>0.5</v>
      </c>
      <c r="G207" s="38" t="n">
        <v>10</v>
      </c>
      <c r="H207" s="680" t="n">
        <v>5</v>
      </c>
      <c r="I207" s="680" t="n">
        <v>5.21</v>
      </c>
      <c r="J207" s="38" t="n">
        <v>120</v>
      </c>
      <c r="K207" s="39" t="inlineStr">
        <is>
          <t>СК2</t>
        </is>
      </c>
      <c r="L207" s="38" t="n">
        <v>55</v>
      </c>
      <c r="M207" s="803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N207" s="682" t="n"/>
      <c r="O207" s="682" t="n"/>
      <c r="P207" s="682" t="n"/>
      <c r="Q207" s="648" t="n"/>
      <c r="R207" s="40" t="inlineStr"/>
      <c r="S207" s="40" t="inlineStr"/>
      <c r="T207" s="41" t="inlineStr">
        <is>
          <t>кг</t>
        </is>
      </c>
      <c r="U207" s="683" t="n">
        <v>0</v>
      </c>
      <c r="V207" s="684">
        <f>IFERROR(IF(U207="",0,CEILING((U207/$H207),1)*$H207),"")</f>
        <v/>
      </c>
      <c r="W207" s="42">
        <f>IFERROR(IF(V207=0,"",ROUNDUP(V207/H207,0)*0.00937),"")</f>
        <v/>
      </c>
      <c r="X207" s="69" t="inlineStr"/>
      <c r="Y207" s="70" t="inlineStr"/>
      <c r="AC207" s="71" t="n"/>
      <c r="AZ207" s="188" t="inlineStr">
        <is>
          <t>КИ</t>
        </is>
      </c>
    </row>
    <row r="208" ht="27" customHeight="1">
      <c r="A208" s="64" t="inlineStr">
        <is>
          <t>SU001805</t>
        </is>
      </c>
      <c r="B208" s="64" t="inlineStr">
        <is>
          <t>P001805</t>
        </is>
      </c>
      <c r="C208" s="37" t="n">
        <v>4301011329</v>
      </c>
      <c r="D208" s="323" t="n">
        <v>4607091387308</v>
      </c>
      <c r="E208" s="648" t="n"/>
      <c r="F208" s="680" t="n">
        <v>0.5</v>
      </c>
      <c r="G208" s="38" t="n">
        <v>10</v>
      </c>
      <c r="H208" s="680" t="n">
        <v>5</v>
      </c>
      <c r="I208" s="680" t="n">
        <v>5.21</v>
      </c>
      <c r="J208" s="38" t="n">
        <v>120</v>
      </c>
      <c r="K208" s="39" t="inlineStr">
        <is>
          <t>СК2</t>
        </is>
      </c>
      <c r="L208" s="38" t="n">
        <v>55</v>
      </c>
      <c r="M208" s="804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N208" s="682" t="n"/>
      <c r="O208" s="682" t="n"/>
      <c r="P208" s="682" t="n"/>
      <c r="Q208" s="648" t="n"/>
      <c r="R208" s="40" t="inlineStr"/>
      <c r="S208" s="40" t="inlineStr"/>
      <c r="T208" s="41" t="inlineStr">
        <is>
          <t>кг</t>
        </is>
      </c>
      <c r="U208" s="683" t="n">
        <v>0</v>
      </c>
      <c r="V208" s="684">
        <f>IFERROR(IF(U208="",0,CEILING((U208/$H208),1)*$H208),"")</f>
        <v/>
      </c>
      <c r="W208" s="42">
        <f>IFERROR(IF(V208=0,"",ROUNDUP(V208/H208,0)*0.00937),"")</f>
        <v/>
      </c>
      <c r="X208" s="69" t="inlineStr"/>
      <c r="Y208" s="70" t="inlineStr"/>
      <c r="AC208" s="71" t="n"/>
      <c r="AZ208" s="189" t="inlineStr">
        <is>
          <t>КИ</t>
        </is>
      </c>
    </row>
    <row r="209" ht="27" customHeight="1">
      <c r="A209" s="64" t="inlineStr">
        <is>
          <t>SU001829</t>
        </is>
      </c>
      <c r="B209" s="64" t="inlineStr">
        <is>
          <t>P001829</t>
        </is>
      </c>
      <c r="C209" s="37" t="n">
        <v>4301011049</v>
      </c>
      <c r="D209" s="323" t="n">
        <v>4607091387339</v>
      </c>
      <c r="E209" s="648" t="n"/>
      <c r="F209" s="680" t="n">
        <v>0.5</v>
      </c>
      <c r="G209" s="38" t="n">
        <v>10</v>
      </c>
      <c r="H209" s="680" t="n">
        <v>5</v>
      </c>
      <c r="I209" s="680" t="n">
        <v>5.24</v>
      </c>
      <c r="J209" s="38" t="n">
        <v>120</v>
      </c>
      <c r="K209" s="39" t="inlineStr">
        <is>
          <t>СК1</t>
        </is>
      </c>
      <c r="L209" s="38" t="n">
        <v>55</v>
      </c>
      <c r="M209" s="805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N209" s="682" t="n"/>
      <c r="O209" s="682" t="n"/>
      <c r="P209" s="682" t="n"/>
      <c r="Q209" s="648" t="n"/>
      <c r="R209" s="40" t="inlineStr"/>
      <c r="S209" s="40" t="inlineStr"/>
      <c r="T209" s="41" t="inlineStr">
        <is>
          <t>кг</t>
        </is>
      </c>
      <c r="U209" s="683" t="n">
        <v>0</v>
      </c>
      <c r="V209" s="684">
        <f>IFERROR(IF(U209="",0,CEILING((U209/$H209),1)*$H209),"")</f>
        <v/>
      </c>
      <c r="W209" s="42">
        <f>IFERROR(IF(V209=0,"",ROUNDUP(V209/H209,0)*0.00937),"")</f>
        <v/>
      </c>
      <c r="X209" s="69" t="inlineStr"/>
      <c r="Y209" s="70" t="inlineStr"/>
      <c r="AC209" s="71" t="n"/>
      <c r="AZ209" s="190" t="inlineStr">
        <is>
          <t>КИ</t>
        </is>
      </c>
    </row>
    <row r="210" ht="27" customHeight="1">
      <c r="A210" s="64" t="inlineStr">
        <is>
          <t>SU002787</t>
        </is>
      </c>
      <c r="B210" s="64" t="inlineStr">
        <is>
          <t>P003189</t>
        </is>
      </c>
      <c r="C210" s="37" t="n">
        <v>4301011433</v>
      </c>
      <c r="D210" s="323" t="n">
        <v>4680115882638</v>
      </c>
      <c r="E210" s="648" t="n"/>
      <c r="F210" s="680" t="n">
        <v>0.4</v>
      </c>
      <c r="G210" s="38" t="n">
        <v>10</v>
      </c>
      <c r="H210" s="680" t="n">
        <v>4</v>
      </c>
      <c r="I210" s="680" t="n">
        <v>4.24</v>
      </c>
      <c r="J210" s="38" t="n">
        <v>120</v>
      </c>
      <c r="K210" s="39" t="inlineStr">
        <is>
          <t>СК1</t>
        </is>
      </c>
      <c r="L210" s="38" t="n">
        <v>90</v>
      </c>
      <c r="M210" s="806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N210" s="682" t="n"/>
      <c r="O210" s="682" t="n"/>
      <c r="P210" s="682" t="n"/>
      <c r="Q210" s="648" t="n"/>
      <c r="R210" s="40" t="inlineStr"/>
      <c r="S210" s="40" t="inlineStr"/>
      <c r="T210" s="41" t="inlineStr">
        <is>
          <t>кг</t>
        </is>
      </c>
      <c r="U210" s="683" t="n">
        <v>0</v>
      </c>
      <c r="V210" s="684">
        <f>IFERROR(IF(U210="",0,CEILING((U210/$H210),1)*$H210),"")</f>
        <v/>
      </c>
      <c r="W210" s="42">
        <f>IFERROR(IF(V210=0,"",ROUNDUP(V210/H210,0)*0.00937),"")</f>
        <v/>
      </c>
      <c r="X210" s="69" t="inlineStr"/>
      <c r="Y210" s="70" t="inlineStr"/>
      <c r="AC210" s="71" t="n"/>
      <c r="AZ210" s="191" t="inlineStr">
        <is>
          <t>КИ</t>
        </is>
      </c>
    </row>
    <row r="211" ht="27" customHeight="1">
      <c r="A211" s="64" t="inlineStr">
        <is>
          <t>SU002894</t>
        </is>
      </c>
      <c r="B211" s="64" t="inlineStr">
        <is>
          <t>P003314</t>
        </is>
      </c>
      <c r="C211" s="37" t="n">
        <v>4301011573</v>
      </c>
      <c r="D211" s="323" t="n">
        <v>4680115881938</v>
      </c>
      <c r="E211" s="648" t="n"/>
      <c r="F211" s="680" t="n">
        <v>0.4</v>
      </c>
      <c r="G211" s="38" t="n">
        <v>10</v>
      </c>
      <c r="H211" s="680" t="n">
        <v>4</v>
      </c>
      <c r="I211" s="680" t="n">
        <v>4.24</v>
      </c>
      <c r="J211" s="38" t="n">
        <v>120</v>
      </c>
      <c r="K211" s="39" t="inlineStr">
        <is>
          <t>СК1</t>
        </is>
      </c>
      <c r="L211" s="38" t="n">
        <v>90</v>
      </c>
      <c r="M211" s="807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N211" s="682" t="n"/>
      <c r="O211" s="682" t="n"/>
      <c r="P211" s="682" t="n"/>
      <c r="Q211" s="648" t="n"/>
      <c r="R211" s="40" t="inlineStr"/>
      <c r="S211" s="40" t="inlineStr"/>
      <c r="T211" s="41" t="inlineStr">
        <is>
          <t>кг</t>
        </is>
      </c>
      <c r="U211" s="683" t="n">
        <v>0</v>
      </c>
      <c r="V211" s="684">
        <f>IFERROR(IF(U211="",0,CEILING((U211/$H211),1)*$H211),"")</f>
        <v/>
      </c>
      <c r="W211" s="42">
        <f>IFERROR(IF(V211=0,"",ROUNDUP(V211/H211,0)*0.00937),"")</f>
        <v/>
      </c>
      <c r="X211" s="69" t="inlineStr"/>
      <c r="Y211" s="70" t="inlineStr"/>
      <c r="AC211" s="71" t="n"/>
      <c r="AZ211" s="192" t="inlineStr">
        <is>
          <t>КИ</t>
        </is>
      </c>
    </row>
    <row r="212" ht="27" customHeight="1">
      <c r="A212" s="64" t="inlineStr">
        <is>
          <t>SU000078</t>
        </is>
      </c>
      <c r="B212" s="64" t="inlineStr">
        <is>
          <t>P001806</t>
        </is>
      </c>
      <c r="C212" s="37" t="n">
        <v>4301010944</v>
      </c>
      <c r="D212" s="323" t="n">
        <v>4607091387346</v>
      </c>
      <c r="E212" s="648" t="n"/>
      <c r="F212" s="680" t="n">
        <v>0.4</v>
      </c>
      <c r="G212" s="38" t="n">
        <v>10</v>
      </c>
      <c r="H212" s="680" t="n">
        <v>4</v>
      </c>
      <c r="I212" s="680" t="n">
        <v>4.24</v>
      </c>
      <c r="J212" s="38" t="n">
        <v>120</v>
      </c>
      <c r="K212" s="39" t="inlineStr">
        <is>
          <t>СК1</t>
        </is>
      </c>
      <c r="L212" s="38" t="n">
        <v>55</v>
      </c>
      <c r="M212" s="808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N212" s="682" t="n"/>
      <c r="O212" s="682" t="n"/>
      <c r="P212" s="682" t="n"/>
      <c r="Q212" s="648" t="n"/>
      <c r="R212" s="40" t="inlineStr"/>
      <c r="S212" s="40" t="inlineStr"/>
      <c r="T212" s="41" t="inlineStr">
        <is>
          <t>кг</t>
        </is>
      </c>
      <c r="U212" s="683" t="n">
        <v>0</v>
      </c>
      <c r="V212" s="684">
        <f>IFERROR(IF(U212="",0,CEILING((U212/$H212),1)*$H212),"")</f>
        <v/>
      </c>
      <c r="W212" s="42">
        <f>IFERROR(IF(V212=0,"",ROUNDUP(V212/H212,0)*0.00937),"")</f>
        <v/>
      </c>
      <c r="X212" s="69" t="inlineStr"/>
      <c r="Y212" s="70" t="inlineStr"/>
      <c r="AC212" s="71" t="n"/>
      <c r="AZ212" s="193" t="inlineStr">
        <is>
          <t>КИ</t>
        </is>
      </c>
    </row>
    <row r="213" ht="27" customHeight="1">
      <c r="A213" s="64" t="inlineStr">
        <is>
          <t>SU002616</t>
        </is>
      </c>
      <c r="B213" s="64" t="inlineStr">
        <is>
          <t>P002950</t>
        </is>
      </c>
      <c r="C213" s="37" t="n">
        <v>4301011353</v>
      </c>
      <c r="D213" s="323" t="n">
        <v>4607091389807</v>
      </c>
      <c r="E213" s="648" t="n"/>
      <c r="F213" s="680" t="n">
        <v>0.4</v>
      </c>
      <c r="G213" s="38" t="n">
        <v>10</v>
      </c>
      <c r="H213" s="680" t="n">
        <v>4</v>
      </c>
      <c r="I213" s="680" t="n">
        <v>4.24</v>
      </c>
      <c r="J213" s="38" t="n">
        <v>120</v>
      </c>
      <c r="K213" s="39" t="inlineStr">
        <is>
          <t>СК1</t>
        </is>
      </c>
      <c r="L213" s="38" t="n">
        <v>55</v>
      </c>
      <c r="M213" s="809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N213" s="682" t="n"/>
      <c r="O213" s="682" t="n"/>
      <c r="P213" s="682" t="n"/>
      <c r="Q213" s="648" t="n"/>
      <c r="R213" s="40" t="inlineStr"/>
      <c r="S213" s="40" t="inlineStr"/>
      <c r="T213" s="41" t="inlineStr">
        <is>
          <t>кг</t>
        </is>
      </c>
      <c r="U213" s="683" t="n">
        <v>0</v>
      </c>
      <c r="V213" s="684">
        <f>IFERROR(IF(U213="",0,CEILING((U213/$H213),1)*$H213),"")</f>
        <v/>
      </c>
      <c r="W213" s="42">
        <f>IFERROR(IF(V213=0,"",ROUNDUP(V213/H213,0)*0.00937),"")</f>
        <v/>
      </c>
      <c r="X213" s="69" t="inlineStr"/>
      <c r="Y213" s="70" t="inlineStr"/>
      <c r="AC213" s="71" t="n"/>
      <c r="AZ213" s="194" t="inlineStr">
        <is>
          <t>КИ</t>
        </is>
      </c>
    </row>
    <row r="214">
      <c r="A214" s="33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685" t="n"/>
      <c r="M214" s="686" t="inlineStr">
        <is>
          <t>Итого</t>
        </is>
      </c>
      <c r="N214" s="656" t="n"/>
      <c r="O214" s="656" t="n"/>
      <c r="P214" s="656" t="n"/>
      <c r="Q214" s="656" t="n"/>
      <c r="R214" s="656" t="n"/>
      <c r="S214" s="657" t="n"/>
      <c r="T214" s="43" t="inlineStr">
        <is>
          <t>кор</t>
        </is>
      </c>
      <c r="U214" s="687">
        <f>IFERROR(U199/H199,"0")+IFERROR(U200/H200,"0")+IFERROR(U201/H201,"0")+IFERROR(U202/H202,"0")+IFERROR(U203/H203,"0")+IFERROR(U204/H204,"0")+IFERROR(U205/H205,"0")+IFERROR(U206/H206,"0")+IFERROR(U207/H207,"0")+IFERROR(U208/H208,"0")+IFERROR(U209/H209,"0")+IFERROR(U210/H210,"0")+IFERROR(U211/H211,"0")+IFERROR(U212/H212,"0")+IFERROR(U213/H213,"0")</f>
        <v/>
      </c>
      <c r="V214" s="687">
        <f>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+IFERROR(V212/H212,"0")+IFERROR(V213/H213,"0")</f>
        <v/>
      </c>
      <c r="W214" s="687">
        <f>IFERROR(IF(W199="",0,W199),"0")+IFERROR(IF(W200="",0,W200),"0")+IFERROR(IF(W201="",0,W201),"0")+IFERROR(IF(W202="",0,W202),"0")+IFERROR(IF(W203="",0,W203),"0")+IFERROR(IF(W204="",0,W204),"0")+IFERROR(IF(W205="",0,W205),"0")+IFERROR(IF(W206="",0,W206),"0")+IFERROR(IF(W207="",0,W207),"0")+IFERROR(IF(W208="",0,W208),"0")+IFERROR(IF(W209="",0,W209),"0")+IFERROR(IF(W210="",0,W210),"0")+IFERROR(IF(W211="",0,W211),"0")+IFERROR(IF(W212="",0,W212),"0")+IFERROR(IF(W213="",0,W213),"0")</f>
        <v/>
      </c>
      <c r="X214" s="688" t="n"/>
      <c r="Y214" s="688" t="n"/>
    </row>
    <row r="215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685" t="n"/>
      <c r="M215" s="686" t="inlineStr">
        <is>
          <t>Итого</t>
        </is>
      </c>
      <c r="N215" s="656" t="n"/>
      <c r="O215" s="656" t="n"/>
      <c r="P215" s="656" t="n"/>
      <c r="Q215" s="656" t="n"/>
      <c r="R215" s="656" t="n"/>
      <c r="S215" s="657" t="n"/>
      <c r="T215" s="43" t="inlineStr">
        <is>
          <t>кг</t>
        </is>
      </c>
      <c r="U215" s="687">
        <f>IFERROR(SUM(U199:U213),"0")</f>
        <v/>
      </c>
      <c r="V215" s="687">
        <f>IFERROR(SUM(V199:V213),"0")</f>
        <v/>
      </c>
      <c r="W215" s="43" t="n"/>
      <c r="X215" s="688" t="n"/>
      <c r="Y215" s="688" t="n"/>
    </row>
    <row r="216" ht="14.25" customHeight="1">
      <c r="A216" s="322" t="inlineStr">
        <is>
          <t>Ветчины</t>
        </is>
      </c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322" t="n"/>
      <c r="Y216" s="322" t="n"/>
    </row>
    <row r="217" ht="27" customHeight="1">
      <c r="A217" s="64" t="inlineStr">
        <is>
          <t>SU002788</t>
        </is>
      </c>
      <c r="B217" s="64" t="inlineStr">
        <is>
          <t>P003190</t>
        </is>
      </c>
      <c r="C217" s="37" t="n">
        <v>4301020254</v>
      </c>
      <c r="D217" s="323" t="n">
        <v>4680115881914</v>
      </c>
      <c r="E217" s="648" t="n"/>
      <c r="F217" s="680" t="n">
        <v>0.4</v>
      </c>
      <c r="G217" s="38" t="n">
        <v>10</v>
      </c>
      <c r="H217" s="680" t="n">
        <v>4</v>
      </c>
      <c r="I217" s="680" t="n">
        <v>4.24</v>
      </c>
      <c r="J217" s="38" t="n">
        <v>120</v>
      </c>
      <c r="K217" s="39" t="inlineStr">
        <is>
          <t>СК1</t>
        </is>
      </c>
      <c r="L217" s="38" t="n">
        <v>90</v>
      </c>
      <c r="M217" s="810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N217" s="682" t="n"/>
      <c r="O217" s="682" t="n"/>
      <c r="P217" s="682" t="n"/>
      <c r="Q217" s="648" t="n"/>
      <c r="R217" s="40" t="inlineStr"/>
      <c r="S217" s="40" t="inlineStr"/>
      <c r="T217" s="41" t="inlineStr">
        <is>
          <t>кг</t>
        </is>
      </c>
      <c r="U217" s="683" t="n">
        <v>0</v>
      </c>
      <c r="V217" s="684">
        <f>IFERROR(IF(U217="",0,CEILING((U217/$H217),1)*$H217),"")</f>
        <v/>
      </c>
      <c r="W217" s="42">
        <f>IFERROR(IF(V217=0,"",ROUNDUP(V217/H217,0)*0.00937),"")</f>
        <v/>
      </c>
      <c r="X217" s="69" t="inlineStr"/>
      <c r="Y217" s="70" t="inlineStr"/>
      <c r="AC217" s="71" t="n"/>
      <c r="AZ217" s="195" t="inlineStr">
        <is>
          <t>КИ</t>
        </is>
      </c>
    </row>
    <row r="218">
      <c r="A218" s="33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685" t="n"/>
      <c r="M218" s="686" t="inlineStr">
        <is>
          <t>Итого</t>
        </is>
      </c>
      <c r="N218" s="656" t="n"/>
      <c r="O218" s="656" t="n"/>
      <c r="P218" s="656" t="n"/>
      <c r="Q218" s="656" t="n"/>
      <c r="R218" s="656" t="n"/>
      <c r="S218" s="657" t="n"/>
      <c r="T218" s="43" t="inlineStr">
        <is>
          <t>кор</t>
        </is>
      </c>
      <c r="U218" s="687">
        <f>IFERROR(U217/H217,"0")</f>
        <v/>
      </c>
      <c r="V218" s="687">
        <f>IFERROR(V217/H217,"0")</f>
        <v/>
      </c>
      <c r="W218" s="687">
        <f>IFERROR(IF(W217="",0,W217),"0")</f>
        <v/>
      </c>
      <c r="X218" s="688" t="n"/>
      <c r="Y218" s="688" t="n"/>
    </row>
    <row r="219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685" t="n"/>
      <c r="M219" s="686" t="inlineStr">
        <is>
          <t>Итого</t>
        </is>
      </c>
      <c r="N219" s="656" t="n"/>
      <c r="O219" s="656" t="n"/>
      <c r="P219" s="656" t="n"/>
      <c r="Q219" s="656" t="n"/>
      <c r="R219" s="656" t="n"/>
      <c r="S219" s="657" t="n"/>
      <c r="T219" s="43" t="inlineStr">
        <is>
          <t>кг</t>
        </is>
      </c>
      <c r="U219" s="687">
        <f>IFERROR(SUM(U217:U217),"0")</f>
        <v/>
      </c>
      <c r="V219" s="687">
        <f>IFERROR(SUM(V217:V217),"0")</f>
        <v/>
      </c>
      <c r="W219" s="43" t="n"/>
      <c r="X219" s="688" t="n"/>
      <c r="Y219" s="688" t="n"/>
    </row>
    <row r="220" ht="14.25" customHeight="1">
      <c r="A220" s="322" t="inlineStr">
        <is>
          <t>Копченые колбасы</t>
        </is>
      </c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322" t="n"/>
      <c r="Y220" s="322" t="n"/>
    </row>
    <row r="221" ht="27" customHeight="1">
      <c r="A221" s="64" t="inlineStr">
        <is>
          <t>SU001820</t>
        </is>
      </c>
      <c r="B221" s="64" t="inlineStr">
        <is>
          <t>P001820</t>
        </is>
      </c>
      <c r="C221" s="37" t="n">
        <v>4301030878</v>
      </c>
      <c r="D221" s="323" t="n">
        <v>4607091387193</v>
      </c>
      <c r="E221" s="648" t="n"/>
      <c r="F221" s="680" t="n">
        <v>0.7</v>
      </c>
      <c r="G221" s="38" t="n">
        <v>6</v>
      </c>
      <c r="H221" s="680" t="n">
        <v>4.2</v>
      </c>
      <c r="I221" s="680" t="n">
        <v>4.46</v>
      </c>
      <c r="J221" s="38" t="n">
        <v>156</v>
      </c>
      <c r="K221" s="39" t="inlineStr">
        <is>
          <t>СК2</t>
        </is>
      </c>
      <c r="L221" s="38" t="n">
        <v>35</v>
      </c>
      <c r="M221" s="811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N221" s="682" t="n"/>
      <c r="O221" s="682" t="n"/>
      <c r="P221" s="682" t="n"/>
      <c r="Q221" s="648" t="n"/>
      <c r="R221" s="40" t="inlineStr"/>
      <c r="S221" s="40" t="inlineStr"/>
      <c r="T221" s="41" t="inlineStr">
        <is>
          <t>кг</t>
        </is>
      </c>
      <c r="U221" s="683" t="n">
        <v>270</v>
      </c>
      <c r="V221" s="684">
        <f>IFERROR(IF(U221="",0,CEILING((U221/$H221),1)*$H221),"")</f>
        <v/>
      </c>
      <c r="W221" s="42">
        <f>IFERROR(IF(V221=0,"",ROUNDUP(V221/H221,0)*0.00753),"")</f>
        <v/>
      </c>
      <c r="X221" s="69" t="inlineStr"/>
      <c r="Y221" s="70" t="inlineStr"/>
      <c r="AC221" s="71" t="n"/>
      <c r="AZ221" s="196" t="inlineStr">
        <is>
          <t>КИ</t>
        </is>
      </c>
    </row>
    <row r="222" ht="27" customHeight="1">
      <c r="A222" s="64" t="inlineStr">
        <is>
          <t>SU001822</t>
        </is>
      </c>
      <c r="B222" s="64" t="inlineStr">
        <is>
          <t>P003013</t>
        </is>
      </c>
      <c r="C222" s="37" t="n">
        <v>4301031153</v>
      </c>
      <c r="D222" s="323" t="n">
        <v>4607091387230</v>
      </c>
      <c r="E222" s="648" t="n"/>
      <c r="F222" s="680" t="n">
        <v>0.7</v>
      </c>
      <c r="G222" s="38" t="n">
        <v>6</v>
      </c>
      <c r="H222" s="680" t="n">
        <v>4.2</v>
      </c>
      <c r="I222" s="680" t="n">
        <v>4.46</v>
      </c>
      <c r="J222" s="38" t="n">
        <v>156</v>
      </c>
      <c r="K222" s="39" t="inlineStr">
        <is>
          <t>СК2</t>
        </is>
      </c>
      <c r="L222" s="38" t="n">
        <v>40</v>
      </c>
      <c r="M222" s="812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N222" s="682" t="n"/>
      <c r="O222" s="682" t="n"/>
      <c r="P222" s="682" t="n"/>
      <c r="Q222" s="648" t="n"/>
      <c r="R222" s="40" t="inlineStr"/>
      <c r="S222" s="40" t="inlineStr"/>
      <c r="T222" s="41" t="inlineStr">
        <is>
          <t>кг</t>
        </is>
      </c>
      <c r="U222" s="683" t="n">
        <v>250</v>
      </c>
      <c r="V222" s="684">
        <f>IFERROR(IF(U222="",0,CEILING((U222/$H222),1)*$H222),"")</f>
        <v/>
      </c>
      <c r="W222" s="42">
        <f>IFERROR(IF(V222=0,"",ROUNDUP(V222/H222,0)*0.00753),"")</f>
        <v/>
      </c>
      <c r="X222" s="69" t="inlineStr"/>
      <c r="Y222" s="70" t="inlineStr"/>
      <c r="AC222" s="71" t="n"/>
      <c r="AZ222" s="197" t="inlineStr">
        <is>
          <t>КИ</t>
        </is>
      </c>
    </row>
    <row r="223" ht="27" customHeight="1">
      <c r="A223" s="64" t="inlineStr">
        <is>
          <t>SU002579</t>
        </is>
      </c>
      <c r="B223" s="64" t="inlineStr">
        <is>
          <t>P003012</t>
        </is>
      </c>
      <c r="C223" s="37" t="n">
        <v>4301031152</v>
      </c>
      <c r="D223" s="323" t="n">
        <v>4607091387285</v>
      </c>
      <c r="E223" s="648" t="n"/>
      <c r="F223" s="680" t="n">
        <v>0.35</v>
      </c>
      <c r="G223" s="38" t="n">
        <v>6</v>
      </c>
      <c r="H223" s="680" t="n">
        <v>2.1</v>
      </c>
      <c r="I223" s="680" t="n">
        <v>2.23</v>
      </c>
      <c r="J223" s="38" t="n">
        <v>234</v>
      </c>
      <c r="K223" s="39" t="inlineStr">
        <is>
          <t>СК2</t>
        </is>
      </c>
      <c r="L223" s="38" t="n">
        <v>40</v>
      </c>
      <c r="M223" s="813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N223" s="682" t="n"/>
      <c r="O223" s="682" t="n"/>
      <c r="P223" s="682" t="n"/>
      <c r="Q223" s="648" t="n"/>
      <c r="R223" s="40" t="inlineStr"/>
      <c r="S223" s="40" t="inlineStr"/>
      <c r="T223" s="41" t="inlineStr">
        <is>
          <t>кг</t>
        </is>
      </c>
      <c r="U223" s="683" t="n">
        <v>0</v>
      </c>
      <c r="V223" s="684">
        <f>IFERROR(IF(U223="",0,CEILING((U223/$H223),1)*$H223),"")</f>
        <v/>
      </c>
      <c r="W223" s="42">
        <f>IFERROR(IF(V223=0,"",ROUNDUP(V223/H223,0)*0.00502),"")</f>
        <v/>
      </c>
      <c r="X223" s="69" t="inlineStr"/>
      <c r="Y223" s="70" t="inlineStr"/>
      <c r="AC223" s="71" t="n"/>
      <c r="AZ223" s="198" t="inlineStr">
        <is>
          <t>КИ</t>
        </is>
      </c>
    </row>
    <row r="224" ht="27" customHeight="1">
      <c r="A224" s="64" t="inlineStr">
        <is>
          <t>SU002617</t>
        </is>
      </c>
      <c r="B224" s="64" t="inlineStr">
        <is>
          <t>P002951</t>
        </is>
      </c>
      <c r="C224" s="37" t="n">
        <v>4301031151</v>
      </c>
      <c r="D224" s="323" t="n">
        <v>4607091389845</v>
      </c>
      <c r="E224" s="648" t="n"/>
      <c r="F224" s="680" t="n">
        <v>0.35</v>
      </c>
      <c r="G224" s="38" t="n">
        <v>6</v>
      </c>
      <c r="H224" s="680" t="n">
        <v>2.1</v>
      </c>
      <c r="I224" s="680" t="n">
        <v>2.2</v>
      </c>
      <c r="J224" s="38" t="n">
        <v>234</v>
      </c>
      <c r="K224" s="39" t="inlineStr">
        <is>
          <t>СК2</t>
        </is>
      </c>
      <c r="L224" s="38" t="n">
        <v>40</v>
      </c>
      <c r="M224" s="814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N224" s="682" t="n"/>
      <c r="O224" s="682" t="n"/>
      <c r="P224" s="682" t="n"/>
      <c r="Q224" s="648" t="n"/>
      <c r="R224" s="40" t="inlineStr"/>
      <c r="S224" s="40" t="inlineStr"/>
      <c r="T224" s="41" t="inlineStr">
        <is>
          <t>кг</t>
        </is>
      </c>
      <c r="U224" s="683" t="n">
        <v>26.25</v>
      </c>
      <c r="V224" s="684">
        <f>IFERROR(IF(U224="",0,CEILING((U224/$H224),1)*$H224),"")</f>
        <v/>
      </c>
      <c r="W224" s="42">
        <f>IFERROR(IF(V224=0,"",ROUNDUP(V224/H224,0)*0.00502),"")</f>
        <v/>
      </c>
      <c r="X224" s="69" t="inlineStr"/>
      <c r="Y224" s="70" t="inlineStr"/>
      <c r="AC224" s="71" t="n"/>
      <c r="AZ224" s="199" t="inlineStr">
        <is>
          <t>КИ</t>
        </is>
      </c>
    </row>
    <row r="225">
      <c r="A225" s="33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685" t="n"/>
      <c r="M225" s="686" t="inlineStr">
        <is>
          <t>Итого</t>
        </is>
      </c>
      <c r="N225" s="656" t="n"/>
      <c r="O225" s="656" t="n"/>
      <c r="P225" s="656" t="n"/>
      <c r="Q225" s="656" t="n"/>
      <c r="R225" s="656" t="n"/>
      <c r="S225" s="657" t="n"/>
      <c r="T225" s="43" t="inlineStr">
        <is>
          <t>кор</t>
        </is>
      </c>
      <c r="U225" s="687">
        <f>IFERROR(U221/H221,"0")+IFERROR(U222/H222,"0")+IFERROR(U223/H223,"0")+IFERROR(U224/H224,"0")</f>
        <v/>
      </c>
      <c r="V225" s="687">
        <f>IFERROR(V221/H221,"0")+IFERROR(V222/H222,"0")+IFERROR(V223/H223,"0")+IFERROR(V224/H224,"0")</f>
        <v/>
      </c>
      <c r="W225" s="687">
        <f>IFERROR(IF(W221="",0,W221),"0")+IFERROR(IF(W222="",0,W222),"0")+IFERROR(IF(W223="",0,W223),"0")+IFERROR(IF(W224="",0,W224),"0")</f>
        <v/>
      </c>
      <c r="X225" s="688" t="n"/>
      <c r="Y225" s="688" t="n"/>
    </row>
    <row r="226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685" t="n"/>
      <c r="M226" s="686" t="inlineStr">
        <is>
          <t>Итого</t>
        </is>
      </c>
      <c r="N226" s="656" t="n"/>
      <c r="O226" s="656" t="n"/>
      <c r="P226" s="656" t="n"/>
      <c r="Q226" s="656" t="n"/>
      <c r="R226" s="656" t="n"/>
      <c r="S226" s="657" t="n"/>
      <c r="T226" s="43" t="inlineStr">
        <is>
          <t>кг</t>
        </is>
      </c>
      <c r="U226" s="687">
        <f>IFERROR(SUM(U221:U224),"0")</f>
        <v/>
      </c>
      <c r="V226" s="687">
        <f>IFERROR(SUM(V221:V224),"0")</f>
        <v/>
      </c>
      <c r="W226" s="43" t="n"/>
      <c r="X226" s="688" t="n"/>
      <c r="Y226" s="688" t="n"/>
    </row>
    <row r="227" ht="14.25" customHeight="1">
      <c r="A227" s="322" t="inlineStr">
        <is>
          <t>Сосиски</t>
        </is>
      </c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322" t="n"/>
      <c r="Y227" s="322" t="n"/>
    </row>
    <row r="228" ht="16.5" customHeight="1">
      <c r="A228" s="64" t="inlineStr">
        <is>
          <t>SU001340</t>
        </is>
      </c>
      <c r="B228" s="64" t="inlineStr">
        <is>
          <t>P002209</t>
        </is>
      </c>
      <c r="C228" s="37" t="n">
        <v>4301051100</v>
      </c>
      <c r="D228" s="323" t="n">
        <v>4607091387766</v>
      </c>
      <c r="E228" s="648" t="n"/>
      <c r="F228" s="680" t="n">
        <v>1.35</v>
      </c>
      <c r="G228" s="38" t="n">
        <v>6</v>
      </c>
      <c r="H228" s="680" t="n">
        <v>8.1</v>
      </c>
      <c r="I228" s="680" t="n">
        <v>8.657999999999999</v>
      </c>
      <c r="J228" s="38" t="n">
        <v>56</v>
      </c>
      <c r="K228" s="39" t="inlineStr">
        <is>
          <t>СК3</t>
        </is>
      </c>
      <c r="L228" s="38" t="n">
        <v>40</v>
      </c>
      <c r="M228" s="815">
        <f>HYPERLINK("https://abi.ru/products/Охлажденные/Стародворье/Бордо/Сосиски/P002209/","Сосиски Ганноверские Бордо Весовые П/а мгс Баварушка")</f>
        <v/>
      </c>
      <c r="N228" s="682" t="n"/>
      <c r="O228" s="682" t="n"/>
      <c r="P228" s="682" t="n"/>
      <c r="Q228" s="648" t="n"/>
      <c r="R228" s="40" t="inlineStr"/>
      <c r="S228" s="40" t="inlineStr"/>
      <c r="T228" s="41" t="inlineStr">
        <is>
          <t>кг</t>
        </is>
      </c>
      <c r="U228" s="683" t="n">
        <v>0</v>
      </c>
      <c r="V228" s="684">
        <f>IFERROR(IF(U228="",0,CEILING((U228/$H228),1)*$H228),"")</f>
        <v/>
      </c>
      <c r="W228" s="42">
        <f>IFERROR(IF(V228=0,"",ROUNDUP(V228/H228,0)*0.02175),"")</f>
        <v/>
      </c>
      <c r="X228" s="69" t="inlineStr"/>
      <c r="Y228" s="70" t="inlineStr"/>
      <c r="AC228" s="71" t="n"/>
      <c r="AZ228" s="200" t="inlineStr">
        <is>
          <t>КИ</t>
        </is>
      </c>
    </row>
    <row r="229" ht="27" customHeight="1">
      <c r="A229" s="64" t="inlineStr">
        <is>
          <t>SU001727</t>
        </is>
      </c>
      <c r="B229" s="64" t="inlineStr">
        <is>
          <t>P002205</t>
        </is>
      </c>
      <c r="C229" s="37" t="n">
        <v>4301051116</v>
      </c>
      <c r="D229" s="323" t="n">
        <v>4607091387957</v>
      </c>
      <c r="E229" s="648" t="n"/>
      <c r="F229" s="680" t="n">
        <v>1.3</v>
      </c>
      <c r="G229" s="38" t="n">
        <v>6</v>
      </c>
      <c r="H229" s="680" t="n">
        <v>7.8</v>
      </c>
      <c r="I229" s="680" t="n">
        <v>8.364000000000001</v>
      </c>
      <c r="J229" s="38" t="n">
        <v>56</v>
      </c>
      <c r="K229" s="39" t="inlineStr">
        <is>
          <t>СК2</t>
        </is>
      </c>
      <c r="L229" s="38" t="n">
        <v>40</v>
      </c>
      <c r="M229" s="816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N229" s="682" t="n"/>
      <c r="O229" s="682" t="n"/>
      <c r="P229" s="682" t="n"/>
      <c r="Q229" s="648" t="n"/>
      <c r="R229" s="40" t="inlineStr"/>
      <c r="S229" s="40" t="inlineStr"/>
      <c r="T229" s="41" t="inlineStr">
        <is>
          <t>кг</t>
        </is>
      </c>
      <c r="U229" s="683" t="n">
        <v>0</v>
      </c>
      <c r="V229" s="684">
        <f>IFERROR(IF(U229="",0,CEILING((U229/$H229),1)*$H229),"")</f>
        <v/>
      </c>
      <c r="W229" s="42">
        <f>IFERROR(IF(V229=0,"",ROUNDUP(V229/H229,0)*0.02175),"")</f>
        <v/>
      </c>
      <c r="X229" s="69" t="inlineStr"/>
      <c r="Y229" s="70" t="inlineStr"/>
      <c r="AC229" s="71" t="n"/>
      <c r="AZ229" s="201" t="inlineStr">
        <is>
          <t>КИ</t>
        </is>
      </c>
    </row>
    <row r="230" ht="27" customHeight="1">
      <c r="A230" s="64" t="inlineStr">
        <is>
          <t>SU001728</t>
        </is>
      </c>
      <c r="B230" s="64" t="inlineStr">
        <is>
          <t>P002207</t>
        </is>
      </c>
      <c r="C230" s="37" t="n">
        <v>4301051115</v>
      </c>
      <c r="D230" s="323" t="n">
        <v>4607091387964</v>
      </c>
      <c r="E230" s="648" t="n"/>
      <c r="F230" s="680" t="n">
        <v>1.35</v>
      </c>
      <c r="G230" s="38" t="n">
        <v>6</v>
      </c>
      <c r="H230" s="680" t="n">
        <v>8.1</v>
      </c>
      <c r="I230" s="680" t="n">
        <v>8.646000000000001</v>
      </c>
      <c r="J230" s="38" t="n">
        <v>56</v>
      </c>
      <c r="K230" s="39" t="inlineStr">
        <is>
          <t>СК2</t>
        </is>
      </c>
      <c r="L230" s="38" t="n">
        <v>40</v>
      </c>
      <c r="M230" s="817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N230" s="682" t="n"/>
      <c r="O230" s="682" t="n"/>
      <c r="P230" s="682" t="n"/>
      <c r="Q230" s="648" t="n"/>
      <c r="R230" s="40" t="inlineStr"/>
      <c r="S230" s="40" t="inlineStr"/>
      <c r="T230" s="41" t="inlineStr">
        <is>
          <t>кг</t>
        </is>
      </c>
      <c r="U230" s="683" t="n">
        <v>0</v>
      </c>
      <c r="V230" s="684">
        <f>IFERROR(IF(U230="",0,CEILING((U230/$H230),1)*$H230),"")</f>
        <v/>
      </c>
      <c r="W230" s="42">
        <f>IFERROR(IF(V230=0,"",ROUNDUP(V230/H230,0)*0.02175),"")</f>
        <v/>
      </c>
      <c r="X230" s="69" t="inlineStr"/>
      <c r="Y230" s="70" t="inlineStr"/>
      <c r="AC230" s="71" t="n"/>
      <c r="AZ230" s="202" t="inlineStr">
        <is>
          <t>КИ</t>
        </is>
      </c>
    </row>
    <row r="231" ht="16.5" customHeight="1">
      <c r="A231" s="64" t="inlineStr">
        <is>
          <t>SU001341</t>
        </is>
      </c>
      <c r="B231" s="64" t="inlineStr">
        <is>
          <t>P002204</t>
        </is>
      </c>
      <c r="C231" s="37" t="n">
        <v>4301051134</v>
      </c>
      <c r="D231" s="323" t="n">
        <v>4607091381672</v>
      </c>
      <c r="E231" s="648" t="n"/>
      <c r="F231" s="680" t="n">
        <v>0.6</v>
      </c>
      <c r="G231" s="38" t="n">
        <v>6</v>
      </c>
      <c r="H231" s="680" t="n">
        <v>3.6</v>
      </c>
      <c r="I231" s="680" t="n">
        <v>3.876</v>
      </c>
      <c r="J231" s="38" t="n">
        <v>120</v>
      </c>
      <c r="K231" s="39" t="inlineStr">
        <is>
          <t>СК2</t>
        </is>
      </c>
      <c r="L231" s="38" t="n">
        <v>40</v>
      </c>
      <c r="M231" s="818">
        <f>HYPERLINK("https://abi.ru/products/Охлажденные/Стародворье/Бордо/Сосиски/P002204/","Сосиски Ганноверские Бордо Фикс.вес 0,6 П/а мгс Баварушка")</f>
        <v/>
      </c>
      <c r="N231" s="682" t="n"/>
      <c r="O231" s="682" t="n"/>
      <c r="P231" s="682" t="n"/>
      <c r="Q231" s="648" t="n"/>
      <c r="R231" s="40" t="inlineStr"/>
      <c r="S231" s="40" t="inlineStr"/>
      <c r="T231" s="41" t="inlineStr">
        <is>
          <t>кг</t>
        </is>
      </c>
      <c r="U231" s="683" t="n">
        <v>0</v>
      </c>
      <c r="V231" s="684">
        <f>IFERROR(IF(U231="",0,CEILING((U231/$H231),1)*$H231),"")</f>
        <v/>
      </c>
      <c r="W231" s="42">
        <f>IFERROR(IF(V231=0,"",ROUNDUP(V231/H231,0)*0.00937),"")</f>
        <v/>
      </c>
      <c r="X231" s="69" t="inlineStr"/>
      <c r="Y231" s="70" t="inlineStr"/>
      <c r="AC231" s="71" t="n"/>
      <c r="AZ231" s="203" t="inlineStr">
        <is>
          <t>КИ</t>
        </is>
      </c>
    </row>
    <row r="232" ht="27" customHeight="1">
      <c r="A232" s="64" t="inlineStr">
        <is>
          <t>SU001763</t>
        </is>
      </c>
      <c r="B232" s="64" t="inlineStr">
        <is>
          <t>P002206</t>
        </is>
      </c>
      <c r="C232" s="37" t="n">
        <v>4301051130</v>
      </c>
      <c r="D232" s="323" t="n">
        <v>4607091387537</v>
      </c>
      <c r="E232" s="648" t="n"/>
      <c r="F232" s="680" t="n">
        <v>0.45</v>
      </c>
      <c r="G232" s="38" t="n">
        <v>6</v>
      </c>
      <c r="H232" s="680" t="n">
        <v>2.7</v>
      </c>
      <c r="I232" s="680" t="n">
        <v>2.99</v>
      </c>
      <c r="J232" s="38" t="n">
        <v>156</v>
      </c>
      <c r="K232" s="39" t="inlineStr">
        <is>
          <t>СК2</t>
        </is>
      </c>
      <c r="L232" s="38" t="n">
        <v>40</v>
      </c>
      <c r="M232" s="819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N232" s="682" t="n"/>
      <c r="O232" s="682" t="n"/>
      <c r="P232" s="682" t="n"/>
      <c r="Q232" s="648" t="n"/>
      <c r="R232" s="40" t="inlineStr"/>
      <c r="S232" s="40" t="inlineStr"/>
      <c r="T232" s="41" t="inlineStr">
        <is>
          <t>кг</t>
        </is>
      </c>
      <c r="U232" s="683" t="n">
        <v>0</v>
      </c>
      <c r="V232" s="684">
        <f>IFERROR(IF(U232="",0,CEILING((U232/$H232),1)*$H232),"")</f>
        <v/>
      </c>
      <c r="W232" s="42">
        <f>IFERROR(IF(V232=0,"",ROUNDUP(V232/H232,0)*0.00753),"")</f>
        <v/>
      </c>
      <c r="X232" s="69" t="inlineStr"/>
      <c r="Y232" s="70" t="inlineStr"/>
      <c r="AC232" s="71" t="n"/>
      <c r="AZ232" s="204" t="inlineStr">
        <is>
          <t>КИ</t>
        </is>
      </c>
    </row>
    <row r="233" ht="27" customHeight="1">
      <c r="A233" s="64" t="inlineStr">
        <is>
          <t>SU001762</t>
        </is>
      </c>
      <c r="B233" s="64" t="inlineStr">
        <is>
          <t>P002208</t>
        </is>
      </c>
      <c r="C233" s="37" t="n">
        <v>4301051132</v>
      </c>
      <c r="D233" s="323" t="n">
        <v>4607091387513</v>
      </c>
      <c r="E233" s="648" t="n"/>
      <c r="F233" s="680" t="n">
        <v>0.45</v>
      </c>
      <c r="G233" s="38" t="n">
        <v>6</v>
      </c>
      <c r="H233" s="680" t="n">
        <v>2.7</v>
      </c>
      <c r="I233" s="680" t="n">
        <v>2.978</v>
      </c>
      <c r="J233" s="38" t="n">
        <v>156</v>
      </c>
      <c r="K233" s="39" t="inlineStr">
        <is>
          <t>СК2</t>
        </is>
      </c>
      <c r="L233" s="38" t="n">
        <v>40</v>
      </c>
      <c r="M233" s="820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N233" s="682" t="n"/>
      <c r="O233" s="682" t="n"/>
      <c r="P233" s="682" t="n"/>
      <c r="Q233" s="648" t="n"/>
      <c r="R233" s="40" t="inlineStr"/>
      <c r="S233" s="40" t="inlineStr"/>
      <c r="T233" s="41" t="inlineStr">
        <is>
          <t>кг</t>
        </is>
      </c>
      <c r="U233" s="683" t="n">
        <v>0</v>
      </c>
      <c r="V233" s="684">
        <f>IFERROR(IF(U233="",0,CEILING((U233/$H233),1)*$H233),"")</f>
        <v/>
      </c>
      <c r="W233" s="42">
        <f>IFERROR(IF(V233=0,"",ROUNDUP(V233/H233,0)*0.00753),"")</f>
        <v/>
      </c>
      <c r="X233" s="69" t="inlineStr"/>
      <c r="Y233" s="70" t="inlineStr"/>
      <c r="AC233" s="71" t="n"/>
      <c r="AZ233" s="205" t="inlineStr">
        <is>
          <t>КИ</t>
        </is>
      </c>
    </row>
    <row r="234">
      <c r="A234" s="33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685" t="n"/>
      <c r="M234" s="686" t="inlineStr">
        <is>
          <t>Итого</t>
        </is>
      </c>
      <c r="N234" s="656" t="n"/>
      <c r="O234" s="656" t="n"/>
      <c r="P234" s="656" t="n"/>
      <c r="Q234" s="656" t="n"/>
      <c r="R234" s="656" t="n"/>
      <c r="S234" s="657" t="n"/>
      <c r="T234" s="43" t="inlineStr">
        <is>
          <t>кор</t>
        </is>
      </c>
      <c r="U234" s="687">
        <f>IFERROR(U228/H228,"0")+IFERROR(U229/H229,"0")+IFERROR(U230/H230,"0")+IFERROR(U231/H231,"0")+IFERROR(U232/H232,"0")+IFERROR(U233/H233,"0")</f>
        <v/>
      </c>
      <c r="V234" s="687">
        <f>IFERROR(V228/H228,"0")+IFERROR(V229/H229,"0")+IFERROR(V230/H230,"0")+IFERROR(V231/H231,"0")+IFERROR(V232/H232,"0")+IFERROR(V233/H233,"0")</f>
        <v/>
      </c>
      <c r="W234" s="687">
        <f>IFERROR(IF(W228="",0,W228),"0")+IFERROR(IF(W229="",0,W229),"0")+IFERROR(IF(W230="",0,W230),"0")+IFERROR(IF(W231="",0,W231),"0")+IFERROR(IF(W232="",0,W232),"0")+IFERROR(IF(W233="",0,W233),"0")</f>
        <v/>
      </c>
      <c r="X234" s="688" t="n"/>
      <c r="Y234" s="688" t="n"/>
    </row>
    <row r="235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685" t="n"/>
      <c r="M235" s="686" t="inlineStr">
        <is>
          <t>Итого</t>
        </is>
      </c>
      <c r="N235" s="656" t="n"/>
      <c r="O235" s="656" t="n"/>
      <c r="P235" s="656" t="n"/>
      <c r="Q235" s="656" t="n"/>
      <c r="R235" s="656" t="n"/>
      <c r="S235" s="657" t="n"/>
      <c r="T235" s="43" t="inlineStr">
        <is>
          <t>кг</t>
        </is>
      </c>
      <c r="U235" s="687">
        <f>IFERROR(SUM(U228:U233),"0")</f>
        <v/>
      </c>
      <c r="V235" s="687">
        <f>IFERROR(SUM(V228:V233),"0")</f>
        <v/>
      </c>
      <c r="W235" s="43" t="n"/>
      <c r="X235" s="688" t="n"/>
      <c r="Y235" s="688" t="n"/>
    </row>
    <row r="236" ht="14.25" customHeight="1">
      <c r="A236" s="322" t="inlineStr">
        <is>
          <t>Сардельки</t>
        </is>
      </c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322" t="n"/>
      <c r="Y236" s="322" t="n"/>
    </row>
    <row r="237" ht="16.5" customHeight="1">
      <c r="A237" s="64" t="inlineStr">
        <is>
          <t>SU001051</t>
        </is>
      </c>
      <c r="B237" s="64" t="inlineStr">
        <is>
          <t>P002061</t>
        </is>
      </c>
      <c r="C237" s="37" t="n">
        <v>4301060326</v>
      </c>
      <c r="D237" s="323" t="n">
        <v>4607091380880</v>
      </c>
      <c r="E237" s="648" t="n"/>
      <c r="F237" s="680" t="n">
        <v>1.4</v>
      </c>
      <c r="G237" s="38" t="n">
        <v>6</v>
      </c>
      <c r="H237" s="680" t="n">
        <v>8.4</v>
      </c>
      <c r="I237" s="680" t="n">
        <v>8.964</v>
      </c>
      <c r="J237" s="38" t="n">
        <v>56</v>
      </c>
      <c r="K237" s="39" t="inlineStr">
        <is>
          <t>СК2</t>
        </is>
      </c>
      <c r="L237" s="38" t="n">
        <v>30</v>
      </c>
      <c r="M237" s="821">
        <f>HYPERLINK("https://abi.ru/products/Охлажденные/Стародворье/Бордо/Сардельки/P002061/","Сардельки Нежные Бордо Весовые н/о мгс Стародворье")</f>
        <v/>
      </c>
      <c r="N237" s="682" t="n"/>
      <c r="O237" s="682" t="n"/>
      <c r="P237" s="682" t="n"/>
      <c r="Q237" s="648" t="n"/>
      <c r="R237" s="40" t="inlineStr"/>
      <c r="S237" s="40" t="inlineStr"/>
      <c r="T237" s="41" t="inlineStr">
        <is>
          <t>кг</t>
        </is>
      </c>
      <c r="U237" s="683" t="n">
        <v>405</v>
      </c>
      <c r="V237" s="684">
        <f>IFERROR(IF(U237="",0,CEILING((U237/$H237),1)*$H237),"")</f>
        <v/>
      </c>
      <c r="W237" s="42">
        <f>IFERROR(IF(V237=0,"",ROUNDUP(V237/H237,0)*0.02175),"")</f>
        <v/>
      </c>
      <c r="X237" s="69" t="inlineStr"/>
      <c r="Y237" s="70" t="inlineStr"/>
      <c r="AC237" s="71" t="n"/>
      <c r="AZ237" s="206" t="inlineStr">
        <is>
          <t>КИ</t>
        </is>
      </c>
    </row>
    <row r="238" ht="27" customHeight="1">
      <c r="A238" s="64" t="inlineStr">
        <is>
          <t>SU000227</t>
        </is>
      </c>
      <c r="B238" s="64" t="inlineStr">
        <is>
          <t>P002536</t>
        </is>
      </c>
      <c r="C238" s="37" t="n">
        <v>4301060308</v>
      </c>
      <c r="D238" s="323" t="n">
        <v>4607091384482</v>
      </c>
      <c r="E238" s="648" t="n"/>
      <c r="F238" s="680" t="n">
        <v>1.3</v>
      </c>
      <c r="G238" s="38" t="n">
        <v>6</v>
      </c>
      <c r="H238" s="680" t="n">
        <v>7.8</v>
      </c>
      <c r="I238" s="680" t="n">
        <v>8.364000000000001</v>
      </c>
      <c r="J238" s="38" t="n">
        <v>56</v>
      </c>
      <c r="K238" s="39" t="inlineStr">
        <is>
          <t>СК2</t>
        </is>
      </c>
      <c r="L238" s="38" t="n">
        <v>30</v>
      </c>
      <c r="M238" s="822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N238" s="682" t="n"/>
      <c r="O238" s="682" t="n"/>
      <c r="P238" s="682" t="n"/>
      <c r="Q238" s="648" t="n"/>
      <c r="R238" s="40" t="inlineStr"/>
      <c r="S238" s="40" t="inlineStr"/>
      <c r="T238" s="41" t="inlineStr">
        <is>
          <t>кг</t>
        </is>
      </c>
      <c r="U238" s="683" t="n">
        <v>0</v>
      </c>
      <c r="V238" s="684">
        <f>IFERROR(IF(U238="",0,CEILING((U238/$H238),1)*$H238),"")</f>
        <v/>
      </c>
      <c r="W238" s="42">
        <f>IFERROR(IF(V238=0,"",ROUNDUP(V238/H238,0)*0.02175),"")</f>
        <v/>
      </c>
      <c r="X238" s="69" t="inlineStr"/>
      <c r="Y238" s="70" t="inlineStr"/>
      <c r="AC238" s="71" t="n"/>
      <c r="AZ238" s="207" t="inlineStr">
        <is>
          <t>КИ</t>
        </is>
      </c>
    </row>
    <row r="239" ht="16.5" customHeight="1">
      <c r="A239" s="64" t="inlineStr">
        <is>
          <t>SU001430</t>
        </is>
      </c>
      <c r="B239" s="64" t="inlineStr">
        <is>
          <t>P002036</t>
        </is>
      </c>
      <c r="C239" s="37" t="n">
        <v>4301060325</v>
      </c>
      <c r="D239" s="323" t="n">
        <v>4607091380897</v>
      </c>
      <c r="E239" s="648" t="n"/>
      <c r="F239" s="680" t="n">
        <v>1.4</v>
      </c>
      <c r="G239" s="38" t="n">
        <v>6</v>
      </c>
      <c r="H239" s="680" t="n">
        <v>8.4</v>
      </c>
      <c r="I239" s="680" t="n">
        <v>8.964</v>
      </c>
      <c r="J239" s="38" t="n">
        <v>56</v>
      </c>
      <c r="K239" s="39" t="inlineStr">
        <is>
          <t>СК2</t>
        </is>
      </c>
      <c r="L239" s="38" t="n">
        <v>30</v>
      </c>
      <c r="M239" s="823">
        <f>HYPERLINK("https://abi.ru/products/Охлажденные/Стародворье/Бордо/Сардельки/P002036/","Сардельки Шпикачки Бордо Весовые NDX мгс Стародворье")</f>
        <v/>
      </c>
      <c r="N239" s="682" t="n"/>
      <c r="O239" s="682" t="n"/>
      <c r="P239" s="682" t="n"/>
      <c r="Q239" s="648" t="n"/>
      <c r="R239" s="40" t="inlineStr"/>
      <c r="S239" s="40" t="inlineStr"/>
      <c r="T239" s="41" t="inlineStr">
        <is>
          <t>кг</t>
        </is>
      </c>
      <c r="U239" s="683" t="n">
        <v>0</v>
      </c>
      <c r="V239" s="684">
        <f>IFERROR(IF(U239="",0,CEILING((U239/$H239),1)*$H239),"")</f>
        <v/>
      </c>
      <c r="W239" s="42">
        <f>IFERROR(IF(V239=0,"",ROUNDUP(V239/H239,0)*0.02175),"")</f>
        <v/>
      </c>
      <c r="X239" s="69" t="inlineStr"/>
      <c r="Y239" s="70" t="inlineStr"/>
      <c r="AC239" s="71" t="n"/>
      <c r="AZ239" s="208" t="inlineStr">
        <is>
          <t>КИ</t>
        </is>
      </c>
    </row>
    <row r="240">
      <c r="A240" s="33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685" t="n"/>
      <c r="M240" s="686" t="inlineStr">
        <is>
          <t>Итого</t>
        </is>
      </c>
      <c r="N240" s="656" t="n"/>
      <c r="O240" s="656" t="n"/>
      <c r="P240" s="656" t="n"/>
      <c r="Q240" s="656" t="n"/>
      <c r="R240" s="656" t="n"/>
      <c r="S240" s="657" t="n"/>
      <c r="T240" s="43" t="inlineStr">
        <is>
          <t>кор</t>
        </is>
      </c>
      <c r="U240" s="687">
        <f>IFERROR(U237/H237,"0")+IFERROR(U238/H238,"0")+IFERROR(U239/H239,"0")</f>
        <v/>
      </c>
      <c r="V240" s="687">
        <f>IFERROR(V237/H237,"0")+IFERROR(V238/H238,"0")+IFERROR(V239/H239,"0")</f>
        <v/>
      </c>
      <c r="W240" s="687">
        <f>IFERROR(IF(W237="",0,W237),"0")+IFERROR(IF(W238="",0,W238),"0")+IFERROR(IF(W239="",0,W239),"0")</f>
        <v/>
      </c>
      <c r="X240" s="688" t="n"/>
      <c r="Y240" s="688" t="n"/>
    </row>
    <row r="241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685" t="n"/>
      <c r="M241" s="686" t="inlineStr">
        <is>
          <t>Итого</t>
        </is>
      </c>
      <c r="N241" s="656" t="n"/>
      <c r="O241" s="656" t="n"/>
      <c r="P241" s="656" t="n"/>
      <c r="Q241" s="656" t="n"/>
      <c r="R241" s="656" t="n"/>
      <c r="S241" s="657" t="n"/>
      <c r="T241" s="43" t="inlineStr">
        <is>
          <t>кг</t>
        </is>
      </c>
      <c r="U241" s="687">
        <f>IFERROR(SUM(U237:U239),"0")</f>
        <v/>
      </c>
      <c r="V241" s="687">
        <f>IFERROR(SUM(V237:V239),"0")</f>
        <v/>
      </c>
      <c r="W241" s="43" t="n"/>
      <c r="X241" s="688" t="n"/>
      <c r="Y241" s="688" t="n"/>
    </row>
    <row r="242" ht="14.25" customHeight="1">
      <c r="A242" s="322" t="inlineStr">
        <is>
          <t>Сырокопченые колбасы</t>
        </is>
      </c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322" t="n"/>
      <c r="Y242" s="322" t="n"/>
    </row>
    <row r="243" ht="16.5" customHeight="1">
      <c r="A243" s="64" t="inlineStr">
        <is>
          <t>SU001920</t>
        </is>
      </c>
      <c r="B243" s="64" t="inlineStr">
        <is>
          <t>P001900</t>
        </is>
      </c>
      <c r="C243" s="37" t="n">
        <v>4301030232</v>
      </c>
      <c r="D243" s="323" t="n">
        <v>4607091388374</v>
      </c>
      <c r="E243" s="648" t="n"/>
      <c r="F243" s="680" t="n">
        <v>0.38</v>
      </c>
      <c r="G243" s="38" t="n">
        <v>8</v>
      </c>
      <c r="H243" s="680" t="n">
        <v>3.04</v>
      </c>
      <c r="I243" s="680" t="n">
        <v>3.28</v>
      </c>
      <c r="J243" s="38" t="n">
        <v>156</v>
      </c>
      <c r="K243" s="39" t="inlineStr">
        <is>
          <t>АК</t>
        </is>
      </c>
      <c r="L243" s="38" t="n">
        <v>180</v>
      </c>
      <c r="M243" s="824" t="inlineStr">
        <is>
          <t>С/к колбасы Княжеская Бордо Весовые б/о терм/п Стародворье</t>
        </is>
      </c>
      <c r="N243" s="682" t="n"/>
      <c r="O243" s="682" t="n"/>
      <c r="P243" s="682" t="n"/>
      <c r="Q243" s="648" t="n"/>
      <c r="R243" s="40" t="inlineStr"/>
      <c r="S243" s="40" t="inlineStr"/>
      <c r="T243" s="41" t="inlineStr">
        <is>
          <t>кг</t>
        </is>
      </c>
      <c r="U243" s="683" t="n">
        <v>0</v>
      </c>
      <c r="V243" s="684">
        <f>IFERROR(IF(U243="",0,CEILING((U243/$H243),1)*$H243),"")</f>
        <v/>
      </c>
      <c r="W243" s="42">
        <f>IFERROR(IF(V243=0,"",ROUNDUP(V243/H243,0)*0.00753),"")</f>
        <v/>
      </c>
      <c r="X243" s="69" t="inlineStr"/>
      <c r="Y243" s="70" t="inlineStr"/>
      <c r="AC243" s="71" t="n"/>
      <c r="AZ243" s="209" t="inlineStr">
        <is>
          <t>КИ</t>
        </is>
      </c>
    </row>
    <row r="244" ht="27" customHeight="1">
      <c r="A244" s="64" t="inlineStr">
        <is>
          <t>SU001921</t>
        </is>
      </c>
      <c r="B244" s="64" t="inlineStr">
        <is>
          <t>P001916</t>
        </is>
      </c>
      <c r="C244" s="37" t="n">
        <v>4301030235</v>
      </c>
      <c r="D244" s="323" t="n">
        <v>4607091388381</v>
      </c>
      <c r="E244" s="648" t="n"/>
      <c r="F244" s="680" t="n">
        <v>0.38</v>
      </c>
      <c r="G244" s="38" t="n">
        <v>8</v>
      </c>
      <c r="H244" s="680" t="n">
        <v>3.04</v>
      </c>
      <c r="I244" s="680" t="n">
        <v>3.32</v>
      </c>
      <c r="J244" s="38" t="n">
        <v>156</v>
      </c>
      <c r="K244" s="39" t="inlineStr">
        <is>
          <t>АК</t>
        </is>
      </c>
      <c r="L244" s="38" t="n">
        <v>180</v>
      </c>
      <c r="M244" s="825" t="inlineStr">
        <is>
          <t>С/к колбасы Салями Охотничья Бордо Весовые б/о терм/п 180 Стародворье</t>
        </is>
      </c>
      <c r="N244" s="682" t="n"/>
      <c r="O244" s="682" t="n"/>
      <c r="P244" s="682" t="n"/>
      <c r="Q244" s="648" t="n"/>
      <c r="R244" s="40" t="inlineStr"/>
      <c r="S244" s="40" t="inlineStr"/>
      <c r="T244" s="41" t="inlineStr">
        <is>
          <t>кг</t>
        </is>
      </c>
      <c r="U244" s="683" t="n">
        <v>0</v>
      </c>
      <c r="V244" s="684">
        <f>IFERROR(IF(U244="",0,CEILING((U244/$H244),1)*$H244),"")</f>
        <v/>
      </c>
      <c r="W244" s="42">
        <f>IFERROR(IF(V244=0,"",ROUNDUP(V244/H244,0)*0.00753),"")</f>
        <v/>
      </c>
      <c r="X244" s="69" t="inlineStr"/>
      <c r="Y244" s="70" t="inlineStr"/>
      <c r="AC244" s="71" t="n"/>
      <c r="AZ244" s="210" t="inlineStr">
        <is>
          <t>КИ</t>
        </is>
      </c>
    </row>
    <row r="245" ht="27" customHeight="1">
      <c r="A245" s="64" t="inlineStr">
        <is>
          <t>SU001869</t>
        </is>
      </c>
      <c r="B245" s="64" t="inlineStr">
        <is>
          <t>P001909</t>
        </is>
      </c>
      <c r="C245" s="37" t="n">
        <v>4301030233</v>
      </c>
      <c r="D245" s="323" t="n">
        <v>4607091388404</v>
      </c>
      <c r="E245" s="648" t="n"/>
      <c r="F245" s="680" t="n">
        <v>0.17</v>
      </c>
      <c r="G245" s="38" t="n">
        <v>15</v>
      </c>
      <c r="H245" s="680" t="n">
        <v>2.55</v>
      </c>
      <c r="I245" s="680" t="n">
        <v>2.9</v>
      </c>
      <c r="J245" s="38" t="n">
        <v>156</v>
      </c>
      <c r="K245" s="39" t="inlineStr">
        <is>
          <t>АК</t>
        </is>
      </c>
      <c r="L245" s="38" t="n">
        <v>180</v>
      </c>
      <c r="M245" s="826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N245" s="682" t="n"/>
      <c r="O245" s="682" t="n"/>
      <c r="P245" s="682" t="n"/>
      <c r="Q245" s="648" t="n"/>
      <c r="R245" s="40" t="inlineStr"/>
      <c r="S245" s="40" t="inlineStr"/>
      <c r="T245" s="41" t="inlineStr">
        <is>
          <t>кг</t>
        </is>
      </c>
      <c r="U245" s="683" t="n">
        <v>39.1</v>
      </c>
      <c r="V245" s="684">
        <f>IFERROR(IF(U245="",0,CEILING((U245/$H245),1)*$H245),"")</f>
        <v/>
      </c>
      <c r="W245" s="42">
        <f>IFERROR(IF(V245=0,"",ROUNDUP(V245/H245,0)*0.00753),"")</f>
        <v/>
      </c>
      <c r="X245" s="69" t="inlineStr"/>
      <c r="Y245" s="70" t="inlineStr"/>
      <c r="AC245" s="71" t="n"/>
      <c r="AZ245" s="211" t="inlineStr">
        <is>
          <t>КИ</t>
        </is>
      </c>
    </row>
    <row r="246">
      <c r="A246" s="33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685" t="n"/>
      <c r="M246" s="686" t="inlineStr">
        <is>
          <t>Итого</t>
        </is>
      </c>
      <c r="N246" s="656" t="n"/>
      <c r="O246" s="656" t="n"/>
      <c r="P246" s="656" t="n"/>
      <c r="Q246" s="656" t="n"/>
      <c r="R246" s="656" t="n"/>
      <c r="S246" s="657" t="n"/>
      <c r="T246" s="43" t="inlineStr">
        <is>
          <t>кор</t>
        </is>
      </c>
      <c r="U246" s="687">
        <f>IFERROR(U243/H243,"0")+IFERROR(U244/H244,"0")+IFERROR(U245/H245,"0")</f>
        <v/>
      </c>
      <c r="V246" s="687">
        <f>IFERROR(V243/H243,"0")+IFERROR(V244/H244,"0")+IFERROR(V245/H245,"0")</f>
        <v/>
      </c>
      <c r="W246" s="687">
        <f>IFERROR(IF(W243="",0,W243),"0")+IFERROR(IF(W244="",0,W244),"0")+IFERROR(IF(W245="",0,W245),"0")</f>
        <v/>
      </c>
      <c r="X246" s="688" t="n"/>
      <c r="Y246" s="688" t="n"/>
    </row>
    <row r="247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685" t="n"/>
      <c r="M247" s="686" t="inlineStr">
        <is>
          <t>Итого</t>
        </is>
      </c>
      <c r="N247" s="656" t="n"/>
      <c r="O247" s="656" t="n"/>
      <c r="P247" s="656" t="n"/>
      <c r="Q247" s="656" t="n"/>
      <c r="R247" s="656" t="n"/>
      <c r="S247" s="657" t="n"/>
      <c r="T247" s="43" t="inlineStr">
        <is>
          <t>кг</t>
        </is>
      </c>
      <c r="U247" s="687">
        <f>IFERROR(SUM(U243:U245),"0")</f>
        <v/>
      </c>
      <c r="V247" s="687">
        <f>IFERROR(SUM(V243:V245),"0")</f>
        <v/>
      </c>
      <c r="W247" s="43" t="n"/>
      <c r="X247" s="688" t="n"/>
      <c r="Y247" s="688" t="n"/>
    </row>
    <row r="248" ht="14.25" customHeight="1">
      <c r="A248" s="322" t="inlineStr">
        <is>
          <t>Паштеты</t>
        </is>
      </c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322" t="n"/>
      <c r="Y248" s="322" t="n"/>
    </row>
    <row r="249" ht="16.5" customHeight="1">
      <c r="A249" s="64" t="inlineStr">
        <is>
          <t>SU002841</t>
        </is>
      </c>
      <c r="B249" s="64" t="inlineStr">
        <is>
          <t>P003253</t>
        </is>
      </c>
      <c r="C249" s="37" t="n">
        <v>4301180007</v>
      </c>
      <c r="D249" s="323" t="n">
        <v>4680115881808</v>
      </c>
      <c r="E249" s="648" t="n"/>
      <c r="F249" s="680" t="n">
        <v>0.1</v>
      </c>
      <c r="G249" s="38" t="n">
        <v>20</v>
      </c>
      <c r="H249" s="680" t="n">
        <v>2</v>
      </c>
      <c r="I249" s="680" t="n">
        <v>2.24</v>
      </c>
      <c r="J249" s="38" t="n">
        <v>238</v>
      </c>
      <c r="K249" s="39" t="inlineStr">
        <is>
          <t>РК</t>
        </is>
      </c>
      <c r="L249" s="38" t="n">
        <v>730</v>
      </c>
      <c r="M249" s="827">
        <f>HYPERLINK("https://abi.ru/products/Охлажденные/Стародворье/Бордо/Паштеты/P003253/","Паштеты «Любительский ГОСТ» Фикс.вес 0,1 ТМ «Стародворье»")</f>
        <v/>
      </c>
      <c r="N249" s="682" t="n"/>
      <c r="O249" s="682" t="n"/>
      <c r="P249" s="682" t="n"/>
      <c r="Q249" s="648" t="n"/>
      <c r="R249" s="40" t="inlineStr"/>
      <c r="S249" s="40" t="inlineStr"/>
      <c r="T249" s="41" t="inlineStr">
        <is>
          <t>кг</t>
        </is>
      </c>
      <c r="U249" s="683" t="n">
        <v>0</v>
      </c>
      <c r="V249" s="684">
        <f>IFERROR(IF(U249="",0,CEILING((U249/$H249),1)*$H249),"")</f>
        <v/>
      </c>
      <c r="W249" s="42">
        <f>IFERROR(IF(V249=0,"",ROUNDUP(V249/H249,0)*0.00474),"")</f>
        <v/>
      </c>
      <c r="X249" s="69" t="inlineStr"/>
      <c r="Y249" s="70" t="inlineStr"/>
      <c r="AC249" s="71" t="n"/>
      <c r="AZ249" s="212" t="inlineStr">
        <is>
          <t>КИ</t>
        </is>
      </c>
    </row>
    <row r="250" ht="27" customHeight="1">
      <c r="A250" s="64" t="inlineStr">
        <is>
          <t>SU002840</t>
        </is>
      </c>
      <c r="B250" s="64" t="inlineStr">
        <is>
          <t>P003252</t>
        </is>
      </c>
      <c r="C250" s="37" t="n">
        <v>4301180006</v>
      </c>
      <c r="D250" s="323" t="n">
        <v>4680115881822</v>
      </c>
      <c r="E250" s="648" t="n"/>
      <c r="F250" s="680" t="n">
        <v>0.1</v>
      </c>
      <c r="G250" s="38" t="n">
        <v>20</v>
      </c>
      <c r="H250" s="680" t="n">
        <v>2</v>
      </c>
      <c r="I250" s="680" t="n">
        <v>2.24</v>
      </c>
      <c r="J250" s="38" t="n">
        <v>238</v>
      </c>
      <c r="K250" s="39" t="inlineStr">
        <is>
          <t>РК</t>
        </is>
      </c>
      <c r="L250" s="38" t="n">
        <v>730</v>
      </c>
      <c r="M250" s="828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N250" s="682" t="n"/>
      <c r="O250" s="682" t="n"/>
      <c r="P250" s="682" t="n"/>
      <c r="Q250" s="648" t="n"/>
      <c r="R250" s="40" t="inlineStr"/>
      <c r="S250" s="40" t="inlineStr"/>
      <c r="T250" s="41" t="inlineStr">
        <is>
          <t>кг</t>
        </is>
      </c>
      <c r="U250" s="683" t="n">
        <v>0</v>
      </c>
      <c r="V250" s="684">
        <f>IFERROR(IF(U250="",0,CEILING((U250/$H250),1)*$H250),"")</f>
        <v/>
      </c>
      <c r="W250" s="42">
        <f>IFERROR(IF(V250=0,"",ROUNDUP(V250/H250,0)*0.00474),"")</f>
        <v/>
      </c>
      <c r="X250" s="69" t="inlineStr"/>
      <c r="Y250" s="70" t="inlineStr"/>
      <c r="AC250" s="71" t="n"/>
      <c r="AZ250" s="213" t="inlineStr">
        <is>
          <t>КИ</t>
        </is>
      </c>
    </row>
    <row r="251" ht="27" customHeight="1">
      <c r="A251" s="64" t="inlineStr">
        <is>
          <t>SU002368</t>
        </is>
      </c>
      <c r="B251" s="64" t="inlineStr">
        <is>
          <t>P002648</t>
        </is>
      </c>
      <c r="C251" s="37" t="n">
        <v>4301180001</v>
      </c>
      <c r="D251" s="323" t="n">
        <v>4680115880016</v>
      </c>
      <c r="E251" s="648" t="n"/>
      <c r="F251" s="680" t="n">
        <v>0.1</v>
      </c>
      <c r="G251" s="38" t="n">
        <v>20</v>
      </c>
      <c r="H251" s="680" t="n">
        <v>2</v>
      </c>
      <c r="I251" s="680" t="n">
        <v>2.24</v>
      </c>
      <c r="J251" s="38" t="n">
        <v>238</v>
      </c>
      <c r="K251" s="39" t="inlineStr">
        <is>
          <t>РК</t>
        </is>
      </c>
      <c r="L251" s="38" t="n">
        <v>730</v>
      </c>
      <c r="M251" s="829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N251" s="682" t="n"/>
      <c r="O251" s="682" t="n"/>
      <c r="P251" s="682" t="n"/>
      <c r="Q251" s="648" t="n"/>
      <c r="R251" s="40" t="inlineStr"/>
      <c r="S251" s="40" t="inlineStr"/>
      <c r="T251" s="41" t="inlineStr">
        <is>
          <t>кг</t>
        </is>
      </c>
      <c r="U251" s="683" t="n">
        <v>0</v>
      </c>
      <c r="V251" s="684">
        <f>IFERROR(IF(U251="",0,CEILING((U251/$H251),1)*$H251),"")</f>
        <v/>
      </c>
      <c r="W251" s="42">
        <f>IFERROR(IF(V251=0,"",ROUNDUP(V251/H251,0)*0.00474),"")</f>
        <v/>
      </c>
      <c r="X251" s="69" t="inlineStr"/>
      <c r="Y251" s="70" t="inlineStr"/>
      <c r="AC251" s="71" t="n"/>
      <c r="AZ251" s="214" t="inlineStr">
        <is>
          <t>КИ</t>
        </is>
      </c>
    </row>
    <row r="252">
      <c r="A252" s="33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685" t="n"/>
      <c r="M252" s="686" t="inlineStr">
        <is>
          <t>Итого</t>
        </is>
      </c>
      <c r="N252" s="656" t="n"/>
      <c r="O252" s="656" t="n"/>
      <c r="P252" s="656" t="n"/>
      <c r="Q252" s="656" t="n"/>
      <c r="R252" s="656" t="n"/>
      <c r="S252" s="657" t="n"/>
      <c r="T252" s="43" t="inlineStr">
        <is>
          <t>кор</t>
        </is>
      </c>
      <c r="U252" s="687">
        <f>IFERROR(U249/H249,"0")+IFERROR(U250/H250,"0")+IFERROR(U251/H251,"0")</f>
        <v/>
      </c>
      <c r="V252" s="687">
        <f>IFERROR(V249/H249,"0")+IFERROR(V250/H250,"0")+IFERROR(V251/H251,"0")</f>
        <v/>
      </c>
      <c r="W252" s="687">
        <f>IFERROR(IF(W249="",0,W249),"0")+IFERROR(IF(W250="",0,W250),"0")+IFERROR(IF(W251="",0,W251),"0")</f>
        <v/>
      </c>
      <c r="X252" s="688" t="n"/>
      <c r="Y252" s="688" t="n"/>
    </row>
    <row r="253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685" t="n"/>
      <c r="M253" s="686" t="inlineStr">
        <is>
          <t>Итого</t>
        </is>
      </c>
      <c r="N253" s="656" t="n"/>
      <c r="O253" s="656" t="n"/>
      <c r="P253" s="656" t="n"/>
      <c r="Q253" s="656" t="n"/>
      <c r="R253" s="656" t="n"/>
      <c r="S253" s="657" t="n"/>
      <c r="T253" s="43" t="inlineStr">
        <is>
          <t>кг</t>
        </is>
      </c>
      <c r="U253" s="687">
        <f>IFERROR(SUM(U249:U251),"0")</f>
        <v/>
      </c>
      <c r="V253" s="687">
        <f>IFERROR(SUM(V249:V251),"0")</f>
        <v/>
      </c>
      <c r="W253" s="43" t="n"/>
      <c r="X253" s="688" t="n"/>
      <c r="Y253" s="688" t="n"/>
    </row>
    <row r="254" ht="16.5" customHeight="1">
      <c r="A254" s="321" t="inlineStr">
        <is>
          <t>Фирменная</t>
        </is>
      </c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321" t="n"/>
      <c r="Y254" s="321" t="n"/>
    </row>
    <row r="255" ht="14.25" customHeight="1">
      <c r="A255" s="322" t="inlineStr">
        <is>
          <t>Вареные колбасы</t>
        </is>
      </c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322" t="n"/>
      <c r="Y255" s="322" t="n"/>
    </row>
    <row r="256" ht="27" customHeight="1">
      <c r="A256" s="64" t="inlineStr">
        <is>
          <t>SU001793</t>
        </is>
      </c>
      <c r="B256" s="64" t="inlineStr">
        <is>
          <t>P001793</t>
        </is>
      </c>
      <c r="C256" s="37" t="n">
        <v>4301011315</v>
      </c>
      <c r="D256" s="323" t="n">
        <v>4607091387421</v>
      </c>
      <c r="E256" s="648" t="n"/>
      <c r="F256" s="680" t="n">
        <v>1.35</v>
      </c>
      <c r="G256" s="38" t="n">
        <v>8</v>
      </c>
      <c r="H256" s="680" t="n">
        <v>10.8</v>
      </c>
      <c r="I256" s="680" t="n">
        <v>11.28</v>
      </c>
      <c r="J256" s="38" t="n">
        <v>56</v>
      </c>
      <c r="K256" s="39" t="inlineStr">
        <is>
          <t>СК1</t>
        </is>
      </c>
      <c r="L256" s="38" t="n">
        <v>55</v>
      </c>
      <c r="M256" s="830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N256" s="682" t="n"/>
      <c r="O256" s="682" t="n"/>
      <c r="P256" s="682" t="n"/>
      <c r="Q256" s="648" t="n"/>
      <c r="R256" s="40" t="inlineStr"/>
      <c r="S256" s="40" t="inlineStr"/>
      <c r="T256" s="41" t="inlineStr">
        <is>
          <t>кг</t>
        </is>
      </c>
      <c r="U256" s="683" t="n">
        <v>0</v>
      </c>
      <c r="V256" s="684">
        <f>IFERROR(IF(U256="",0,CEILING((U256/$H256),1)*$H256),"")</f>
        <v/>
      </c>
      <c r="W256" s="42">
        <f>IFERROR(IF(V256=0,"",ROUNDUP(V256/H256,0)*0.02175),"")</f>
        <v/>
      </c>
      <c r="X256" s="69" t="inlineStr"/>
      <c r="Y256" s="70" t="inlineStr"/>
      <c r="AC256" s="71" t="n"/>
      <c r="AZ256" s="215" t="inlineStr">
        <is>
          <t>КИ</t>
        </is>
      </c>
    </row>
    <row r="257" ht="27" customHeight="1">
      <c r="A257" s="64" t="inlineStr">
        <is>
          <t>SU001793</t>
        </is>
      </c>
      <c r="B257" s="64" t="inlineStr">
        <is>
          <t>P002227</t>
        </is>
      </c>
      <c r="C257" s="37" t="n">
        <v>4301011121</v>
      </c>
      <c r="D257" s="323" t="n">
        <v>4607091387421</v>
      </c>
      <c r="E257" s="648" t="n"/>
      <c r="F257" s="680" t="n">
        <v>1.35</v>
      </c>
      <c r="G257" s="38" t="n">
        <v>8</v>
      </c>
      <c r="H257" s="680" t="n">
        <v>10.8</v>
      </c>
      <c r="I257" s="680" t="n">
        <v>11.28</v>
      </c>
      <c r="J257" s="38" t="n">
        <v>48</v>
      </c>
      <c r="K257" s="39" t="inlineStr">
        <is>
          <t>ВЗ</t>
        </is>
      </c>
      <c r="L257" s="38" t="n">
        <v>55</v>
      </c>
      <c r="M257" s="831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N257" s="682" t="n"/>
      <c r="O257" s="682" t="n"/>
      <c r="P257" s="682" t="n"/>
      <c r="Q257" s="648" t="n"/>
      <c r="R257" s="40" t="inlineStr"/>
      <c r="S257" s="40" t="inlineStr"/>
      <c r="T257" s="41" t="inlineStr">
        <is>
          <t>кг</t>
        </is>
      </c>
      <c r="U257" s="683" t="n">
        <v>0</v>
      </c>
      <c r="V257" s="684">
        <f>IFERROR(IF(U257="",0,CEILING((U257/$H257),1)*$H257),"")</f>
        <v/>
      </c>
      <c r="W257" s="42">
        <f>IFERROR(IF(V257=0,"",ROUNDUP(V257/H257,0)*0.02039),"")</f>
        <v/>
      </c>
      <c r="X257" s="69" t="inlineStr"/>
      <c r="Y257" s="70" t="inlineStr"/>
      <c r="AC257" s="71" t="n"/>
      <c r="AZ257" s="216" t="inlineStr">
        <is>
          <t>КИ</t>
        </is>
      </c>
    </row>
    <row r="258" ht="27" customHeight="1">
      <c r="A258" s="64" t="inlineStr">
        <is>
          <t>SU001799</t>
        </is>
      </c>
      <c r="B258" s="64" t="inlineStr">
        <is>
          <t>P003673</t>
        </is>
      </c>
      <c r="C258" s="37" t="n">
        <v>4301011619</v>
      </c>
      <c r="D258" s="323" t="n">
        <v>4607091387452</v>
      </c>
      <c r="E258" s="648" t="n"/>
      <c r="F258" s="680" t="n">
        <v>1.45</v>
      </c>
      <c r="G258" s="38" t="n">
        <v>8</v>
      </c>
      <c r="H258" s="680" t="n">
        <v>11.6</v>
      </c>
      <c r="I258" s="680" t="n">
        <v>12.08</v>
      </c>
      <c r="J258" s="38" t="n">
        <v>56</v>
      </c>
      <c r="K258" s="39" t="inlineStr">
        <is>
          <t>СК1</t>
        </is>
      </c>
      <c r="L258" s="38" t="n">
        <v>55</v>
      </c>
      <c r="M258" s="832" t="inlineStr">
        <is>
          <t>Вареные колбасы Молочная По-стародворски Фирменная Весовые П/а Стародворье</t>
        </is>
      </c>
      <c r="N258" s="682" t="n"/>
      <c r="O258" s="682" t="n"/>
      <c r="P258" s="682" t="n"/>
      <c r="Q258" s="648" t="n"/>
      <c r="R258" s="40" t="inlineStr"/>
      <c r="S258" s="40" t="inlineStr"/>
      <c r="T258" s="41" t="inlineStr">
        <is>
          <t>кг</t>
        </is>
      </c>
      <c r="U258" s="683" t="n">
        <v>0</v>
      </c>
      <c r="V258" s="684">
        <f>IFERROR(IF(U258="",0,CEILING((U258/$H258),1)*$H258),"")</f>
        <v/>
      </c>
      <c r="W258" s="42">
        <f>IFERROR(IF(V258=0,"",ROUNDUP(V258/H258,0)*0.02175),"")</f>
        <v/>
      </c>
      <c r="X258" s="69" t="inlineStr"/>
      <c r="Y258" s="70" t="inlineStr"/>
      <c r="AC258" s="71" t="n"/>
      <c r="AZ258" s="217" t="inlineStr">
        <is>
          <t>КИ</t>
        </is>
      </c>
    </row>
    <row r="259" ht="27" customHeight="1">
      <c r="A259" s="64" t="inlineStr">
        <is>
          <t>SU001799</t>
        </is>
      </c>
      <c r="B259" s="64" t="inlineStr">
        <is>
          <t>P003076</t>
        </is>
      </c>
      <c r="C259" s="37" t="n">
        <v>4301011396</v>
      </c>
      <c r="D259" s="323" t="n">
        <v>4607091387452</v>
      </c>
      <c r="E259" s="648" t="n"/>
      <c r="F259" s="680" t="n">
        <v>1.35</v>
      </c>
      <c r="G259" s="38" t="n">
        <v>8</v>
      </c>
      <c r="H259" s="680" t="n">
        <v>10.8</v>
      </c>
      <c r="I259" s="680" t="n">
        <v>11.28</v>
      </c>
      <c r="J259" s="38" t="n">
        <v>48</v>
      </c>
      <c r="K259" s="39" t="inlineStr">
        <is>
          <t>ВЗ</t>
        </is>
      </c>
      <c r="L259" s="38" t="n">
        <v>55</v>
      </c>
      <c r="M259" s="833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N259" s="682" t="n"/>
      <c r="O259" s="682" t="n"/>
      <c r="P259" s="682" t="n"/>
      <c r="Q259" s="648" t="n"/>
      <c r="R259" s="40" t="inlineStr"/>
      <c r="S259" s="40" t="inlineStr"/>
      <c r="T259" s="41" t="inlineStr">
        <is>
          <t>кг</t>
        </is>
      </c>
      <c r="U259" s="683" t="n">
        <v>0</v>
      </c>
      <c r="V259" s="684">
        <f>IFERROR(IF(U259="",0,CEILING((U259/$H259),1)*$H259),"")</f>
        <v/>
      </c>
      <c r="W259" s="42">
        <f>IFERROR(IF(V259=0,"",ROUNDUP(V259/H259,0)*0.02039),"")</f>
        <v/>
      </c>
      <c r="X259" s="69" t="inlineStr"/>
      <c r="Y259" s="70" t="inlineStr"/>
      <c r="AC259" s="71" t="n"/>
      <c r="AZ259" s="218" t="inlineStr">
        <is>
          <t>КИ</t>
        </is>
      </c>
    </row>
    <row r="260" ht="27" customHeight="1">
      <c r="A260" s="64" t="inlineStr">
        <is>
          <t>SU001792</t>
        </is>
      </c>
      <c r="B260" s="64" t="inlineStr">
        <is>
          <t>P001792</t>
        </is>
      </c>
      <c r="C260" s="37" t="n">
        <v>4301011313</v>
      </c>
      <c r="D260" s="323" t="n">
        <v>4607091385984</v>
      </c>
      <c r="E260" s="648" t="n"/>
      <c r="F260" s="680" t="n">
        <v>1.35</v>
      </c>
      <c r="G260" s="38" t="n">
        <v>8</v>
      </c>
      <c r="H260" s="680" t="n">
        <v>10.8</v>
      </c>
      <c r="I260" s="680" t="n">
        <v>11.28</v>
      </c>
      <c r="J260" s="38" t="n">
        <v>56</v>
      </c>
      <c r="K260" s="39" t="inlineStr">
        <is>
          <t>СК1</t>
        </is>
      </c>
      <c r="L260" s="38" t="n">
        <v>55</v>
      </c>
      <c r="M260" s="834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N260" s="682" t="n"/>
      <c r="O260" s="682" t="n"/>
      <c r="P260" s="682" t="n"/>
      <c r="Q260" s="648" t="n"/>
      <c r="R260" s="40" t="inlineStr"/>
      <c r="S260" s="40" t="inlineStr"/>
      <c r="T260" s="41" t="inlineStr">
        <is>
          <t>кг</t>
        </is>
      </c>
      <c r="U260" s="683" t="n">
        <v>0</v>
      </c>
      <c r="V260" s="684">
        <f>IFERROR(IF(U260="",0,CEILING((U260/$H260),1)*$H260),"")</f>
        <v/>
      </c>
      <c r="W260" s="42">
        <f>IFERROR(IF(V260=0,"",ROUNDUP(V260/H260,0)*0.02175),"")</f>
        <v/>
      </c>
      <c r="X260" s="69" t="inlineStr"/>
      <c r="Y260" s="70" t="inlineStr"/>
      <c r="AC260" s="71" t="n"/>
      <c r="AZ260" s="219" t="inlineStr">
        <is>
          <t>КИ</t>
        </is>
      </c>
    </row>
    <row r="261" ht="27" customHeight="1">
      <c r="A261" s="64" t="inlineStr">
        <is>
          <t>SU001794</t>
        </is>
      </c>
      <c r="B261" s="64" t="inlineStr">
        <is>
          <t>P001794</t>
        </is>
      </c>
      <c r="C261" s="37" t="n">
        <v>4301011316</v>
      </c>
      <c r="D261" s="323" t="n">
        <v>4607091387438</v>
      </c>
      <c r="E261" s="648" t="n"/>
      <c r="F261" s="680" t="n">
        <v>0.5</v>
      </c>
      <c r="G261" s="38" t="n">
        <v>10</v>
      </c>
      <c r="H261" s="680" t="n">
        <v>5</v>
      </c>
      <c r="I261" s="680" t="n">
        <v>5.24</v>
      </c>
      <c r="J261" s="38" t="n">
        <v>120</v>
      </c>
      <c r="K261" s="39" t="inlineStr">
        <is>
          <t>СК1</t>
        </is>
      </c>
      <c r="L261" s="38" t="n">
        <v>55</v>
      </c>
      <c r="M261" s="835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N261" s="682" t="n"/>
      <c r="O261" s="682" t="n"/>
      <c r="P261" s="682" t="n"/>
      <c r="Q261" s="648" t="n"/>
      <c r="R261" s="40" t="inlineStr"/>
      <c r="S261" s="40" t="inlineStr"/>
      <c r="T261" s="41" t="inlineStr">
        <is>
          <t>кг</t>
        </is>
      </c>
      <c r="U261" s="683" t="n">
        <v>0</v>
      </c>
      <c r="V261" s="684">
        <f>IFERROR(IF(U261="",0,CEILING((U261/$H261),1)*$H261),"")</f>
        <v/>
      </c>
      <c r="W261" s="42">
        <f>IFERROR(IF(V261=0,"",ROUNDUP(V261/H261,0)*0.00937),"")</f>
        <v/>
      </c>
      <c r="X261" s="69" t="inlineStr"/>
      <c r="Y261" s="70" t="inlineStr"/>
      <c r="AC261" s="71" t="n"/>
      <c r="AZ261" s="220" t="inlineStr">
        <is>
          <t>КИ</t>
        </is>
      </c>
    </row>
    <row r="262" ht="27" customHeight="1">
      <c r="A262" s="64" t="inlineStr">
        <is>
          <t>SU001795</t>
        </is>
      </c>
      <c r="B262" s="64" t="inlineStr">
        <is>
          <t>P001795</t>
        </is>
      </c>
      <c r="C262" s="37" t="n">
        <v>4301011318</v>
      </c>
      <c r="D262" s="323" t="n">
        <v>4607091387469</v>
      </c>
      <c r="E262" s="648" t="n"/>
      <c r="F262" s="680" t="n">
        <v>0.5</v>
      </c>
      <c r="G262" s="38" t="n">
        <v>10</v>
      </c>
      <c r="H262" s="680" t="n">
        <v>5</v>
      </c>
      <c r="I262" s="680" t="n">
        <v>5.21</v>
      </c>
      <c r="J262" s="38" t="n">
        <v>120</v>
      </c>
      <c r="K262" s="39" t="inlineStr">
        <is>
          <t>СК2</t>
        </is>
      </c>
      <c r="L262" s="38" t="n">
        <v>55</v>
      </c>
      <c r="M262" s="836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N262" s="682" t="n"/>
      <c r="O262" s="682" t="n"/>
      <c r="P262" s="682" t="n"/>
      <c r="Q262" s="648" t="n"/>
      <c r="R262" s="40" t="inlineStr"/>
      <c r="S262" s="40" t="inlineStr"/>
      <c r="T262" s="41" t="inlineStr">
        <is>
          <t>кг</t>
        </is>
      </c>
      <c r="U262" s="683" t="n">
        <v>0</v>
      </c>
      <c r="V262" s="684">
        <f>IFERROR(IF(U262="",0,CEILING((U262/$H262),1)*$H262),"")</f>
        <v/>
      </c>
      <c r="W262" s="42">
        <f>IFERROR(IF(V262=0,"",ROUNDUP(V262/H262,0)*0.00937),"")</f>
        <v/>
      </c>
      <c r="X262" s="69" t="inlineStr"/>
      <c r="Y262" s="70" t="inlineStr"/>
      <c r="AC262" s="71" t="n"/>
      <c r="AZ262" s="221" t="inlineStr">
        <is>
          <t>КИ</t>
        </is>
      </c>
    </row>
    <row r="263">
      <c r="A263" s="33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685" t="n"/>
      <c r="M263" s="686" t="inlineStr">
        <is>
          <t>Итого</t>
        </is>
      </c>
      <c r="N263" s="656" t="n"/>
      <c r="O263" s="656" t="n"/>
      <c r="P263" s="656" t="n"/>
      <c r="Q263" s="656" t="n"/>
      <c r="R263" s="656" t="n"/>
      <c r="S263" s="657" t="n"/>
      <c r="T263" s="43" t="inlineStr">
        <is>
          <t>кор</t>
        </is>
      </c>
      <c r="U263" s="687">
        <f>IFERROR(U256/H256,"0")+IFERROR(U257/H257,"0")+IFERROR(U258/H258,"0")+IFERROR(U259/H259,"0")+IFERROR(U260/H260,"0")+IFERROR(U261/H261,"0")+IFERROR(U262/H262,"0")</f>
        <v/>
      </c>
      <c r="V263" s="687">
        <f>IFERROR(V256/H256,"0")+IFERROR(V257/H257,"0")+IFERROR(V258/H258,"0")+IFERROR(V259/H259,"0")+IFERROR(V260/H260,"0")+IFERROR(V261/H261,"0")+IFERROR(V262/H262,"0")</f>
        <v/>
      </c>
      <c r="W263" s="687">
        <f>IFERROR(IF(W256="",0,W256),"0")+IFERROR(IF(W257="",0,W257),"0")+IFERROR(IF(W258="",0,W258),"0")+IFERROR(IF(W259="",0,W259),"0")+IFERROR(IF(W260="",0,W260),"0")+IFERROR(IF(W261="",0,W261),"0")+IFERROR(IF(W262="",0,W262),"0")</f>
        <v/>
      </c>
      <c r="X263" s="688" t="n"/>
      <c r="Y263" s="688" t="n"/>
    </row>
    <row r="264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685" t="n"/>
      <c r="M264" s="686" t="inlineStr">
        <is>
          <t>Итого</t>
        </is>
      </c>
      <c r="N264" s="656" t="n"/>
      <c r="O264" s="656" t="n"/>
      <c r="P264" s="656" t="n"/>
      <c r="Q264" s="656" t="n"/>
      <c r="R264" s="656" t="n"/>
      <c r="S264" s="657" t="n"/>
      <c r="T264" s="43" t="inlineStr">
        <is>
          <t>кг</t>
        </is>
      </c>
      <c r="U264" s="687">
        <f>IFERROR(SUM(U256:U262),"0")</f>
        <v/>
      </c>
      <c r="V264" s="687">
        <f>IFERROR(SUM(V256:V262),"0")</f>
        <v/>
      </c>
      <c r="W264" s="43" t="n"/>
      <c r="X264" s="688" t="n"/>
      <c r="Y264" s="688" t="n"/>
    </row>
    <row r="265" ht="14.25" customHeight="1">
      <c r="A265" s="322" t="inlineStr">
        <is>
          <t>Копченые колбасы</t>
        </is>
      </c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322" t="n"/>
      <c r="Y265" s="322" t="n"/>
    </row>
    <row r="266" ht="27" customHeight="1">
      <c r="A266" s="64" t="inlineStr">
        <is>
          <t>SU001801</t>
        </is>
      </c>
      <c r="B266" s="64" t="inlineStr">
        <is>
          <t>P003014</t>
        </is>
      </c>
      <c r="C266" s="37" t="n">
        <v>4301031154</v>
      </c>
      <c r="D266" s="323" t="n">
        <v>4607091387292</v>
      </c>
      <c r="E266" s="648" t="n"/>
      <c r="F266" s="680" t="n">
        <v>0.73</v>
      </c>
      <c r="G266" s="38" t="n">
        <v>6</v>
      </c>
      <c r="H266" s="680" t="n">
        <v>4.38</v>
      </c>
      <c r="I266" s="680" t="n">
        <v>4.64</v>
      </c>
      <c r="J266" s="38" t="n">
        <v>156</v>
      </c>
      <c r="K266" s="39" t="inlineStr">
        <is>
          <t>СК2</t>
        </is>
      </c>
      <c r="L266" s="38" t="n">
        <v>45</v>
      </c>
      <c r="M266" s="837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N266" s="682" t="n"/>
      <c r="O266" s="682" t="n"/>
      <c r="P266" s="682" t="n"/>
      <c r="Q266" s="648" t="n"/>
      <c r="R266" s="40" t="inlineStr"/>
      <c r="S266" s="40" t="inlineStr"/>
      <c r="T266" s="41" t="inlineStr">
        <is>
          <t>кг</t>
        </is>
      </c>
      <c r="U266" s="683" t="n">
        <v>0</v>
      </c>
      <c r="V266" s="684">
        <f>IFERROR(IF(U266="",0,CEILING((U266/$H266),1)*$H266),"")</f>
        <v/>
      </c>
      <c r="W266" s="42">
        <f>IFERROR(IF(V266=0,"",ROUNDUP(V266/H266,0)*0.00753),"")</f>
        <v/>
      </c>
      <c r="X266" s="69" t="inlineStr"/>
      <c r="Y266" s="70" t="inlineStr"/>
      <c r="AC266" s="71" t="n"/>
      <c r="AZ266" s="222" t="inlineStr">
        <is>
          <t>КИ</t>
        </is>
      </c>
    </row>
    <row r="267" ht="27" customHeight="1">
      <c r="A267" s="64" t="inlineStr">
        <is>
          <t>SU000231</t>
        </is>
      </c>
      <c r="B267" s="64" t="inlineStr">
        <is>
          <t>P003015</t>
        </is>
      </c>
      <c r="C267" s="37" t="n">
        <v>4301031155</v>
      </c>
      <c r="D267" s="323" t="n">
        <v>4607091387315</v>
      </c>
      <c r="E267" s="648" t="n"/>
      <c r="F267" s="680" t="n">
        <v>0.7</v>
      </c>
      <c r="G267" s="38" t="n">
        <v>4</v>
      </c>
      <c r="H267" s="680" t="n">
        <v>2.8</v>
      </c>
      <c r="I267" s="680" t="n">
        <v>3.048</v>
      </c>
      <c r="J267" s="38" t="n">
        <v>156</v>
      </c>
      <c r="K267" s="39" t="inlineStr">
        <is>
          <t>СК2</t>
        </is>
      </c>
      <c r="L267" s="38" t="n">
        <v>45</v>
      </c>
      <c r="M267" s="838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N267" s="682" t="n"/>
      <c r="O267" s="682" t="n"/>
      <c r="P267" s="682" t="n"/>
      <c r="Q267" s="648" t="n"/>
      <c r="R267" s="40" t="inlineStr"/>
      <c r="S267" s="40" t="inlineStr"/>
      <c r="T267" s="41" t="inlineStr">
        <is>
          <t>кг</t>
        </is>
      </c>
      <c r="U267" s="683" t="n">
        <v>0</v>
      </c>
      <c r="V267" s="684">
        <f>IFERROR(IF(U267="",0,CEILING((U267/$H267),1)*$H267),"")</f>
        <v/>
      </c>
      <c r="W267" s="42">
        <f>IFERROR(IF(V267=0,"",ROUNDUP(V267/H267,0)*0.00753),"")</f>
        <v/>
      </c>
      <c r="X267" s="69" t="inlineStr"/>
      <c r="Y267" s="70" t="inlineStr"/>
      <c r="AC267" s="71" t="n"/>
      <c r="AZ267" s="223" t="inlineStr">
        <is>
          <t>КИ</t>
        </is>
      </c>
    </row>
    <row r="268">
      <c r="A268" s="33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685" t="n"/>
      <c r="M268" s="686" t="inlineStr">
        <is>
          <t>Итого</t>
        </is>
      </c>
      <c r="N268" s="656" t="n"/>
      <c r="O268" s="656" t="n"/>
      <c r="P268" s="656" t="n"/>
      <c r="Q268" s="656" t="n"/>
      <c r="R268" s="656" t="n"/>
      <c r="S268" s="657" t="n"/>
      <c r="T268" s="43" t="inlineStr">
        <is>
          <t>кор</t>
        </is>
      </c>
      <c r="U268" s="687">
        <f>IFERROR(U266/H266,"0")+IFERROR(U267/H267,"0")</f>
        <v/>
      </c>
      <c r="V268" s="687">
        <f>IFERROR(V266/H266,"0")+IFERROR(V267/H267,"0")</f>
        <v/>
      </c>
      <c r="W268" s="687">
        <f>IFERROR(IF(W266="",0,W266),"0")+IFERROR(IF(W267="",0,W267),"0")</f>
        <v/>
      </c>
      <c r="X268" s="688" t="n"/>
      <c r="Y268" s="688" t="n"/>
    </row>
    <row r="269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685" t="n"/>
      <c r="M269" s="686" t="inlineStr">
        <is>
          <t>Итого</t>
        </is>
      </c>
      <c r="N269" s="656" t="n"/>
      <c r="O269" s="656" t="n"/>
      <c r="P269" s="656" t="n"/>
      <c r="Q269" s="656" t="n"/>
      <c r="R269" s="656" t="n"/>
      <c r="S269" s="657" t="n"/>
      <c r="T269" s="43" t="inlineStr">
        <is>
          <t>кг</t>
        </is>
      </c>
      <c r="U269" s="687">
        <f>IFERROR(SUM(U266:U267),"0")</f>
        <v/>
      </c>
      <c r="V269" s="687">
        <f>IFERROR(SUM(V266:V267),"0")</f>
        <v/>
      </c>
      <c r="W269" s="43" t="n"/>
      <c r="X269" s="688" t="n"/>
      <c r="Y269" s="688" t="n"/>
    </row>
    <row r="270" ht="16.5" customHeight="1">
      <c r="A270" s="321" t="inlineStr">
        <is>
          <t>Бавария</t>
        </is>
      </c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321" t="n"/>
      <c r="Y270" s="321" t="n"/>
    </row>
    <row r="271" ht="14.25" customHeight="1">
      <c r="A271" s="322" t="inlineStr">
        <is>
          <t>Копченые колбасы</t>
        </is>
      </c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322" t="n"/>
      <c r="Y271" s="322" t="n"/>
    </row>
    <row r="272" ht="27" customHeight="1">
      <c r="A272" s="64" t="inlineStr">
        <is>
          <t>SU002252</t>
        </is>
      </c>
      <c r="B272" s="64" t="inlineStr">
        <is>
          <t>P002461</t>
        </is>
      </c>
      <c r="C272" s="37" t="n">
        <v>4301031066</v>
      </c>
      <c r="D272" s="323" t="n">
        <v>4607091383836</v>
      </c>
      <c r="E272" s="648" t="n"/>
      <c r="F272" s="680" t="n">
        <v>0.3</v>
      </c>
      <c r="G272" s="38" t="n">
        <v>6</v>
      </c>
      <c r="H272" s="680" t="n">
        <v>1.8</v>
      </c>
      <c r="I272" s="680" t="n">
        <v>2.048</v>
      </c>
      <c r="J272" s="38" t="n">
        <v>156</v>
      </c>
      <c r="K272" s="39" t="inlineStr">
        <is>
          <t>СК2</t>
        </is>
      </c>
      <c r="L272" s="38" t="n">
        <v>40</v>
      </c>
      <c r="M272" s="839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N272" s="682" t="n"/>
      <c r="O272" s="682" t="n"/>
      <c r="P272" s="682" t="n"/>
      <c r="Q272" s="648" t="n"/>
      <c r="R272" s="40" t="inlineStr"/>
      <c r="S272" s="40" t="inlineStr"/>
      <c r="T272" s="41" t="inlineStr">
        <is>
          <t>кг</t>
        </is>
      </c>
      <c r="U272" s="683" t="n">
        <v>0</v>
      </c>
      <c r="V272" s="684">
        <f>IFERROR(IF(U272="",0,CEILING((U272/$H272),1)*$H272),"")</f>
        <v/>
      </c>
      <c r="W272" s="42">
        <f>IFERROR(IF(V272=0,"",ROUNDUP(V272/H272,0)*0.00753),"")</f>
        <v/>
      </c>
      <c r="X272" s="69" t="inlineStr"/>
      <c r="Y272" s="70" t="inlineStr"/>
      <c r="AC272" s="71" t="n"/>
      <c r="AZ272" s="224" t="inlineStr">
        <is>
          <t>КИ</t>
        </is>
      </c>
    </row>
    <row r="273">
      <c r="A273" s="33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685" t="n"/>
      <c r="M273" s="686" t="inlineStr">
        <is>
          <t>Итого</t>
        </is>
      </c>
      <c r="N273" s="656" t="n"/>
      <c r="O273" s="656" t="n"/>
      <c r="P273" s="656" t="n"/>
      <c r="Q273" s="656" t="n"/>
      <c r="R273" s="656" t="n"/>
      <c r="S273" s="657" t="n"/>
      <c r="T273" s="43" t="inlineStr">
        <is>
          <t>кор</t>
        </is>
      </c>
      <c r="U273" s="687">
        <f>IFERROR(U272/H272,"0")</f>
        <v/>
      </c>
      <c r="V273" s="687">
        <f>IFERROR(V272/H272,"0")</f>
        <v/>
      </c>
      <c r="W273" s="687">
        <f>IFERROR(IF(W272="",0,W272),"0")</f>
        <v/>
      </c>
      <c r="X273" s="688" t="n"/>
      <c r="Y273" s="688" t="n"/>
    </row>
    <row r="274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685" t="n"/>
      <c r="M274" s="686" t="inlineStr">
        <is>
          <t>Итого</t>
        </is>
      </c>
      <c r="N274" s="656" t="n"/>
      <c r="O274" s="656" t="n"/>
      <c r="P274" s="656" t="n"/>
      <c r="Q274" s="656" t="n"/>
      <c r="R274" s="656" t="n"/>
      <c r="S274" s="657" t="n"/>
      <c r="T274" s="43" t="inlineStr">
        <is>
          <t>кг</t>
        </is>
      </c>
      <c r="U274" s="687">
        <f>IFERROR(SUM(U272:U272),"0")</f>
        <v/>
      </c>
      <c r="V274" s="687">
        <f>IFERROR(SUM(V272:V272),"0")</f>
        <v/>
      </c>
      <c r="W274" s="43" t="n"/>
      <c r="X274" s="688" t="n"/>
      <c r="Y274" s="688" t="n"/>
    </row>
    <row r="275" ht="14.25" customHeight="1">
      <c r="A275" s="322" t="inlineStr">
        <is>
          <t>Сосиски</t>
        </is>
      </c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322" t="n"/>
      <c r="Y275" s="322" t="n"/>
    </row>
    <row r="276" ht="27" customHeight="1">
      <c r="A276" s="64" t="inlineStr">
        <is>
          <t>SU001835</t>
        </is>
      </c>
      <c r="B276" s="64" t="inlineStr">
        <is>
          <t>P002202</t>
        </is>
      </c>
      <c r="C276" s="37" t="n">
        <v>4301051142</v>
      </c>
      <c r="D276" s="323" t="n">
        <v>4607091387919</v>
      </c>
      <c r="E276" s="648" t="n"/>
      <c r="F276" s="680" t="n">
        <v>1.35</v>
      </c>
      <c r="G276" s="38" t="n">
        <v>6</v>
      </c>
      <c r="H276" s="680" t="n">
        <v>8.1</v>
      </c>
      <c r="I276" s="680" t="n">
        <v>8.664</v>
      </c>
      <c r="J276" s="38" t="n">
        <v>56</v>
      </c>
      <c r="K276" s="39" t="inlineStr">
        <is>
          <t>СК2</t>
        </is>
      </c>
      <c r="L276" s="38" t="n">
        <v>45</v>
      </c>
      <c r="M276" s="840">
        <f>HYPERLINK("https://abi.ru/products/Охлажденные/Стародворье/Бавария/Сосиски/P002202/","Сосиски Баварские Бавария Весовые П/а мгс Стародворье")</f>
        <v/>
      </c>
      <c r="N276" s="682" t="n"/>
      <c r="O276" s="682" t="n"/>
      <c r="P276" s="682" t="n"/>
      <c r="Q276" s="648" t="n"/>
      <c r="R276" s="40" t="inlineStr"/>
      <c r="S276" s="40" t="inlineStr"/>
      <c r="T276" s="41" t="inlineStr">
        <is>
          <t>кг</t>
        </is>
      </c>
      <c r="U276" s="683" t="n">
        <v>0</v>
      </c>
      <c r="V276" s="684">
        <f>IFERROR(IF(U276="",0,CEILING((U276/$H276),1)*$H276),"")</f>
        <v/>
      </c>
      <c r="W276" s="42">
        <f>IFERROR(IF(V276=0,"",ROUNDUP(V276/H276,0)*0.02175),"")</f>
        <v/>
      </c>
      <c r="X276" s="69" t="inlineStr"/>
      <c r="Y276" s="70" t="inlineStr"/>
      <c r="AC276" s="71" t="n"/>
      <c r="AZ276" s="225" t="inlineStr">
        <is>
          <t>КИ</t>
        </is>
      </c>
    </row>
    <row r="277" ht="27" customHeight="1">
      <c r="A277" s="64" t="inlineStr">
        <is>
          <t>SU001836</t>
        </is>
      </c>
      <c r="B277" s="64" t="inlineStr">
        <is>
          <t>P002201</t>
        </is>
      </c>
      <c r="C277" s="37" t="n">
        <v>4301051109</v>
      </c>
      <c r="D277" s="323" t="n">
        <v>4607091383942</v>
      </c>
      <c r="E277" s="648" t="n"/>
      <c r="F277" s="680" t="n">
        <v>0.42</v>
      </c>
      <c r="G277" s="38" t="n">
        <v>6</v>
      </c>
      <c r="H277" s="680" t="n">
        <v>2.52</v>
      </c>
      <c r="I277" s="680" t="n">
        <v>2.792</v>
      </c>
      <c r="J277" s="38" t="n">
        <v>156</v>
      </c>
      <c r="K277" s="39" t="inlineStr">
        <is>
          <t>СК3</t>
        </is>
      </c>
      <c r="L277" s="38" t="n">
        <v>45</v>
      </c>
      <c r="M277" s="841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N277" s="682" t="n"/>
      <c r="O277" s="682" t="n"/>
      <c r="P277" s="682" t="n"/>
      <c r="Q277" s="648" t="n"/>
      <c r="R277" s="40" t="inlineStr"/>
      <c r="S277" s="40" t="inlineStr"/>
      <c r="T277" s="41" t="inlineStr">
        <is>
          <t>кг</t>
        </is>
      </c>
      <c r="U277" s="683" t="n">
        <v>0</v>
      </c>
      <c r="V277" s="684">
        <f>IFERROR(IF(U277="",0,CEILING((U277/$H277),1)*$H277),"")</f>
        <v/>
      </c>
      <c r="W277" s="42">
        <f>IFERROR(IF(V277=0,"",ROUNDUP(V277/H277,0)*0.00753),"")</f>
        <v/>
      </c>
      <c r="X277" s="69" t="inlineStr"/>
      <c r="Y277" s="70" t="inlineStr"/>
      <c r="AC277" s="71" t="n"/>
      <c r="AZ277" s="226" t="inlineStr">
        <is>
          <t>КИ</t>
        </is>
      </c>
    </row>
    <row r="278" ht="27" customHeight="1">
      <c r="A278" s="64" t="inlineStr">
        <is>
          <t>SU001970</t>
        </is>
      </c>
      <c r="B278" s="64" t="inlineStr">
        <is>
          <t>P003579</t>
        </is>
      </c>
      <c r="C278" s="37" t="n">
        <v>4301051518</v>
      </c>
      <c r="D278" s="323" t="n">
        <v>4607091383959</v>
      </c>
      <c r="E278" s="648" t="n"/>
      <c r="F278" s="680" t="n">
        <v>0.42</v>
      </c>
      <c r="G278" s="38" t="n">
        <v>6</v>
      </c>
      <c r="H278" s="680" t="n">
        <v>2.52</v>
      </c>
      <c r="I278" s="680" t="n">
        <v>2.78</v>
      </c>
      <c r="J278" s="38" t="n">
        <v>156</v>
      </c>
      <c r="K278" s="39" t="inlineStr">
        <is>
          <t>СК2</t>
        </is>
      </c>
      <c r="L278" s="38" t="n">
        <v>40</v>
      </c>
      <c r="M278" s="842" t="inlineStr">
        <is>
          <t>Сосиски «Баварские с сыром» Фикс.вес 0,42 п/а ТМ «Стародворье»</t>
        </is>
      </c>
      <c r="N278" s="682" t="n"/>
      <c r="O278" s="682" t="n"/>
      <c r="P278" s="682" t="n"/>
      <c r="Q278" s="648" t="n"/>
      <c r="R278" s="40" t="inlineStr"/>
      <c r="S278" s="40" t="inlineStr"/>
      <c r="T278" s="41" t="inlineStr">
        <is>
          <t>кг</t>
        </is>
      </c>
      <c r="U278" s="683" t="n">
        <v>14.7</v>
      </c>
      <c r="V278" s="684">
        <f>IFERROR(IF(U278="",0,CEILING((U278/$H278),1)*$H278),"")</f>
        <v/>
      </c>
      <c r="W278" s="42">
        <f>IFERROR(IF(V278=0,"",ROUNDUP(V278/H278,0)*0.00753),"")</f>
        <v/>
      </c>
      <c r="X278" s="69" t="inlineStr"/>
      <c r="Y278" s="70" t="inlineStr"/>
      <c r="AC278" s="71" t="n"/>
      <c r="AZ278" s="227" t="inlineStr">
        <is>
          <t>КИ</t>
        </is>
      </c>
    </row>
    <row r="279">
      <c r="A279" s="33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685" t="n"/>
      <c r="M279" s="686" t="inlineStr">
        <is>
          <t>Итого</t>
        </is>
      </c>
      <c r="N279" s="656" t="n"/>
      <c r="O279" s="656" t="n"/>
      <c r="P279" s="656" t="n"/>
      <c r="Q279" s="656" t="n"/>
      <c r="R279" s="656" t="n"/>
      <c r="S279" s="657" t="n"/>
      <c r="T279" s="43" t="inlineStr">
        <is>
          <t>кор</t>
        </is>
      </c>
      <c r="U279" s="687">
        <f>IFERROR(U276/H276,"0")+IFERROR(U277/H277,"0")+IFERROR(U278/H278,"0")</f>
        <v/>
      </c>
      <c r="V279" s="687">
        <f>IFERROR(V276/H276,"0")+IFERROR(V277/H277,"0")+IFERROR(V278/H278,"0")</f>
        <v/>
      </c>
      <c r="W279" s="687">
        <f>IFERROR(IF(W276="",0,W276),"0")+IFERROR(IF(W277="",0,W277),"0")+IFERROR(IF(W278="",0,W278),"0")</f>
        <v/>
      </c>
      <c r="X279" s="688" t="n"/>
      <c r="Y279" s="688" t="n"/>
    </row>
    <row r="280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685" t="n"/>
      <c r="M280" s="686" t="inlineStr">
        <is>
          <t>Итого</t>
        </is>
      </c>
      <c r="N280" s="656" t="n"/>
      <c r="O280" s="656" t="n"/>
      <c r="P280" s="656" t="n"/>
      <c r="Q280" s="656" t="n"/>
      <c r="R280" s="656" t="n"/>
      <c r="S280" s="657" t="n"/>
      <c r="T280" s="43" t="inlineStr">
        <is>
          <t>кг</t>
        </is>
      </c>
      <c r="U280" s="687">
        <f>IFERROR(SUM(U276:U278),"0")</f>
        <v/>
      </c>
      <c r="V280" s="687">
        <f>IFERROR(SUM(V276:V278),"0")</f>
        <v/>
      </c>
      <c r="W280" s="43" t="n"/>
      <c r="X280" s="688" t="n"/>
      <c r="Y280" s="688" t="n"/>
    </row>
    <row r="281" ht="14.25" customHeight="1">
      <c r="A281" s="322" t="inlineStr">
        <is>
          <t>Сардельки</t>
        </is>
      </c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322" t="n"/>
      <c r="Y281" s="322" t="n"/>
    </row>
    <row r="282" ht="27" customHeight="1">
      <c r="A282" s="64" t="inlineStr">
        <is>
          <t>SU002173</t>
        </is>
      </c>
      <c r="B282" s="64" t="inlineStr">
        <is>
          <t>P002361</t>
        </is>
      </c>
      <c r="C282" s="37" t="n">
        <v>4301060324</v>
      </c>
      <c r="D282" s="323" t="n">
        <v>4607091388831</v>
      </c>
      <c r="E282" s="648" t="n"/>
      <c r="F282" s="680" t="n">
        <v>0.38</v>
      </c>
      <c r="G282" s="38" t="n">
        <v>6</v>
      </c>
      <c r="H282" s="680" t="n">
        <v>2.28</v>
      </c>
      <c r="I282" s="680" t="n">
        <v>2.552</v>
      </c>
      <c r="J282" s="38" t="n">
        <v>156</v>
      </c>
      <c r="K282" s="39" t="inlineStr">
        <is>
          <t>СК2</t>
        </is>
      </c>
      <c r="L282" s="38" t="n">
        <v>40</v>
      </c>
      <c r="M282" s="843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N282" s="682" t="n"/>
      <c r="O282" s="682" t="n"/>
      <c r="P282" s="682" t="n"/>
      <c r="Q282" s="648" t="n"/>
      <c r="R282" s="40" t="inlineStr"/>
      <c r="S282" s="40" t="inlineStr"/>
      <c r="T282" s="41" t="inlineStr">
        <is>
          <t>кг</t>
        </is>
      </c>
      <c r="U282" s="683" t="n">
        <v>0</v>
      </c>
      <c r="V282" s="684">
        <f>IFERROR(IF(U282="",0,CEILING((U282/$H282),1)*$H282),"")</f>
        <v/>
      </c>
      <c r="W282" s="42">
        <f>IFERROR(IF(V282=0,"",ROUNDUP(V282/H282,0)*0.00753),"")</f>
        <v/>
      </c>
      <c r="X282" s="69" t="inlineStr"/>
      <c r="Y282" s="70" t="inlineStr"/>
      <c r="AC282" s="71" t="n"/>
      <c r="AZ282" s="228" t="inlineStr">
        <is>
          <t>КИ</t>
        </is>
      </c>
    </row>
    <row r="283">
      <c r="A283" s="33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685" t="n"/>
      <c r="M283" s="686" t="inlineStr">
        <is>
          <t>Итого</t>
        </is>
      </c>
      <c r="N283" s="656" t="n"/>
      <c r="O283" s="656" t="n"/>
      <c r="P283" s="656" t="n"/>
      <c r="Q283" s="656" t="n"/>
      <c r="R283" s="656" t="n"/>
      <c r="S283" s="657" t="n"/>
      <c r="T283" s="43" t="inlineStr">
        <is>
          <t>кор</t>
        </is>
      </c>
      <c r="U283" s="687">
        <f>IFERROR(U282/H282,"0")</f>
        <v/>
      </c>
      <c r="V283" s="687">
        <f>IFERROR(V282/H282,"0")</f>
        <v/>
      </c>
      <c r="W283" s="687">
        <f>IFERROR(IF(W282="",0,W282),"0")</f>
        <v/>
      </c>
      <c r="X283" s="688" t="n"/>
      <c r="Y283" s="688" t="n"/>
    </row>
    <row r="284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685" t="n"/>
      <c r="M284" s="686" t="inlineStr">
        <is>
          <t>Итого</t>
        </is>
      </c>
      <c r="N284" s="656" t="n"/>
      <c r="O284" s="656" t="n"/>
      <c r="P284" s="656" t="n"/>
      <c r="Q284" s="656" t="n"/>
      <c r="R284" s="656" t="n"/>
      <c r="S284" s="657" t="n"/>
      <c r="T284" s="43" t="inlineStr">
        <is>
          <t>кг</t>
        </is>
      </c>
      <c r="U284" s="687">
        <f>IFERROR(SUM(U282:U282),"0")</f>
        <v/>
      </c>
      <c r="V284" s="687">
        <f>IFERROR(SUM(V282:V282),"0")</f>
        <v/>
      </c>
      <c r="W284" s="43" t="n"/>
      <c r="X284" s="688" t="n"/>
      <c r="Y284" s="688" t="n"/>
    </row>
    <row r="285" ht="14.25" customHeight="1">
      <c r="A285" s="322" t="inlineStr">
        <is>
          <t>Сырокопченые колбасы</t>
        </is>
      </c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322" t="n"/>
      <c r="Y285" s="322" t="n"/>
    </row>
    <row r="286" ht="27" customHeight="1">
      <c r="A286" s="64" t="inlineStr">
        <is>
          <t>SU002092</t>
        </is>
      </c>
      <c r="B286" s="64" t="inlineStr">
        <is>
          <t>P002290</t>
        </is>
      </c>
      <c r="C286" s="37" t="n">
        <v>4301032015</v>
      </c>
      <c r="D286" s="323" t="n">
        <v>4607091383102</v>
      </c>
      <c r="E286" s="648" t="n"/>
      <c r="F286" s="680" t="n">
        <v>0.17</v>
      </c>
      <c r="G286" s="38" t="n">
        <v>15</v>
      </c>
      <c r="H286" s="680" t="n">
        <v>2.55</v>
      </c>
      <c r="I286" s="680" t="n">
        <v>2.975</v>
      </c>
      <c r="J286" s="38" t="n">
        <v>156</v>
      </c>
      <c r="K286" s="39" t="inlineStr">
        <is>
          <t>АК</t>
        </is>
      </c>
      <c r="L286" s="38" t="n">
        <v>180</v>
      </c>
      <c r="M286" s="844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N286" s="682" t="n"/>
      <c r="O286" s="682" t="n"/>
      <c r="P286" s="682" t="n"/>
      <c r="Q286" s="648" t="n"/>
      <c r="R286" s="40" t="inlineStr"/>
      <c r="S286" s="40" t="inlineStr"/>
      <c r="T286" s="41" t="inlineStr">
        <is>
          <t>кг</t>
        </is>
      </c>
      <c r="U286" s="683" t="n">
        <v>0</v>
      </c>
      <c r="V286" s="684">
        <f>IFERROR(IF(U286="",0,CEILING((U286/$H286),1)*$H286),"")</f>
        <v/>
      </c>
      <c r="W286" s="42">
        <f>IFERROR(IF(V286=0,"",ROUNDUP(V286/H286,0)*0.00753),"")</f>
        <v/>
      </c>
      <c r="X286" s="69" t="inlineStr"/>
      <c r="Y286" s="70" t="inlineStr"/>
      <c r="AC286" s="71" t="n"/>
      <c r="AZ286" s="229" t="inlineStr">
        <is>
          <t>КИ</t>
        </is>
      </c>
    </row>
    <row r="287">
      <c r="A287" s="33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685" t="n"/>
      <c r="M287" s="686" t="inlineStr">
        <is>
          <t>Итого</t>
        </is>
      </c>
      <c r="N287" s="656" t="n"/>
      <c r="O287" s="656" t="n"/>
      <c r="P287" s="656" t="n"/>
      <c r="Q287" s="656" t="n"/>
      <c r="R287" s="656" t="n"/>
      <c r="S287" s="657" t="n"/>
      <c r="T287" s="43" t="inlineStr">
        <is>
          <t>кор</t>
        </is>
      </c>
      <c r="U287" s="687">
        <f>IFERROR(U286/H286,"0")</f>
        <v/>
      </c>
      <c r="V287" s="687">
        <f>IFERROR(V286/H286,"0")</f>
        <v/>
      </c>
      <c r="W287" s="687">
        <f>IFERROR(IF(W286="",0,W286),"0")</f>
        <v/>
      </c>
      <c r="X287" s="688" t="n"/>
      <c r="Y287" s="688" t="n"/>
    </row>
    <row r="28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685" t="n"/>
      <c r="M288" s="686" t="inlineStr">
        <is>
          <t>Итого</t>
        </is>
      </c>
      <c r="N288" s="656" t="n"/>
      <c r="O288" s="656" t="n"/>
      <c r="P288" s="656" t="n"/>
      <c r="Q288" s="656" t="n"/>
      <c r="R288" s="656" t="n"/>
      <c r="S288" s="657" t="n"/>
      <c r="T288" s="43" t="inlineStr">
        <is>
          <t>кг</t>
        </is>
      </c>
      <c r="U288" s="687">
        <f>IFERROR(SUM(U286:U286),"0")</f>
        <v/>
      </c>
      <c r="V288" s="687">
        <f>IFERROR(SUM(V286:V286),"0")</f>
        <v/>
      </c>
      <c r="W288" s="43" t="n"/>
      <c r="X288" s="688" t="n"/>
      <c r="Y288" s="688" t="n"/>
    </row>
    <row r="289" ht="27.75" customHeight="1">
      <c r="A289" s="344" t="inlineStr">
        <is>
          <t>Особый рецепт</t>
        </is>
      </c>
      <c r="B289" s="679" t="n"/>
      <c r="C289" s="679" t="n"/>
      <c r="D289" s="679" t="n"/>
      <c r="E289" s="679" t="n"/>
      <c r="F289" s="679" t="n"/>
      <c r="G289" s="679" t="n"/>
      <c r="H289" s="679" t="n"/>
      <c r="I289" s="679" t="n"/>
      <c r="J289" s="679" t="n"/>
      <c r="K289" s="679" t="n"/>
      <c r="L289" s="679" t="n"/>
      <c r="M289" s="679" t="n"/>
      <c r="N289" s="679" t="n"/>
      <c r="O289" s="679" t="n"/>
      <c r="P289" s="679" t="n"/>
      <c r="Q289" s="679" t="n"/>
      <c r="R289" s="679" t="n"/>
      <c r="S289" s="679" t="n"/>
      <c r="T289" s="679" t="n"/>
      <c r="U289" s="679" t="n"/>
      <c r="V289" s="679" t="n"/>
      <c r="W289" s="679" t="n"/>
      <c r="X289" s="55" t="n"/>
      <c r="Y289" s="55" t="n"/>
    </row>
    <row r="290" ht="16.5" customHeight="1">
      <c r="A290" s="321" t="inlineStr">
        <is>
          <t>Особая</t>
        </is>
      </c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321" t="n"/>
      <c r="Y290" s="321" t="n"/>
    </row>
    <row r="291" ht="14.25" customHeight="1">
      <c r="A291" s="322" t="inlineStr">
        <is>
          <t>Вареные колбасы</t>
        </is>
      </c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322" t="n"/>
      <c r="Y291" s="322" t="n"/>
    </row>
    <row r="292" ht="27" customHeight="1">
      <c r="A292" s="64" t="inlineStr">
        <is>
          <t>SU000251</t>
        </is>
      </c>
      <c r="B292" s="64" t="inlineStr">
        <is>
          <t>P002581</t>
        </is>
      </c>
      <c r="C292" s="37" t="n">
        <v>4301011239</v>
      </c>
      <c r="D292" s="323" t="n">
        <v>4607091383997</v>
      </c>
      <c r="E292" s="648" t="n"/>
      <c r="F292" s="680" t="n">
        <v>2.5</v>
      </c>
      <c r="G292" s="38" t="n">
        <v>6</v>
      </c>
      <c r="H292" s="680" t="n">
        <v>15</v>
      </c>
      <c r="I292" s="680" t="n">
        <v>15.48</v>
      </c>
      <c r="J292" s="38" t="n">
        <v>48</v>
      </c>
      <c r="K292" s="39" t="inlineStr">
        <is>
          <t>ВЗ</t>
        </is>
      </c>
      <c r="L292" s="38" t="n">
        <v>60</v>
      </c>
      <c r="M292" s="845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N292" s="682" t="n"/>
      <c r="O292" s="682" t="n"/>
      <c r="P292" s="682" t="n"/>
      <c r="Q292" s="648" t="n"/>
      <c r="R292" s="40" t="inlineStr"/>
      <c r="S292" s="40" t="inlineStr"/>
      <c r="T292" s="41" t="inlineStr">
        <is>
          <t>кг</t>
        </is>
      </c>
      <c r="U292" s="683" t="n">
        <v>0</v>
      </c>
      <c r="V292" s="684">
        <f>IFERROR(IF(U292="",0,CEILING((U292/$H292),1)*$H292),"")</f>
        <v/>
      </c>
      <c r="W292" s="42">
        <f>IFERROR(IF(V292=0,"",ROUNDUP(V292/H292,0)*0.02039),"")</f>
        <v/>
      </c>
      <c r="X292" s="69" t="inlineStr"/>
      <c r="Y292" s="70" t="inlineStr"/>
      <c r="AC292" s="71" t="n"/>
      <c r="AZ292" s="230" t="inlineStr">
        <is>
          <t>КИ</t>
        </is>
      </c>
    </row>
    <row r="293" ht="27" customHeight="1">
      <c r="A293" s="64" t="inlineStr">
        <is>
          <t>SU000251</t>
        </is>
      </c>
      <c r="B293" s="64" t="inlineStr">
        <is>
          <t>P002584</t>
        </is>
      </c>
      <c r="C293" s="37" t="n">
        <v>4301011339</v>
      </c>
      <c r="D293" s="323" t="n">
        <v>4607091383997</v>
      </c>
      <c r="E293" s="648" t="n"/>
      <c r="F293" s="680" t="n">
        <v>2.5</v>
      </c>
      <c r="G293" s="38" t="n">
        <v>6</v>
      </c>
      <c r="H293" s="680" t="n">
        <v>15</v>
      </c>
      <c r="I293" s="680" t="n">
        <v>15.48</v>
      </c>
      <c r="J293" s="38" t="n">
        <v>48</v>
      </c>
      <c r="K293" s="39" t="inlineStr">
        <is>
          <t>СК2</t>
        </is>
      </c>
      <c r="L293" s="38" t="n">
        <v>60</v>
      </c>
      <c r="M293" s="846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N293" s="682" t="n"/>
      <c r="O293" s="682" t="n"/>
      <c r="P293" s="682" t="n"/>
      <c r="Q293" s="648" t="n"/>
      <c r="R293" s="40" t="inlineStr"/>
      <c r="S293" s="40" t="inlineStr"/>
      <c r="T293" s="41" t="inlineStr">
        <is>
          <t>кг</t>
        </is>
      </c>
      <c r="U293" s="683" t="n">
        <v>2700</v>
      </c>
      <c r="V293" s="684">
        <f>IFERROR(IF(U293="",0,CEILING((U293/$H293),1)*$H293),"")</f>
        <v/>
      </c>
      <c r="W293" s="42">
        <f>IFERROR(IF(V293=0,"",ROUNDUP(V293/H293,0)*0.02175),"")</f>
        <v/>
      </c>
      <c r="X293" s="69" t="inlineStr"/>
      <c r="Y293" s="70" t="inlineStr"/>
      <c r="AC293" s="71" t="n"/>
      <c r="AZ293" s="231" t="inlineStr">
        <is>
          <t>КИ</t>
        </is>
      </c>
    </row>
    <row r="294" ht="27" customHeight="1">
      <c r="A294" s="64" t="inlineStr">
        <is>
          <t>SU001578</t>
        </is>
      </c>
      <c r="B294" s="64" t="inlineStr">
        <is>
          <t>P002562</t>
        </is>
      </c>
      <c r="C294" s="37" t="n">
        <v>4301011326</v>
      </c>
      <c r="D294" s="323" t="n">
        <v>4607091384130</v>
      </c>
      <c r="E294" s="648" t="n"/>
      <c r="F294" s="680" t="n">
        <v>2.5</v>
      </c>
      <c r="G294" s="38" t="n">
        <v>6</v>
      </c>
      <c r="H294" s="680" t="n">
        <v>15</v>
      </c>
      <c r="I294" s="680" t="n">
        <v>15.48</v>
      </c>
      <c r="J294" s="38" t="n">
        <v>48</v>
      </c>
      <c r="K294" s="39" t="inlineStr">
        <is>
          <t>СК2</t>
        </is>
      </c>
      <c r="L294" s="38" t="n">
        <v>60</v>
      </c>
      <c r="M294" s="847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N294" s="682" t="n"/>
      <c r="O294" s="682" t="n"/>
      <c r="P294" s="682" t="n"/>
      <c r="Q294" s="648" t="n"/>
      <c r="R294" s="40" t="inlineStr"/>
      <c r="S294" s="40" t="inlineStr"/>
      <c r="T294" s="41" t="inlineStr">
        <is>
          <t>кг</t>
        </is>
      </c>
      <c r="U294" s="683" t="n">
        <v>2100</v>
      </c>
      <c r="V294" s="684">
        <f>IFERROR(IF(U294="",0,CEILING((U294/$H294),1)*$H294),"")</f>
        <v/>
      </c>
      <c r="W294" s="42">
        <f>IFERROR(IF(V294=0,"",ROUNDUP(V294/H294,0)*0.02175),"")</f>
        <v/>
      </c>
      <c r="X294" s="69" t="inlineStr"/>
      <c r="Y294" s="70" t="inlineStr"/>
      <c r="AC294" s="71" t="n"/>
      <c r="AZ294" s="232" t="inlineStr">
        <is>
          <t>КИ</t>
        </is>
      </c>
    </row>
    <row r="295" ht="27" customHeight="1">
      <c r="A295" s="64" t="inlineStr">
        <is>
          <t>SU001578</t>
        </is>
      </c>
      <c r="B295" s="64" t="inlineStr">
        <is>
          <t>P002582</t>
        </is>
      </c>
      <c r="C295" s="37" t="n">
        <v>4301011240</v>
      </c>
      <c r="D295" s="323" t="n">
        <v>4607091384130</v>
      </c>
      <c r="E295" s="648" t="n"/>
      <c r="F295" s="680" t="n">
        <v>2.5</v>
      </c>
      <c r="G295" s="38" t="n">
        <v>6</v>
      </c>
      <c r="H295" s="680" t="n">
        <v>15</v>
      </c>
      <c r="I295" s="680" t="n">
        <v>15.48</v>
      </c>
      <c r="J295" s="38" t="n">
        <v>48</v>
      </c>
      <c r="K295" s="39" t="inlineStr">
        <is>
          <t>ВЗ</t>
        </is>
      </c>
      <c r="L295" s="38" t="n">
        <v>60</v>
      </c>
      <c r="M295" s="848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N295" s="682" t="n"/>
      <c r="O295" s="682" t="n"/>
      <c r="P295" s="682" t="n"/>
      <c r="Q295" s="648" t="n"/>
      <c r="R295" s="40" t="inlineStr"/>
      <c r="S295" s="40" t="inlineStr"/>
      <c r="T295" s="41" t="inlineStr">
        <is>
          <t>кг</t>
        </is>
      </c>
      <c r="U295" s="683" t="n">
        <v>0</v>
      </c>
      <c r="V295" s="684">
        <f>IFERROR(IF(U295="",0,CEILING((U295/$H295),1)*$H295),"")</f>
        <v/>
      </c>
      <c r="W295" s="42">
        <f>IFERROR(IF(V295=0,"",ROUNDUP(V295/H295,0)*0.02039),"")</f>
        <v/>
      </c>
      <c r="X295" s="69" t="inlineStr"/>
      <c r="Y295" s="70" t="inlineStr"/>
      <c r="AC295" s="71" t="n"/>
      <c r="AZ295" s="233" t="inlineStr">
        <is>
          <t>КИ</t>
        </is>
      </c>
    </row>
    <row r="296" ht="16.5" customHeight="1">
      <c r="A296" s="64" t="inlineStr">
        <is>
          <t>SU000102</t>
        </is>
      </c>
      <c r="B296" s="64" t="inlineStr">
        <is>
          <t>P002564</t>
        </is>
      </c>
      <c r="C296" s="37" t="n">
        <v>4301011330</v>
      </c>
      <c r="D296" s="323" t="n">
        <v>4607091384147</v>
      </c>
      <c r="E296" s="648" t="n"/>
      <c r="F296" s="680" t="n">
        <v>2.5</v>
      </c>
      <c r="G296" s="38" t="n">
        <v>6</v>
      </c>
      <c r="H296" s="680" t="n">
        <v>15</v>
      </c>
      <c r="I296" s="680" t="n">
        <v>15.48</v>
      </c>
      <c r="J296" s="38" t="n">
        <v>48</v>
      </c>
      <c r="K296" s="39" t="inlineStr">
        <is>
          <t>СК2</t>
        </is>
      </c>
      <c r="L296" s="38" t="n">
        <v>60</v>
      </c>
      <c r="M296" s="849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N296" s="682" t="n"/>
      <c r="O296" s="682" t="n"/>
      <c r="P296" s="682" t="n"/>
      <c r="Q296" s="648" t="n"/>
      <c r="R296" s="40" t="inlineStr"/>
      <c r="S296" s="40" t="inlineStr"/>
      <c r="T296" s="41" t="inlineStr">
        <is>
          <t>кг</t>
        </is>
      </c>
      <c r="U296" s="683" t="n">
        <v>1800</v>
      </c>
      <c r="V296" s="684">
        <f>IFERROR(IF(U296="",0,CEILING((U296/$H296),1)*$H296),"")</f>
        <v/>
      </c>
      <c r="W296" s="42">
        <f>IFERROR(IF(V296=0,"",ROUNDUP(V296/H296,0)*0.02175),"")</f>
        <v/>
      </c>
      <c r="X296" s="69" t="inlineStr"/>
      <c r="Y296" s="70" t="inlineStr"/>
      <c r="AC296" s="71" t="n"/>
      <c r="AZ296" s="234" t="inlineStr">
        <is>
          <t>КИ</t>
        </is>
      </c>
    </row>
    <row r="297" ht="16.5" customHeight="1">
      <c r="A297" s="64" t="inlineStr">
        <is>
          <t>SU000102</t>
        </is>
      </c>
      <c r="B297" s="64" t="inlineStr">
        <is>
          <t>P002580</t>
        </is>
      </c>
      <c r="C297" s="37" t="n">
        <v>4301011238</v>
      </c>
      <c r="D297" s="323" t="n">
        <v>4607091384147</v>
      </c>
      <c r="E297" s="648" t="n"/>
      <c r="F297" s="680" t="n">
        <v>2.5</v>
      </c>
      <c r="G297" s="38" t="n">
        <v>6</v>
      </c>
      <c r="H297" s="680" t="n">
        <v>15</v>
      </c>
      <c r="I297" s="680" t="n">
        <v>15.48</v>
      </c>
      <c r="J297" s="38" t="n">
        <v>48</v>
      </c>
      <c r="K297" s="39" t="inlineStr">
        <is>
          <t>ВЗ</t>
        </is>
      </c>
      <c r="L297" s="38" t="n">
        <v>60</v>
      </c>
      <c r="M297" s="850" t="inlineStr">
        <is>
          <t>Вареные колбасы Особая Особая Весовые П/а Особый рецепт</t>
        </is>
      </c>
      <c r="N297" s="682" t="n"/>
      <c r="O297" s="682" t="n"/>
      <c r="P297" s="682" t="n"/>
      <c r="Q297" s="648" t="n"/>
      <c r="R297" s="40" t="inlineStr"/>
      <c r="S297" s="40" t="inlineStr"/>
      <c r="T297" s="41" t="inlineStr">
        <is>
          <t>кг</t>
        </is>
      </c>
      <c r="U297" s="683" t="n">
        <v>0</v>
      </c>
      <c r="V297" s="684">
        <f>IFERROR(IF(U297="",0,CEILING((U297/$H297),1)*$H297),"")</f>
        <v/>
      </c>
      <c r="W297" s="42">
        <f>IFERROR(IF(V297=0,"",ROUNDUP(V297/H297,0)*0.02039),"")</f>
        <v/>
      </c>
      <c r="X297" s="69" t="inlineStr"/>
      <c r="Y297" s="70" t="inlineStr"/>
      <c r="AC297" s="71" t="n"/>
      <c r="AZ297" s="235" t="inlineStr">
        <is>
          <t>КИ</t>
        </is>
      </c>
    </row>
    <row r="298" ht="27" customHeight="1">
      <c r="A298" s="64" t="inlineStr">
        <is>
          <t>SU001989</t>
        </is>
      </c>
      <c r="B298" s="64" t="inlineStr">
        <is>
          <t>P002560</t>
        </is>
      </c>
      <c r="C298" s="37" t="n">
        <v>4301011327</v>
      </c>
      <c r="D298" s="323" t="n">
        <v>4607091384154</v>
      </c>
      <c r="E298" s="648" t="n"/>
      <c r="F298" s="680" t="n">
        <v>0.5</v>
      </c>
      <c r="G298" s="38" t="n">
        <v>10</v>
      </c>
      <c r="H298" s="680" t="n">
        <v>5</v>
      </c>
      <c r="I298" s="680" t="n">
        <v>5.21</v>
      </c>
      <c r="J298" s="38" t="n">
        <v>120</v>
      </c>
      <c r="K298" s="39" t="inlineStr">
        <is>
          <t>СК2</t>
        </is>
      </c>
      <c r="L298" s="38" t="n">
        <v>60</v>
      </c>
      <c r="M298" s="851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N298" s="682" t="n"/>
      <c r="O298" s="682" t="n"/>
      <c r="P298" s="682" t="n"/>
      <c r="Q298" s="648" t="n"/>
      <c r="R298" s="40" t="inlineStr"/>
      <c r="S298" s="40" t="inlineStr"/>
      <c r="T298" s="41" t="inlineStr">
        <is>
          <t>кг</t>
        </is>
      </c>
      <c r="U298" s="683" t="n">
        <v>0</v>
      </c>
      <c r="V298" s="684">
        <f>IFERROR(IF(U298="",0,CEILING((U298/$H298),1)*$H298),"")</f>
        <v/>
      </c>
      <c r="W298" s="42">
        <f>IFERROR(IF(V298=0,"",ROUNDUP(V298/H298,0)*0.00937),"")</f>
        <v/>
      </c>
      <c r="X298" s="69" t="inlineStr"/>
      <c r="Y298" s="70" t="inlineStr"/>
      <c r="AC298" s="71" t="n"/>
      <c r="AZ298" s="236" t="inlineStr">
        <is>
          <t>КИ</t>
        </is>
      </c>
    </row>
    <row r="299" ht="27" customHeight="1">
      <c r="A299" s="64" t="inlineStr">
        <is>
          <t>SU000256</t>
        </is>
      </c>
      <c r="B299" s="64" t="inlineStr">
        <is>
          <t>P002565</t>
        </is>
      </c>
      <c r="C299" s="37" t="n">
        <v>4301011332</v>
      </c>
      <c r="D299" s="323" t="n">
        <v>4607091384161</v>
      </c>
      <c r="E299" s="648" t="n"/>
      <c r="F299" s="680" t="n">
        <v>0.5</v>
      </c>
      <c r="G299" s="38" t="n">
        <v>10</v>
      </c>
      <c r="H299" s="680" t="n">
        <v>5</v>
      </c>
      <c r="I299" s="680" t="n">
        <v>5.21</v>
      </c>
      <c r="J299" s="38" t="n">
        <v>120</v>
      </c>
      <c r="K299" s="39" t="inlineStr">
        <is>
          <t>СК2</t>
        </is>
      </c>
      <c r="L299" s="38" t="n">
        <v>60</v>
      </c>
      <c r="M299" s="852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N299" s="682" t="n"/>
      <c r="O299" s="682" t="n"/>
      <c r="P299" s="682" t="n"/>
      <c r="Q299" s="648" t="n"/>
      <c r="R299" s="40" t="inlineStr"/>
      <c r="S299" s="40" t="inlineStr"/>
      <c r="T299" s="41" t="inlineStr">
        <is>
          <t>кг</t>
        </is>
      </c>
      <c r="U299" s="683" t="n">
        <v>0</v>
      </c>
      <c r="V299" s="684">
        <f>IFERROR(IF(U299="",0,CEILING((U299/$H299),1)*$H299),"")</f>
        <v/>
      </c>
      <c r="W299" s="42">
        <f>IFERROR(IF(V299=0,"",ROUNDUP(V299/H299,0)*0.00937),"")</f>
        <v/>
      </c>
      <c r="X299" s="69" t="inlineStr"/>
      <c r="Y299" s="70" t="inlineStr"/>
      <c r="AC299" s="71" t="n"/>
      <c r="AZ299" s="237" t="inlineStr">
        <is>
          <t>КИ</t>
        </is>
      </c>
    </row>
    <row r="300">
      <c r="A300" s="33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685" t="n"/>
      <c r="M300" s="686" t="inlineStr">
        <is>
          <t>Итого</t>
        </is>
      </c>
      <c r="N300" s="656" t="n"/>
      <c r="O300" s="656" t="n"/>
      <c r="P300" s="656" t="n"/>
      <c r="Q300" s="656" t="n"/>
      <c r="R300" s="656" t="n"/>
      <c r="S300" s="657" t="n"/>
      <c r="T300" s="43" t="inlineStr">
        <is>
          <t>кор</t>
        </is>
      </c>
      <c r="U300" s="687">
        <f>IFERROR(U292/H292,"0")+IFERROR(U293/H293,"0")+IFERROR(U294/H294,"0")+IFERROR(U295/H295,"0")+IFERROR(U296/H296,"0")+IFERROR(U297/H297,"0")+IFERROR(U298/H298,"0")+IFERROR(U299/H299,"0")</f>
        <v/>
      </c>
      <c r="V300" s="687">
        <f>IFERROR(V292/H292,"0")+IFERROR(V293/H293,"0")+IFERROR(V294/H294,"0")+IFERROR(V295/H295,"0")+IFERROR(V296/H296,"0")+IFERROR(V297/H297,"0")+IFERROR(V298/H298,"0")+IFERROR(V299/H299,"0")</f>
        <v/>
      </c>
      <c r="W300" s="687">
        <f>IFERROR(IF(W292="",0,W292),"0")+IFERROR(IF(W293="",0,W293),"0")+IFERROR(IF(W294="",0,W294),"0")+IFERROR(IF(W295="",0,W295),"0")+IFERROR(IF(W296="",0,W296),"0")+IFERROR(IF(W297="",0,W297),"0")+IFERROR(IF(W298="",0,W298),"0")+IFERROR(IF(W299="",0,W299),"0")</f>
        <v/>
      </c>
      <c r="X300" s="688" t="n"/>
      <c r="Y300" s="688" t="n"/>
    </row>
    <row r="301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685" t="n"/>
      <c r="M301" s="686" t="inlineStr">
        <is>
          <t>Итого</t>
        </is>
      </c>
      <c r="N301" s="656" t="n"/>
      <c r="O301" s="656" t="n"/>
      <c r="P301" s="656" t="n"/>
      <c r="Q301" s="656" t="n"/>
      <c r="R301" s="656" t="n"/>
      <c r="S301" s="657" t="n"/>
      <c r="T301" s="43" t="inlineStr">
        <is>
          <t>кг</t>
        </is>
      </c>
      <c r="U301" s="687">
        <f>IFERROR(SUM(U292:U299),"0")</f>
        <v/>
      </c>
      <c r="V301" s="687">
        <f>IFERROR(SUM(V292:V299),"0")</f>
        <v/>
      </c>
      <c r="W301" s="43" t="n"/>
      <c r="X301" s="688" t="n"/>
      <c r="Y301" s="688" t="n"/>
    </row>
    <row r="302" ht="14.25" customHeight="1">
      <c r="A302" s="322" t="inlineStr">
        <is>
          <t>Ветчины</t>
        </is>
      </c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322" t="n"/>
      <c r="Y302" s="322" t="n"/>
    </row>
    <row r="303" ht="27" customHeight="1">
      <c r="A303" s="64" t="inlineStr">
        <is>
          <t>SU000126</t>
        </is>
      </c>
      <c r="B303" s="64" t="inlineStr">
        <is>
          <t>P002555</t>
        </is>
      </c>
      <c r="C303" s="37" t="n">
        <v>4301020178</v>
      </c>
      <c r="D303" s="323" t="n">
        <v>4607091383980</v>
      </c>
      <c r="E303" s="648" t="n"/>
      <c r="F303" s="680" t="n">
        <v>2.5</v>
      </c>
      <c r="G303" s="38" t="n">
        <v>6</v>
      </c>
      <c r="H303" s="680" t="n">
        <v>15</v>
      </c>
      <c r="I303" s="680" t="n">
        <v>15.48</v>
      </c>
      <c r="J303" s="38" t="n">
        <v>48</v>
      </c>
      <c r="K303" s="39" t="inlineStr">
        <is>
          <t>СК1</t>
        </is>
      </c>
      <c r="L303" s="38" t="n">
        <v>50</v>
      </c>
      <c r="M303" s="853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N303" s="682" t="n"/>
      <c r="O303" s="682" t="n"/>
      <c r="P303" s="682" t="n"/>
      <c r="Q303" s="648" t="n"/>
      <c r="R303" s="40" t="inlineStr"/>
      <c r="S303" s="40" t="inlineStr"/>
      <c r="T303" s="41" t="inlineStr">
        <is>
          <t>кг</t>
        </is>
      </c>
      <c r="U303" s="683" t="n">
        <v>1200</v>
      </c>
      <c r="V303" s="684">
        <f>IFERROR(IF(U303="",0,CEILING((U303/$H303),1)*$H303),"")</f>
        <v/>
      </c>
      <c r="W303" s="42">
        <f>IFERROR(IF(V303=0,"",ROUNDUP(V303/H303,0)*0.02175),"")</f>
        <v/>
      </c>
      <c r="X303" s="69" t="inlineStr"/>
      <c r="Y303" s="70" t="inlineStr"/>
      <c r="AC303" s="71" t="n"/>
      <c r="AZ303" s="238" t="inlineStr">
        <is>
          <t>КИ</t>
        </is>
      </c>
    </row>
    <row r="304" ht="27" customHeight="1">
      <c r="A304" s="64" t="inlineStr">
        <is>
          <t>SU002027</t>
        </is>
      </c>
      <c r="B304" s="64" t="inlineStr">
        <is>
          <t>P002556</t>
        </is>
      </c>
      <c r="C304" s="37" t="n">
        <v>4301020179</v>
      </c>
      <c r="D304" s="323" t="n">
        <v>4607091384178</v>
      </c>
      <c r="E304" s="648" t="n"/>
      <c r="F304" s="680" t="n">
        <v>0.4</v>
      </c>
      <c r="G304" s="38" t="n">
        <v>10</v>
      </c>
      <c r="H304" s="680" t="n">
        <v>4</v>
      </c>
      <c r="I304" s="680" t="n">
        <v>4.24</v>
      </c>
      <c r="J304" s="38" t="n">
        <v>120</v>
      </c>
      <c r="K304" s="39" t="inlineStr">
        <is>
          <t>СК1</t>
        </is>
      </c>
      <c r="L304" s="38" t="n">
        <v>50</v>
      </c>
      <c r="M304" s="854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N304" s="682" t="n"/>
      <c r="O304" s="682" t="n"/>
      <c r="P304" s="682" t="n"/>
      <c r="Q304" s="648" t="n"/>
      <c r="R304" s="40" t="inlineStr"/>
      <c r="S304" s="40" t="inlineStr"/>
      <c r="T304" s="41" t="inlineStr">
        <is>
          <t>кг</t>
        </is>
      </c>
      <c r="U304" s="683" t="n">
        <v>0</v>
      </c>
      <c r="V304" s="684">
        <f>IFERROR(IF(U304="",0,CEILING((U304/$H304),1)*$H304),"")</f>
        <v/>
      </c>
      <c r="W304" s="42">
        <f>IFERROR(IF(V304=0,"",ROUNDUP(V304/H304,0)*0.00937),"")</f>
        <v/>
      </c>
      <c r="X304" s="69" t="inlineStr"/>
      <c r="Y304" s="70" t="inlineStr"/>
      <c r="AC304" s="71" t="n"/>
      <c r="AZ304" s="239" t="inlineStr">
        <is>
          <t>КИ</t>
        </is>
      </c>
    </row>
    <row r="305">
      <c r="A305" s="33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685" t="n"/>
      <c r="M305" s="686" t="inlineStr">
        <is>
          <t>Итого</t>
        </is>
      </c>
      <c r="N305" s="656" t="n"/>
      <c r="O305" s="656" t="n"/>
      <c r="P305" s="656" t="n"/>
      <c r="Q305" s="656" t="n"/>
      <c r="R305" s="656" t="n"/>
      <c r="S305" s="657" t="n"/>
      <c r="T305" s="43" t="inlineStr">
        <is>
          <t>кор</t>
        </is>
      </c>
      <c r="U305" s="687">
        <f>IFERROR(U303/H303,"0")+IFERROR(U304/H304,"0")</f>
        <v/>
      </c>
      <c r="V305" s="687">
        <f>IFERROR(V303/H303,"0")+IFERROR(V304/H304,"0")</f>
        <v/>
      </c>
      <c r="W305" s="687">
        <f>IFERROR(IF(W303="",0,W303),"0")+IFERROR(IF(W304="",0,W304),"0")</f>
        <v/>
      </c>
      <c r="X305" s="688" t="n"/>
      <c r="Y305" s="688" t="n"/>
    </row>
    <row r="306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685" t="n"/>
      <c r="M306" s="686" t="inlineStr">
        <is>
          <t>Итого</t>
        </is>
      </c>
      <c r="N306" s="656" t="n"/>
      <c r="O306" s="656" t="n"/>
      <c r="P306" s="656" t="n"/>
      <c r="Q306" s="656" t="n"/>
      <c r="R306" s="656" t="n"/>
      <c r="S306" s="657" t="n"/>
      <c r="T306" s="43" t="inlineStr">
        <is>
          <t>кг</t>
        </is>
      </c>
      <c r="U306" s="687">
        <f>IFERROR(SUM(U303:U304),"0")</f>
        <v/>
      </c>
      <c r="V306" s="687">
        <f>IFERROR(SUM(V303:V304),"0")</f>
        <v/>
      </c>
      <c r="W306" s="43" t="n"/>
      <c r="X306" s="688" t="n"/>
      <c r="Y306" s="688" t="n"/>
    </row>
    <row r="307" ht="14.25" customHeight="1">
      <c r="A307" s="322" t="inlineStr">
        <is>
          <t>Сосиски</t>
        </is>
      </c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322" t="n"/>
      <c r="Y307" s="322" t="n"/>
    </row>
    <row r="308" ht="27" customHeight="1">
      <c r="A308" s="64" t="inlineStr">
        <is>
          <t>SU000246</t>
        </is>
      </c>
      <c r="B308" s="64" t="inlineStr">
        <is>
          <t>P002690</t>
        </is>
      </c>
      <c r="C308" s="37" t="n">
        <v>4301051298</v>
      </c>
      <c r="D308" s="323" t="n">
        <v>4607091384260</v>
      </c>
      <c r="E308" s="648" t="n"/>
      <c r="F308" s="680" t="n">
        <v>1.3</v>
      </c>
      <c r="G308" s="38" t="n">
        <v>6</v>
      </c>
      <c r="H308" s="680" t="n">
        <v>7.8</v>
      </c>
      <c r="I308" s="680" t="n">
        <v>8.364000000000001</v>
      </c>
      <c r="J308" s="38" t="n">
        <v>56</v>
      </c>
      <c r="K308" s="39" t="inlineStr">
        <is>
          <t>СК2</t>
        </is>
      </c>
      <c r="L308" s="38" t="n">
        <v>35</v>
      </c>
      <c r="M308" s="855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N308" s="682" t="n"/>
      <c r="O308" s="682" t="n"/>
      <c r="P308" s="682" t="n"/>
      <c r="Q308" s="648" t="n"/>
      <c r="R308" s="40" t="inlineStr"/>
      <c r="S308" s="40" t="inlineStr"/>
      <c r="T308" s="41" t="inlineStr">
        <is>
          <t>кг</t>
        </is>
      </c>
      <c r="U308" s="683" t="n">
        <v>65</v>
      </c>
      <c r="V308" s="684">
        <f>IFERROR(IF(U308="",0,CEILING((U308/$H308),1)*$H308),"")</f>
        <v/>
      </c>
      <c r="W308" s="42">
        <f>IFERROR(IF(V308=0,"",ROUNDUP(V308/H308,0)*0.02175),"")</f>
        <v/>
      </c>
      <c r="X308" s="69" t="inlineStr"/>
      <c r="Y308" s="70" t="inlineStr"/>
      <c r="AC308" s="71" t="n"/>
      <c r="AZ308" s="240" t="inlineStr">
        <is>
          <t>КИ</t>
        </is>
      </c>
    </row>
    <row r="309">
      <c r="A309" s="33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685" t="n"/>
      <c r="M309" s="686" t="inlineStr">
        <is>
          <t>Итого</t>
        </is>
      </c>
      <c r="N309" s="656" t="n"/>
      <c r="O309" s="656" t="n"/>
      <c r="P309" s="656" t="n"/>
      <c r="Q309" s="656" t="n"/>
      <c r="R309" s="656" t="n"/>
      <c r="S309" s="657" t="n"/>
      <c r="T309" s="43" t="inlineStr">
        <is>
          <t>кор</t>
        </is>
      </c>
      <c r="U309" s="687">
        <f>IFERROR(U308/H308,"0")</f>
        <v/>
      </c>
      <c r="V309" s="687">
        <f>IFERROR(V308/H308,"0")</f>
        <v/>
      </c>
      <c r="W309" s="687">
        <f>IFERROR(IF(W308="",0,W308),"0")</f>
        <v/>
      </c>
      <c r="X309" s="688" t="n"/>
      <c r="Y309" s="688" t="n"/>
    </row>
    <row r="310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685" t="n"/>
      <c r="M310" s="686" t="inlineStr">
        <is>
          <t>Итого</t>
        </is>
      </c>
      <c r="N310" s="656" t="n"/>
      <c r="O310" s="656" t="n"/>
      <c r="P310" s="656" t="n"/>
      <c r="Q310" s="656" t="n"/>
      <c r="R310" s="656" t="n"/>
      <c r="S310" s="657" t="n"/>
      <c r="T310" s="43" t="inlineStr">
        <is>
          <t>кг</t>
        </is>
      </c>
      <c r="U310" s="687">
        <f>IFERROR(SUM(U308:U308),"0")</f>
        <v/>
      </c>
      <c r="V310" s="687">
        <f>IFERROR(SUM(V308:V308),"0")</f>
        <v/>
      </c>
      <c r="W310" s="43" t="n"/>
      <c r="X310" s="688" t="n"/>
      <c r="Y310" s="688" t="n"/>
    </row>
    <row r="311" ht="14.25" customHeight="1">
      <c r="A311" s="322" t="inlineStr">
        <is>
          <t>Сардельки</t>
        </is>
      </c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322" t="n"/>
      <c r="Y311" s="322" t="n"/>
    </row>
    <row r="312" ht="16.5" customHeight="1">
      <c r="A312" s="64" t="inlineStr">
        <is>
          <t>SU002287</t>
        </is>
      </c>
      <c r="B312" s="64" t="inlineStr">
        <is>
          <t>P002490</t>
        </is>
      </c>
      <c r="C312" s="37" t="n">
        <v>4301060314</v>
      </c>
      <c r="D312" s="323" t="n">
        <v>4607091384673</v>
      </c>
      <c r="E312" s="648" t="n"/>
      <c r="F312" s="680" t="n">
        <v>1.3</v>
      </c>
      <c r="G312" s="38" t="n">
        <v>6</v>
      </c>
      <c r="H312" s="680" t="n">
        <v>7.8</v>
      </c>
      <c r="I312" s="680" t="n">
        <v>8.364000000000001</v>
      </c>
      <c r="J312" s="38" t="n">
        <v>56</v>
      </c>
      <c r="K312" s="39" t="inlineStr">
        <is>
          <t>СК2</t>
        </is>
      </c>
      <c r="L312" s="38" t="n">
        <v>30</v>
      </c>
      <c r="M312" s="856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N312" s="682" t="n"/>
      <c r="O312" s="682" t="n"/>
      <c r="P312" s="682" t="n"/>
      <c r="Q312" s="648" t="n"/>
      <c r="R312" s="40" t="inlineStr"/>
      <c r="S312" s="40" t="inlineStr"/>
      <c r="T312" s="41" t="inlineStr">
        <is>
          <t>кг</t>
        </is>
      </c>
      <c r="U312" s="683" t="n">
        <v>400</v>
      </c>
      <c r="V312" s="684">
        <f>IFERROR(IF(U312="",0,CEILING((U312/$H312),1)*$H312),"")</f>
        <v/>
      </c>
      <c r="W312" s="42">
        <f>IFERROR(IF(V312=0,"",ROUNDUP(V312/H312,0)*0.02175),"")</f>
        <v/>
      </c>
      <c r="X312" s="69" t="inlineStr"/>
      <c r="Y312" s="70" t="inlineStr"/>
      <c r="AC312" s="71" t="n"/>
      <c r="AZ312" s="241" t="inlineStr">
        <is>
          <t>КИ</t>
        </is>
      </c>
    </row>
    <row r="313">
      <c r="A313" s="33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685" t="n"/>
      <c r="M313" s="686" t="inlineStr">
        <is>
          <t>Итого</t>
        </is>
      </c>
      <c r="N313" s="656" t="n"/>
      <c r="O313" s="656" t="n"/>
      <c r="P313" s="656" t="n"/>
      <c r="Q313" s="656" t="n"/>
      <c r="R313" s="656" t="n"/>
      <c r="S313" s="657" t="n"/>
      <c r="T313" s="43" t="inlineStr">
        <is>
          <t>кор</t>
        </is>
      </c>
      <c r="U313" s="687">
        <f>IFERROR(U312/H312,"0")</f>
        <v/>
      </c>
      <c r="V313" s="687">
        <f>IFERROR(V312/H312,"0")</f>
        <v/>
      </c>
      <c r="W313" s="687">
        <f>IFERROR(IF(W312="",0,W312),"0")</f>
        <v/>
      </c>
      <c r="X313" s="688" t="n"/>
      <c r="Y313" s="688" t="n"/>
    </row>
    <row r="314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685" t="n"/>
      <c r="M314" s="686" t="inlineStr">
        <is>
          <t>Итого</t>
        </is>
      </c>
      <c r="N314" s="656" t="n"/>
      <c r="O314" s="656" t="n"/>
      <c r="P314" s="656" t="n"/>
      <c r="Q314" s="656" t="n"/>
      <c r="R314" s="656" t="n"/>
      <c r="S314" s="657" t="n"/>
      <c r="T314" s="43" t="inlineStr">
        <is>
          <t>кг</t>
        </is>
      </c>
      <c r="U314" s="687">
        <f>IFERROR(SUM(U312:U312),"0")</f>
        <v/>
      </c>
      <c r="V314" s="687">
        <f>IFERROR(SUM(V312:V312),"0")</f>
        <v/>
      </c>
      <c r="W314" s="43" t="n"/>
      <c r="X314" s="688" t="n"/>
      <c r="Y314" s="688" t="n"/>
    </row>
    <row r="315" ht="16.5" customHeight="1">
      <c r="A315" s="321" t="inlineStr">
        <is>
          <t>Особая Без свинины</t>
        </is>
      </c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321" t="n"/>
      <c r="Y315" s="321" t="n"/>
    </row>
    <row r="316" ht="14.25" customHeight="1">
      <c r="A316" s="322" t="inlineStr">
        <is>
          <t>Вареные колбасы</t>
        </is>
      </c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322" t="n"/>
      <c r="Y316" s="322" t="n"/>
    </row>
    <row r="317" ht="27" customHeight="1">
      <c r="A317" s="64" t="inlineStr">
        <is>
          <t>SU002073</t>
        </is>
      </c>
      <c r="B317" s="64" t="inlineStr">
        <is>
          <t>P002563</t>
        </is>
      </c>
      <c r="C317" s="37" t="n">
        <v>4301011324</v>
      </c>
      <c r="D317" s="323" t="n">
        <v>4607091384185</v>
      </c>
      <c r="E317" s="648" t="n"/>
      <c r="F317" s="680" t="n">
        <v>0.8</v>
      </c>
      <c r="G317" s="38" t="n">
        <v>15</v>
      </c>
      <c r="H317" s="680" t="n">
        <v>12</v>
      </c>
      <c r="I317" s="680" t="n">
        <v>12.48</v>
      </c>
      <c r="J317" s="38" t="n">
        <v>56</v>
      </c>
      <c r="K317" s="39" t="inlineStr">
        <is>
          <t>СК2</t>
        </is>
      </c>
      <c r="L317" s="38" t="n">
        <v>60</v>
      </c>
      <c r="M317" s="857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N317" s="682" t="n"/>
      <c r="O317" s="682" t="n"/>
      <c r="P317" s="682" t="n"/>
      <c r="Q317" s="648" t="n"/>
      <c r="R317" s="40" t="inlineStr"/>
      <c r="S317" s="40" t="inlineStr"/>
      <c r="T317" s="41" t="inlineStr">
        <is>
          <t>кг</t>
        </is>
      </c>
      <c r="U317" s="683" t="n">
        <v>0</v>
      </c>
      <c r="V317" s="684">
        <f>IFERROR(IF(U317="",0,CEILING((U317/$H317),1)*$H317),"")</f>
        <v/>
      </c>
      <c r="W317" s="42">
        <f>IFERROR(IF(V317=0,"",ROUNDUP(V317/H317,0)*0.02175),"")</f>
        <v/>
      </c>
      <c r="X317" s="69" t="inlineStr"/>
      <c r="Y317" s="70" t="inlineStr"/>
      <c r="AC317" s="71" t="n"/>
      <c r="AZ317" s="242" t="inlineStr">
        <is>
          <t>КИ</t>
        </is>
      </c>
    </row>
    <row r="318" ht="27" customHeight="1">
      <c r="A318" s="64" t="inlineStr">
        <is>
          <t>SU002187</t>
        </is>
      </c>
      <c r="B318" s="64" t="inlineStr">
        <is>
          <t>P002559</t>
        </is>
      </c>
      <c r="C318" s="37" t="n">
        <v>4301011312</v>
      </c>
      <c r="D318" s="323" t="n">
        <v>4607091384192</v>
      </c>
      <c r="E318" s="648" t="n"/>
      <c r="F318" s="680" t="n">
        <v>1.8</v>
      </c>
      <c r="G318" s="38" t="n">
        <v>6</v>
      </c>
      <c r="H318" s="680" t="n">
        <v>10.8</v>
      </c>
      <c r="I318" s="680" t="n">
        <v>11.28</v>
      </c>
      <c r="J318" s="38" t="n">
        <v>56</v>
      </c>
      <c r="K318" s="39" t="inlineStr">
        <is>
          <t>СК1</t>
        </is>
      </c>
      <c r="L318" s="38" t="n">
        <v>60</v>
      </c>
      <c r="M318" s="858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N318" s="682" t="n"/>
      <c r="O318" s="682" t="n"/>
      <c r="P318" s="682" t="n"/>
      <c r="Q318" s="648" t="n"/>
      <c r="R318" s="40" t="inlineStr"/>
      <c r="S318" s="40" t="inlineStr"/>
      <c r="T318" s="41" t="inlineStr">
        <is>
          <t>кг</t>
        </is>
      </c>
      <c r="U318" s="683" t="n">
        <v>0</v>
      </c>
      <c r="V318" s="684">
        <f>IFERROR(IF(U318="",0,CEILING((U318/$H318),1)*$H318),"")</f>
        <v/>
      </c>
      <c r="W318" s="42">
        <f>IFERROR(IF(V318=0,"",ROUNDUP(V318/H318,0)*0.02175),"")</f>
        <v/>
      </c>
      <c r="X318" s="69" t="inlineStr"/>
      <c r="Y318" s="70" t="inlineStr"/>
      <c r="AC318" s="71" t="n"/>
      <c r="AZ318" s="243" t="inlineStr">
        <is>
          <t>КИ</t>
        </is>
      </c>
    </row>
    <row r="319" ht="27" customHeight="1">
      <c r="A319" s="64" t="inlineStr">
        <is>
          <t>SU002899</t>
        </is>
      </c>
      <c r="B319" s="64" t="inlineStr">
        <is>
          <t>P003323</t>
        </is>
      </c>
      <c r="C319" s="37" t="n">
        <v>4301011483</v>
      </c>
      <c r="D319" s="323" t="n">
        <v>4680115881907</v>
      </c>
      <c r="E319" s="648" t="n"/>
      <c r="F319" s="680" t="n">
        <v>1.8</v>
      </c>
      <c r="G319" s="38" t="n">
        <v>6</v>
      </c>
      <c r="H319" s="680" t="n">
        <v>10.8</v>
      </c>
      <c r="I319" s="680" t="n">
        <v>11.28</v>
      </c>
      <c r="J319" s="38" t="n">
        <v>56</v>
      </c>
      <c r="K319" s="39" t="inlineStr">
        <is>
          <t>СК2</t>
        </is>
      </c>
      <c r="L319" s="38" t="n">
        <v>60</v>
      </c>
      <c r="M319" s="859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N319" s="682" t="n"/>
      <c r="O319" s="682" t="n"/>
      <c r="P319" s="682" t="n"/>
      <c r="Q319" s="648" t="n"/>
      <c r="R319" s="40" t="inlineStr"/>
      <c r="S319" s="40" t="inlineStr"/>
      <c r="T319" s="41" t="inlineStr">
        <is>
          <t>кг</t>
        </is>
      </c>
      <c r="U319" s="683" t="n">
        <v>0</v>
      </c>
      <c r="V319" s="684">
        <f>IFERROR(IF(U319="",0,CEILING((U319/$H319),1)*$H319),"")</f>
        <v/>
      </c>
      <c r="W319" s="42">
        <f>IFERROR(IF(V319=0,"",ROUNDUP(V319/H319,0)*0.02175),"")</f>
        <v/>
      </c>
      <c r="X319" s="69" t="inlineStr"/>
      <c r="Y319" s="70" t="inlineStr"/>
      <c r="AC319" s="71" t="n"/>
      <c r="AZ319" s="244" t="inlineStr">
        <is>
          <t>КИ</t>
        </is>
      </c>
    </row>
    <row r="320" ht="27" customHeight="1">
      <c r="A320" s="64" t="inlineStr">
        <is>
          <t>SU002462</t>
        </is>
      </c>
      <c r="B320" s="64" t="inlineStr">
        <is>
          <t>P002768</t>
        </is>
      </c>
      <c r="C320" s="37" t="n">
        <v>4301011303</v>
      </c>
      <c r="D320" s="323" t="n">
        <v>4607091384680</v>
      </c>
      <c r="E320" s="648" t="n"/>
      <c r="F320" s="680" t="n">
        <v>0.4</v>
      </c>
      <c r="G320" s="38" t="n">
        <v>10</v>
      </c>
      <c r="H320" s="680" t="n">
        <v>4</v>
      </c>
      <c r="I320" s="680" t="n">
        <v>4.21</v>
      </c>
      <c r="J320" s="38" t="n">
        <v>120</v>
      </c>
      <c r="K320" s="39" t="inlineStr">
        <is>
          <t>СК2</t>
        </is>
      </c>
      <c r="L320" s="38" t="n">
        <v>60</v>
      </c>
      <c r="M320" s="860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N320" s="682" t="n"/>
      <c r="O320" s="682" t="n"/>
      <c r="P320" s="682" t="n"/>
      <c r="Q320" s="648" t="n"/>
      <c r="R320" s="40" t="inlineStr"/>
      <c r="S320" s="40" t="inlineStr"/>
      <c r="T320" s="41" t="inlineStr">
        <is>
          <t>кг</t>
        </is>
      </c>
      <c r="U320" s="683" t="n">
        <v>0</v>
      </c>
      <c r="V320" s="684">
        <f>IFERROR(IF(U320="",0,CEILING((U320/$H320),1)*$H320),"")</f>
        <v/>
      </c>
      <c r="W320" s="42">
        <f>IFERROR(IF(V320=0,"",ROUNDUP(V320/H320,0)*0.00937),"")</f>
        <v/>
      </c>
      <c r="X320" s="69" t="inlineStr"/>
      <c r="Y320" s="70" t="inlineStr"/>
      <c r="AC320" s="71" t="n"/>
      <c r="AZ320" s="245" t="inlineStr">
        <is>
          <t>КИ</t>
        </is>
      </c>
    </row>
    <row r="321">
      <c r="A321" s="33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685" t="n"/>
      <c r="M321" s="686" t="inlineStr">
        <is>
          <t>Итого</t>
        </is>
      </c>
      <c r="N321" s="656" t="n"/>
      <c r="O321" s="656" t="n"/>
      <c r="P321" s="656" t="n"/>
      <c r="Q321" s="656" t="n"/>
      <c r="R321" s="656" t="n"/>
      <c r="S321" s="657" t="n"/>
      <c r="T321" s="43" t="inlineStr">
        <is>
          <t>кор</t>
        </is>
      </c>
      <c r="U321" s="687">
        <f>IFERROR(U317/H317,"0")+IFERROR(U318/H318,"0")+IFERROR(U319/H319,"0")+IFERROR(U320/H320,"0")</f>
        <v/>
      </c>
      <c r="V321" s="687">
        <f>IFERROR(V317/H317,"0")+IFERROR(V318/H318,"0")+IFERROR(V319/H319,"0")+IFERROR(V320/H320,"0")</f>
        <v/>
      </c>
      <c r="W321" s="687">
        <f>IFERROR(IF(W317="",0,W317),"0")+IFERROR(IF(W318="",0,W318),"0")+IFERROR(IF(W319="",0,W319),"0")+IFERROR(IF(W320="",0,W320),"0")</f>
        <v/>
      </c>
      <c r="X321" s="688" t="n"/>
      <c r="Y321" s="688" t="n"/>
    </row>
    <row r="322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685" t="n"/>
      <c r="M322" s="686" t="inlineStr">
        <is>
          <t>Итого</t>
        </is>
      </c>
      <c r="N322" s="656" t="n"/>
      <c r="O322" s="656" t="n"/>
      <c r="P322" s="656" t="n"/>
      <c r="Q322" s="656" t="n"/>
      <c r="R322" s="656" t="n"/>
      <c r="S322" s="657" t="n"/>
      <c r="T322" s="43" t="inlineStr">
        <is>
          <t>кг</t>
        </is>
      </c>
      <c r="U322" s="687">
        <f>IFERROR(SUM(U317:U320),"0")</f>
        <v/>
      </c>
      <c r="V322" s="687">
        <f>IFERROR(SUM(V317:V320),"0")</f>
        <v/>
      </c>
      <c r="W322" s="43" t="n"/>
      <c r="X322" s="688" t="n"/>
      <c r="Y322" s="688" t="n"/>
    </row>
    <row r="323" ht="14.25" customHeight="1">
      <c r="A323" s="322" t="inlineStr">
        <is>
          <t>Копченые колбасы</t>
        </is>
      </c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322" t="n"/>
      <c r="Y323" s="322" t="n"/>
    </row>
    <row r="324" ht="27" customHeight="1">
      <c r="A324" s="64" t="inlineStr">
        <is>
          <t>SU002360</t>
        </is>
      </c>
      <c r="B324" s="64" t="inlineStr">
        <is>
          <t>P002629</t>
        </is>
      </c>
      <c r="C324" s="37" t="n">
        <v>4301031139</v>
      </c>
      <c r="D324" s="323" t="n">
        <v>4607091384802</v>
      </c>
      <c r="E324" s="648" t="n"/>
      <c r="F324" s="680" t="n">
        <v>0.73</v>
      </c>
      <c r="G324" s="38" t="n">
        <v>6</v>
      </c>
      <c r="H324" s="680" t="n">
        <v>4.38</v>
      </c>
      <c r="I324" s="680" t="n">
        <v>4.58</v>
      </c>
      <c r="J324" s="38" t="n">
        <v>156</v>
      </c>
      <c r="K324" s="39" t="inlineStr">
        <is>
          <t>СК2</t>
        </is>
      </c>
      <c r="L324" s="38" t="n">
        <v>35</v>
      </c>
      <c r="M324" s="861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N324" s="682" t="n"/>
      <c r="O324" s="682" t="n"/>
      <c r="P324" s="682" t="n"/>
      <c r="Q324" s="648" t="n"/>
      <c r="R324" s="40" t="inlineStr"/>
      <c r="S324" s="40" t="inlineStr"/>
      <c r="T324" s="41" t="inlineStr">
        <is>
          <t>кг</t>
        </is>
      </c>
      <c r="U324" s="683" t="n">
        <v>0</v>
      </c>
      <c r="V324" s="684">
        <f>IFERROR(IF(U324="",0,CEILING((U324/$H324),1)*$H324),"")</f>
        <v/>
      </c>
      <c r="W324" s="42">
        <f>IFERROR(IF(V324=0,"",ROUNDUP(V324/H324,0)*0.00753),"")</f>
        <v/>
      </c>
      <c r="X324" s="69" t="inlineStr"/>
      <c r="Y324" s="70" t="inlineStr"/>
      <c r="AC324" s="71" t="n"/>
      <c r="AZ324" s="246" t="inlineStr">
        <is>
          <t>КИ</t>
        </is>
      </c>
    </row>
    <row r="325" ht="27" customHeight="1">
      <c r="A325" s="64" t="inlineStr">
        <is>
          <t>SU002361</t>
        </is>
      </c>
      <c r="B325" s="64" t="inlineStr">
        <is>
          <t>P002630</t>
        </is>
      </c>
      <c r="C325" s="37" t="n">
        <v>4301031140</v>
      </c>
      <c r="D325" s="323" t="n">
        <v>4607091384826</v>
      </c>
      <c r="E325" s="648" t="n"/>
      <c r="F325" s="680" t="n">
        <v>0.35</v>
      </c>
      <c r="G325" s="38" t="n">
        <v>8</v>
      </c>
      <c r="H325" s="680" t="n">
        <v>2.8</v>
      </c>
      <c r="I325" s="680" t="n">
        <v>2.9</v>
      </c>
      <c r="J325" s="38" t="n">
        <v>234</v>
      </c>
      <c r="K325" s="39" t="inlineStr">
        <is>
          <t>СК2</t>
        </is>
      </c>
      <c r="L325" s="38" t="n">
        <v>35</v>
      </c>
      <c r="M325" s="862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N325" s="682" t="n"/>
      <c r="O325" s="682" t="n"/>
      <c r="P325" s="682" t="n"/>
      <c r="Q325" s="648" t="n"/>
      <c r="R325" s="40" t="inlineStr"/>
      <c r="S325" s="40" t="inlineStr"/>
      <c r="T325" s="41" t="inlineStr">
        <is>
          <t>кг</t>
        </is>
      </c>
      <c r="U325" s="683" t="n">
        <v>0</v>
      </c>
      <c r="V325" s="684">
        <f>IFERROR(IF(U325="",0,CEILING((U325/$H325),1)*$H325),"")</f>
        <v/>
      </c>
      <c r="W325" s="42">
        <f>IFERROR(IF(V325=0,"",ROUNDUP(V325/H325,0)*0.00502),"")</f>
        <v/>
      </c>
      <c r="X325" s="69" t="inlineStr"/>
      <c r="Y325" s="70" t="inlineStr"/>
      <c r="AC325" s="71" t="n"/>
      <c r="AZ325" s="247" t="inlineStr">
        <is>
          <t>КИ</t>
        </is>
      </c>
    </row>
    <row r="326">
      <c r="A326" s="33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685" t="n"/>
      <c r="M326" s="686" t="inlineStr">
        <is>
          <t>Итого</t>
        </is>
      </c>
      <c r="N326" s="656" t="n"/>
      <c r="O326" s="656" t="n"/>
      <c r="P326" s="656" t="n"/>
      <c r="Q326" s="656" t="n"/>
      <c r="R326" s="656" t="n"/>
      <c r="S326" s="657" t="n"/>
      <c r="T326" s="43" t="inlineStr">
        <is>
          <t>кор</t>
        </is>
      </c>
      <c r="U326" s="687">
        <f>IFERROR(U324/H324,"0")+IFERROR(U325/H325,"0")</f>
        <v/>
      </c>
      <c r="V326" s="687">
        <f>IFERROR(V324/H324,"0")+IFERROR(V325/H325,"0")</f>
        <v/>
      </c>
      <c r="W326" s="687">
        <f>IFERROR(IF(W324="",0,W324),"0")+IFERROR(IF(W325="",0,W325),"0")</f>
        <v/>
      </c>
      <c r="X326" s="688" t="n"/>
      <c r="Y326" s="688" t="n"/>
    </row>
    <row r="327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685" t="n"/>
      <c r="M327" s="686" t="inlineStr">
        <is>
          <t>Итого</t>
        </is>
      </c>
      <c r="N327" s="656" t="n"/>
      <c r="O327" s="656" t="n"/>
      <c r="P327" s="656" t="n"/>
      <c r="Q327" s="656" t="n"/>
      <c r="R327" s="656" t="n"/>
      <c r="S327" s="657" t="n"/>
      <c r="T327" s="43" t="inlineStr">
        <is>
          <t>кг</t>
        </is>
      </c>
      <c r="U327" s="687">
        <f>IFERROR(SUM(U324:U325),"0")</f>
        <v/>
      </c>
      <c r="V327" s="687">
        <f>IFERROR(SUM(V324:V325),"0")</f>
        <v/>
      </c>
      <c r="W327" s="43" t="n"/>
      <c r="X327" s="688" t="n"/>
      <c r="Y327" s="688" t="n"/>
    </row>
    <row r="328" ht="14.25" customHeight="1">
      <c r="A328" s="322" t="inlineStr">
        <is>
          <t>Сосиски</t>
        </is>
      </c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322" t="n"/>
      <c r="Y328" s="322" t="n"/>
    </row>
    <row r="329" ht="27" customHeight="1">
      <c r="A329" s="64" t="inlineStr">
        <is>
          <t>SU002074</t>
        </is>
      </c>
      <c r="B329" s="64" t="inlineStr">
        <is>
          <t>P002693</t>
        </is>
      </c>
      <c r="C329" s="37" t="n">
        <v>4301051303</v>
      </c>
      <c r="D329" s="323" t="n">
        <v>4607091384246</v>
      </c>
      <c r="E329" s="648" t="n"/>
      <c r="F329" s="680" t="n">
        <v>1.3</v>
      </c>
      <c r="G329" s="38" t="n">
        <v>6</v>
      </c>
      <c r="H329" s="680" t="n">
        <v>7.8</v>
      </c>
      <c r="I329" s="680" t="n">
        <v>8.364000000000001</v>
      </c>
      <c r="J329" s="38" t="n">
        <v>56</v>
      </c>
      <c r="K329" s="39" t="inlineStr">
        <is>
          <t>СК2</t>
        </is>
      </c>
      <c r="L329" s="38" t="n">
        <v>40</v>
      </c>
      <c r="M329" s="863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N329" s="682" t="n"/>
      <c r="O329" s="682" t="n"/>
      <c r="P329" s="682" t="n"/>
      <c r="Q329" s="648" t="n"/>
      <c r="R329" s="40" t="inlineStr"/>
      <c r="S329" s="40" t="inlineStr"/>
      <c r="T329" s="41" t="inlineStr">
        <is>
          <t>кг</t>
        </is>
      </c>
      <c r="U329" s="683" t="n">
        <v>840</v>
      </c>
      <c r="V329" s="684">
        <f>IFERROR(IF(U329="",0,CEILING((U329/$H329),1)*$H329),"")</f>
        <v/>
      </c>
      <c r="W329" s="42">
        <f>IFERROR(IF(V329=0,"",ROUNDUP(V329/H329,0)*0.02175),"")</f>
        <v/>
      </c>
      <c r="X329" s="69" t="inlineStr"/>
      <c r="Y329" s="70" t="inlineStr"/>
      <c r="AC329" s="71" t="n"/>
      <c r="AZ329" s="248" t="inlineStr">
        <is>
          <t>КИ</t>
        </is>
      </c>
    </row>
    <row r="330" ht="27" customHeight="1">
      <c r="A330" s="64" t="inlineStr">
        <is>
          <t>SU002896</t>
        </is>
      </c>
      <c r="B330" s="64" t="inlineStr">
        <is>
          <t>P003330</t>
        </is>
      </c>
      <c r="C330" s="37" t="n">
        <v>4301051445</v>
      </c>
      <c r="D330" s="323" t="n">
        <v>4680115881976</v>
      </c>
      <c r="E330" s="648" t="n"/>
      <c r="F330" s="680" t="n">
        <v>1.3</v>
      </c>
      <c r="G330" s="38" t="n">
        <v>6</v>
      </c>
      <c r="H330" s="680" t="n">
        <v>7.8</v>
      </c>
      <c r="I330" s="680" t="n">
        <v>8.279999999999999</v>
      </c>
      <c r="J330" s="38" t="n">
        <v>56</v>
      </c>
      <c r="K330" s="39" t="inlineStr">
        <is>
          <t>СК2</t>
        </is>
      </c>
      <c r="L330" s="38" t="n">
        <v>40</v>
      </c>
      <c r="M330" s="864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N330" s="682" t="n"/>
      <c r="O330" s="682" t="n"/>
      <c r="P330" s="682" t="n"/>
      <c r="Q330" s="648" t="n"/>
      <c r="R330" s="40" t="inlineStr"/>
      <c r="S330" s="40" t="inlineStr"/>
      <c r="T330" s="41" t="inlineStr">
        <is>
          <t>кг</t>
        </is>
      </c>
      <c r="U330" s="683" t="n">
        <v>0</v>
      </c>
      <c r="V330" s="684">
        <f>IFERROR(IF(U330="",0,CEILING((U330/$H330),1)*$H330),"")</f>
        <v/>
      </c>
      <c r="W330" s="42">
        <f>IFERROR(IF(V330=0,"",ROUNDUP(V330/H330,0)*0.02175),"")</f>
        <v/>
      </c>
      <c r="X330" s="69" t="inlineStr"/>
      <c r="Y330" s="70" t="inlineStr"/>
      <c r="AC330" s="71" t="n"/>
      <c r="AZ330" s="249" t="inlineStr">
        <is>
          <t>КИ</t>
        </is>
      </c>
    </row>
    <row r="331" ht="27" customHeight="1">
      <c r="A331" s="64" t="inlineStr">
        <is>
          <t>SU002205</t>
        </is>
      </c>
      <c r="B331" s="64" t="inlineStr">
        <is>
          <t>P002694</t>
        </is>
      </c>
      <c r="C331" s="37" t="n">
        <v>4301051297</v>
      </c>
      <c r="D331" s="323" t="n">
        <v>4607091384253</v>
      </c>
      <c r="E331" s="648" t="n"/>
      <c r="F331" s="680" t="n">
        <v>0.4</v>
      </c>
      <c r="G331" s="38" t="n">
        <v>6</v>
      </c>
      <c r="H331" s="680" t="n">
        <v>2.4</v>
      </c>
      <c r="I331" s="680" t="n">
        <v>2.684</v>
      </c>
      <c r="J331" s="38" t="n">
        <v>156</v>
      </c>
      <c r="K331" s="39" t="inlineStr">
        <is>
          <t>СК2</t>
        </is>
      </c>
      <c r="L331" s="38" t="n">
        <v>40</v>
      </c>
      <c r="M331" s="865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N331" s="682" t="n"/>
      <c r="O331" s="682" t="n"/>
      <c r="P331" s="682" t="n"/>
      <c r="Q331" s="648" t="n"/>
      <c r="R331" s="40" t="inlineStr"/>
      <c r="S331" s="40" t="inlineStr"/>
      <c r="T331" s="41" t="inlineStr">
        <is>
          <t>кг</t>
        </is>
      </c>
      <c r="U331" s="683" t="n">
        <v>0</v>
      </c>
      <c r="V331" s="684">
        <f>IFERROR(IF(U331="",0,CEILING((U331/$H331),1)*$H331),"")</f>
        <v/>
      </c>
      <c r="W331" s="42">
        <f>IFERROR(IF(V331=0,"",ROUNDUP(V331/H331,0)*0.00753),"")</f>
        <v/>
      </c>
      <c r="X331" s="69" t="inlineStr"/>
      <c r="Y331" s="70" t="inlineStr"/>
      <c r="AC331" s="71" t="n"/>
      <c r="AZ331" s="250" t="inlineStr">
        <is>
          <t>КИ</t>
        </is>
      </c>
    </row>
    <row r="332" ht="27" customHeight="1">
      <c r="A332" s="64" t="inlineStr">
        <is>
          <t>SU002895</t>
        </is>
      </c>
      <c r="B332" s="64" t="inlineStr">
        <is>
          <t>P003329</t>
        </is>
      </c>
      <c r="C332" s="37" t="n">
        <v>4301051444</v>
      </c>
      <c r="D332" s="323" t="n">
        <v>4680115881969</v>
      </c>
      <c r="E332" s="648" t="n"/>
      <c r="F332" s="680" t="n">
        <v>0.4</v>
      </c>
      <c r="G332" s="38" t="n">
        <v>6</v>
      </c>
      <c r="H332" s="680" t="n">
        <v>2.4</v>
      </c>
      <c r="I332" s="680" t="n">
        <v>2.6</v>
      </c>
      <c r="J332" s="38" t="n">
        <v>156</v>
      </c>
      <c r="K332" s="39" t="inlineStr">
        <is>
          <t>СК2</t>
        </is>
      </c>
      <c r="L332" s="38" t="n">
        <v>40</v>
      </c>
      <c r="M332" s="866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N332" s="682" t="n"/>
      <c r="O332" s="682" t="n"/>
      <c r="P332" s="682" t="n"/>
      <c r="Q332" s="648" t="n"/>
      <c r="R332" s="40" t="inlineStr"/>
      <c r="S332" s="40" t="inlineStr"/>
      <c r="T332" s="41" t="inlineStr">
        <is>
          <t>кг</t>
        </is>
      </c>
      <c r="U332" s="683" t="n">
        <v>0</v>
      </c>
      <c r="V332" s="684">
        <f>IFERROR(IF(U332="",0,CEILING((U332/$H332),1)*$H332),"")</f>
        <v/>
      </c>
      <c r="W332" s="42">
        <f>IFERROR(IF(V332=0,"",ROUNDUP(V332/H332,0)*0.00753),"")</f>
        <v/>
      </c>
      <c r="X332" s="69" t="inlineStr"/>
      <c r="Y332" s="70" t="inlineStr"/>
      <c r="AC332" s="71" t="n"/>
      <c r="AZ332" s="251" t="inlineStr">
        <is>
          <t>КИ</t>
        </is>
      </c>
    </row>
    <row r="333">
      <c r="A333" s="33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685" t="n"/>
      <c r="M333" s="686" t="inlineStr">
        <is>
          <t>Итого</t>
        </is>
      </c>
      <c r="N333" s="656" t="n"/>
      <c r="O333" s="656" t="n"/>
      <c r="P333" s="656" t="n"/>
      <c r="Q333" s="656" t="n"/>
      <c r="R333" s="656" t="n"/>
      <c r="S333" s="657" t="n"/>
      <c r="T333" s="43" t="inlineStr">
        <is>
          <t>кор</t>
        </is>
      </c>
      <c r="U333" s="687">
        <f>IFERROR(U329/H329,"0")+IFERROR(U330/H330,"0")+IFERROR(U331/H331,"0")+IFERROR(U332/H332,"0")</f>
        <v/>
      </c>
      <c r="V333" s="687">
        <f>IFERROR(V329/H329,"0")+IFERROR(V330/H330,"0")+IFERROR(V331/H331,"0")+IFERROR(V332/H332,"0")</f>
        <v/>
      </c>
      <c r="W333" s="687">
        <f>IFERROR(IF(W329="",0,W329),"0")+IFERROR(IF(W330="",0,W330),"0")+IFERROR(IF(W331="",0,W331),"0")+IFERROR(IF(W332="",0,W332),"0")</f>
        <v/>
      </c>
      <c r="X333" s="688" t="n"/>
      <c r="Y333" s="688" t="n"/>
    </row>
    <row r="334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685" t="n"/>
      <c r="M334" s="686" t="inlineStr">
        <is>
          <t>Итого</t>
        </is>
      </c>
      <c r="N334" s="656" t="n"/>
      <c r="O334" s="656" t="n"/>
      <c r="P334" s="656" t="n"/>
      <c r="Q334" s="656" t="n"/>
      <c r="R334" s="656" t="n"/>
      <c r="S334" s="657" t="n"/>
      <c r="T334" s="43" t="inlineStr">
        <is>
          <t>кг</t>
        </is>
      </c>
      <c r="U334" s="687">
        <f>IFERROR(SUM(U329:U332),"0")</f>
        <v/>
      </c>
      <c r="V334" s="687">
        <f>IFERROR(SUM(V329:V332),"0")</f>
        <v/>
      </c>
      <c r="W334" s="43" t="n"/>
      <c r="X334" s="688" t="n"/>
      <c r="Y334" s="688" t="n"/>
    </row>
    <row r="335" ht="14.25" customHeight="1">
      <c r="A335" s="322" t="inlineStr">
        <is>
          <t>Сардельки</t>
        </is>
      </c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322" t="n"/>
      <c r="Y335" s="322" t="n"/>
    </row>
    <row r="336" ht="27" customHeight="1">
      <c r="A336" s="64" t="inlineStr">
        <is>
          <t>SU002472</t>
        </is>
      </c>
      <c r="B336" s="64" t="inlineStr">
        <is>
          <t>P002973</t>
        </is>
      </c>
      <c r="C336" s="37" t="n">
        <v>4301060322</v>
      </c>
      <c r="D336" s="323" t="n">
        <v>4607091389357</v>
      </c>
      <c r="E336" s="648" t="n"/>
      <c r="F336" s="680" t="n">
        <v>1.3</v>
      </c>
      <c r="G336" s="38" t="n">
        <v>6</v>
      </c>
      <c r="H336" s="680" t="n">
        <v>7.8</v>
      </c>
      <c r="I336" s="680" t="n">
        <v>8.279999999999999</v>
      </c>
      <c r="J336" s="38" t="n">
        <v>56</v>
      </c>
      <c r="K336" s="39" t="inlineStr">
        <is>
          <t>СК2</t>
        </is>
      </c>
      <c r="L336" s="38" t="n">
        <v>40</v>
      </c>
      <c r="M336" s="867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N336" s="682" t="n"/>
      <c r="O336" s="682" t="n"/>
      <c r="P336" s="682" t="n"/>
      <c r="Q336" s="648" t="n"/>
      <c r="R336" s="40" t="inlineStr"/>
      <c r="S336" s="40" t="inlineStr"/>
      <c r="T336" s="41" t="inlineStr">
        <is>
          <t>кг</t>
        </is>
      </c>
      <c r="U336" s="683" t="n">
        <v>0</v>
      </c>
      <c r="V336" s="684">
        <f>IFERROR(IF(U336="",0,CEILING((U336/$H336),1)*$H336),"")</f>
        <v/>
      </c>
      <c r="W336" s="42">
        <f>IFERROR(IF(V336=0,"",ROUNDUP(V336/H336,0)*0.02175),"")</f>
        <v/>
      </c>
      <c r="X336" s="69" t="inlineStr"/>
      <c r="Y336" s="70" t="inlineStr"/>
      <c r="AC336" s="71" t="n"/>
      <c r="AZ336" s="252" t="inlineStr">
        <is>
          <t>КИ</t>
        </is>
      </c>
    </row>
    <row r="337">
      <c r="A337" s="33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685" t="n"/>
      <c r="M337" s="686" t="inlineStr">
        <is>
          <t>Итого</t>
        </is>
      </c>
      <c r="N337" s="656" t="n"/>
      <c r="O337" s="656" t="n"/>
      <c r="P337" s="656" t="n"/>
      <c r="Q337" s="656" t="n"/>
      <c r="R337" s="656" t="n"/>
      <c r="S337" s="657" t="n"/>
      <c r="T337" s="43" t="inlineStr">
        <is>
          <t>кор</t>
        </is>
      </c>
      <c r="U337" s="687">
        <f>IFERROR(U336/H336,"0")</f>
        <v/>
      </c>
      <c r="V337" s="687">
        <f>IFERROR(V336/H336,"0")</f>
        <v/>
      </c>
      <c r="W337" s="687">
        <f>IFERROR(IF(W336="",0,W336),"0")</f>
        <v/>
      </c>
      <c r="X337" s="688" t="n"/>
      <c r="Y337" s="688" t="n"/>
    </row>
    <row r="33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685" t="n"/>
      <c r="M338" s="686" t="inlineStr">
        <is>
          <t>Итого</t>
        </is>
      </c>
      <c r="N338" s="656" t="n"/>
      <c r="O338" s="656" t="n"/>
      <c r="P338" s="656" t="n"/>
      <c r="Q338" s="656" t="n"/>
      <c r="R338" s="656" t="n"/>
      <c r="S338" s="657" t="n"/>
      <c r="T338" s="43" t="inlineStr">
        <is>
          <t>кг</t>
        </is>
      </c>
      <c r="U338" s="687">
        <f>IFERROR(SUM(U336:U336),"0")</f>
        <v/>
      </c>
      <c r="V338" s="687">
        <f>IFERROR(SUM(V336:V336),"0")</f>
        <v/>
      </c>
      <c r="W338" s="43" t="n"/>
      <c r="X338" s="688" t="n"/>
      <c r="Y338" s="688" t="n"/>
    </row>
    <row r="339" ht="27.75" customHeight="1">
      <c r="A339" s="344" t="inlineStr">
        <is>
          <t>Баварушка</t>
        </is>
      </c>
      <c r="B339" s="679" t="n"/>
      <c r="C339" s="679" t="n"/>
      <c r="D339" s="679" t="n"/>
      <c r="E339" s="679" t="n"/>
      <c r="F339" s="679" t="n"/>
      <c r="G339" s="679" t="n"/>
      <c r="H339" s="679" t="n"/>
      <c r="I339" s="679" t="n"/>
      <c r="J339" s="679" t="n"/>
      <c r="K339" s="679" t="n"/>
      <c r="L339" s="679" t="n"/>
      <c r="M339" s="679" t="n"/>
      <c r="N339" s="679" t="n"/>
      <c r="O339" s="679" t="n"/>
      <c r="P339" s="679" t="n"/>
      <c r="Q339" s="679" t="n"/>
      <c r="R339" s="679" t="n"/>
      <c r="S339" s="679" t="n"/>
      <c r="T339" s="679" t="n"/>
      <c r="U339" s="679" t="n"/>
      <c r="V339" s="679" t="n"/>
      <c r="W339" s="679" t="n"/>
      <c r="X339" s="55" t="n"/>
      <c r="Y339" s="55" t="n"/>
    </row>
    <row r="340" ht="16.5" customHeight="1">
      <c r="A340" s="321" t="inlineStr">
        <is>
          <t>Филейбургская</t>
        </is>
      </c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321" t="n"/>
      <c r="Y340" s="321" t="n"/>
    </row>
    <row r="341" ht="14.25" customHeight="1">
      <c r="A341" s="322" t="inlineStr">
        <is>
          <t>Вареные колбасы</t>
        </is>
      </c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322" t="n"/>
      <c r="Y341" s="322" t="n"/>
    </row>
    <row r="342" ht="27" customHeight="1">
      <c r="A342" s="64" t="inlineStr">
        <is>
          <t>SU002477</t>
        </is>
      </c>
      <c r="B342" s="64" t="inlineStr">
        <is>
          <t>P003148</t>
        </is>
      </c>
      <c r="C342" s="37" t="n">
        <v>4301011428</v>
      </c>
      <c r="D342" s="323" t="n">
        <v>4607091389708</v>
      </c>
      <c r="E342" s="648" t="n"/>
      <c r="F342" s="680" t="n">
        <v>0.45</v>
      </c>
      <c r="G342" s="38" t="n">
        <v>6</v>
      </c>
      <c r="H342" s="680" t="n">
        <v>2.7</v>
      </c>
      <c r="I342" s="680" t="n">
        <v>2.9</v>
      </c>
      <c r="J342" s="38" t="n">
        <v>156</v>
      </c>
      <c r="K342" s="39" t="inlineStr">
        <is>
          <t>СК1</t>
        </is>
      </c>
      <c r="L342" s="38" t="n">
        <v>50</v>
      </c>
      <c r="M342" s="868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N342" s="682" t="n"/>
      <c r="O342" s="682" t="n"/>
      <c r="P342" s="682" t="n"/>
      <c r="Q342" s="648" t="n"/>
      <c r="R342" s="40" t="inlineStr"/>
      <c r="S342" s="40" t="inlineStr"/>
      <c r="T342" s="41" t="inlineStr">
        <is>
          <t>кг</t>
        </is>
      </c>
      <c r="U342" s="683" t="n">
        <v>0</v>
      </c>
      <c r="V342" s="684">
        <f>IFERROR(IF(U342="",0,CEILING((U342/$H342),1)*$H342),"")</f>
        <v/>
      </c>
      <c r="W342" s="42">
        <f>IFERROR(IF(V342=0,"",ROUNDUP(V342/H342,0)*0.00753),"")</f>
        <v/>
      </c>
      <c r="X342" s="69" t="inlineStr"/>
      <c r="Y342" s="70" t="inlineStr"/>
      <c r="AC342" s="71" t="n"/>
      <c r="AZ342" s="253" t="inlineStr">
        <is>
          <t>КИ</t>
        </is>
      </c>
    </row>
    <row r="343" ht="27" customHeight="1">
      <c r="A343" s="64" t="inlineStr">
        <is>
          <t>SU002476</t>
        </is>
      </c>
      <c r="B343" s="64" t="inlineStr">
        <is>
          <t>P003147</t>
        </is>
      </c>
      <c r="C343" s="37" t="n">
        <v>4301011427</v>
      </c>
      <c r="D343" s="323" t="n">
        <v>4607091389692</v>
      </c>
      <c r="E343" s="648" t="n"/>
      <c r="F343" s="680" t="n">
        <v>0.45</v>
      </c>
      <c r="G343" s="38" t="n">
        <v>6</v>
      </c>
      <c r="H343" s="680" t="n">
        <v>2.7</v>
      </c>
      <c r="I343" s="680" t="n">
        <v>2.9</v>
      </c>
      <c r="J343" s="38" t="n">
        <v>156</v>
      </c>
      <c r="K343" s="39" t="inlineStr">
        <is>
          <t>СК1</t>
        </is>
      </c>
      <c r="L343" s="38" t="n">
        <v>50</v>
      </c>
      <c r="M343" s="869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N343" s="682" t="n"/>
      <c r="O343" s="682" t="n"/>
      <c r="P343" s="682" t="n"/>
      <c r="Q343" s="648" t="n"/>
      <c r="R343" s="40" t="inlineStr"/>
      <c r="S343" s="40" t="inlineStr"/>
      <c r="T343" s="41" t="inlineStr">
        <is>
          <t>кг</t>
        </is>
      </c>
      <c r="U343" s="683" t="n">
        <v>0</v>
      </c>
      <c r="V343" s="684">
        <f>IFERROR(IF(U343="",0,CEILING((U343/$H343),1)*$H343),"")</f>
        <v/>
      </c>
      <c r="W343" s="42">
        <f>IFERROR(IF(V343=0,"",ROUNDUP(V343/H343,0)*0.00753),"")</f>
        <v/>
      </c>
      <c r="X343" s="69" t="inlineStr"/>
      <c r="Y343" s="70" t="inlineStr"/>
      <c r="AC343" s="71" t="n"/>
      <c r="AZ343" s="254" t="inlineStr">
        <is>
          <t>КИ</t>
        </is>
      </c>
    </row>
    <row r="344">
      <c r="A344" s="33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685" t="n"/>
      <c r="M344" s="686" t="inlineStr">
        <is>
          <t>Итого</t>
        </is>
      </c>
      <c r="N344" s="656" t="n"/>
      <c r="O344" s="656" t="n"/>
      <c r="P344" s="656" t="n"/>
      <c r="Q344" s="656" t="n"/>
      <c r="R344" s="656" t="n"/>
      <c r="S344" s="657" t="n"/>
      <c r="T344" s="43" t="inlineStr">
        <is>
          <t>кор</t>
        </is>
      </c>
      <c r="U344" s="687">
        <f>IFERROR(U342/H342,"0")+IFERROR(U343/H343,"0")</f>
        <v/>
      </c>
      <c r="V344" s="687">
        <f>IFERROR(V342/H342,"0")+IFERROR(V343/H343,"0")</f>
        <v/>
      </c>
      <c r="W344" s="687">
        <f>IFERROR(IF(W342="",0,W342),"0")+IFERROR(IF(W343="",0,W343),"0")</f>
        <v/>
      </c>
      <c r="X344" s="688" t="n"/>
      <c r="Y344" s="688" t="n"/>
    </row>
    <row r="345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685" t="n"/>
      <c r="M345" s="686" t="inlineStr">
        <is>
          <t>Итого</t>
        </is>
      </c>
      <c r="N345" s="656" t="n"/>
      <c r="O345" s="656" t="n"/>
      <c r="P345" s="656" t="n"/>
      <c r="Q345" s="656" t="n"/>
      <c r="R345" s="656" t="n"/>
      <c r="S345" s="657" t="n"/>
      <c r="T345" s="43" t="inlineStr">
        <is>
          <t>кг</t>
        </is>
      </c>
      <c r="U345" s="687">
        <f>IFERROR(SUM(U342:U343),"0")</f>
        <v/>
      </c>
      <c r="V345" s="687">
        <f>IFERROR(SUM(V342:V343),"0")</f>
        <v/>
      </c>
      <c r="W345" s="43" t="n"/>
      <c r="X345" s="688" t="n"/>
      <c r="Y345" s="688" t="n"/>
    </row>
    <row r="346" ht="14.25" customHeight="1">
      <c r="A346" s="322" t="inlineStr">
        <is>
          <t>Копченые колбасы</t>
        </is>
      </c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322" t="n"/>
      <c r="Y346" s="322" t="n"/>
    </row>
    <row r="347" ht="27" customHeight="1">
      <c r="A347" s="64" t="inlineStr">
        <is>
          <t>SU002614</t>
        </is>
      </c>
      <c r="B347" s="64" t="inlineStr">
        <is>
          <t>P003138</t>
        </is>
      </c>
      <c r="C347" s="37" t="n">
        <v>4301031177</v>
      </c>
      <c r="D347" s="323" t="n">
        <v>4607091389753</v>
      </c>
      <c r="E347" s="648" t="n"/>
      <c r="F347" s="680" t="n">
        <v>0.7</v>
      </c>
      <c r="G347" s="38" t="n">
        <v>6</v>
      </c>
      <c r="H347" s="680" t="n">
        <v>4.2</v>
      </c>
      <c r="I347" s="680" t="n">
        <v>4.43</v>
      </c>
      <c r="J347" s="38" t="n">
        <v>156</v>
      </c>
      <c r="K347" s="39" t="inlineStr">
        <is>
          <t>СК2</t>
        </is>
      </c>
      <c r="L347" s="38" t="n">
        <v>45</v>
      </c>
      <c r="M347" s="870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N347" s="682" t="n"/>
      <c r="O347" s="682" t="n"/>
      <c r="P347" s="682" t="n"/>
      <c r="Q347" s="648" t="n"/>
      <c r="R347" s="40" t="inlineStr"/>
      <c r="S347" s="40" t="inlineStr"/>
      <c r="T347" s="41" t="inlineStr">
        <is>
          <t>кг</t>
        </is>
      </c>
      <c r="U347" s="683" t="n">
        <v>80</v>
      </c>
      <c r="V347" s="684">
        <f>IFERROR(IF(U347="",0,CEILING((U347/$H347),1)*$H347),"")</f>
        <v/>
      </c>
      <c r="W347" s="42">
        <f>IFERROR(IF(V347=0,"",ROUNDUP(V347/H347,0)*0.00753),"")</f>
        <v/>
      </c>
      <c r="X347" s="69" t="inlineStr"/>
      <c r="Y347" s="70" t="inlineStr"/>
      <c r="AC347" s="71" t="n"/>
      <c r="AZ347" s="255" t="inlineStr">
        <is>
          <t>КИ</t>
        </is>
      </c>
    </row>
    <row r="348" ht="27" customHeight="1">
      <c r="A348" s="64" t="inlineStr">
        <is>
          <t>SU002615</t>
        </is>
      </c>
      <c r="B348" s="64" t="inlineStr">
        <is>
          <t>P003136</t>
        </is>
      </c>
      <c r="C348" s="37" t="n">
        <v>4301031174</v>
      </c>
      <c r="D348" s="323" t="n">
        <v>4607091389760</v>
      </c>
      <c r="E348" s="648" t="n"/>
      <c r="F348" s="680" t="n">
        <v>0.7</v>
      </c>
      <c r="G348" s="38" t="n">
        <v>6</v>
      </c>
      <c r="H348" s="680" t="n">
        <v>4.2</v>
      </c>
      <c r="I348" s="680" t="n">
        <v>4.43</v>
      </c>
      <c r="J348" s="38" t="n">
        <v>156</v>
      </c>
      <c r="K348" s="39" t="inlineStr">
        <is>
          <t>СК2</t>
        </is>
      </c>
      <c r="L348" s="38" t="n">
        <v>45</v>
      </c>
      <c r="M348" s="871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N348" s="682" t="n"/>
      <c r="O348" s="682" t="n"/>
      <c r="P348" s="682" t="n"/>
      <c r="Q348" s="648" t="n"/>
      <c r="R348" s="40" t="inlineStr"/>
      <c r="S348" s="40" t="inlineStr"/>
      <c r="T348" s="41" t="inlineStr">
        <is>
          <t>кг</t>
        </is>
      </c>
      <c r="U348" s="683" t="n">
        <v>0</v>
      </c>
      <c r="V348" s="684">
        <f>IFERROR(IF(U348="",0,CEILING((U348/$H348),1)*$H348),"")</f>
        <v/>
      </c>
      <c r="W348" s="42">
        <f>IFERROR(IF(V348=0,"",ROUNDUP(V348/H348,0)*0.00753),"")</f>
        <v/>
      </c>
      <c r="X348" s="69" t="inlineStr"/>
      <c r="Y348" s="70" t="inlineStr"/>
      <c r="AC348" s="71" t="n"/>
      <c r="AZ348" s="256" t="inlineStr">
        <is>
          <t>КИ</t>
        </is>
      </c>
    </row>
    <row r="349" ht="27" customHeight="1">
      <c r="A349" s="64" t="inlineStr">
        <is>
          <t>SU002613</t>
        </is>
      </c>
      <c r="B349" s="64" t="inlineStr">
        <is>
          <t>P003133</t>
        </is>
      </c>
      <c r="C349" s="37" t="n">
        <v>4301031175</v>
      </c>
      <c r="D349" s="323" t="n">
        <v>4607091389746</v>
      </c>
      <c r="E349" s="648" t="n"/>
      <c r="F349" s="680" t="n">
        <v>0.7</v>
      </c>
      <c r="G349" s="38" t="n">
        <v>6</v>
      </c>
      <c r="H349" s="680" t="n">
        <v>4.2</v>
      </c>
      <c r="I349" s="680" t="n">
        <v>4.43</v>
      </c>
      <c r="J349" s="38" t="n">
        <v>156</v>
      </c>
      <c r="K349" s="39" t="inlineStr">
        <is>
          <t>СК2</t>
        </is>
      </c>
      <c r="L349" s="38" t="n">
        <v>45</v>
      </c>
      <c r="M349" s="872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N349" s="682" t="n"/>
      <c r="O349" s="682" t="n"/>
      <c r="P349" s="682" t="n"/>
      <c r="Q349" s="648" t="n"/>
      <c r="R349" s="40" t="inlineStr"/>
      <c r="S349" s="40" t="inlineStr"/>
      <c r="T349" s="41" t="inlineStr">
        <is>
          <t>кг</t>
        </is>
      </c>
      <c r="U349" s="683" t="n">
        <v>40</v>
      </c>
      <c r="V349" s="684">
        <f>IFERROR(IF(U349="",0,CEILING((U349/$H349),1)*$H349),"")</f>
        <v/>
      </c>
      <c r="W349" s="42">
        <f>IFERROR(IF(V349=0,"",ROUNDUP(V349/H349,0)*0.00753),"")</f>
        <v/>
      </c>
      <c r="X349" s="69" t="inlineStr"/>
      <c r="Y349" s="70" t="inlineStr"/>
      <c r="AC349" s="71" t="n"/>
      <c r="AZ349" s="257" t="inlineStr">
        <is>
          <t>КИ</t>
        </is>
      </c>
    </row>
    <row r="350" ht="37.5" customHeight="1">
      <c r="A350" s="64" t="inlineStr">
        <is>
          <t>SU003035</t>
        </is>
      </c>
      <c r="B350" s="64" t="inlineStr">
        <is>
          <t>P003496</t>
        </is>
      </c>
      <c r="C350" s="37" t="n">
        <v>4301031236</v>
      </c>
      <c r="D350" s="323" t="n">
        <v>4680115882928</v>
      </c>
      <c r="E350" s="648" t="n"/>
      <c r="F350" s="680" t="n">
        <v>0.28</v>
      </c>
      <c r="G350" s="38" t="n">
        <v>6</v>
      </c>
      <c r="H350" s="680" t="n">
        <v>1.68</v>
      </c>
      <c r="I350" s="680" t="n">
        <v>2.6</v>
      </c>
      <c r="J350" s="38" t="n">
        <v>156</v>
      </c>
      <c r="K350" s="39" t="inlineStr">
        <is>
          <t>СК2</t>
        </is>
      </c>
      <c r="L350" s="38" t="n">
        <v>35</v>
      </c>
      <c r="M350" s="873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N350" s="682" t="n"/>
      <c r="O350" s="682" t="n"/>
      <c r="P350" s="682" t="n"/>
      <c r="Q350" s="648" t="n"/>
      <c r="R350" s="40" t="inlineStr"/>
      <c r="S350" s="40" t="inlineStr"/>
      <c r="T350" s="41" t="inlineStr">
        <is>
          <t>кг</t>
        </is>
      </c>
      <c r="U350" s="683" t="n">
        <v>0</v>
      </c>
      <c r="V350" s="684">
        <f>IFERROR(IF(U350="",0,CEILING((U350/$H350),1)*$H350),"")</f>
        <v/>
      </c>
      <c r="W350" s="42">
        <f>IFERROR(IF(V350=0,"",ROUNDUP(V350/H350,0)*0.00753),"")</f>
        <v/>
      </c>
      <c r="X350" s="69" t="inlineStr"/>
      <c r="Y350" s="70" t="inlineStr"/>
      <c r="AC350" s="71" t="n"/>
      <c r="AZ350" s="258" t="inlineStr">
        <is>
          <t>КИ</t>
        </is>
      </c>
    </row>
    <row r="351" ht="27" customHeight="1">
      <c r="A351" s="64" t="inlineStr">
        <is>
          <t>SU003083</t>
        </is>
      </c>
      <c r="B351" s="64" t="inlineStr">
        <is>
          <t>P003646</t>
        </is>
      </c>
      <c r="C351" s="37" t="n">
        <v>4301031257</v>
      </c>
      <c r="D351" s="323" t="n">
        <v>4680115883147</v>
      </c>
      <c r="E351" s="648" t="n"/>
      <c r="F351" s="680" t="n">
        <v>0.28</v>
      </c>
      <c r="G351" s="38" t="n">
        <v>6</v>
      </c>
      <c r="H351" s="680" t="n">
        <v>1.68</v>
      </c>
      <c r="I351" s="680" t="n">
        <v>1.81</v>
      </c>
      <c r="J351" s="38" t="n">
        <v>234</v>
      </c>
      <c r="K351" s="39" t="inlineStr">
        <is>
          <t>СК2</t>
        </is>
      </c>
      <c r="L351" s="38" t="n">
        <v>45</v>
      </c>
      <c r="M351" s="874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N351" s="682" t="n"/>
      <c r="O351" s="682" t="n"/>
      <c r="P351" s="682" t="n"/>
      <c r="Q351" s="648" t="n"/>
      <c r="R351" s="40" t="inlineStr"/>
      <c r="S351" s="40" t="inlineStr"/>
      <c r="T351" s="41" t="inlineStr">
        <is>
          <t>кг</t>
        </is>
      </c>
      <c r="U351" s="683" t="n">
        <v>35</v>
      </c>
      <c r="V351" s="684">
        <f>IFERROR(IF(U351="",0,CEILING((U351/$H351),1)*$H351),"")</f>
        <v/>
      </c>
      <c r="W351" s="42">
        <f>IFERROR(IF(V351=0,"",ROUNDUP(V351/H351,0)*0.00502),"")</f>
        <v/>
      </c>
      <c r="X351" s="69" t="inlineStr"/>
      <c r="Y351" s="70" t="inlineStr"/>
      <c r="AC351" s="71" t="n"/>
      <c r="AZ351" s="259" t="inlineStr">
        <is>
          <t>КИ</t>
        </is>
      </c>
    </row>
    <row r="352" ht="27" customHeight="1">
      <c r="A352" s="64" t="inlineStr">
        <is>
          <t>SU002538</t>
        </is>
      </c>
      <c r="B352" s="64" t="inlineStr">
        <is>
          <t>P003139</t>
        </is>
      </c>
      <c r="C352" s="37" t="n">
        <v>4301031178</v>
      </c>
      <c r="D352" s="323" t="n">
        <v>4607091384338</v>
      </c>
      <c r="E352" s="648" t="n"/>
      <c r="F352" s="680" t="n">
        <v>0.35</v>
      </c>
      <c r="G352" s="38" t="n">
        <v>6</v>
      </c>
      <c r="H352" s="680" t="n">
        <v>2.1</v>
      </c>
      <c r="I352" s="680" t="n">
        <v>2.23</v>
      </c>
      <c r="J352" s="38" t="n">
        <v>234</v>
      </c>
      <c r="K352" s="39" t="inlineStr">
        <is>
          <t>СК2</t>
        </is>
      </c>
      <c r="L352" s="38" t="n">
        <v>45</v>
      </c>
      <c r="M352" s="875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N352" s="682" t="n"/>
      <c r="O352" s="682" t="n"/>
      <c r="P352" s="682" t="n"/>
      <c r="Q352" s="648" t="n"/>
      <c r="R352" s="40" t="inlineStr"/>
      <c r="S352" s="40" t="inlineStr"/>
      <c r="T352" s="41" t="inlineStr">
        <is>
          <t>кг</t>
        </is>
      </c>
      <c r="U352" s="683" t="n">
        <v>0</v>
      </c>
      <c r="V352" s="684">
        <f>IFERROR(IF(U352="",0,CEILING((U352/$H352),1)*$H352),"")</f>
        <v/>
      </c>
      <c r="W352" s="42">
        <f>IFERROR(IF(V352=0,"",ROUNDUP(V352/H352,0)*0.00502),"")</f>
        <v/>
      </c>
      <c r="X352" s="69" t="inlineStr"/>
      <c r="Y352" s="70" t="inlineStr"/>
      <c r="AC352" s="71" t="n"/>
      <c r="AZ352" s="260" t="inlineStr">
        <is>
          <t>КИ</t>
        </is>
      </c>
    </row>
    <row r="353" ht="37.5" customHeight="1">
      <c r="A353" s="64" t="inlineStr">
        <is>
          <t>SU003079</t>
        </is>
      </c>
      <c r="B353" s="64" t="inlineStr">
        <is>
          <t>P003643</t>
        </is>
      </c>
      <c r="C353" s="37" t="n">
        <v>4301031254</v>
      </c>
      <c r="D353" s="323" t="n">
        <v>4680115883154</v>
      </c>
      <c r="E353" s="648" t="n"/>
      <c r="F353" s="680" t="n">
        <v>0.28</v>
      </c>
      <c r="G353" s="38" t="n">
        <v>6</v>
      </c>
      <c r="H353" s="680" t="n">
        <v>1.68</v>
      </c>
      <c r="I353" s="680" t="n">
        <v>1.81</v>
      </c>
      <c r="J353" s="38" t="n">
        <v>234</v>
      </c>
      <c r="K353" s="39" t="inlineStr">
        <is>
          <t>СК2</t>
        </is>
      </c>
      <c r="L353" s="38" t="n">
        <v>45</v>
      </c>
      <c r="M353" s="876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N353" s="682" t="n"/>
      <c r="O353" s="682" t="n"/>
      <c r="P353" s="682" t="n"/>
      <c r="Q353" s="648" t="n"/>
      <c r="R353" s="40" t="inlineStr"/>
      <c r="S353" s="40" t="inlineStr"/>
      <c r="T353" s="41" t="inlineStr">
        <is>
          <t>кг</t>
        </is>
      </c>
      <c r="U353" s="683" t="n">
        <v>0</v>
      </c>
      <c r="V353" s="684">
        <f>IFERROR(IF(U353="",0,CEILING((U353/$H353),1)*$H353),"")</f>
        <v/>
      </c>
      <c r="W353" s="42">
        <f>IFERROR(IF(V353=0,"",ROUNDUP(V353/H353,0)*0.00502),"")</f>
        <v/>
      </c>
      <c r="X353" s="69" t="inlineStr"/>
      <c r="Y353" s="70" t="inlineStr"/>
      <c r="AC353" s="71" t="n"/>
      <c r="AZ353" s="261" t="inlineStr">
        <is>
          <t>КИ</t>
        </is>
      </c>
    </row>
    <row r="354" ht="37.5" customHeight="1">
      <c r="A354" s="64" t="inlineStr">
        <is>
          <t>SU002602</t>
        </is>
      </c>
      <c r="B354" s="64" t="inlineStr">
        <is>
          <t>P003132</t>
        </is>
      </c>
      <c r="C354" s="37" t="n">
        <v>4301031171</v>
      </c>
      <c r="D354" s="323" t="n">
        <v>4607091389524</v>
      </c>
      <c r="E354" s="648" t="n"/>
      <c r="F354" s="680" t="n">
        <v>0.35</v>
      </c>
      <c r="G354" s="38" t="n">
        <v>6</v>
      </c>
      <c r="H354" s="680" t="n">
        <v>2.1</v>
      </c>
      <c r="I354" s="680" t="n">
        <v>2.23</v>
      </c>
      <c r="J354" s="38" t="n">
        <v>234</v>
      </c>
      <c r="K354" s="39" t="inlineStr">
        <is>
          <t>СК2</t>
        </is>
      </c>
      <c r="L354" s="38" t="n">
        <v>45</v>
      </c>
      <c r="M354" s="877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N354" s="682" t="n"/>
      <c r="O354" s="682" t="n"/>
      <c r="P354" s="682" t="n"/>
      <c r="Q354" s="648" t="n"/>
      <c r="R354" s="40" t="inlineStr"/>
      <c r="S354" s="40" t="inlineStr"/>
      <c r="T354" s="41" t="inlineStr">
        <is>
          <t>кг</t>
        </is>
      </c>
      <c r="U354" s="683" t="n">
        <v>0</v>
      </c>
      <c r="V354" s="684">
        <f>IFERROR(IF(U354="",0,CEILING((U354/$H354),1)*$H354),"")</f>
        <v/>
      </c>
      <c r="W354" s="42">
        <f>IFERROR(IF(V354=0,"",ROUNDUP(V354/H354,0)*0.00502),"")</f>
        <v/>
      </c>
      <c r="X354" s="69" t="inlineStr"/>
      <c r="Y354" s="70" t="inlineStr"/>
      <c r="AC354" s="71" t="n"/>
      <c r="AZ354" s="262" t="inlineStr">
        <is>
          <t>КИ</t>
        </is>
      </c>
    </row>
    <row r="355" ht="27" customHeight="1">
      <c r="A355" s="64" t="inlineStr">
        <is>
          <t>SU003080</t>
        </is>
      </c>
      <c r="B355" s="64" t="inlineStr">
        <is>
          <t>P003647</t>
        </is>
      </c>
      <c r="C355" s="37" t="n">
        <v>4301031258</v>
      </c>
      <c r="D355" s="323" t="n">
        <v>4680115883161</v>
      </c>
      <c r="E355" s="648" t="n"/>
      <c r="F355" s="680" t="n">
        <v>0.28</v>
      </c>
      <c r="G355" s="38" t="n">
        <v>6</v>
      </c>
      <c r="H355" s="680" t="n">
        <v>1.68</v>
      </c>
      <c r="I355" s="680" t="n">
        <v>1.81</v>
      </c>
      <c r="J355" s="38" t="n">
        <v>234</v>
      </c>
      <c r="K355" s="39" t="inlineStr">
        <is>
          <t>СК2</t>
        </is>
      </c>
      <c r="L355" s="38" t="n">
        <v>45</v>
      </c>
      <c r="M355" s="878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N355" s="682" t="n"/>
      <c r="O355" s="682" t="n"/>
      <c r="P355" s="682" t="n"/>
      <c r="Q355" s="648" t="n"/>
      <c r="R355" s="40" t="inlineStr"/>
      <c r="S355" s="40" t="inlineStr"/>
      <c r="T355" s="41" t="inlineStr">
        <is>
          <t>кг</t>
        </is>
      </c>
      <c r="U355" s="683" t="n">
        <v>65.80000000000001</v>
      </c>
      <c r="V355" s="684">
        <f>IFERROR(IF(U355="",0,CEILING((U355/$H355),1)*$H355),"")</f>
        <v/>
      </c>
      <c r="W355" s="42">
        <f>IFERROR(IF(V355=0,"",ROUNDUP(V355/H355,0)*0.00502),"")</f>
        <v/>
      </c>
      <c r="X355" s="69" t="inlineStr"/>
      <c r="Y355" s="70" t="inlineStr"/>
      <c r="AC355" s="71" t="n"/>
      <c r="AZ355" s="263" t="inlineStr">
        <is>
          <t>КИ</t>
        </is>
      </c>
    </row>
    <row r="356" ht="27" customHeight="1">
      <c r="A356" s="64" t="inlineStr">
        <is>
          <t>SU002603</t>
        </is>
      </c>
      <c r="B356" s="64" t="inlineStr">
        <is>
          <t>P003131</t>
        </is>
      </c>
      <c r="C356" s="37" t="n">
        <v>4301031170</v>
      </c>
      <c r="D356" s="323" t="n">
        <v>4607091384345</v>
      </c>
      <c r="E356" s="648" t="n"/>
      <c r="F356" s="680" t="n">
        <v>0.35</v>
      </c>
      <c r="G356" s="38" t="n">
        <v>6</v>
      </c>
      <c r="H356" s="680" t="n">
        <v>2.1</v>
      </c>
      <c r="I356" s="680" t="n">
        <v>2.23</v>
      </c>
      <c r="J356" s="38" t="n">
        <v>234</v>
      </c>
      <c r="K356" s="39" t="inlineStr">
        <is>
          <t>СК2</t>
        </is>
      </c>
      <c r="L356" s="38" t="n">
        <v>45</v>
      </c>
      <c r="M356" s="879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N356" s="682" t="n"/>
      <c r="O356" s="682" t="n"/>
      <c r="P356" s="682" t="n"/>
      <c r="Q356" s="648" t="n"/>
      <c r="R356" s="40" t="inlineStr"/>
      <c r="S356" s="40" t="inlineStr"/>
      <c r="T356" s="41" t="inlineStr">
        <is>
          <t>кг</t>
        </is>
      </c>
      <c r="U356" s="683" t="n">
        <v>0</v>
      </c>
      <c r="V356" s="684">
        <f>IFERROR(IF(U356="",0,CEILING((U356/$H356),1)*$H356),"")</f>
        <v/>
      </c>
      <c r="W356" s="42">
        <f>IFERROR(IF(V356=0,"",ROUNDUP(V356/H356,0)*0.00502),"")</f>
        <v/>
      </c>
      <c r="X356" s="69" t="inlineStr"/>
      <c r="Y356" s="70" t="inlineStr"/>
      <c r="AC356" s="71" t="n"/>
      <c r="AZ356" s="264" t="inlineStr">
        <is>
          <t>КИ</t>
        </is>
      </c>
    </row>
    <row r="357" ht="27" customHeight="1">
      <c r="A357" s="64" t="inlineStr">
        <is>
          <t>SU003081</t>
        </is>
      </c>
      <c r="B357" s="64" t="inlineStr">
        <is>
          <t>P003645</t>
        </is>
      </c>
      <c r="C357" s="37" t="n">
        <v>4301031256</v>
      </c>
      <c r="D357" s="323" t="n">
        <v>4680115883178</v>
      </c>
      <c r="E357" s="648" t="n"/>
      <c r="F357" s="680" t="n">
        <v>0.28</v>
      </c>
      <c r="G357" s="38" t="n">
        <v>6</v>
      </c>
      <c r="H357" s="680" t="n">
        <v>1.68</v>
      </c>
      <c r="I357" s="680" t="n">
        <v>1.81</v>
      </c>
      <c r="J357" s="38" t="n">
        <v>234</v>
      </c>
      <c r="K357" s="39" t="inlineStr">
        <is>
          <t>СК2</t>
        </is>
      </c>
      <c r="L357" s="38" t="n">
        <v>45</v>
      </c>
      <c r="M357" s="880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N357" s="682" t="n"/>
      <c r="O357" s="682" t="n"/>
      <c r="P357" s="682" t="n"/>
      <c r="Q357" s="648" t="n"/>
      <c r="R357" s="40" t="inlineStr"/>
      <c r="S357" s="40" t="inlineStr"/>
      <c r="T357" s="41" t="inlineStr">
        <is>
          <t>кг</t>
        </is>
      </c>
      <c r="U357" s="683" t="n">
        <v>0</v>
      </c>
      <c r="V357" s="684">
        <f>IFERROR(IF(U357="",0,CEILING((U357/$H357),1)*$H357),"")</f>
        <v/>
      </c>
      <c r="W357" s="42">
        <f>IFERROR(IF(V357=0,"",ROUNDUP(V357/H357,0)*0.00502),"")</f>
        <v/>
      </c>
      <c r="X357" s="69" t="inlineStr"/>
      <c r="Y357" s="70" t="inlineStr"/>
      <c r="AC357" s="71" t="n"/>
      <c r="AZ357" s="265" t="inlineStr">
        <is>
          <t>КИ</t>
        </is>
      </c>
    </row>
    <row r="358" ht="27" customHeight="1">
      <c r="A358" s="64" t="inlineStr">
        <is>
          <t>SU002606</t>
        </is>
      </c>
      <c r="B358" s="64" t="inlineStr">
        <is>
          <t>P003134</t>
        </is>
      </c>
      <c r="C358" s="37" t="n">
        <v>4301031172</v>
      </c>
      <c r="D358" s="323" t="n">
        <v>4607091389531</v>
      </c>
      <c r="E358" s="648" t="n"/>
      <c r="F358" s="680" t="n">
        <v>0.35</v>
      </c>
      <c r="G358" s="38" t="n">
        <v>6</v>
      </c>
      <c r="H358" s="680" t="n">
        <v>2.1</v>
      </c>
      <c r="I358" s="680" t="n">
        <v>2.23</v>
      </c>
      <c r="J358" s="38" t="n">
        <v>234</v>
      </c>
      <c r="K358" s="39" t="inlineStr">
        <is>
          <t>СК2</t>
        </is>
      </c>
      <c r="L358" s="38" t="n">
        <v>45</v>
      </c>
      <c r="M358" s="881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N358" s="682" t="n"/>
      <c r="O358" s="682" t="n"/>
      <c r="P358" s="682" t="n"/>
      <c r="Q358" s="648" t="n"/>
      <c r="R358" s="40" t="inlineStr"/>
      <c r="S358" s="40" t="inlineStr"/>
      <c r="T358" s="41" t="inlineStr">
        <is>
          <t>кг</t>
        </is>
      </c>
      <c r="U358" s="683" t="n">
        <v>0</v>
      </c>
      <c r="V358" s="684">
        <f>IFERROR(IF(U358="",0,CEILING((U358/$H358),1)*$H358),"")</f>
        <v/>
      </c>
      <c r="W358" s="42">
        <f>IFERROR(IF(V358=0,"",ROUNDUP(V358/H358,0)*0.00502),"")</f>
        <v/>
      </c>
      <c r="X358" s="69" t="inlineStr"/>
      <c r="Y358" s="70" t="inlineStr"/>
      <c r="AC358" s="71" t="n"/>
      <c r="AZ358" s="266" t="inlineStr">
        <is>
          <t>КИ</t>
        </is>
      </c>
    </row>
    <row r="359" ht="27" customHeight="1">
      <c r="A359" s="64" t="inlineStr">
        <is>
          <t>SU003082</t>
        </is>
      </c>
      <c r="B359" s="64" t="inlineStr">
        <is>
          <t>P003644</t>
        </is>
      </c>
      <c r="C359" s="37" t="n">
        <v>4301031255</v>
      </c>
      <c r="D359" s="323" t="n">
        <v>4680115883185</v>
      </c>
      <c r="E359" s="648" t="n"/>
      <c r="F359" s="680" t="n">
        <v>0.28</v>
      </c>
      <c r="G359" s="38" t="n">
        <v>6</v>
      </c>
      <c r="H359" s="680" t="n">
        <v>1.68</v>
      </c>
      <c r="I359" s="680" t="n">
        <v>1.81</v>
      </c>
      <c r="J359" s="38" t="n">
        <v>234</v>
      </c>
      <c r="K359" s="39" t="inlineStr">
        <is>
          <t>СК2</t>
        </is>
      </c>
      <c r="L359" s="38" t="n">
        <v>45</v>
      </c>
      <c r="M359" s="882" t="inlineStr">
        <is>
          <t>В/к колбасы «Филейбургская с душистым чесноком» срез Фикс.вес 0,28 фиброуз в/у Баварушка</t>
        </is>
      </c>
      <c r="N359" s="682" t="n"/>
      <c r="O359" s="682" t="n"/>
      <c r="P359" s="682" t="n"/>
      <c r="Q359" s="648" t="n"/>
      <c r="R359" s="40" t="inlineStr"/>
      <c r="S359" s="40" t="inlineStr"/>
      <c r="T359" s="41" t="inlineStr">
        <is>
          <t>кг</t>
        </is>
      </c>
      <c r="U359" s="683" t="n">
        <v>0</v>
      </c>
      <c r="V359" s="684">
        <f>IFERROR(IF(U359="",0,CEILING((U359/$H359),1)*$H359),"")</f>
        <v/>
      </c>
      <c r="W359" s="42">
        <f>IFERROR(IF(V359=0,"",ROUNDUP(V359/H359,0)*0.00502),"")</f>
        <v/>
      </c>
      <c r="X359" s="69" t="inlineStr"/>
      <c r="Y359" s="70" t="inlineStr"/>
      <c r="AC359" s="71" t="n"/>
      <c r="AZ359" s="267" t="inlineStr">
        <is>
          <t>КИ</t>
        </is>
      </c>
    </row>
    <row r="360">
      <c r="A360" s="33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685" t="n"/>
      <c r="M360" s="686" t="inlineStr">
        <is>
          <t>Итого</t>
        </is>
      </c>
      <c r="N360" s="656" t="n"/>
      <c r="O360" s="656" t="n"/>
      <c r="P360" s="656" t="n"/>
      <c r="Q360" s="656" t="n"/>
      <c r="R360" s="656" t="n"/>
      <c r="S360" s="657" t="n"/>
      <c r="T360" s="43" t="inlineStr">
        <is>
          <t>кор</t>
        </is>
      </c>
      <c r="U360" s="687">
        <f>IFERROR(U347/H347,"0")+IFERROR(U348/H348,"0")+IFERROR(U349/H349,"0")+IFERROR(U350/H350,"0")+IFERROR(U351/H351,"0")+IFERROR(U352/H352,"0")+IFERROR(U353/H353,"0")+IFERROR(U354/H354,"0")+IFERROR(U355/H355,"0")+IFERROR(U356/H356,"0")+IFERROR(U357/H357,"0")+IFERROR(U358/H358,"0")+IFERROR(U359/H359,"0")</f>
        <v/>
      </c>
      <c r="V360" s="687">
        <f>IFERROR(V347/H347,"0")+IFERROR(V348/H348,"0")+IFERROR(V349/H349,"0")+IFERROR(V350/H350,"0")+IFERROR(V351/H351,"0")+IFERROR(V352/H352,"0")+IFERROR(V353/H353,"0")+IFERROR(V354/H354,"0")+IFERROR(V355/H355,"0")+IFERROR(V356/H356,"0")+IFERROR(V357/H357,"0")+IFERROR(V358/H358,"0")+IFERROR(V359/H359,"0")</f>
        <v/>
      </c>
      <c r="W360" s="687">
        <f>IFERROR(IF(W347="",0,W347),"0")+IFERROR(IF(W348="",0,W348),"0")+IFERROR(IF(W349="",0,W349),"0")+IFERROR(IF(W350="",0,W350),"0")+IFERROR(IF(W351="",0,W351),"0")+IFERROR(IF(W352="",0,W352),"0")+IFERROR(IF(W353="",0,W353),"0")+IFERROR(IF(W354="",0,W354),"0")+IFERROR(IF(W355="",0,W355),"0")+IFERROR(IF(W356="",0,W356),"0")+IFERROR(IF(W357="",0,W357),"0")+IFERROR(IF(W358="",0,W358),"0")+IFERROR(IF(W359="",0,W359),"0")</f>
        <v/>
      </c>
      <c r="X360" s="688" t="n"/>
      <c r="Y360" s="688" t="n"/>
    </row>
    <row r="361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685" t="n"/>
      <c r="M361" s="686" t="inlineStr">
        <is>
          <t>Итого</t>
        </is>
      </c>
      <c r="N361" s="656" t="n"/>
      <c r="O361" s="656" t="n"/>
      <c r="P361" s="656" t="n"/>
      <c r="Q361" s="656" t="n"/>
      <c r="R361" s="656" t="n"/>
      <c r="S361" s="657" t="n"/>
      <c r="T361" s="43" t="inlineStr">
        <is>
          <t>кг</t>
        </is>
      </c>
      <c r="U361" s="687">
        <f>IFERROR(SUM(U347:U359),"0")</f>
        <v/>
      </c>
      <c r="V361" s="687">
        <f>IFERROR(SUM(V347:V359),"0")</f>
        <v/>
      </c>
      <c r="W361" s="43" t="n"/>
      <c r="X361" s="688" t="n"/>
      <c r="Y361" s="688" t="n"/>
    </row>
    <row r="362" ht="14.25" customHeight="1">
      <c r="A362" s="322" t="inlineStr">
        <is>
          <t>Сосиски</t>
        </is>
      </c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322" t="n"/>
      <c r="Y362" s="322" t="n"/>
    </row>
    <row r="363" ht="27" customHeight="1">
      <c r="A363" s="64" t="inlineStr">
        <is>
          <t>SU002448</t>
        </is>
      </c>
      <c r="B363" s="64" t="inlineStr">
        <is>
          <t>P002914</t>
        </is>
      </c>
      <c r="C363" s="37" t="n">
        <v>4301051258</v>
      </c>
      <c r="D363" s="323" t="n">
        <v>4607091389685</v>
      </c>
      <c r="E363" s="648" t="n"/>
      <c r="F363" s="680" t="n">
        <v>1.3</v>
      </c>
      <c r="G363" s="38" t="n">
        <v>6</v>
      </c>
      <c r="H363" s="680" t="n">
        <v>7.8</v>
      </c>
      <c r="I363" s="680" t="n">
        <v>8.346</v>
      </c>
      <c r="J363" s="38" t="n">
        <v>56</v>
      </c>
      <c r="K363" s="39" t="inlineStr">
        <is>
          <t>СК3</t>
        </is>
      </c>
      <c r="L363" s="38" t="n">
        <v>45</v>
      </c>
      <c r="M363" s="883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N363" s="682" t="n"/>
      <c r="O363" s="682" t="n"/>
      <c r="P363" s="682" t="n"/>
      <c r="Q363" s="648" t="n"/>
      <c r="R363" s="40" t="inlineStr"/>
      <c r="S363" s="40" t="inlineStr"/>
      <c r="T363" s="41" t="inlineStr">
        <is>
          <t>кг</t>
        </is>
      </c>
      <c r="U363" s="683" t="n">
        <v>0</v>
      </c>
      <c r="V363" s="684">
        <f>IFERROR(IF(U363="",0,CEILING((U363/$H363),1)*$H363),"")</f>
        <v/>
      </c>
      <c r="W363" s="42">
        <f>IFERROR(IF(V363=0,"",ROUNDUP(V363/H363,0)*0.02175),"")</f>
        <v/>
      </c>
      <c r="X363" s="69" t="inlineStr"/>
      <c r="Y363" s="70" t="inlineStr"/>
      <c r="AC363" s="71" t="n"/>
      <c r="AZ363" s="268" t="inlineStr">
        <is>
          <t>КИ</t>
        </is>
      </c>
    </row>
    <row r="364" ht="27" customHeight="1">
      <c r="A364" s="64" t="inlineStr">
        <is>
          <t>SU002557</t>
        </is>
      </c>
      <c r="B364" s="64" t="inlineStr">
        <is>
          <t>P003318</t>
        </is>
      </c>
      <c r="C364" s="37" t="n">
        <v>4301051431</v>
      </c>
      <c r="D364" s="323" t="n">
        <v>4607091389654</v>
      </c>
      <c r="E364" s="648" t="n"/>
      <c r="F364" s="680" t="n">
        <v>0.33</v>
      </c>
      <c r="G364" s="38" t="n">
        <v>6</v>
      </c>
      <c r="H364" s="680" t="n">
        <v>1.98</v>
      </c>
      <c r="I364" s="680" t="n">
        <v>2.258</v>
      </c>
      <c r="J364" s="38" t="n">
        <v>156</v>
      </c>
      <c r="K364" s="39" t="inlineStr">
        <is>
          <t>СК3</t>
        </is>
      </c>
      <c r="L364" s="38" t="n">
        <v>45</v>
      </c>
      <c r="M364" s="884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N364" s="682" t="n"/>
      <c r="O364" s="682" t="n"/>
      <c r="P364" s="682" t="n"/>
      <c r="Q364" s="648" t="n"/>
      <c r="R364" s="40" t="inlineStr"/>
      <c r="S364" s="40" t="inlineStr"/>
      <c r="T364" s="41" t="inlineStr">
        <is>
          <t>кг</t>
        </is>
      </c>
      <c r="U364" s="683" t="n">
        <v>0</v>
      </c>
      <c r="V364" s="684">
        <f>IFERROR(IF(U364="",0,CEILING((U364/$H364),1)*$H364),"")</f>
        <v/>
      </c>
      <c r="W364" s="42">
        <f>IFERROR(IF(V364=0,"",ROUNDUP(V364/H364,0)*0.00753),"")</f>
        <v/>
      </c>
      <c r="X364" s="69" t="inlineStr"/>
      <c r="Y364" s="70" t="inlineStr"/>
      <c r="AC364" s="71" t="n"/>
      <c r="AZ364" s="269" t="inlineStr">
        <is>
          <t>КИ</t>
        </is>
      </c>
    </row>
    <row r="365" ht="27" customHeight="1">
      <c r="A365" s="64" t="inlineStr">
        <is>
          <t>SU002285</t>
        </is>
      </c>
      <c r="B365" s="64" t="inlineStr">
        <is>
          <t>P002969</t>
        </is>
      </c>
      <c r="C365" s="37" t="n">
        <v>4301051284</v>
      </c>
      <c r="D365" s="323" t="n">
        <v>4607091384352</v>
      </c>
      <c r="E365" s="648" t="n"/>
      <c r="F365" s="680" t="n">
        <v>0.6</v>
      </c>
      <c r="G365" s="38" t="n">
        <v>4</v>
      </c>
      <c r="H365" s="680" t="n">
        <v>2.4</v>
      </c>
      <c r="I365" s="680" t="n">
        <v>2.646</v>
      </c>
      <c r="J365" s="38" t="n">
        <v>120</v>
      </c>
      <c r="K365" s="39" t="inlineStr">
        <is>
          <t>СК3</t>
        </is>
      </c>
      <c r="L365" s="38" t="n">
        <v>45</v>
      </c>
      <c r="M365" s="885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N365" s="682" t="n"/>
      <c r="O365" s="682" t="n"/>
      <c r="P365" s="682" t="n"/>
      <c r="Q365" s="648" t="n"/>
      <c r="R365" s="40" t="inlineStr"/>
      <c r="S365" s="40" t="inlineStr"/>
      <c r="T365" s="41" t="inlineStr">
        <is>
          <t>кг</t>
        </is>
      </c>
      <c r="U365" s="683" t="n">
        <v>0</v>
      </c>
      <c r="V365" s="684">
        <f>IFERROR(IF(U365="",0,CEILING((U365/$H365),1)*$H365),"")</f>
        <v/>
      </c>
      <c r="W365" s="42">
        <f>IFERROR(IF(V365=0,"",ROUNDUP(V365/H365,0)*0.00937),"")</f>
        <v/>
      </c>
      <c r="X365" s="69" t="inlineStr"/>
      <c r="Y365" s="70" t="inlineStr"/>
      <c r="AC365" s="71" t="n"/>
      <c r="AZ365" s="270" t="inlineStr">
        <is>
          <t>КИ</t>
        </is>
      </c>
    </row>
    <row r="366" ht="27" customHeight="1">
      <c r="A366" s="64" t="inlineStr">
        <is>
          <t>SU002419</t>
        </is>
      </c>
      <c r="B366" s="64" t="inlineStr">
        <is>
          <t>P002913</t>
        </is>
      </c>
      <c r="C366" s="37" t="n">
        <v>4301051257</v>
      </c>
      <c r="D366" s="323" t="n">
        <v>4607091389661</v>
      </c>
      <c r="E366" s="648" t="n"/>
      <c r="F366" s="680" t="n">
        <v>0.55</v>
      </c>
      <c r="G366" s="38" t="n">
        <v>4</v>
      </c>
      <c r="H366" s="680" t="n">
        <v>2.2</v>
      </c>
      <c r="I366" s="680" t="n">
        <v>2.492</v>
      </c>
      <c r="J366" s="38" t="n">
        <v>120</v>
      </c>
      <c r="K366" s="39" t="inlineStr">
        <is>
          <t>СК3</t>
        </is>
      </c>
      <c r="L366" s="38" t="n">
        <v>45</v>
      </c>
      <c r="M366" s="886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N366" s="682" t="n"/>
      <c r="O366" s="682" t="n"/>
      <c r="P366" s="682" t="n"/>
      <c r="Q366" s="648" t="n"/>
      <c r="R366" s="40" t="inlineStr"/>
      <c r="S366" s="40" t="inlineStr"/>
      <c r="T366" s="41" t="inlineStr">
        <is>
          <t>кг</t>
        </is>
      </c>
      <c r="U366" s="683" t="n">
        <v>0</v>
      </c>
      <c r="V366" s="684">
        <f>IFERROR(IF(U366="",0,CEILING((U366/$H366),1)*$H366),"")</f>
        <v/>
      </c>
      <c r="W366" s="42">
        <f>IFERROR(IF(V366=0,"",ROUNDUP(V366/H366,0)*0.00937),"")</f>
        <v/>
      </c>
      <c r="X366" s="69" t="inlineStr"/>
      <c r="Y366" s="70" t="inlineStr"/>
      <c r="AC366" s="71" t="n"/>
      <c r="AZ366" s="271" t="inlineStr">
        <is>
          <t>КИ</t>
        </is>
      </c>
    </row>
    <row r="367">
      <c r="A367" s="33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685" t="n"/>
      <c r="M367" s="686" t="inlineStr">
        <is>
          <t>Итого</t>
        </is>
      </c>
      <c r="N367" s="656" t="n"/>
      <c r="O367" s="656" t="n"/>
      <c r="P367" s="656" t="n"/>
      <c r="Q367" s="656" t="n"/>
      <c r="R367" s="656" t="n"/>
      <c r="S367" s="657" t="n"/>
      <c r="T367" s="43" t="inlineStr">
        <is>
          <t>кор</t>
        </is>
      </c>
      <c r="U367" s="687">
        <f>IFERROR(U363/H363,"0")+IFERROR(U364/H364,"0")+IFERROR(U365/H365,"0")+IFERROR(U366/H366,"0")</f>
        <v/>
      </c>
      <c r="V367" s="687">
        <f>IFERROR(V363/H363,"0")+IFERROR(V364/H364,"0")+IFERROR(V365/H365,"0")+IFERROR(V366/H366,"0")</f>
        <v/>
      </c>
      <c r="W367" s="687">
        <f>IFERROR(IF(W363="",0,W363),"0")+IFERROR(IF(W364="",0,W364),"0")+IFERROR(IF(W365="",0,W365),"0")+IFERROR(IF(W366="",0,W366),"0")</f>
        <v/>
      </c>
      <c r="X367" s="688" t="n"/>
      <c r="Y367" s="688" t="n"/>
    </row>
    <row r="36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685" t="n"/>
      <c r="M368" s="686" t="inlineStr">
        <is>
          <t>Итого</t>
        </is>
      </c>
      <c r="N368" s="656" t="n"/>
      <c r="O368" s="656" t="n"/>
      <c r="P368" s="656" t="n"/>
      <c r="Q368" s="656" t="n"/>
      <c r="R368" s="656" t="n"/>
      <c r="S368" s="657" t="n"/>
      <c r="T368" s="43" t="inlineStr">
        <is>
          <t>кг</t>
        </is>
      </c>
      <c r="U368" s="687">
        <f>IFERROR(SUM(U363:U366),"0")</f>
        <v/>
      </c>
      <c r="V368" s="687">
        <f>IFERROR(SUM(V363:V366),"0")</f>
        <v/>
      </c>
      <c r="W368" s="43" t="n"/>
      <c r="X368" s="688" t="n"/>
      <c r="Y368" s="688" t="n"/>
    </row>
    <row r="369" ht="14.25" customHeight="1">
      <c r="A369" s="322" t="inlineStr">
        <is>
          <t>Сардельки</t>
        </is>
      </c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322" t="n"/>
      <c r="Y369" s="322" t="n"/>
    </row>
    <row r="370" ht="27" customHeight="1">
      <c r="A370" s="64" t="inlineStr">
        <is>
          <t>SU002846</t>
        </is>
      </c>
      <c r="B370" s="64" t="inlineStr">
        <is>
          <t>P003254</t>
        </is>
      </c>
      <c r="C370" s="37" t="n">
        <v>4301060352</v>
      </c>
      <c r="D370" s="323" t="n">
        <v>4680115881648</v>
      </c>
      <c r="E370" s="648" t="n"/>
      <c r="F370" s="680" t="n">
        <v>1</v>
      </c>
      <c r="G370" s="38" t="n">
        <v>4</v>
      </c>
      <c r="H370" s="680" t="n">
        <v>4</v>
      </c>
      <c r="I370" s="680" t="n">
        <v>4.404</v>
      </c>
      <c r="J370" s="38" t="n">
        <v>104</v>
      </c>
      <c r="K370" s="39" t="inlineStr">
        <is>
          <t>СК2</t>
        </is>
      </c>
      <c r="L370" s="38" t="n">
        <v>35</v>
      </c>
      <c r="M370" s="887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N370" s="682" t="n"/>
      <c r="O370" s="682" t="n"/>
      <c r="P370" s="682" t="n"/>
      <c r="Q370" s="648" t="n"/>
      <c r="R370" s="40" t="inlineStr"/>
      <c r="S370" s="40" t="inlineStr"/>
      <c r="T370" s="41" t="inlineStr">
        <is>
          <t>кг</t>
        </is>
      </c>
      <c r="U370" s="683" t="n">
        <v>0</v>
      </c>
      <c r="V370" s="684">
        <f>IFERROR(IF(U370="",0,CEILING((U370/$H370),1)*$H370),"")</f>
        <v/>
      </c>
      <c r="W370" s="42">
        <f>IFERROR(IF(V370=0,"",ROUNDUP(V370/H370,0)*0.01196),"")</f>
        <v/>
      </c>
      <c r="X370" s="69" t="inlineStr"/>
      <c r="Y370" s="70" t="inlineStr"/>
      <c r="AC370" s="71" t="n"/>
      <c r="AZ370" s="272" t="inlineStr">
        <is>
          <t>КИ</t>
        </is>
      </c>
    </row>
    <row r="371">
      <c r="A371" s="33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685" t="n"/>
      <c r="M371" s="686" t="inlineStr">
        <is>
          <t>Итого</t>
        </is>
      </c>
      <c r="N371" s="656" t="n"/>
      <c r="O371" s="656" t="n"/>
      <c r="P371" s="656" t="n"/>
      <c r="Q371" s="656" t="n"/>
      <c r="R371" s="656" t="n"/>
      <c r="S371" s="657" t="n"/>
      <c r="T371" s="43" t="inlineStr">
        <is>
          <t>кор</t>
        </is>
      </c>
      <c r="U371" s="687">
        <f>IFERROR(U370/H370,"0")</f>
        <v/>
      </c>
      <c r="V371" s="687">
        <f>IFERROR(V370/H370,"0")</f>
        <v/>
      </c>
      <c r="W371" s="687">
        <f>IFERROR(IF(W370="",0,W370),"0")</f>
        <v/>
      </c>
      <c r="X371" s="688" t="n"/>
      <c r="Y371" s="688" t="n"/>
    </row>
    <row r="372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685" t="n"/>
      <c r="M372" s="686" t="inlineStr">
        <is>
          <t>Итого</t>
        </is>
      </c>
      <c r="N372" s="656" t="n"/>
      <c r="O372" s="656" t="n"/>
      <c r="P372" s="656" t="n"/>
      <c r="Q372" s="656" t="n"/>
      <c r="R372" s="656" t="n"/>
      <c r="S372" s="657" t="n"/>
      <c r="T372" s="43" t="inlineStr">
        <is>
          <t>кг</t>
        </is>
      </c>
      <c r="U372" s="687">
        <f>IFERROR(SUM(U370:U370),"0")</f>
        <v/>
      </c>
      <c r="V372" s="687">
        <f>IFERROR(SUM(V370:V370),"0")</f>
        <v/>
      </c>
      <c r="W372" s="43" t="n"/>
      <c r="X372" s="688" t="n"/>
      <c r="Y372" s="688" t="n"/>
    </row>
    <row r="373" ht="14.25" customHeight="1">
      <c r="A373" s="322" t="inlineStr">
        <is>
          <t>Сырокопченые колбасы</t>
        </is>
      </c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322" t="n"/>
      <c r="Y373" s="322" t="n"/>
    </row>
    <row r="374" ht="27" customHeight="1">
      <c r="A374" s="64" t="inlineStr">
        <is>
          <t>SU003058</t>
        </is>
      </c>
      <c r="B374" s="64" t="inlineStr">
        <is>
          <t>P003620</t>
        </is>
      </c>
      <c r="C374" s="37" t="n">
        <v>4301032042</v>
      </c>
      <c r="D374" s="323" t="n">
        <v>4680115883017</v>
      </c>
      <c r="E374" s="648" t="n"/>
      <c r="F374" s="680" t="n">
        <v>0.03</v>
      </c>
      <c r="G374" s="38" t="n">
        <v>20</v>
      </c>
      <c r="H374" s="680" t="n">
        <v>0.6</v>
      </c>
      <c r="I374" s="680" t="n">
        <v>0.9</v>
      </c>
      <c r="J374" s="38" t="n">
        <v>350</v>
      </c>
      <c r="K374" s="39" t="inlineStr">
        <is>
          <t>ДК</t>
        </is>
      </c>
      <c r="L374" s="38" t="n">
        <v>60</v>
      </c>
      <c r="M374" s="888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/>
      </c>
      <c r="N374" s="682" t="n"/>
      <c r="O374" s="682" t="n"/>
      <c r="P374" s="682" t="n"/>
      <c r="Q374" s="648" t="n"/>
      <c r="R374" s="40" t="inlineStr"/>
      <c r="S374" s="40" t="inlineStr"/>
      <c r="T374" s="41" t="inlineStr">
        <is>
          <t>кг</t>
        </is>
      </c>
      <c r="U374" s="683" t="n">
        <v>0</v>
      </c>
      <c r="V374" s="684">
        <f>IFERROR(IF(U374="",0,CEILING((U374/$H374),1)*$H374),"")</f>
        <v/>
      </c>
      <c r="W374" s="42">
        <f>IFERROR(IF(V374=0,"",ROUNDUP(V374/H374,0)*0.00349),"")</f>
        <v/>
      </c>
      <c r="X374" s="69" t="inlineStr"/>
      <c r="Y374" s="70" t="inlineStr"/>
      <c r="AC374" s="71" t="n"/>
      <c r="AZ374" s="273" t="inlineStr">
        <is>
          <t>КИ</t>
        </is>
      </c>
    </row>
    <row r="375" ht="27" customHeight="1">
      <c r="A375" s="64" t="inlineStr">
        <is>
          <t>SU003061</t>
        </is>
      </c>
      <c r="B375" s="64" t="inlineStr">
        <is>
          <t>P003621</t>
        </is>
      </c>
      <c r="C375" s="37" t="n">
        <v>4301032043</v>
      </c>
      <c r="D375" s="323" t="n">
        <v>4680115883031</v>
      </c>
      <c r="E375" s="648" t="n"/>
      <c r="F375" s="680" t="n">
        <v>0.03</v>
      </c>
      <c r="G375" s="38" t="n">
        <v>20</v>
      </c>
      <c r="H375" s="680" t="n">
        <v>0.6</v>
      </c>
      <c r="I375" s="680" t="n">
        <v>0.9</v>
      </c>
      <c r="J375" s="38" t="n">
        <v>350</v>
      </c>
      <c r="K375" s="39" t="inlineStr">
        <is>
          <t>ДК</t>
        </is>
      </c>
      <c r="L375" s="38" t="n">
        <v>60</v>
      </c>
      <c r="M375" s="889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/>
      </c>
      <c r="N375" s="682" t="n"/>
      <c r="O375" s="682" t="n"/>
      <c r="P375" s="682" t="n"/>
      <c r="Q375" s="648" t="n"/>
      <c r="R375" s="40" t="inlineStr"/>
      <c r="S375" s="40" t="inlineStr"/>
      <c r="T375" s="41" t="inlineStr">
        <is>
          <t>кг</t>
        </is>
      </c>
      <c r="U375" s="683" t="n">
        <v>0</v>
      </c>
      <c r="V375" s="684">
        <f>IFERROR(IF(U375="",0,CEILING((U375/$H375),1)*$H375),"")</f>
        <v/>
      </c>
      <c r="W375" s="42">
        <f>IFERROR(IF(V375=0,"",ROUNDUP(V375/H375,0)*0.00349),"")</f>
        <v/>
      </c>
      <c r="X375" s="69" t="inlineStr"/>
      <c r="Y375" s="70" t="inlineStr"/>
      <c r="AC375" s="71" t="n"/>
      <c r="AZ375" s="274" t="inlineStr">
        <is>
          <t>КИ</t>
        </is>
      </c>
    </row>
    <row r="376" ht="27" customHeight="1">
      <c r="A376" s="64" t="inlineStr">
        <is>
          <t>SU003057</t>
        </is>
      </c>
      <c r="B376" s="64" t="inlineStr">
        <is>
          <t>P003619</t>
        </is>
      </c>
      <c r="C376" s="37" t="n">
        <v>4301032041</v>
      </c>
      <c r="D376" s="323" t="n">
        <v>4680115883024</v>
      </c>
      <c r="E376" s="648" t="n"/>
      <c r="F376" s="680" t="n">
        <v>0.03</v>
      </c>
      <c r="G376" s="38" t="n">
        <v>20</v>
      </c>
      <c r="H376" s="680" t="n">
        <v>0.6</v>
      </c>
      <c r="I376" s="680" t="n">
        <v>0.9</v>
      </c>
      <c r="J376" s="38" t="n">
        <v>350</v>
      </c>
      <c r="K376" s="39" t="inlineStr">
        <is>
          <t>ДК</t>
        </is>
      </c>
      <c r="L376" s="38" t="n">
        <v>60</v>
      </c>
      <c r="M376" s="890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/>
      </c>
      <c r="N376" s="682" t="n"/>
      <c r="O376" s="682" t="n"/>
      <c r="P376" s="682" t="n"/>
      <c r="Q376" s="648" t="n"/>
      <c r="R376" s="40" t="inlineStr"/>
      <c r="S376" s="40" t="inlineStr"/>
      <c r="T376" s="41" t="inlineStr">
        <is>
          <t>кг</t>
        </is>
      </c>
      <c r="U376" s="683" t="n">
        <v>0</v>
      </c>
      <c r="V376" s="684">
        <f>IFERROR(IF(U376="",0,CEILING((U376/$H376),1)*$H376),"")</f>
        <v/>
      </c>
      <c r="W376" s="42">
        <f>IFERROR(IF(V376=0,"",ROUNDUP(V376/H376,0)*0.00349),"")</f>
        <v/>
      </c>
      <c r="X376" s="69" t="inlineStr"/>
      <c r="Y376" s="70" t="inlineStr"/>
      <c r="AC376" s="71" t="n"/>
      <c r="AZ376" s="275" t="inlineStr">
        <is>
          <t>КИ</t>
        </is>
      </c>
    </row>
    <row r="377">
      <c r="A377" s="33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685" t="n"/>
      <c r="M377" s="686" t="inlineStr">
        <is>
          <t>Итого</t>
        </is>
      </c>
      <c r="N377" s="656" t="n"/>
      <c r="O377" s="656" t="n"/>
      <c r="P377" s="656" t="n"/>
      <c r="Q377" s="656" t="n"/>
      <c r="R377" s="656" t="n"/>
      <c r="S377" s="657" t="n"/>
      <c r="T377" s="43" t="inlineStr">
        <is>
          <t>кор</t>
        </is>
      </c>
      <c r="U377" s="687">
        <f>IFERROR(U374/H374,"0")+IFERROR(U375/H375,"0")+IFERROR(U376/H376,"0")</f>
        <v/>
      </c>
      <c r="V377" s="687">
        <f>IFERROR(V374/H374,"0")+IFERROR(V375/H375,"0")+IFERROR(V376/H376,"0")</f>
        <v/>
      </c>
      <c r="W377" s="687">
        <f>IFERROR(IF(W374="",0,W374),"0")+IFERROR(IF(W375="",0,W375),"0")+IFERROR(IF(W376="",0,W376),"0")</f>
        <v/>
      </c>
      <c r="X377" s="688" t="n"/>
      <c r="Y377" s="688" t="n"/>
    </row>
    <row r="37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685" t="n"/>
      <c r="M378" s="686" t="inlineStr">
        <is>
          <t>Итого</t>
        </is>
      </c>
      <c r="N378" s="656" t="n"/>
      <c r="O378" s="656" t="n"/>
      <c r="P378" s="656" t="n"/>
      <c r="Q378" s="656" t="n"/>
      <c r="R378" s="656" t="n"/>
      <c r="S378" s="657" t="n"/>
      <c r="T378" s="43" t="inlineStr">
        <is>
          <t>кг</t>
        </is>
      </c>
      <c r="U378" s="687">
        <f>IFERROR(SUM(U374:U376),"0")</f>
        <v/>
      </c>
      <c r="V378" s="687">
        <f>IFERROR(SUM(V374:V376),"0")</f>
        <v/>
      </c>
      <c r="W378" s="43" t="n"/>
      <c r="X378" s="688" t="n"/>
      <c r="Y378" s="688" t="n"/>
    </row>
    <row r="379" ht="14.25" customHeight="1">
      <c r="A379" s="322" t="inlineStr">
        <is>
          <t>Сыровяленые колбасы</t>
        </is>
      </c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322" t="n"/>
      <c r="Y379" s="322" t="n"/>
    </row>
    <row r="380" ht="27" customHeight="1">
      <c r="A380" s="64" t="inlineStr">
        <is>
          <t>SU003060</t>
        </is>
      </c>
      <c r="B380" s="64" t="inlineStr">
        <is>
          <t>P003624</t>
        </is>
      </c>
      <c r="C380" s="37" t="n">
        <v>4301170009</v>
      </c>
      <c r="D380" s="323" t="n">
        <v>4680115882997</v>
      </c>
      <c r="E380" s="648" t="n"/>
      <c r="F380" s="680" t="n">
        <v>0.13</v>
      </c>
      <c r="G380" s="38" t="n">
        <v>10</v>
      </c>
      <c r="H380" s="680" t="n">
        <v>1.3</v>
      </c>
      <c r="I380" s="680" t="n">
        <v>1.46</v>
      </c>
      <c r="J380" s="38" t="n">
        <v>200</v>
      </c>
      <c r="K380" s="39" t="inlineStr">
        <is>
          <t>ДК</t>
        </is>
      </c>
      <c r="L380" s="38" t="n">
        <v>150</v>
      </c>
      <c r="M380" s="891" t="inlineStr">
        <is>
          <t>с/в колбасы «Филейбургская с филе сочного окорока» ф/в 0,13 н/о ТМ «Баварушка»</t>
        </is>
      </c>
      <c r="N380" s="682" t="n"/>
      <c r="O380" s="682" t="n"/>
      <c r="P380" s="682" t="n"/>
      <c r="Q380" s="648" t="n"/>
      <c r="R380" s="40" t="inlineStr"/>
      <c r="S380" s="40" t="inlineStr"/>
      <c r="T380" s="41" t="inlineStr">
        <is>
          <t>кг</t>
        </is>
      </c>
      <c r="U380" s="683" t="n">
        <v>0</v>
      </c>
      <c r="V380" s="684">
        <f>IFERROR(IF(U380="",0,CEILING((U380/$H380),1)*$H380),"")</f>
        <v/>
      </c>
      <c r="W380" s="42">
        <f>IFERROR(IF(V380=0,"",ROUNDUP(V380/H380,0)*0.00673),"")</f>
        <v/>
      </c>
      <c r="X380" s="69" t="inlineStr"/>
      <c r="Y380" s="70" t="inlineStr"/>
      <c r="AC380" s="71" t="n"/>
      <c r="AZ380" s="276" t="inlineStr">
        <is>
          <t>КИ</t>
        </is>
      </c>
    </row>
    <row r="381">
      <c r="A381" s="33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685" t="n"/>
      <c r="M381" s="686" t="inlineStr">
        <is>
          <t>Итого</t>
        </is>
      </c>
      <c r="N381" s="656" t="n"/>
      <c r="O381" s="656" t="n"/>
      <c r="P381" s="656" t="n"/>
      <c r="Q381" s="656" t="n"/>
      <c r="R381" s="656" t="n"/>
      <c r="S381" s="657" t="n"/>
      <c r="T381" s="43" t="inlineStr">
        <is>
          <t>кор</t>
        </is>
      </c>
      <c r="U381" s="687">
        <f>IFERROR(U380/H380,"0")</f>
        <v/>
      </c>
      <c r="V381" s="687">
        <f>IFERROR(V380/H380,"0")</f>
        <v/>
      </c>
      <c r="W381" s="687">
        <f>IFERROR(IF(W380="",0,W380),"0")</f>
        <v/>
      </c>
      <c r="X381" s="688" t="n"/>
      <c r="Y381" s="688" t="n"/>
    </row>
    <row r="382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685" t="n"/>
      <c r="M382" s="686" t="inlineStr">
        <is>
          <t>Итого</t>
        </is>
      </c>
      <c r="N382" s="656" t="n"/>
      <c r="O382" s="656" t="n"/>
      <c r="P382" s="656" t="n"/>
      <c r="Q382" s="656" t="n"/>
      <c r="R382" s="656" t="n"/>
      <c r="S382" s="657" t="n"/>
      <c r="T382" s="43" t="inlineStr">
        <is>
          <t>кг</t>
        </is>
      </c>
      <c r="U382" s="687">
        <f>IFERROR(SUM(U380:U380),"0")</f>
        <v/>
      </c>
      <c r="V382" s="687">
        <f>IFERROR(SUM(V380:V380),"0")</f>
        <v/>
      </c>
      <c r="W382" s="43" t="n"/>
      <c r="X382" s="688" t="n"/>
      <c r="Y382" s="688" t="n"/>
    </row>
    <row r="383" ht="16.5" customHeight="1">
      <c r="A383" s="321" t="inlineStr">
        <is>
          <t>Балыкбургская</t>
        </is>
      </c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321" t="n"/>
      <c r="Y383" s="321" t="n"/>
    </row>
    <row r="384" ht="14.25" customHeight="1">
      <c r="A384" s="322" t="inlineStr">
        <is>
          <t>Ветчины</t>
        </is>
      </c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322" t="n"/>
      <c r="Y384" s="322" t="n"/>
    </row>
    <row r="385" ht="27" customHeight="1">
      <c r="A385" s="64" t="inlineStr">
        <is>
          <t>SU002542</t>
        </is>
      </c>
      <c r="B385" s="64" t="inlineStr">
        <is>
          <t>P002847</t>
        </is>
      </c>
      <c r="C385" s="37" t="n">
        <v>4301020196</v>
      </c>
      <c r="D385" s="323" t="n">
        <v>4607091389388</v>
      </c>
      <c r="E385" s="648" t="n"/>
      <c r="F385" s="680" t="n">
        <v>1.3</v>
      </c>
      <c r="G385" s="38" t="n">
        <v>4</v>
      </c>
      <c r="H385" s="680" t="n">
        <v>5.2</v>
      </c>
      <c r="I385" s="680" t="n">
        <v>5.608</v>
      </c>
      <c r="J385" s="38" t="n">
        <v>104</v>
      </c>
      <c r="K385" s="39" t="inlineStr">
        <is>
          <t>СК3</t>
        </is>
      </c>
      <c r="L385" s="38" t="n">
        <v>35</v>
      </c>
      <c r="M385" s="892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N385" s="682" t="n"/>
      <c r="O385" s="682" t="n"/>
      <c r="P385" s="682" t="n"/>
      <c r="Q385" s="648" t="n"/>
      <c r="R385" s="40" t="inlineStr"/>
      <c r="S385" s="40" t="inlineStr"/>
      <c r="T385" s="41" t="inlineStr">
        <is>
          <t>кг</t>
        </is>
      </c>
      <c r="U385" s="683" t="n">
        <v>0</v>
      </c>
      <c r="V385" s="684">
        <f>IFERROR(IF(U385="",0,CEILING((U385/$H385),1)*$H385),"")</f>
        <v/>
      </c>
      <c r="W385" s="42">
        <f>IFERROR(IF(V385=0,"",ROUNDUP(V385/H385,0)*0.01196),"")</f>
        <v/>
      </c>
      <c r="X385" s="69" t="inlineStr"/>
      <c r="Y385" s="70" t="inlineStr"/>
      <c r="AC385" s="71" t="n"/>
      <c r="AZ385" s="277" t="inlineStr">
        <is>
          <t>КИ</t>
        </is>
      </c>
    </row>
    <row r="386" ht="27" customHeight="1">
      <c r="A386" s="64" t="inlineStr">
        <is>
          <t>SU002319</t>
        </is>
      </c>
      <c r="B386" s="64" t="inlineStr">
        <is>
          <t>P002597</t>
        </is>
      </c>
      <c r="C386" s="37" t="n">
        <v>4301020185</v>
      </c>
      <c r="D386" s="323" t="n">
        <v>4607091389364</v>
      </c>
      <c r="E386" s="648" t="n"/>
      <c r="F386" s="680" t="n">
        <v>0.42</v>
      </c>
      <c r="G386" s="38" t="n">
        <v>6</v>
      </c>
      <c r="H386" s="680" t="n">
        <v>2.52</v>
      </c>
      <c r="I386" s="680" t="n">
        <v>2.75</v>
      </c>
      <c r="J386" s="38" t="n">
        <v>156</v>
      </c>
      <c r="K386" s="39" t="inlineStr">
        <is>
          <t>СК3</t>
        </is>
      </c>
      <c r="L386" s="38" t="n">
        <v>35</v>
      </c>
      <c r="M386" s="893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N386" s="682" t="n"/>
      <c r="O386" s="682" t="n"/>
      <c r="P386" s="682" t="n"/>
      <c r="Q386" s="648" t="n"/>
      <c r="R386" s="40" t="inlineStr"/>
      <c r="S386" s="40" t="inlineStr"/>
      <c r="T386" s="41" t="inlineStr">
        <is>
          <t>кг</t>
        </is>
      </c>
      <c r="U386" s="683" t="n">
        <v>0</v>
      </c>
      <c r="V386" s="684">
        <f>IFERROR(IF(U386="",0,CEILING((U386/$H386),1)*$H386),"")</f>
        <v/>
      </c>
      <c r="W386" s="42">
        <f>IFERROR(IF(V386=0,"",ROUNDUP(V386/H386,0)*0.00753),"")</f>
        <v/>
      </c>
      <c r="X386" s="69" t="inlineStr"/>
      <c r="Y386" s="70" t="inlineStr"/>
      <c r="AC386" s="71" t="n"/>
      <c r="AZ386" s="278" t="inlineStr">
        <is>
          <t>КИ</t>
        </is>
      </c>
    </row>
    <row r="387">
      <c r="A387" s="33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685" t="n"/>
      <c r="M387" s="686" t="inlineStr">
        <is>
          <t>Итого</t>
        </is>
      </c>
      <c r="N387" s="656" t="n"/>
      <c r="O387" s="656" t="n"/>
      <c r="P387" s="656" t="n"/>
      <c r="Q387" s="656" t="n"/>
      <c r="R387" s="656" t="n"/>
      <c r="S387" s="657" t="n"/>
      <c r="T387" s="43" t="inlineStr">
        <is>
          <t>кор</t>
        </is>
      </c>
      <c r="U387" s="687">
        <f>IFERROR(U385/H385,"0")+IFERROR(U386/H386,"0")</f>
        <v/>
      </c>
      <c r="V387" s="687">
        <f>IFERROR(V385/H385,"0")+IFERROR(V386/H386,"0")</f>
        <v/>
      </c>
      <c r="W387" s="687">
        <f>IFERROR(IF(W385="",0,W385),"0")+IFERROR(IF(W386="",0,W386),"0")</f>
        <v/>
      </c>
      <c r="X387" s="688" t="n"/>
      <c r="Y387" s="688" t="n"/>
    </row>
    <row r="38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685" t="n"/>
      <c r="M388" s="686" t="inlineStr">
        <is>
          <t>Итого</t>
        </is>
      </c>
      <c r="N388" s="656" t="n"/>
      <c r="O388" s="656" t="n"/>
      <c r="P388" s="656" t="n"/>
      <c r="Q388" s="656" t="n"/>
      <c r="R388" s="656" t="n"/>
      <c r="S388" s="657" t="n"/>
      <c r="T388" s="43" t="inlineStr">
        <is>
          <t>кг</t>
        </is>
      </c>
      <c r="U388" s="687">
        <f>IFERROR(SUM(U385:U386),"0")</f>
        <v/>
      </c>
      <c r="V388" s="687">
        <f>IFERROR(SUM(V385:V386),"0")</f>
        <v/>
      </c>
      <c r="W388" s="43" t="n"/>
      <c r="X388" s="688" t="n"/>
      <c r="Y388" s="688" t="n"/>
    </row>
    <row r="389" ht="14.25" customHeight="1">
      <c r="A389" s="322" t="inlineStr">
        <is>
          <t>Копченые колбасы</t>
        </is>
      </c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322" t="n"/>
      <c r="Y389" s="322" t="n"/>
    </row>
    <row r="390" ht="27" customHeight="1">
      <c r="A390" s="64" t="inlineStr">
        <is>
          <t>SU002612</t>
        </is>
      </c>
      <c r="B390" s="64" t="inlineStr">
        <is>
          <t>P003140</t>
        </is>
      </c>
      <c r="C390" s="37" t="n">
        <v>4301031212</v>
      </c>
      <c r="D390" s="323" t="n">
        <v>4607091389739</v>
      </c>
      <c r="E390" s="648" t="n"/>
      <c r="F390" s="680" t="n">
        <v>0.7</v>
      </c>
      <c r="G390" s="38" t="n">
        <v>6</v>
      </c>
      <c r="H390" s="680" t="n">
        <v>4.2</v>
      </c>
      <c r="I390" s="680" t="n">
        <v>4.43</v>
      </c>
      <c r="J390" s="38" t="n">
        <v>156</v>
      </c>
      <c r="K390" s="39" t="inlineStr">
        <is>
          <t>СК1</t>
        </is>
      </c>
      <c r="L390" s="38" t="n">
        <v>45</v>
      </c>
      <c r="M390" s="894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N390" s="682" t="n"/>
      <c r="O390" s="682" t="n"/>
      <c r="P390" s="682" t="n"/>
      <c r="Q390" s="648" t="n"/>
      <c r="R390" s="40" t="inlineStr"/>
      <c r="S390" s="40" t="inlineStr"/>
      <c r="T390" s="41" t="inlineStr">
        <is>
          <t>кг</t>
        </is>
      </c>
      <c r="U390" s="683" t="n">
        <v>0</v>
      </c>
      <c r="V390" s="684">
        <f>IFERROR(IF(U390="",0,CEILING((U390/$H390),1)*$H390),"")</f>
        <v/>
      </c>
      <c r="W390" s="42">
        <f>IFERROR(IF(V390=0,"",ROUNDUP(V390/H390,0)*0.00753),"")</f>
        <v/>
      </c>
      <c r="X390" s="69" t="inlineStr"/>
      <c r="Y390" s="70" t="inlineStr"/>
      <c r="AC390" s="71" t="n"/>
      <c r="AZ390" s="279" t="inlineStr">
        <is>
          <t>КИ</t>
        </is>
      </c>
    </row>
    <row r="391" ht="27" customHeight="1">
      <c r="A391" s="64" t="inlineStr">
        <is>
          <t>SU003071</t>
        </is>
      </c>
      <c r="B391" s="64" t="inlineStr">
        <is>
          <t>P003612</t>
        </is>
      </c>
      <c r="C391" s="37" t="n">
        <v>4301031247</v>
      </c>
      <c r="D391" s="323" t="n">
        <v>4680115883048</v>
      </c>
      <c r="E391" s="648" t="n"/>
      <c r="F391" s="680" t="n">
        <v>1</v>
      </c>
      <c r="G391" s="38" t="n">
        <v>4</v>
      </c>
      <c r="H391" s="680" t="n">
        <v>4</v>
      </c>
      <c r="I391" s="680" t="n">
        <v>4.21</v>
      </c>
      <c r="J391" s="38" t="n">
        <v>120</v>
      </c>
      <c r="K391" s="39" t="inlineStr">
        <is>
          <t>СК2</t>
        </is>
      </c>
      <c r="L391" s="38" t="n">
        <v>40</v>
      </c>
      <c r="M391" s="895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N391" s="682" t="n"/>
      <c r="O391" s="682" t="n"/>
      <c r="P391" s="682" t="n"/>
      <c r="Q391" s="648" t="n"/>
      <c r="R391" s="40" t="inlineStr"/>
      <c r="S391" s="40" t="inlineStr"/>
      <c r="T391" s="41" t="inlineStr">
        <is>
          <t>кг</t>
        </is>
      </c>
      <c r="U391" s="683" t="n">
        <v>0</v>
      </c>
      <c r="V391" s="684">
        <f>IFERROR(IF(U391="",0,CEILING((U391/$H391),1)*$H391),"")</f>
        <v/>
      </c>
      <c r="W391" s="42">
        <f>IFERROR(IF(V391=0,"",ROUNDUP(V391/H391,0)*0.00937),"")</f>
        <v/>
      </c>
      <c r="X391" s="69" t="inlineStr"/>
      <c r="Y391" s="70" t="inlineStr"/>
      <c r="AC391" s="71" t="n"/>
      <c r="AZ391" s="280" t="inlineStr">
        <is>
          <t>КИ</t>
        </is>
      </c>
    </row>
    <row r="392" ht="27" customHeight="1">
      <c r="A392" s="64" t="inlineStr">
        <is>
          <t>SU002545</t>
        </is>
      </c>
      <c r="B392" s="64" t="inlineStr">
        <is>
          <t>P003137</t>
        </is>
      </c>
      <c r="C392" s="37" t="n">
        <v>4301031176</v>
      </c>
      <c r="D392" s="323" t="n">
        <v>4607091389425</v>
      </c>
      <c r="E392" s="648" t="n"/>
      <c r="F392" s="680" t="n">
        <v>0.35</v>
      </c>
      <c r="G392" s="38" t="n">
        <v>6</v>
      </c>
      <c r="H392" s="680" t="n">
        <v>2.1</v>
      </c>
      <c r="I392" s="680" t="n">
        <v>2.23</v>
      </c>
      <c r="J392" s="38" t="n">
        <v>234</v>
      </c>
      <c r="K392" s="39" t="inlineStr">
        <is>
          <t>СК2</t>
        </is>
      </c>
      <c r="L392" s="38" t="n">
        <v>45</v>
      </c>
      <c r="M392" s="896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N392" s="682" t="n"/>
      <c r="O392" s="682" t="n"/>
      <c r="P392" s="682" t="n"/>
      <c r="Q392" s="648" t="n"/>
      <c r="R392" s="40" t="inlineStr"/>
      <c r="S392" s="40" t="inlineStr"/>
      <c r="T392" s="41" t="inlineStr">
        <is>
          <t>кг</t>
        </is>
      </c>
      <c r="U392" s="683" t="n">
        <v>0</v>
      </c>
      <c r="V392" s="684">
        <f>IFERROR(IF(U392="",0,CEILING((U392/$H392),1)*$H392),"")</f>
        <v/>
      </c>
      <c r="W392" s="42">
        <f>IFERROR(IF(V392=0,"",ROUNDUP(V392/H392,0)*0.00502),"")</f>
        <v/>
      </c>
      <c r="X392" s="69" t="inlineStr"/>
      <c r="Y392" s="70" t="inlineStr"/>
      <c r="AC392" s="71" t="n"/>
      <c r="AZ392" s="281" t="inlineStr">
        <is>
          <t>КИ</t>
        </is>
      </c>
    </row>
    <row r="393" ht="27" customHeight="1">
      <c r="A393" s="64" t="inlineStr">
        <is>
          <t>SU002917</t>
        </is>
      </c>
      <c r="B393" s="64" t="inlineStr">
        <is>
          <t>P003343</t>
        </is>
      </c>
      <c r="C393" s="37" t="n">
        <v>4301031215</v>
      </c>
      <c r="D393" s="323" t="n">
        <v>4680115882911</v>
      </c>
      <c r="E393" s="648" t="n"/>
      <c r="F393" s="680" t="n">
        <v>0.4</v>
      </c>
      <c r="G393" s="38" t="n">
        <v>6</v>
      </c>
      <c r="H393" s="680" t="n">
        <v>2.4</v>
      </c>
      <c r="I393" s="680" t="n">
        <v>2.53</v>
      </c>
      <c r="J393" s="38" t="n">
        <v>234</v>
      </c>
      <c r="K393" s="39" t="inlineStr">
        <is>
          <t>СК2</t>
        </is>
      </c>
      <c r="L393" s="38" t="n">
        <v>40</v>
      </c>
      <c r="M393" s="897" t="inlineStr">
        <is>
          <t>П/к колбасы «Балыкбургская по-баварски» Фикс.вес 0,4 н/о мгс ТМ «Баварушка»</t>
        </is>
      </c>
      <c r="N393" s="682" t="n"/>
      <c r="O393" s="682" t="n"/>
      <c r="P393" s="682" t="n"/>
      <c r="Q393" s="648" t="n"/>
      <c r="R393" s="40" t="inlineStr"/>
      <c r="S393" s="40" t="inlineStr"/>
      <c r="T393" s="41" t="inlineStr">
        <is>
          <t>кг</t>
        </is>
      </c>
      <c r="U393" s="683" t="n">
        <v>0</v>
      </c>
      <c r="V393" s="684">
        <f>IFERROR(IF(U393="",0,CEILING((U393/$H393),1)*$H393),"")</f>
        <v/>
      </c>
      <c r="W393" s="42">
        <f>IFERROR(IF(V393=0,"",ROUNDUP(V393/H393,0)*0.00502),"")</f>
        <v/>
      </c>
      <c r="X393" s="69" t="inlineStr"/>
      <c r="Y393" s="70" t="inlineStr"/>
      <c r="AC393" s="71" t="n"/>
      <c r="AZ393" s="282" t="inlineStr">
        <is>
          <t>КИ</t>
        </is>
      </c>
    </row>
    <row r="394" ht="27" customHeight="1">
      <c r="A394" s="64" t="inlineStr">
        <is>
          <t>SU002726</t>
        </is>
      </c>
      <c r="B394" s="64" t="inlineStr">
        <is>
          <t>P003095</t>
        </is>
      </c>
      <c r="C394" s="37" t="n">
        <v>4301031167</v>
      </c>
      <c r="D394" s="323" t="n">
        <v>4680115880771</v>
      </c>
      <c r="E394" s="648" t="n"/>
      <c r="F394" s="680" t="n">
        <v>0.28</v>
      </c>
      <c r="G394" s="38" t="n">
        <v>6</v>
      </c>
      <c r="H394" s="680" t="n">
        <v>1.68</v>
      </c>
      <c r="I394" s="680" t="n">
        <v>1.81</v>
      </c>
      <c r="J394" s="38" t="n">
        <v>234</v>
      </c>
      <c r="K394" s="39" t="inlineStr">
        <is>
          <t>СК2</t>
        </is>
      </c>
      <c r="L394" s="38" t="n">
        <v>45</v>
      </c>
      <c r="M394" s="898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N394" s="682" t="n"/>
      <c r="O394" s="682" t="n"/>
      <c r="P394" s="682" t="n"/>
      <c r="Q394" s="648" t="n"/>
      <c r="R394" s="40" t="inlineStr"/>
      <c r="S394" s="40" t="inlineStr"/>
      <c r="T394" s="41" t="inlineStr">
        <is>
          <t>кг</t>
        </is>
      </c>
      <c r="U394" s="683" t="n">
        <v>0</v>
      </c>
      <c r="V394" s="684">
        <f>IFERROR(IF(U394="",0,CEILING((U394/$H394),1)*$H394),"")</f>
        <v/>
      </c>
      <c r="W394" s="42">
        <f>IFERROR(IF(V394=0,"",ROUNDUP(V394/H394,0)*0.00502),"")</f>
        <v/>
      </c>
      <c r="X394" s="69" t="inlineStr"/>
      <c r="Y394" s="70" t="inlineStr"/>
      <c r="AC394" s="71" t="n"/>
      <c r="AZ394" s="283" t="inlineStr">
        <is>
          <t>КИ</t>
        </is>
      </c>
    </row>
    <row r="395" ht="27" customHeight="1">
      <c r="A395" s="64" t="inlineStr">
        <is>
          <t>SU002604</t>
        </is>
      </c>
      <c r="B395" s="64" t="inlineStr">
        <is>
          <t>P003135</t>
        </is>
      </c>
      <c r="C395" s="37" t="n">
        <v>4301031173</v>
      </c>
      <c r="D395" s="323" t="n">
        <v>4607091389500</v>
      </c>
      <c r="E395" s="648" t="n"/>
      <c r="F395" s="680" t="n">
        <v>0.35</v>
      </c>
      <c r="G395" s="38" t="n">
        <v>6</v>
      </c>
      <c r="H395" s="680" t="n">
        <v>2.1</v>
      </c>
      <c r="I395" s="680" t="n">
        <v>2.23</v>
      </c>
      <c r="J395" s="38" t="n">
        <v>234</v>
      </c>
      <c r="K395" s="39" t="inlineStr">
        <is>
          <t>СК2</t>
        </is>
      </c>
      <c r="L395" s="38" t="n">
        <v>45</v>
      </c>
      <c r="M395" s="899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N395" s="682" t="n"/>
      <c r="O395" s="682" t="n"/>
      <c r="P395" s="682" t="n"/>
      <c r="Q395" s="648" t="n"/>
      <c r="R395" s="40" t="inlineStr"/>
      <c r="S395" s="40" t="inlineStr"/>
      <c r="T395" s="41" t="inlineStr">
        <is>
          <t>кг</t>
        </is>
      </c>
      <c r="U395" s="683" t="n">
        <v>0</v>
      </c>
      <c r="V395" s="684">
        <f>IFERROR(IF(U395="",0,CEILING((U395/$H395),1)*$H395),"")</f>
        <v/>
      </c>
      <c r="W395" s="42">
        <f>IFERROR(IF(V395=0,"",ROUNDUP(V395/H395,0)*0.00502),"")</f>
        <v/>
      </c>
      <c r="X395" s="69" t="inlineStr"/>
      <c r="Y395" s="70" t="inlineStr"/>
      <c r="AC395" s="71" t="n"/>
      <c r="AZ395" s="284" t="inlineStr">
        <is>
          <t>КИ</t>
        </is>
      </c>
    </row>
    <row r="396" ht="27" customHeight="1">
      <c r="A396" s="64" t="inlineStr">
        <is>
          <t>SU002358</t>
        </is>
      </c>
      <c r="B396" s="64" t="inlineStr">
        <is>
          <t>P002642</t>
        </is>
      </c>
      <c r="C396" s="37" t="n">
        <v>4301031103</v>
      </c>
      <c r="D396" s="323" t="n">
        <v>4680115881983</v>
      </c>
      <c r="E396" s="648" t="n"/>
      <c r="F396" s="680" t="n">
        <v>0.28</v>
      </c>
      <c r="G396" s="38" t="n">
        <v>4</v>
      </c>
      <c r="H396" s="680" t="n">
        <v>1.12</v>
      </c>
      <c r="I396" s="680" t="n">
        <v>1.252</v>
      </c>
      <c r="J396" s="38" t="n">
        <v>234</v>
      </c>
      <c r="K396" s="39" t="inlineStr">
        <is>
          <t>СК2</t>
        </is>
      </c>
      <c r="L396" s="38" t="n">
        <v>40</v>
      </c>
      <c r="M396" s="900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N396" s="682" t="n"/>
      <c r="O396" s="682" t="n"/>
      <c r="P396" s="682" t="n"/>
      <c r="Q396" s="648" t="n"/>
      <c r="R396" s="40" t="inlineStr"/>
      <c r="S396" s="40" t="inlineStr"/>
      <c r="T396" s="41" t="inlineStr">
        <is>
          <t>кг</t>
        </is>
      </c>
      <c r="U396" s="683" t="n">
        <v>0</v>
      </c>
      <c r="V396" s="684">
        <f>IFERROR(IF(U396="",0,CEILING((U396/$H396),1)*$H396),"")</f>
        <v/>
      </c>
      <c r="W396" s="42">
        <f>IFERROR(IF(V396=0,"",ROUNDUP(V396/H396,0)*0.00502),"")</f>
        <v/>
      </c>
      <c r="X396" s="69" t="inlineStr"/>
      <c r="Y396" s="70" t="inlineStr"/>
      <c r="AC396" s="71" t="n"/>
      <c r="AZ396" s="285" t="inlineStr">
        <is>
          <t>КИ</t>
        </is>
      </c>
    </row>
    <row r="397">
      <c r="A397" s="33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685" t="n"/>
      <c r="M397" s="686" t="inlineStr">
        <is>
          <t>Итого</t>
        </is>
      </c>
      <c r="N397" s="656" t="n"/>
      <c r="O397" s="656" t="n"/>
      <c r="P397" s="656" t="n"/>
      <c r="Q397" s="656" t="n"/>
      <c r="R397" s="656" t="n"/>
      <c r="S397" s="657" t="n"/>
      <c r="T397" s="43" t="inlineStr">
        <is>
          <t>кор</t>
        </is>
      </c>
      <c r="U397" s="687">
        <f>IFERROR(U390/H390,"0")+IFERROR(U391/H391,"0")+IFERROR(U392/H392,"0")+IFERROR(U393/H393,"0")+IFERROR(U394/H394,"0")+IFERROR(U395/H395,"0")+IFERROR(U396/H396,"0")</f>
        <v/>
      </c>
      <c r="V397" s="687">
        <f>IFERROR(V390/H390,"0")+IFERROR(V391/H391,"0")+IFERROR(V392/H392,"0")+IFERROR(V393/H393,"0")+IFERROR(V394/H394,"0")+IFERROR(V395/H395,"0")+IFERROR(V396/H396,"0")</f>
        <v/>
      </c>
      <c r="W397" s="687">
        <f>IFERROR(IF(W390="",0,W390),"0")+IFERROR(IF(W391="",0,W391),"0")+IFERROR(IF(W392="",0,W392),"0")+IFERROR(IF(W393="",0,W393),"0")+IFERROR(IF(W394="",0,W394),"0")+IFERROR(IF(W395="",0,W395),"0")+IFERROR(IF(W396="",0,W396),"0")</f>
        <v/>
      </c>
      <c r="X397" s="688" t="n"/>
      <c r="Y397" s="688" t="n"/>
    </row>
    <row r="39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685" t="n"/>
      <c r="M398" s="686" t="inlineStr">
        <is>
          <t>Итого</t>
        </is>
      </c>
      <c r="N398" s="656" t="n"/>
      <c r="O398" s="656" t="n"/>
      <c r="P398" s="656" t="n"/>
      <c r="Q398" s="656" t="n"/>
      <c r="R398" s="656" t="n"/>
      <c r="S398" s="657" t="n"/>
      <c r="T398" s="43" t="inlineStr">
        <is>
          <t>кг</t>
        </is>
      </c>
      <c r="U398" s="687">
        <f>IFERROR(SUM(U390:U396),"0")</f>
        <v/>
      </c>
      <c r="V398" s="687">
        <f>IFERROR(SUM(V390:V396),"0")</f>
        <v/>
      </c>
      <c r="W398" s="43" t="n"/>
      <c r="X398" s="688" t="n"/>
      <c r="Y398" s="688" t="n"/>
    </row>
    <row r="399" ht="14.25" customHeight="1">
      <c r="A399" s="322" t="inlineStr">
        <is>
          <t>Сырокопченые колбасы</t>
        </is>
      </c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322" t="n"/>
      <c r="Y399" s="322" t="n"/>
    </row>
    <row r="400" ht="27" customHeight="1">
      <c r="A400" s="64" t="inlineStr">
        <is>
          <t>SU003059</t>
        </is>
      </c>
      <c r="B400" s="64" t="inlineStr">
        <is>
          <t>P003623</t>
        </is>
      </c>
      <c r="C400" s="37" t="n">
        <v>4301032044</v>
      </c>
      <c r="D400" s="323" t="n">
        <v>4680115883000</v>
      </c>
      <c r="E400" s="648" t="n"/>
      <c r="F400" s="680" t="n">
        <v>0.03</v>
      </c>
      <c r="G400" s="38" t="n">
        <v>20</v>
      </c>
      <c r="H400" s="680" t="n">
        <v>0.6</v>
      </c>
      <c r="I400" s="680" t="n">
        <v>0.9</v>
      </c>
      <c r="J400" s="38" t="n">
        <v>350</v>
      </c>
      <c r="K400" s="39" t="inlineStr">
        <is>
          <t>ДК</t>
        </is>
      </c>
      <c r="L400" s="38" t="n">
        <v>60</v>
      </c>
      <c r="M400" s="901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/>
      </c>
      <c r="N400" s="682" t="n"/>
      <c r="O400" s="682" t="n"/>
      <c r="P400" s="682" t="n"/>
      <c r="Q400" s="648" t="n"/>
      <c r="R400" s="40" t="inlineStr"/>
      <c r="S400" s="40" t="inlineStr"/>
      <c r="T400" s="41" t="inlineStr">
        <is>
          <t>кг</t>
        </is>
      </c>
      <c r="U400" s="683" t="n">
        <v>0</v>
      </c>
      <c r="V400" s="684">
        <f>IFERROR(IF(U400="",0,CEILING((U400/$H400),1)*$H400),"")</f>
        <v/>
      </c>
      <c r="W400" s="42">
        <f>IFERROR(IF(V400=0,"",ROUNDUP(V400/H400,0)*0.00349),"")</f>
        <v/>
      </c>
      <c r="X400" s="69" t="inlineStr"/>
      <c r="Y400" s="70" t="inlineStr"/>
      <c r="AC400" s="71" t="n"/>
      <c r="AZ400" s="286" t="inlineStr">
        <is>
          <t>КИ</t>
        </is>
      </c>
    </row>
    <row r="401">
      <c r="A401" s="33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685" t="n"/>
      <c r="M401" s="686" t="inlineStr">
        <is>
          <t>Итого</t>
        </is>
      </c>
      <c r="N401" s="656" t="n"/>
      <c r="O401" s="656" t="n"/>
      <c r="P401" s="656" t="n"/>
      <c r="Q401" s="656" t="n"/>
      <c r="R401" s="656" t="n"/>
      <c r="S401" s="657" t="n"/>
      <c r="T401" s="43" t="inlineStr">
        <is>
          <t>кор</t>
        </is>
      </c>
      <c r="U401" s="687">
        <f>IFERROR(U400/H400,"0")</f>
        <v/>
      </c>
      <c r="V401" s="687">
        <f>IFERROR(V400/H400,"0")</f>
        <v/>
      </c>
      <c r="W401" s="687">
        <f>IFERROR(IF(W400="",0,W400),"0")</f>
        <v/>
      </c>
      <c r="X401" s="688" t="n"/>
      <c r="Y401" s="688" t="n"/>
    </row>
    <row r="402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685" t="n"/>
      <c r="M402" s="686" t="inlineStr">
        <is>
          <t>Итого</t>
        </is>
      </c>
      <c r="N402" s="656" t="n"/>
      <c r="O402" s="656" t="n"/>
      <c r="P402" s="656" t="n"/>
      <c r="Q402" s="656" t="n"/>
      <c r="R402" s="656" t="n"/>
      <c r="S402" s="657" t="n"/>
      <c r="T402" s="43" t="inlineStr">
        <is>
          <t>кг</t>
        </is>
      </c>
      <c r="U402" s="687">
        <f>IFERROR(SUM(U400:U400),"0")</f>
        <v/>
      </c>
      <c r="V402" s="687">
        <f>IFERROR(SUM(V400:V400),"0")</f>
        <v/>
      </c>
      <c r="W402" s="43" t="n"/>
      <c r="X402" s="688" t="n"/>
      <c r="Y402" s="688" t="n"/>
    </row>
    <row r="403" ht="14.25" customHeight="1">
      <c r="A403" s="322" t="inlineStr">
        <is>
          <t>Сыровяленые колбасы</t>
        </is>
      </c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322" t="n"/>
      <c r="Y403" s="322" t="n"/>
    </row>
    <row r="404" ht="27" customHeight="1">
      <c r="A404" s="64" t="inlineStr">
        <is>
          <t>SU003056</t>
        </is>
      </c>
      <c r="B404" s="64" t="inlineStr">
        <is>
          <t>P003622</t>
        </is>
      </c>
      <c r="C404" s="37" t="n">
        <v>4301170008</v>
      </c>
      <c r="D404" s="323" t="n">
        <v>4680115882980</v>
      </c>
      <c r="E404" s="648" t="n"/>
      <c r="F404" s="680" t="n">
        <v>0.13</v>
      </c>
      <c r="G404" s="38" t="n">
        <v>10</v>
      </c>
      <c r="H404" s="680" t="n">
        <v>1.3</v>
      </c>
      <c r="I404" s="680" t="n">
        <v>1.46</v>
      </c>
      <c r="J404" s="38" t="n">
        <v>200</v>
      </c>
      <c r="K404" s="39" t="inlineStr">
        <is>
          <t>ДК</t>
        </is>
      </c>
      <c r="L404" s="38" t="n">
        <v>150</v>
      </c>
      <c r="M404" s="902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/>
      </c>
      <c r="N404" s="682" t="n"/>
      <c r="O404" s="682" t="n"/>
      <c r="P404" s="682" t="n"/>
      <c r="Q404" s="648" t="n"/>
      <c r="R404" s="40" t="inlineStr"/>
      <c r="S404" s="40" t="inlineStr"/>
      <c r="T404" s="41" t="inlineStr">
        <is>
          <t>кг</t>
        </is>
      </c>
      <c r="U404" s="683" t="n">
        <v>0</v>
      </c>
      <c r="V404" s="684">
        <f>IFERROR(IF(U404="",0,CEILING((U404/$H404),1)*$H404),"")</f>
        <v/>
      </c>
      <c r="W404" s="42">
        <f>IFERROR(IF(V404=0,"",ROUNDUP(V404/H404,0)*0.00673),"")</f>
        <v/>
      </c>
      <c r="X404" s="69" t="inlineStr"/>
      <c r="Y404" s="70" t="inlineStr"/>
      <c r="AC404" s="71" t="n"/>
      <c r="AZ404" s="287" t="inlineStr">
        <is>
          <t>КИ</t>
        </is>
      </c>
    </row>
    <row r="405">
      <c r="A405" s="33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685" t="n"/>
      <c r="M405" s="686" t="inlineStr">
        <is>
          <t>Итого</t>
        </is>
      </c>
      <c r="N405" s="656" t="n"/>
      <c r="O405" s="656" t="n"/>
      <c r="P405" s="656" t="n"/>
      <c r="Q405" s="656" t="n"/>
      <c r="R405" s="656" t="n"/>
      <c r="S405" s="657" t="n"/>
      <c r="T405" s="43" t="inlineStr">
        <is>
          <t>кор</t>
        </is>
      </c>
      <c r="U405" s="687">
        <f>IFERROR(U404/H404,"0")</f>
        <v/>
      </c>
      <c r="V405" s="687">
        <f>IFERROR(V404/H404,"0")</f>
        <v/>
      </c>
      <c r="W405" s="687">
        <f>IFERROR(IF(W404="",0,W404),"0")</f>
        <v/>
      </c>
      <c r="X405" s="688" t="n"/>
      <c r="Y405" s="688" t="n"/>
    </row>
    <row r="406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685" t="n"/>
      <c r="M406" s="686" t="inlineStr">
        <is>
          <t>Итого</t>
        </is>
      </c>
      <c r="N406" s="656" t="n"/>
      <c r="O406" s="656" t="n"/>
      <c r="P406" s="656" t="n"/>
      <c r="Q406" s="656" t="n"/>
      <c r="R406" s="656" t="n"/>
      <c r="S406" s="657" t="n"/>
      <c r="T406" s="43" t="inlineStr">
        <is>
          <t>кг</t>
        </is>
      </c>
      <c r="U406" s="687">
        <f>IFERROR(SUM(U404:U404),"0")</f>
        <v/>
      </c>
      <c r="V406" s="687">
        <f>IFERROR(SUM(V404:V404),"0")</f>
        <v/>
      </c>
      <c r="W406" s="43" t="n"/>
      <c r="X406" s="688" t="n"/>
      <c r="Y406" s="688" t="n"/>
    </row>
    <row r="407" ht="27.75" customHeight="1">
      <c r="A407" s="344" t="inlineStr">
        <is>
          <t>Дугушка</t>
        </is>
      </c>
      <c r="B407" s="679" t="n"/>
      <c r="C407" s="679" t="n"/>
      <c r="D407" s="679" t="n"/>
      <c r="E407" s="679" t="n"/>
      <c r="F407" s="679" t="n"/>
      <c r="G407" s="679" t="n"/>
      <c r="H407" s="679" t="n"/>
      <c r="I407" s="679" t="n"/>
      <c r="J407" s="679" t="n"/>
      <c r="K407" s="679" t="n"/>
      <c r="L407" s="679" t="n"/>
      <c r="M407" s="679" t="n"/>
      <c r="N407" s="679" t="n"/>
      <c r="O407" s="679" t="n"/>
      <c r="P407" s="679" t="n"/>
      <c r="Q407" s="679" t="n"/>
      <c r="R407" s="679" t="n"/>
      <c r="S407" s="679" t="n"/>
      <c r="T407" s="679" t="n"/>
      <c r="U407" s="679" t="n"/>
      <c r="V407" s="679" t="n"/>
      <c r="W407" s="679" t="n"/>
      <c r="X407" s="55" t="n"/>
      <c r="Y407" s="55" t="n"/>
    </row>
    <row r="408" ht="16.5" customHeight="1">
      <c r="A408" s="321" t="inlineStr">
        <is>
          <t>Дугушка</t>
        </is>
      </c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321" t="n"/>
      <c r="Y408" s="321" t="n"/>
    </row>
    <row r="409" ht="14.25" customHeight="1">
      <c r="A409" s="322" t="inlineStr">
        <is>
          <t>Вареные колбасы</t>
        </is>
      </c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322" t="n"/>
      <c r="Y409" s="322" t="n"/>
    </row>
    <row r="410" ht="27" customHeight="1">
      <c r="A410" s="64" t="inlineStr">
        <is>
          <t>SU002011</t>
        </is>
      </c>
      <c r="B410" s="64" t="inlineStr">
        <is>
          <t>P002991</t>
        </is>
      </c>
      <c r="C410" s="37" t="n">
        <v>4301011371</v>
      </c>
      <c r="D410" s="323" t="n">
        <v>4607091389067</v>
      </c>
      <c r="E410" s="648" t="n"/>
      <c r="F410" s="680" t="n">
        <v>0.88</v>
      </c>
      <c r="G410" s="38" t="n">
        <v>6</v>
      </c>
      <c r="H410" s="680" t="n">
        <v>5.28</v>
      </c>
      <c r="I410" s="680" t="n">
        <v>5.64</v>
      </c>
      <c r="J410" s="38" t="n">
        <v>104</v>
      </c>
      <c r="K410" s="39" t="inlineStr">
        <is>
          <t>СК3</t>
        </is>
      </c>
      <c r="L410" s="38" t="n">
        <v>55</v>
      </c>
      <c r="M410" s="903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N410" s="682" t="n"/>
      <c r="O410" s="682" t="n"/>
      <c r="P410" s="682" t="n"/>
      <c r="Q410" s="648" t="n"/>
      <c r="R410" s="40" t="inlineStr"/>
      <c r="S410" s="40" t="inlineStr"/>
      <c r="T410" s="41" t="inlineStr">
        <is>
          <t>кг</t>
        </is>
      </c>
      <c r="U410" s="683" t="n">
        <v>0</v>
      </c>
      <c r="V410" s="684">
        <f>IFERROR(IF(U410="",0,CEILING((U410/$H410),1)*$H410),"")</f>
        <v/>
      </c>
      <c r="W410" s="42">
        <f>IFERROR(IF(V410=0,"",ROUNDUP(V410/H410,0)*0.01196),"")</f>
        <v/>
      </c>
      <c r="X410" s="69" t="inlineStr"/>
      <c r="Y410" s="70" t="inlineStr"/>
      <c r="AC410" s="71" t="n"/>
      <c r="AZ410" s="288" t="inlineStr">
        <is>
          <t>КИ</t>
        </is>
      </c>
    </row>
    <row r="411" ht="27" customHeight="1">
      <c r="A411" s="64" t="inlineStr">
        <is>
          <t>SU002094</t>
        </is>
      </c>
      <c r="B411" s="64" t="inlineStr">
        <is>
          <t>P002975</t>
        </is>
      </c>
      <c r="C411" s="37" t="n">
        <v>4301011363</v>
      </c>
      <c r="D411" s="323" t="n">
        <v>4607091383522</v>
      </c>
      <c r="E411" s="648" t="n"/>
      <c r="F411" s="680" t="n">
        <v>0.88</v>
      </c>
      <c r="G411" s="38" t="n">
        <v>6</v>
      </c>
      <c r="H411" s="680" t="n">
        <v>5.28</v>
      </c>
      <c r="I411" s="680" t="n">
        <v>5.64</v>
      </c>
      <c r="J411" s="38" t="n">
        <v>104</v>
      </c>
      <c r="K411" s="39" t="inlineStr">
        <is>
          <t>СК1</t>
        </is>
      </c>
      <c r="L411" s="38" t="n">
        <v>55</v>
      </c>
      <c r="M411" s="904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N411" s="682" t="n"/>
      <c r="O411" s="682" t="n"/>
      <c r="P411" s="682" t="n"/>
      <c r="Q411" s="648" t="n"/>
      <c r="R411" s="40" t="inlineStr"/>
      <c r="S411" s="40" t="inlineStr"/>
      <c r="T411" s="41" t="inlineStr">
        <is>
          <t>кг</t>
        </is>
      </c>
      <c r="U411" s="683" t="n">
        <v>1000</v>
      </c>
      <c r="V411" s="684">
        <f>IFERROR(IF(U411="",0,CEILING((U411/$H411),1)*$H411),"")</f>
        <v/>
      </c>
      <c r="W411" s="42">
        <f>IFERROR(IF(V411=0,"",ROUNDUP(V411/H411,0)*0.01196),"")</f>
        <v/>
      </c>
      <c r="X411" s="69" t="inlineStr"/>
      <c r="Y411" s="70" t="inlineStr"/>
      <c r="AC411" s="71" t="n"/>
      <c r="AZ411" s="289" t="inlineStr">
        <is>
          <t>КИ</t>
        </is>
      </c>
    </row>
    <row r="412" ht="27" customHeight="1">
      <c r="A412" s="64" t="inlineStr">
        <is>
          <t>SU002182</t>
        </is>
      </c>
      <c r="B412" s="64" t="inlineStr">
        <is>
          <t>P002990</t>
        </is>
      </c>
      <c r="C412" s="37" t="n">
        <v>4301011431</v>
      </c>
      <c r="D412" s="323" t="n">
        <v>4607091384437</v>
      </c>
      <c r="E412" s="648" t="n"/>
      <c r="F412" s="680" t="n">
        <v>0.88</v>
      </c>
      <c r="G412" s="38" t="n">
        <v>6</v>
      </c>
      <c r="H412" s="680" t="n">
        <v>5.28</v>
      </c>
      <c r="I412" s="680" t="n">
        <v>5.64</v>
      </c>
      <c r="J412" s="38" t="n">
        <v>104</v>
      </c>
      <c r="K412" s="39" t="inlineStr">
        <is>
          <t>СК1</t>
        </is>
      </c>
      <c r="L412" s="38" t="n">
        <v>50</v>
      </c>
      <c r="M412" s="905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N412" s="682" t="n"/>
      <c r="O412" s="682" t="n"/>
      <c r="P412" s="682" t="n"/>
      <c r="Q412" s="648" t="n"/>
      <c r="R412" s="40" t="inlineStr"/>
      <c r="S412" s="40" t="inlineStr"/>
      <c r="T412" s="41" t="inlineStr">
        <is>
          <t>кг</t>
        </is>
      </c>
      <c r="U412" s="683" t="n">
        <v>180</v>
      </c>
      <c r="V412" s="684">
        <f>IFERROR(IF(U412="",0,CEILING((U412/$H412),1)*$H412),"")</f>
        <v/>
      </c>
      <c r="W412" s="42">
        <f>IFERROR(IF(V412=0,"",ROUNDUP(V412/H412,0)*0.01196),"")</f>
        <v/>
      </c>
      <c r="X412" s="69" t="inlineStr"/>
      <c r="Y412" s="70" t="inlineStr"/>
      <c r="AC412" s="71" t="n"/>
      <c r="AZ412" s="290" t="inlineStr">
        <is>
          <t>КИ</t>
        </is>
      </c>
    </row>
    <row r="413" ht="27" customHeight="1">
      <c r="A413" s="64" t="inlineStr">
        <is>
          <t>SU002010</t>
        </is>
      </c>
      <c r="B413" s="64" t="inlineStr">
        <is>
          <t>P002979</t>
        </is>
      </c>
      <c r="C413" s="37" t="n">
        <v>4301011365</v>
      </c>
      <c r="D413" s="323" t="n">
        <v>4607091389104</v>
      </c>
      <c r="E413" s="648" t="n"/>
      <c r="F413" s="680" t="n">
        <v>0.88</v>
      </c>
      <c r="G413" s="38" t="n">
        <v>6</v>
      </c>
      <c r="H413" s="680" t="n">
        <v>5.28</v>
      </c>
      <c r="I413" s="680" t="n">
        <v>5.64</v>
      </c>
      <c r="J413" s="38" t="n">
        <v>104</v>
      </c>
      <c r="K413" s="39" t="inlineStr">
        <is>
          <t>СК1</t>
        </is>
      </c>
      <c r="L413" s="38" t="n">
        <v>55</v>
      </c>
      <c r="M413" s="906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N413" s="682" t="n"/>
      <c r="O413" s="682" t="n"/>
      <c r="P413" s="682" t="n"/>
      <c r="Q413" s="648" t="n"/>
      <c r="R413" s="40" t="inlineStr"/>
      <c r="S413" s="40" t="inlineStr"/>
      <c r="T413" s="41" t="inlineStr">
        <is>
          <t>кг</t>
        </is>
      </c>
      <c r="U413" s="683" t="n">
        <v>260</v>
      </c>
      <c r="V413" s="684">
        <f>IFERROR(IF(U413="",0,CEILING((U413/$H413),1)*$H413),"")</f>
        <v/>
      </c>
      <c r="W413" s="42">
        <f>IFERROR(IF(V413=0,"",ROUNDUP(V413/H413,0)*0.01196),"")</f>
        <v/>
      </c>
      <c r="X413" s="69" t="inlineStr"/>
      <c r="Y413" s="70" t="inlineStr"/>
      <c r="AC413" s="71" t="n"/>
      <c r="AZ413" s="291" t="inlineStr">
        <is>
          <t>КИ</t>
        </is>
      </c>
    </row>
    <row r="414" ht="27" customHeight="1">
      <c r="A414" s="64" t="inlineStr">
        <is>
          <t>SU002632</t>
        </is>
      </c>
      <c r="B414" s="64" t="inlineStr">
        <is>
          <t>P002982</t>
        </is>
      </c>
      <c r="C414" s="37" t="n">
        <v>4301011367</v>
      </c>
      <c r="D414" s="323" t="n">
        <v>4680115880603</v>
      </c>
      <c r="E414" s="648" t="n"/>
      <c r="F414" s="680" t="n">
        <v>0.6</v>
      </c>
      <c r="G414" s="38" t="n">
        <v>6</v>
      </c>
      <c r="H414" s="680" t="n">
        <v>3.6</v>
      </c>
      <c r="I414" s="680" t="n">
        <v>3.84</v>
      </c>
      <c r="J414" s="38" t="n">
        <v>120</v>
      </c>
      <c r="K414" s="39" t="inlineStr">
        <is>
          <t>СК1</t>
        </is>
      </c>
      <c r="L414" s="38" t="n">
        <v>55</v>
      </c>
      <c r="M414" s="907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N414" s="682" t="n"/>
      <c r="O414" s="682" t="n"/>
      <c r="P414" s="682" t="n"/>
      <c r="Q414" s="648" t="n"/>
      <c r="R414" s="40" t="inlineStr"/>
      <c r="S414" s="40" t="inlineStr"/>
      <c r="T414" s="41" t="inlineStr">
        <is>
          <t>кг</t>
        </is>
      </c>
      <c r="U414" s="683" t="n">
        <v>0</v>
      </c>
      <c r="V414" s="684">
        <f>IFERROR(IF(U414="",0,CEILING((U414/$H414),1)*$H414),"")</f>
        <v/>
      </c>
      <c r="W414" s="42">
        <f>IFERROR(IF(V414=0,"",ROUNDUP(V414/H414,0)*0.00937),"")</f>
        <v/>
      </c>
      <c r="X414" s="69" t="inlineStr"/>
      <c r="Y414" s="70" t="inlineStr"/>
      <c r="AC414" s="71" t="n"/>
      <c r="AZ414" s="292" t="inlineStr">
        <is>
          <t>КИ</t>
        </is>
      </c>
    </row>
    <row r="415" ht="27" customHeight="1">
      <c r="A415" s="64" t="inlineStr">
        <is>
          <t>SU002220</t>
        </is>
      </c>
      <c r="B415" s="64" t="inlineStr">
        <is>
          <t>P002404</t>
        </is>
      </c>
      <c r="C415" s="37" t="n">
        <v>4301011168</v>
      </c>
      <c r="D415" s="323" t="n">
        <v>4607091389999</v>
      </c>
      <c r="E415" s="648" t="n"/>
      <c r="F415" s="680" t="n">
        <v>0.6</v>
      </c>
      <c r="G415" s="38" t="n">
        <v>6</v>
      </c>
      <c r="H415" s="680" t="n">
        <v>3.6</v>
      </c>
      <c r="I415" s="680" t="n">
        <v>3.84</v>
      </c>
      <c r="J415" s="38" t="n">
        <v>120</v>
      </c>
      <c r="K415" s="39" t="inlineStr">
        <is>
          <t>СК1</t>
        </is>
      </c>
      <c r="L415" s="38" t="n">
        <v>55</v>
      </c>
      <c r="M415" s="908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N415" s="682" t="n"/>
      <c r="O415" s="682" t="n"/>
      <c r="P415" s="682" t="n"/>
      <c r="Q415" s="648" t="n"/>
      <c r="R415" s="40" t="inlineStr"/>
      <c r="S415" s="40" t="inlineStr"/>
      <c r="T415" s="41" t="inlineStr">
        <is>
          <t>кг</t>
        </is>
      </c>
      <c r="U415" s="683" t="n">
        <v>0</v>
      </c>
      <c r="V415" s="684">
        <f>IFERROR(IF(U415="",0,CEILING((U415/$H415),1)*$H415),"")</f>
        <v/>
      </c>
      <c r="W415" s="42">
        <f>IFERROR(IF(V415=0,"",ROUNDUP(V415/H415,0)*0.00937),"")</f>
        <v/>
      </c>
      <c r="X415" s="69" t="inlineStr"/>
      <c r="Y415" s="70" t="inlineStr"/>
      <c r="AC415" s="71" t="n"/>
      <c r="AZ415" s="293" t="inlineStr">
        <is>
          <t>КИ</t>
        </is>
      </c>
    </row>
    <row r="416" ht="27" customHeight="1">
      <c r="A416" s="64" t="inlineStr">
        <is>
          <t>SU002635</t>
        </is>
      </c>
      <c r="B416" s="64" t="inlineStr">
        <is>
          <t>P002992</t>
        </is>
      </c>
      <c r="C416" s="37" t="n">
        <v>4301011372</v>
      </c>
      <c r="D416" s="323" t="n">
        <v>4680115882782</v>
      </c>
      <c r="E416" s="648" t="n"/>
      <c r="F416" s="680" t="n">
        <v>0.6</v>
      </c>
      <c r="G416" s="38" t="n">
        <v>6</v>
      </c>
      <c r="H416" s="680" t="n">
        <v>3.6</v>
      </c>
      <c r="I416" s="680" t="n">
        <v>3.84</v>
      </c>
      <c r="J416" s="38" t="n">
        <v>120</v>
      </c>
      <c r="K416" s="39" t="inlineStr">
        <is>
          <t>СК1</t>
        </is>
      </c>
      <c r="L416" s="38" t="n">
        <v>50</v>
      </c>
      <c r="M416" s="909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N416" s="682" t="n"/>
      <c r="O416" s="682" t="n"/>
      <c r="P416" s="682" t="n"/>
      <c r="Q416" s="648" t="n"/>
      <c r="R416" s="40" t="inlineStr"/>
      <c r="S416" s="40" t="inlineStr"/>
      <c r="T416" s="41" t="inlineStr">
        <is>
          <t>кг</t>
        </is>
      </c>
      <c r="U416" s="683" t="n">
        <v>0</v>
      </c>
      <c r="V416" s="684">
        <f>IFERROR(IF(U416="",0,CEILING((U416/$H416),1)*$H416),"")</f>
        <v/>
      </c>
      <c r="W416" s="42">
        <f>IFERROR(IF(V416=0,"",ROUNDUP(V416/H416,0)*0.00937),"")</f>
        <v/>
      </c>
      <c r="X416" s="69" t="inlineStr"/>
      <c r="Y416" s="70" t="inlineStr"/>
      <c r="AC416" s="71" t="n"/>
      <c r="AZ416" s="294" t="inlineStr">
        <is>
          <t>КИ</t>
        </is>
      </c>
    </row>
    <row r="417" ht="27" customHeight="1">
      <c r="A417" s="64" t="inlineStr">
        <is>
          <t>SU002020</t>
        </is>
      </c>
      <c r="B417" s="64" t="inlineStr">
        <is>
          <t>P002308</t>
        </is>
      </c>
      <c r="C417" s="37" t="n">
        <v>4301011190</v>
      </c>
      <c r="D417" s="323" t="n">
        <v>4607091389098</v>
      </c>
      <c r="E417" s="648" t="n"/>
      <c r="F417" s="680" t="n">
        <v>0.4</v>
      </c>
      <c r="G417" s="38" t="n">
        <v>6</v>
      </c>
      <c r="H417" s="680" t="n">
        <v>2.4</v>
      </c>
      <c r="I417" s="680" t="n">
        <v>2.6</v>
      </c>
      <c r="J417" s="38" t="n">
        <v>156</v>
      </c>
      <c r="K417" s="39" t="inlineStr">
        <is>
          <t>СК3</t>
        </is>
      </c>
      <c r="L417" s="38" t="n">
        <v>50</v>
      </c>
      <c r="M417" s="910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N417" s="682" t="n"/>
      <c r="O417" s="682" t="n"/>
      <c r="P417" s="682" t="n"/>
      <c r="Q417" s="648" t="n"/>
      <c r="R417" s="40" t="inlineStr"/>
      <c r="S417" s="40" t="inlineStr"/>
      <c r="T417" s="41" t="inlineStr">
        <is>
          <t>кг</t>
        </is>
      </c>
      <c r="U417" s="683" t="n">
        <v>0</v>
      </c>
      <c r="V417" s="684">
        <f>IFERROR(IF(U417="",0,CEILING((U417/$H417),1)*$H417),"")</f>
        <v/>
      </c>
      <c r="W417" s="42">
        <f>IFERROR(IF(V417=0,"",ROUNDUP(V417/H417,0)*0.00753),"")</f>
        <v/>
      </c>
      <c r="X417" s="69" t="inlineStr"/>
      <c r="Y417" s="70" t="inlineStr"/>
      <c r="AC417" s="71" t="n"/>
      <c r="AZ417" s="295" t="inlineStr">
        <is>
          <t>КИ</t>
        </is>
      </c>
    </row>
    <row r="418" ht="27" customHeight="1">
      <c r="A418" s="64" t="inlineStr">
        <is>
          <t>SU002631</t>
        </is>
      </c>
      <c r="B418" s="64" t="inlineStr">
        <is>
          <t>P002981</t>
        </is>
      </c>
      <c r="C418" s="37" t="n">
        <v>4301011366</v>
      </c>
      <c r="D418" s="323" t="n">
        <v>4607091389982</v>
      </c>
      <c r="E418" s="648" t="n"/>
      <c r="F418" s="680" t="n">
        <v>0.6</v>
      </c>
      <c r="G418" s="38" t="n">
        <v>6</v>
      </c>
      <c r="H418" s="680" t="n">
        <v>3.6</v>
      </c>
      <c r="I418" s="680" t="n">
        <v>3.84</v>
      </c>
      <c r="J418" s="38" t="n">
        <v>120</v>
      </c>
      <c r="K418" s="39" t="inlineStr">
        <is>
          <t>СК1</t>
        </is>
      </c>
      <c r="L418" s="38" t="n">
        <v>55</v>
      </c>
      <c r="M418" s="911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N418" s="682" t="n"/>
      <c r="O418" s="682" t="n"/>
      <c r="P418" s="682" t="n"/>
      <c r="Q418" s="648" t="n"/>
      <c r="R418" s="40" t="inlineStr"/>
      <c r="S418" s="40" t="inlineStr"/>
      <c r="T418" s="41" t="inlineStr">
        <is>
          <t>кг</t>
        </is>
      </c>
      <c r="U418" s="683" t="n">
        <v>0</v>
      </c>
      <c r="V418" s="684">
        <f>IFERROR(IF(U418="",0,CEILING((U418/$H418),1)*$H418),"")</f>
        <v/>
      </c>
      <c r="W418" s="42">
        <f>IFERROR(IF(V418=0,"",ROUNDUP(V418/H418,0)*0.00937),"")</f>
        <v/>
      </c>
      <c r="X418" s="69" t="inlineStr"/>
      <c r="Y418" s="70" t="inlineStr"/>
      <c r="AC418" s="71" t="n"/>
      <c r="AZ418" s="296" t="inlineStr">
        <is>
          <t>КИ</t>
        </is>
      </c>
    </row>
    <row r="419">
      <c r="A419" s="33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685" t="n"/>
      <c r="M419" s="686" t="inlineStr">
        <is>
          <t>Итого</t>
        </is>
      </c>
      <c r="N419" s="656" t="n"/>
      <c r="O419" s="656" t="n"/>
      <c r="P419" s="656" t="n"/>
      <c r="Q419" s="656" t="n"/>
      <c r="R419" s="656" t="n"/>
      <c r="S419" s="657" t="n"/>
      <c r="T419" s="43" t="inlineStr">
        <is>
          <t>кор</t>
        </is>
      </c>
      <c r="U419" s="687">
        <f>IFERROR(U410/H410,"0")+IFERROR(U411/H411,"0")+IFERROR(U412/H412,"0")+IFERROR(U413/H413,"0")+IFERROR(U414/H414,"0")+IFERROR(U415/H415,"0")+IFERROR(U416/H416,"0")+IFERROR(U417/H417,"0")+IFERROR(U418/H418,"0")</f>
        <v/>
      </c>
      <c r="V419" s="687">
        <f>IFERROR(V410/H410,"0")+IFERROR(V411/H411,"0")+IFERROR(V412/H412,"0")+IFERROR(V413/H413,"0")+IFERROR(V414/H414,"0")+IFERROR(V415/H415,"0")+IFERROR(V416/H416,"0")+IFERROR(V417/H417,"0")+IFERROR(V418/H418,"0")</f>
        <v/>
      </c>
      <c r="W419" s="687">
        <f>IFERROR(IF(W410="",0,W410),"0")+IFERROR(IF(W411="",0,W411),"0")+IFERROR(IF(W412="",0,W412),"0")+IFERROR(IF(W413="",0,W413),"0")+IFERROR(IF(W414="",0,W414),"0")+IFERROR(IF(W415="",0,W415),"0")+IFERROR(IF(W416="",0,W416),"0")+IFERROR(IF(W417="",0,W417),"0")+IFERROR(IF(W418="",0,W418),"0")</f>
        <v/>
      </c>
      <c r="X419" s="688" t="n"/>
      <c r="Y419" s="688" t="n"/>
    </row>
    <row r="420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685" t="n"/>
      <c r="M420" s="686" t="inlineStr">
        <is>
          <t>Итого</t>
        </is>
      </c>
      <c r="N420" s="656" t="n"/>
      <c r="O420" s="656" t="n"/>
      <c r="P420" s="656" t="n"/>
      <c r="Q420" s="656" t="n"/>
      <c r="R420" s="656" t="n"/>
      <c r="S420" s="657" t="n"/>
      <c r="T420" s="43" t="inlineStr">
        <is>
          <t>кг</t>
        </is>
      </c>
      <c r="U420" s="687">
        <f>IFERROR(SUM(U410:U418),"0")</f>
        <v/>
      </c>
      <c r="V420" s="687">
        <f>IFERROR(SUM(V410:V418),"0")</f>
        <v/>
      </c>
      <c r="W420" s="43" t="n"/>
      <c r="X420" s="688" t="n"/>
      <c r="Y420" s="688" t="n"/>
    </row>
    <row r="421" ht="14.25" customHeight="1">
      <c r="A421" s="322" t="inlineStr">
        <is>
          <t>Ветчины</t>
        </is>
      </c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322" t="n"/>
      <c r="Y421" s="322" t="n"/>
    </row>
    <row r="422" ht="16.5" customHeight="1">
      <c r="A422" s="64" t="inlineStr">
        <is>
          <t>SU002035</t>
        </is>
      </c>
      <c r="B422" s="64" t="inlineStr">
        <is>
          <t>P003146</t>
        </is>
      </c>
      <c r="C422" s="37" t="n">
        <v>4301020222</v>
      </c>
      <c r="D422" s="323" t="n">
        <v>4607091388930</v>
      </c>
      <c r="E422" s="648" t="n"/>
      <c r="F422" s="680" t="n">
        <v>0.88</v>
      </c>
      <c r="G422" s="38" t="n">
        <v>6</v>
      </c>
      <c r="H422" s="680" t="n">
        <v>5.28</v>
      </c>
      <c r="I422" s="680" t="n">
        <v>5.64</v>
      </c>
      <c r="J422" s="38" t="n">
        <v>104</v>
      </c>
      <c r="K422" s="39" t="inlineStr">
        <is>
          <t>СК1</t>
        </is>
      </c>
      <c r="L422" s="38" t="n">
        <v>55</v>
      </c>
      <c r="M422" s="912">
        <f>HYPERLINK("https://abi.ru/products/Охлажденные/Дугушка/Дугушка/Ветчины/P003146/","Ветчины Дугушка Дугушка Вес б/о Дугушка")</f>
        <v/>
      </c>
      <c r="N422" s="682" t="n"/>
      <c r="O422" s="682" t="n"/>
      <c r="P422" s="682" t="n"/>
      <c r="Q422" s="648" t="n"/>
      <c r="R422" s="40" t="inlineStr"/>
      <c r="S422" s="40" t="inlineStr"/>
      <c r="T422" s="41" t="inlineStr">
        <is>
          <t>кг</t>
        </is>
      </c>
      <c r="U422" s="683" t="n">
        <v>680</v>
      </c>
      <c r="V422" s="684">
        <f>IFERROR(IF(U422="",0,CEILING((U422/$H422),1)*$H422),"")</f>
        <v/>
      </c>
      <c r="W422" s="42">
        <f>IFERROR(IF(V422=0,"",ROUNDUP(V422/H422,0)*0.01196),"")</f>
        <v/>
      </c>
      <c r="X422" s="69" t="inlineStr"/>
      <c r="Y422" s="70" t="inlineStr"/>
      <c r="AC422" s="71" t="n"/>
      <c r="AZ422" s="297" t="inlineStr">
        <is>
          <t>КИ</t>
        </is>
      </c>
    </row>
    <row r="423" ht="16.5" customHeight="1">
      <c r="A423" s="64" t="inlineStr">
        <is>
          <t>SU002643</t>
        </is>
      </c>
      <c r="B423" s="64" t="inlineStr">
        <is>
          <t>P002993</t>
        </is>
      </c>
      <c r="C423" s="37" t="n">
        <v>4301020206</v>
      </c>
      <c r="D423" s="323" t="n">
        <v>4680115880054</v>
      </c>
      <c r="E423" s="648" t="n"/>
      <c r="F423" s="680" t="n">
        <v>0.6</v>
      </c>
      <c r="G423" s="38" t="n">
        <v>6</v>
      </c>
      <c r="H423" s="680" t="n">
        <v>3.6</v>
      </c>
      <c r="I423" s="680" t="n">
        <v>3.84</v>
      </c>
      <c r="J423" s="38" t="n">
        <v>120</v>
      </c>
      <c r="K423" s="39" t="inlineStr">
        <is>
          <t>СК1</t>
        </is>
      </c>
      <c r="L423" s="38" t="n">
        <v>55</v>
      </c>
      <c r="M423" s="913">
        <f>HYPERLINK("https://abi.ru/products/Охлажденные/Дугушка/Дугушка/Ветчины/P002993/","Ветчины «Дугушка» Фикс.вес 0,6 П/а ТМ «Дугушка»")</f>
        <v/>
      </c>
      <c r="N423" s="682" t="n"/>
      <c r="O423" s="682" t="n"/>
      <c r="P423" s="682" t="n"/>
      <c r="Q423" s="648" t="n"/>
      <c r="R423" s="40" t="inlineStr"/>
      <c r="S423" s="40" t="inlineStr"/>
      <c r="T423" s="41" t="inlineStr">
        <is>
          <t>кг</t>
        </is>
      </c>
      <c r="U423" s="683" t="n">
        <v>0</v>
      </c>
      <c r="V423" s="684">
        <f>IFERROR(IF(U423="",0,CEILING((U423/$H423),1)*$H423),"")</f>
        <v/>
      </c>
      <c r="W423" s="42">
        <f>IFERROR(IF(V423=0,"",ROUNDUP(V423/H423,0)*0.00937),"")</f>
        <v/>
      </c>
      <c r="X423" s="69" t="inlineStr"/>
      <c r="Y423" s="70" t="inlineStr"/>
      <c r="AC423" s="71" t="n"/>
      <c r="AZ423" s="298" t="inlineStr">
        <is>
          <t>КИ</t>
        </is>
      </c>
    </row>
    <row r="424">
      <c r="A424" s="33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685" t="n"/>
      <c r="M424" s="686" t="inlineStr">
        <is>
          <t>Итого</t>
        </is>
      </c>
      <c r="N424" s="656" t="n"/>
      <c r="O424" s="656" t="n"/>
      <c r="P424" s="656" t="n"/>
      <c r="Q424" s="656" t="n"/>
      <c r="R424" s="656" t="n"/>
      <c r="S424" s="657" t="n"/>
      <c r="T424" s="43" t="inlineStr">
        <is>
          <t>кор</t>
        </is>
      </c>
      <c r="U424" s="687">
        <f>IFERROR(U422/H422,"0")+IFERROR(U423/H423,"0")</f>
        <v/>
      </c>
      <c r="V424" s="687">
        <f>IFERROR(V422/H422,"0")+IFERROR(V423/H423,"0")</f>
        <v/>
      </c>
      <c r="W424" s="687">
        <f>IFERROR(IF(W422="",0,W422),"0")+IFERROR(IF(W423="",0,W423),"0")</f>
        <v/>
      </c>
      <c r="X424" s="688" t="n"/>
      <c r="Y424" s="688" t="n"/>
    </row>
    <row r="425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685" t="n"/>
      <c r="M425" s="686" t="inlineStr">
        <is>
          <t>Итого</t>
        </is>
      </c>
      <c r="N425" s="656" t="n"/>
      <c r="O425" s="656" t="n"/>
      <c r="P425" s="656" t="n"/>
      <c r="Q425" s="656" t="n"/>
      <c r="R425" s="656" t="n"/>
      <c r="S425" s="657" t="n"/>
      <c r="T425" s="43" t="inlineStr">
        <is>
          <t>кг</t>
        </is>
      </c>
      <c r="U425" s="687">
        <f>IFERROR(SUM(U422:U423),"0")</f>
        <v/>
      </c>
      <c r="V425" s="687">
        <f>IFERROR(SUM(V422:V423),"0")</f>
        <v/>
      </c>
      <c r="W425" s="43" t="n"/>
      <c r="X425" s="688" t="n"/>
      <c r="Y425" s="688" t="n"/>
    </row>
    <row r="426" ht="14.25" customHeight="1">
      <c r="A426" s="322" t="inlineStr">
        <is>
          <t>Копченые колбасы</t>
        </is>
      </c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322" t="n"/>
      <c r="Y426" s="322" t="n"/>
    </row>
    <row r="427" ht="27" customHeight="1">
      <c r="A427" s="64" t="inlineStr">
        <is>
          <t>SU002150</t>
        </is>
      </c>
      <c r="B427" s="64" t="inlineStr">
        <is>
          <t>P003636</t>
        </is>
      </c>
      <c r="C427" s="37" t="n">
        <v>4301031252</v>
      </c>
      <c r="D427" s="323" t="n">
        <v>4680115883116</v>
      </c>
      <c r="E427" s="648" t="n"/>
      <c r="F427" s="680" t="n">
        <v>0.88</v>
      </c>
      <c r="G427" s="38" t="n">
        <v>6</v>
      </c>
      <c r="H427" s="680" t="n">
        <v>5.28</v>
      </c>
      <c r="I427" s="680" t="n">
        <v>5.64</v>
      </c>
      <c r="J427" s="38" t="n">
        <v>104</v>
      </c>
      <c r="K427" s="39" t="inlineStr">
        <is>
          <t>СК1</t>
        </is>
      </c>
      <c r="L427" s="38" t="n">
        <v>60</v>
      </c>
      <c r="M427" s="914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N427" s="682" t="n"/>
      <c r="O427" s="682" t="n"/>
      <c r="P427" s="682" t="n"/>
      <c r="Q427" s="648" t="n"/>
      <c r="R427" s="40" t="inlineStr"/>
      <c r="S427" s="40" t="inlineStr"/>
      <c r="T427" s="41" t="inlineStr">
        <is>
          <t>кг</t>
        </is>
      </c>
      <c r="U427" s="683" t="n">
        <v>200</v>
      </c>
      <c r="V427" s="684">
        <f>IFERROR(IF(U427="",0,CEILING((U427/$H427),1)*$H427),"")</f>
        <v/>
      </c>
      <c r="W427" s="42">
        <f>IFERROR(IF(V427=0,"",ROUNDUP(V427/H427,0)*0.01196),"")</f>
        <v/>
      </c>
      <c r="X427" s="69" t="inlineStr"/>
      <c r="Y427" s="70" t="inlineStr"/>
      <c r="AC427" s="71" t="n"/>
      <c r="AZ427" s="299" t="inlineStr">
        <is>
          <t>КИ</t>
        </is>
      </c>
    </row>
    <row r="428" ht="27" customHeight="1">
      <c r="A428" s="64" t="inlineStr">
        <is>
          <t>SU002158</t>
        </is>
      </c>
      <c r="B428" s="64" t="inlineStr">
        <is>
          <t>P003632</t>
        </is>
      </c>
      <c r="C428" s="37" t="n">
        <v>4301031248</v>
      </c>
      <c r="D428" s="323" t="n">
        <v>4680115883093</v>
      </c>
      <c r="E428" s="648" t="n"/>
      <c r="F428" s="680" t="n">
        <v>0.88</v>
      </c>
      <c r="G428" s="38" t="n">
        <v>6</v>
      </c>
      <c r="H428" s="680" t="n">
        <v>5.28</v>
      </c>
      <c r="I428" s="680" t="n">
        <v>5.64</v>
      </c>
      <c r="J428" s="38" t="n">
        <v>104</v>
      </c>
      <c r="K428" s="39" t="inlineStr">
        <is>
          <t>СК2</t>
        </is>
      </c>
      <c r="L428" s="38" t="n">
        <v>60</v>
      </c>
      <c r="M428" s="915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N428" s="682" t="n"/>
      <c r="O428" s="682" t="n"/>
      <c r="P428" s="682" t="n"/>
      <c r="Q428" s="648" t="n"/>
      <c r="R428" s="40" t="inlineStr"/>
      <c r="S428" s="40" t="inlineStr"/>
      <c r="T428" s="41" t="inlineStr">
        <is>
          <t>кг</t>
        </is>
      </c>
      <c r="U428" s="683" t="n">
        <v>50</v>
      </c>
      <c r="V428" s="684">
        <f>IFERROR(IF(U428="",0,CEILING((U428/$H428),1)*$H428),"")</f>
        <v/>
      </c>
      <c r="W428" s="42">
        <f>IFERROR(IF(V428=0,"",ROUNDUP(V428/H428,0)*0.01196),"")</f>
        <v/>
      </c>
      <c r="X428" s="69" t="inlineStr"/>
      <c r="Y428" s="70" t="inlineStr"/>
      <c r="AC428" s="71" t="n"/>
      <c r="AZ428" s="300" t="inlineStr">
        <is>
          <t>КИ</t>
        </is>
      </c>
    </row>
    <row r="429" ht="27" customHeight="1">
      <c r="A429" s="64" t="inlineStr">
        <is>
          <t>SU002151</t>
        </is>
      </c>
      <c r="B429" s="64" t="inlineStr">
        <is>
          <t>P003634</t>
        </is>
      </c>
      <c r="C429" s="37" t="n">
        <v>4301031250</v>
      </c>
      <c r="D429" s="323" t="n">
        <v>4680115883109</v>
      </c>
      <c r="E429" s="648" t="n"/>
      <c r="F429" s="680" t="n">
        <v>0.88</v>
      </c>
      <c r="G429" s="38" t="n">
        <v>6</v>
      </c>
      <c r="H429" s="680" t="n">
        <v>5.28</v>
      </c>
      <c r="I429" s="680" t="n">
        <v>5.64</v>
      </c>
      <c r="J429" s="38" t="n">
        <v>104</v>
      </c>
      <c r="K429" s="39" t="inlineStr">
        <is>
          <t>СК2</t>
        </is>
      </c>
      <c r="L429" s="38" t="n">
        <v>60</v>
      </c>
      <c r="M429" s="916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N429" s="682" t="n"/>
      <c r="O429" s="682" t="n"/>
      <c r="P429" s="682" t="n"/>
      <c r="Q429" s="648" t="n"/>
      <c r="R429" s="40" t="inlineStr"/>
      <c r="S429" s="40" t="inlineStr"/>
      <c r="T429" s="41" t="inlineStr">
        <is>
          <t>кг</t>
        </is>
      </c>
      <c r="U429" s="683" t="n">
        <v>255</v>
      </c>
      <c r="V429" s="684">
        <f>IFERROR(IF(U429="",0,CEILING((U429/$H429),1)*$H429),"")</f>
        <v/>
      </c>
      <c r="W429" s="42">
        <f>IFERROR(IF(V429=0,"",ROUNDUP(V429/H429,0)*0.01196),"")</f>
        <v/>
      </c>
      <c r="X429" s="69" t="inlineStr"/>
      <c r="Y429" s="70" t="inlineStr"/>
      <c r="AC429" s="71" t="n"/>
      <c r="AZ429" s="301" t="inlineStr">
        <is>
          <t>КИ</t>
        </is>
      </c>
    </row>
    <row r="430" ht="27" customHeight="1">
      <c r="A430" s="64" t="inlineStr">
        <is>
          <t>SU002916</t>
        </is>
      </c>
      <c r="B430" s="64" t="inlineStr">
        <is>
          <t>P003633</t>
        </is>
      </c>
      <c r="C430" s="37" t="n">
        <v>4301031249</v>
      </c>
      <c r="D430" s="323" t="n">
        <v>4680115882072</v>
      </c>
      <c r="E430" s="648" t="n"/>
      <c r="F430" s="680" t="n">
        <v>0.6</v>
      </c>
      <c r="G430" s="38" t="n">
        <v>6</v>
      </c>
      <c r="H430" s="680" t="n">
        <v>3.6</v>
      </c>
      <c r="I430" s="680" t="n">
        <v>3.84</v>
      </c>
      <c r="J430" s="38" t="n">
        <v>120</v>
      </c>
      <c r="K430" s="39" t="inlineStr">
        <is>
          <t>СК1</t>
        </is>
      </c>
      <c r="L430" s="38" t="n">
        <v>60</v>
      </c>
      <c r="M430" s="917" t="inlineStr">
        <is>
          <t>В/к колбасы «Рубленая Запеченная» Фикс.вес 0,6 Вектор ТМ «Дугушка»</t>
        </is>
      </c>
      <c r="N430" s="682" t="n"/>
      <c r="O430" s="682" t="n"/>
      <c r="P430" s="682" t="n"/>
      <c r="Q430" s="648" t="n"/>
      <c r="R430" s="40" t="inlineStr"/>
      <c r="S430" s="40" t="inlineStr"/>
      <c r="T430" s="41" t="inlineStr">
        <is>
          <t>кг</t>
        </is>
      </c>
      <c r="U430" s="683" t="n">
        <v>0</v>
      </c>
      <c r="V430" s="684">
        <f>IFERROR(IF(U430="",0,CEILING((U430/$H430),1)*$H430),"")</f>
        <v/>
      </c>
      <c r="W430" s="42">
        <f>IFERROR(IF(V430=0,"",ROUNDUP(V430/H430,0)*0.00937),"")</f>
        <v/>
      </c>
      <c r="X430" s="69" t="inlineStr"/>
      <c r="Y430" s="70" t="inlineStr"/>
      <c r="AC430" s="71" t="n"/>
      <c r="AZ430" s="302" t="inlineStr">
        <is>
          <t>КИ</t>
        </is>
      </c>
    </row>
    <row r="431" ht="27" customHeight="1">
      <c r="A431" s="64" t="inlineStr">
        <is>
          <t>SU002919</t>
        </is>
      </c>
      <c r="B431" s="64" t="inlineStr">
        <is>
          <t>P003635</t>
        </is>
      </c>
      <c r="C431" s="37" t="n">
        <v>4301031251</v>
      </c>
      <c r="D431" s="323" t="n">
        <v>4680115882102</v>
      </c>
      <c r="E431" s="648" t="n"/>
      <c r="F431" s="680" t="n">
        <v>0.6</v>
      </c>
      <c r="G431" s="38" t="n">
        <v>6</v>
      </c>
      <c r="H431" s="680" t="n">
        <v>3.6</v>
      </c>
      <c r="I431" s="680" t="n">
        <v>3.81</v>
      </c>
      <c r="J431" s="38" t="n">
        <v>120</v>
      </c>
      <c r="K431" s="39" t="inlineStr">
        <is>
          <t>СК2</t>
        </is>
      </c>
      <c r="L431" s="38" t="n">
        <v>60</v>
      </c>
      <c r="M431" s="918" t="inlineStr">
        <is>
          <t>В/к колбасы «Салями Запеченая» Фикс.вес 0,6 Вектор ТМ «Дугушка»</t>
        </is>
      </c>
      <c r="N431" s="682" t="n"/>
      <c r="O431" s="682" t="n"/>
      <c r="P431" s="682" t="n"/>
      <c r="Q431" s="648" t="n"/>
      <c r="R431" s="40" t="inlineStr"/>
      <c r="S431" s="40" t="inlineStr"/>
      <c r="T431" s="41" t="inlineStr">
        <is>
          <t>кг</t>
        </is>
      </c>
      <c r="U431" s="683" t="n">
        <v>0</v>
      </c>
      <c r="V431" s="684">
        <f>IFERROR(IF(U431="",0,CEILING((U431/$H431),1)*$H431),"")</f>
        <v/>
      </c>
      <c r="W431" s="42">
        <f>IFERROR(IF(V431=0,"",ROUNDUP(V431/H431,0)*0.00937),"")</f>
        <v/>
      </c>
      <c r="X431" s="69" t="inlineStr"/>
      <c r="Y431" s="70" t="inlineStr"/>
      <c r="AC431" s="71" t="n"/>
      <c r="AZ431" s="303" t="inlineStr">
        <is>
          <t>КИ</t>
        </is>
      </c>
    </row>
    <row r="432" ht="27" customHeight="1">
      <c r="A432" s="64" t="inlineStr">
        <is>
          <t>SU002918</t>
        </is>
      </c>
      <c r="B432" s="64" t="inlineStr">
        <is>
          <t>P003637</t>
        </is>
      </c>
      <c r="C432" s="37" t="n">
        <v>4301031253</v>
      </c>
      <c r="D432" s="323" t="n">
        <v>4680115882096</v>
      </c>
      <c r="E432" s="648" t="n"/>
      <c r="F432" s="680" t="n">
        <v>0.6</v>
      </c>
      <c r="G432" s="38" t="n">
        <v>6</v>
      </c>
      <c r="H432" s="680" t="n">
        <v>3.6</v>
      </c>
      <c r="I432" s="680" t="n">
        <v>3.81</v>
      </c>
      <c r="J432" s="38" t="n">
        <v>120</v>
      </c>
      <c r="K432" s="39" t="inlineStr">
        <is>
          <t>СК2</t>
        </is>
      </c>
      <c r="L432" s="38" t="n">
        <v>60</v>
      </c>
      <c r="M432" s="919" t="inlineStr">
        <is>
          <t>В/к колбасы «Сервелат Запеченный» Фикс.вес 0,6 Вектор ТМ «Дугушка»</t>
        </is>
      </c>
      <c r="N432" s="682" t="n"/>
      <c r="O432" s="682" t="n"/>
      <c r="P432" s="682" t="n"/>
      <c r="Q432" s="648" t="n"/>
      <c r="R432" s="40" t="inlineStr"/>
      <c r="S432" s="40" t="inlineStr"/>
      <c r="T432" s="41" t="inlineStr">
        <is>
          <t>кг</t>
        </is>
      </c>
      <c r="U432" s="683" t="n">
        <v>0</v>
      </c>
      <c r="V432" s="684">
        <f>IFERROR(IF(U432="",0,CEILING((U432/$H432),1)*$H432),"")</f>
        <v/>
      </c>
      <c r="W432" s="42">
        <f>IFERROR(IF(V432=0,"",ROUNDUP(V432/H432,0)*0.00937),"")</f>
        <v/>
      </c>
      <c r="X432" s="69" t="inlineStr"/>
      <c r="Y432" s="70" t="inlineStr"/>
      <c r="AC432" s="71" t="n"/>
      <c r="AZ432" s="304" t="inlineStr">
        <is>
          <t>КИ</t>
        </is>
      </c>
    </row>
    <row r="433">
      <c r="A433" s="33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685" t="n"/>
      <c r="M433" s="686" t="inlineStr">
        <is>
          <t>Итого</t>
        </is>
      </c>
      <c r="N433" s="656" t="n"/>
      <c r="O433" s="656" t="n"/>
      <c r="P433" s="656" t="n"/>
      <c r="Q433" s="656" t="n"/>
      <c r="R433" s="656" t="n"/>
      <c r="S433" s="657" t="n"/>
      <c r="T433" s="43" t="inlineStr">
        <is>
          <t>кор</t>
        </is>
      </c>
      <c r="U433" s="687">
        <f>IFERROR(U427/H427,"0")+IFERROR(U428/H428,"0")+IFERROR(U429/H429,"0")+IFERROR(U430/H430,"0")+IFERROR(U431/H431,"0")+IFERROR(U432/H432,"0")</f>
        <v/>
      </c>
      <c r="V433" s="687">
        <f>IFERROR(V427/H427,"0")+IFERROR(V428/H428,"0")+IFERROR(V429/H429,"0")+IFERROR(V430/H430,"0")+IFERROR(V431/H431,"0")+IFERROR(V432/H432,"0")</f>
        <v/>
      </c>
      <c r="W433" s="687">
        <f>IFERROR(IF(W427="",0,W427),"0")+IFERROR(IF(W428="",0,W428),"0")+IFERROR(IF(W429="",0,W429),"0")+IFERROR(IF(W430="",0,W430),"0")+IFERROR(IF(W431="",0,W431),"0")+IFERROR(IF(W432="",0,W432),"0")</f>
        <v/>
      </c>
      <c r="X433" s="688" t="n"/>
      <c r="Y433" s="688" t="n"/>
    </row>
    <row r="434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685" t="n"/>
      <c r="M434" s="686" t="inlineStr">
        <is>
          <t>Итого</t>
        </is>
      </c>
      <c r="N434" s="656" t="n"/>
      <c r="O434" s="656" t="n"/>
      <c r="P434" s="656" t="n"/>
      <c r="Q434" s="656" t="n"/>
      <c r="R434" s="656" t="n"/>
      <c r="S434" s="657" t="n"/>
      <c r="T434" s="43" t="inlineStr">
        <is>
          <t>кг</t>
        </is>
      </c>
      <c r="U434" s="687">
        <f>IFERROR(SUM(U427:U432),"0")</f>
        <v/>
      </c>
      <c r="V434" s="687">
        <f>IFERROR(SUM(V427:V432),"0")</f>
        <v/>
      </c>
      <c r="W434" s="43" t="n"/>
      <c r="X434" s="688" t="n"/>
      <c r="Y434" s="688" t="n"/>
    </row>
    <row r="435" ht="14.25" customHeight="1">
      <c r="A435" s="322" t="inlineStr">
        <is>
          <t>Сосиски</t>
        </is>
      </c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322" t="n"/>
      <c r="Y435" s="322" t="n"/>
    </row>
    <row r="436" ht="16.5" customHeight="1">
      <c r="A436" s="64" t="inlineStr">
        <is>
          <t>SU002218</t>
        </is>
      </c>
      <c r="B436" s="64" t="inlineStr">
        <is>
          <t>P002854</t>
        </is>
      </c>
      <c r="C436" s="37" t="n">
        <v>4301051230</v>
      </c>
      <c r="D436" s="323" t="n">
        <v>4607091383409</v>
      </c>
      <c r="E436" s="648" t="n"/>
      <c r="F436" s="680" t="n">
        <v>1.3</v>
      </c>
      <c r="G436" s="38" t="n">
        <v>6</v>
      </c>
      <c r="H436" s="680" t="n">
        <v>7.8</v>
      </c>
      <c r="I436" s="680" t="n">
        <v>8.346</v>
      </c>
      <c r="J436" s="38" t="n">
        <v>56</v>
      </c>
      <c r="K436" s="39" t="inlineStr">
        <is>
          <t>СК2</t>
        </is>
      </c>
      <c r="L436" s="38" t="n">
        <v>45</v>
      </c>
      <c r="M436" s="920">
        <f>HYPERLINK("https://abi.ru/products/Охлажденные/Дугушка/Дугушка/Сосиски/P002854/","Сосиски Молочные Дугушки Дугушка Весовые П/а мгс Дугушка")</f>
        <v/>
      </c>
      <c r="N436" s="682" t="n"/>
      <c r="O436" s="682" t="n"/>
      <c r="P436" s="682" t="n"/>
      <c r="Q436" s="648" t="n"/>
      <c r="R436" s="40" t="inlineStr"/>
      <c r="S436" s="40" t="inlineStr"/>
      <c r="T436" s="41" t="inlineStr">
        <is>
          <t>кг</t>
        </is>
      </c>
      <c r="U436" s="683" t="n">
        <v>0</v>
      </c>
      <c r="V436" s="684">
        <f>IFERROR(IF(U436="",0,CEILING((U436/$H436),1)*$H436),"")</f>
        <v/>
      </c>
      <c r="W436" s="42">
        <f>IFERROR(IF(V436=0,"",ROUNDUP(V436/H436,0)*0.02175),"")</f>
        <v/>
      </c>
      <c r="X436" s="69" t="inlineStr"/>
      <c r="Y436" s="70" t="inlineStr"/>
      <c r="AC436" s="71" t="n"/>
      <c r="AZ436" s="305" t="inlineStr">
        <is>
          <t>КИ</t>
        </is>
      </c>
    </row>
    <row r="437" ht="16.5" customHeight="1">
      <c r="A437" s="64" t="inlineStr">
        <is>
          <t>SU002219</t>
        </is>
      </c>
      <c r="B437" s="64" t="inlineStr">
        <is>
          <t>P002855</t>
        </is>
      </c>
      <c r="C437" s="37" t="n">
        <v>4301051231</v>
      </c>
      <c r="D437" s="323" t="n">
        <v>4607091383416</v>
      </c>
      <c r="E437" s="648" t="n"/>
      <c r="F437" s="680" t="n">
        <v>1.3</v>
      </c>
      <c r="G437" s="38" t="n">
        <v>6</v>
      </c>
      <c r="H437" s="680" t="n">
        <v>7.8</v>
      </c>
      <c r="I437" s="680" t="n">
        <v>8.346</v>
      </c>
      <c r="J437" s="38" t="n">
        <v>56</v>
      </c>
      <c r="K437" s="39" t="inlineStr">
        <is>
          <t>СК2</t>
        </is>
      </c>
      <c r="L437" s="38" t="n">
        <v>45</v>
      </c>
      <c r="M437" s="921">
        <f>HYPERLINK("https://abi.ru/products/Охлажденные/Дугушка/Дугушка/Сосиски/P002855/","Сосиски Сливочные Дугушки Дугушка Весовые П/а мгс Дугушка")</f>
        <v/>
      </c>
      <c r="N437" s="682" t="n"/>
      <c r="O437" s="682" t="n"/>
      <c r="P437" s="682" t="n"/>
      <c r="Q437" s="648" t="n"/>
      <c r="R437" s="40" t="inlineStr"/>
      <c r="S437" s="40" t="inlineStr"/>
      <c r="T437" s="41" t="inlineStr">
        <is>
          <t>кг</t>
        </is>
      </c>
      <c r="U437" s="683" t="n">
        <v>0</v>
      </c>
      <c r="V437" s="684">
        <f>IFERROR(IF(U437="",0,CEILING((U437/$H437),1)*$H437),"")</f>
        <v/>
      </c>
      <c r="W437" s="42">
        <f>IFERROR(IF(V437=0,"",ROUNDUP(V437/H437,0)*0.02175),"")</f>
        <v/>
      </c>
      <c r="X437" s="69" t="inlineStr"/>
      <c r="Y437" s="70" t="inlineStr"/>
      <c r="AC437" s="71" t="n"/>
      <c r="AZ437" s="306" t="inlineStr">
        <is>
          <t>КИ</t>
        </is>
      </c>
    </row>
    <row r="438">
      <c r="A438" s="33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685" t="n"/>
      <c r="M438" s="686" t="inlineStr">
        <is>
          <t>Итого</t>
        </is>
      </c>
      <c r="N438" s="656" t="n"/>
      <c r="O438" s="656" t="n"/>
      <c r="P438" s="656" t="n"/>
      <c r="Q438" s="656" t="n"/>
      <c r="R438" s="656" t="n"/>
      <c r="S438" s="657" t="n"/>
      <c r="T438" s="43" t="inlineStr">
        <is>
          <t>кор</t>
        </is>
      </c>
      <c r="U438" s="687">
        <f>IFERROR(U436/H436,"0")+IFERROR(U437/H437,"0")</f>
        <v/>
      </c>
      <c r="V438" s="687">
        <f>IFERROR(V436/H436,"0")+IFERROR(V437/H437,"0")</f>
        <v/>
      </c>
      <c r="W438" s="687">
        <f>IFERROR(IF(W436="",0,W436),"0")+IFERROR(IF(W437="",0,W437),"0")</f>
        <v/>
      </c>
      <c r="X438" s="688" t="n"/>
      <c r="Y438" s="688" t="n"/>
    </row>
    <row r="439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685" t="n"/>
      <c r="M439" s="686" t="inlineStr">
        <is>
          <t>Итого</t>
        </is>
      </c>
      <c r="N439" s="656" t="n"/>
      <c r="O439" s="656" t="n"/>
      <c r="P439" s="656" t="n"/>
      <c r="Q439" s="656" t="n"/>
      <c r="R439" s="656" t="n"/>
      <c r="S439" s="657" t="n"/>
      <c r="T439" s="43" t="inlineStr">
        <is>
          <t>кг</t>
        </is>
      </c>
      <c r="U439" s="687">
        <f>IFERROR(SUM(U436:U437),"0")</f>
        <v/>
      </c>
      <c r="V439" s="687">
        <f>IFERROR(SUM(V436:V437),"0")</f>
        <v/>
      </c>
      <c r="W439" s="43" t="n"/>
      <c r="X439" s="688" t="n"/>
      <c r="Y439" s="688" t="n"/>
    </row>
    <row r="440" ht="27.75" customHeight="1">
      <c r="A440" s="344" t="inlineStr">
        <is>
          <t>Зареченские</t>
        </is>
      </c>
      <c r="B440" s="679" t="n"/>
      <c r="C440" s="679" t="n"/>
      <c r="D440" s="679" t="n"/>
      <c r="E440" s="679" t="n"/>
      <c r="F440" s="679" t="n"/>
      <c r="G440" s="679" t="n"/>
      <c r="H440" s="679" t="n"/>
      <c r="I440" s="679" t="n"/>
      <c r="J440" s="679" t="n"/>
      <c r="K440" s="679" t="n"/>
      <c r="L440" s="679" t="n"/>
      <c r="M440" s="679" t="n"/>
      <c r="N440" s="679" t="n"/>
      <c r="O440" s="679" t="n"/>
      <c r="P440" s="679" t="n"/>
      <c r="Q440" s="679" t="n"/>
      <c r="R440" s="679" t="n"/>
      <c r="S440" s="679" t="n"/>
      <c r="T440" s="679" t="n"/>
      <c r="U440" s="679" t="n"/>
      <c r="V440" s="679" t="n"/>
      <c r="W440" s="679" t="n"/>
      <c r="X440" s="55" t="n"/>
      <c r="Y440" s="55" t="n"/>
    </row>
    <row r="441" ht="16.5" customHeight="1">
      <c r="A441" s="321" t="inlineStr">
        <is>
          <t>Зареченские продукты</t>
        </is>
      </c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321" t="n"/>
      <c r="Y441" s="321" t="n"/>
    </row>
    <row r="442" ht="14.25" customHeight="1">
      <c r="A442" s="322" t="inlineStr">
        <is>
          <t>Вареные колбасы</t>
        </is>
      </c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322" t="n"/>
      <c r="Y442" s="322" t="n"/>
    </row>
    <row r="443" ht="27" customHeight="1">
      <c r="A443" s="64" t="inlineStr">
        <is>
          <t>SU002807</t>
        </is>
      </c>
      <c r="B443" s="64" t="inlineStr">
        <is>
          <t>P003210</t>
        </is>
      </c>
      <c r="C443" s="37" t="n">
        <v>4301011434</v>
      </c>
      <c r="D443" s="323" t="n">
        <v>4680115881099</v>
      </c>
      <c r="E443" s="648" t="n"/>
      <c r="F443" s="680" t="n">
        <v>1.5</v>
      </c>
      <c r="G443" s="38" t="n">
        <v>8</v>
      </c>
      <c r="H443" s="680" t="n">
        <v>12</v>
      </c>
      <c r="I443" s="680" t="n">
        <v>12.48</v>
      </c>
      <c r="J443" s="38" t="n">
        <v>56</v>
      </c>
      <c r="K443" s="39" t="inlineStr">
        <is>
          <t>СК1</t>
        </is>
      </c>
      <c r="L443" s="38" t="n">
        <v>50</v>
      </c>
      <c r="M443" s="922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/>
      </c>
      <c r="N443" s="682" t="n"/>
      <c r="O443" s="682" t="n"/>
      <c r="P443" s="682" t="n"/>
      <c r="Q443" s="648" t="n"/>
      <c r="R443" s="40" t="inlineStr"/>
      <c r="S443" s="40" t="inlineStr"/>
      <c r="T443" s="41" t="inlineStr">
        <is>
          <t>кг</t>
        </is>
      </c>
      <c r="U443" s="683" t="n">
        <v>0</v>
      </c>
      <c r="V443" s="684">
        <f>IFERROR(IF(U443="",0,CEILING((U443/$H443),1)*$H443),"")</f>
        <v/>
      </c>
      <c r="W443" s="42">
        <f>IFERROR(IF(V443=0,"",ROUNDUP(V443/H443,0)*0.02175),"")</f>
        <v/>
      </c>
      <c r="X443" s="69" t="inlineStr"/>
      <c r="Y443" s="70" t="inlineStr"/>
      <c r="AC443" s="71" t="n"/>
      <c r="AZ443" s="307" t="inlineStr">
        <is>
          <t>КИ</t>
        </is>
      </c>
    </row>
    <row r="444" ht="27" customHeight="1">
      <c r="A444" s="64" t="inlineStr">
        <is>
          <t>SU002808</t>
        </is>
      </c>
      <c r="B444" s="64" t="inlineStr">
        <is>
          <t>P003214</t>
        </is>
      </c>
      <c r="C444" s="37" t="n">
        <v>4301011435</v>
      </c>
      <c r="D444" s="323" t="n">
        <v>4680115881150</v>
      </c>
      <c r="E444" s="648" t="n"/>
      <c r="F444" s="680" t="n">
        <v>1.5</v>
      </c>
      <c r="G444" s="38" t="n">
        <v>8</v>
      </c>
      <c r="H444" s="680" t="n">
        <v>12</v>
      </c>
      <c r="I444" s="680" t="n">
        <v>12.48</v>
      </c>
      <c r="J444" s="38" t="n">
        <v>56</v>
      </c>
      <c r="K444" s="39" t="inlineStr">
        <is>
          <t>СК1</t>
        </is>
      </c>
      <c r="L444" s="38" t="n">
        <v>50</v>
      </c>
      <c r="M444" s="923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/>
      </c>
      <c r="N444" s="682" t="n"/>
      <c r="O444" s="682" t="n"/>
      <c r="P444" s="682" t="n"/>
      <c r="Q444" s="648" t="n"/>
      <c r="R444" s="40" t="inlineStr"/>
      <c r="S444" s="40" t="inlineStr"/>
      <c r="T444" s="41" t="inlineStr">
        <is>
          <t>кг</t>
        </is>
      </c>
      <c r="U444" s="683" t="n">
        <v>0</v>
      </c>
      <c r="V444" s="684">
        <f>IFERROR(IF(U444="",0,CEILING((U444/$H444),1)*$H444),"")</f>
        <v/>
      </c>
      <c r="W444" s="42">
        <f>IFERROR(IF(V444=0,"",ROUNDUP(V444/H444,0)*0.02175),"")</f>
        <v/>
      </c>
      <c r="X444" s="69" t="inlineStr"/>
      <c r="Y444" s="70" t="inlineStr"/>
      <c r="AC444" s="71" t="n"/>
      <c r="AZ444" s="308" t="inlineStr">
        <is>
          <t>КИ</t>
        </is>
      </c>
    </row>
    <row r="445">
      <c r="A445" s="33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685" t="n"/>
      <c r="M445" s="686" t="inlineStr">
        <is>
          <t>Итого</t>
        </is>
      </c>
      <c r="N445" s="656" t="n"/>
      <c r="O445" s="656" t="n"/>
      <c r="P445" s="656" t="n"/>
      <c r="Q445" s="656" t="n"/>
      <c r="R445" s="656" t="n"/>
      <c r="S445" s="657" t="n"/>
      <c r="T445" s="43" t="inlineStr">
        <is>
          <t>кор</t>
        </is>
      </c>
      <c r="U445" s="687">
        <f>IFERROR(U443/H443,"0")+IFERROR(U444/H444,"0")</f>
        <v/>
      </c>
      <c r="V445" s="687">
        <f>IFERROR(V443/H443,"0")+IFERROR(V444/H444,"0")</f>
        <v/>
      </c>
      <c r="W445" s="687">
        <f>IFERROR(IF(W443="",0,W443),"0")+IFERROR(IF(W444="",0,W444),"0")</f>
        <v/>
      </c>
      <c r="X445" s="688" t="n"/>
      <c r="Y445" s="688" t="n"/>
    </row>
    <row r="446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685" t="n"/>
      <c r="M446" s="686" t="inlineStr">
        <is>
          <t>Итого</t>
        </is>
      </c>
      <c r="N446" s="656" t="n"/>
      <c r="O446" s="656" t="n"/>
      <c r="P446" s="656" t="n"/>
      <c r="Q446" s="656" t="n"/>
      <c r="R446" s="656" t="n"/>
      <c r="S446" s="657" t="n"/>
      <c r="T446" s="43" t="inlineStr">
        <is>
          <t>кг</t>
        </is>
      </c>
      <c r="U446" s="687">
        <f>IFERROR(SUM(U443:U444),"0")</f>
        <v/>
      </c>
      <c r="V446" s="687">
        <f>IFERROR(SUM(V443:V444),"0")</f>
        <v/>
      </c>
      <c r="W446" s="43" t="n"/>
      <c r="X446" s="688" t="n"/>
      <c r="Y446" s="688" t="n"/>
    </row>
    <row r="447" ht="14.25" customHeight="1">
      <c r="A447" s="322" t="inlineStr">
        <is>
          <t>Ветчины</t>
        </is>
      </c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322" t="n"/>
      <c r="Y447" s="322" t="n"/>
    </row>
    <row r="448" ht="27" customHeight="1">
      <c r="A448" s="64" t="inlineStr">
        <is>
          <t>SU002811</t>
        </is>
      </c>
      <c r="B448" s="64" t="inlineStr">
        <is>
          <t>P003588</t>
        </is>
      </c>
      <c r="C448" s="37" t="n">
        <v>4301020260</v>
      </c>
      <c r="D448" s="323" t="n">
        <v>4640242180526</v>
      </c>
      <c r="E448" s="648" t="n"/>
      <c r="F448" s="680" t="n">
        <v>1.8</v>
      </c>
      <c r="G448" s="38" t="n">
        <v>6</v>
      </c>
      <c r="H448" s="680" t="n">
        <v>10.8</v>
      </c>
      <c r="I448" s="680" t="n">
        <v>11.28</v>
      </c>
      <c r="J448" s="38" t="n">
        <v>56</v>
      </c>
      <c r="K448" s="39" t="inlineStr">
        <is>
          <t>СК1</t>
        </is>
      </c>
      <c r="L448" s="38" t="n">
        <v>50</v>
      </c>
      <c r="M448" s="924" t="inlineStr">
        <is>
          <t>Ветчины «Нежная» Весовой п/а ТМ «Зареченские» большой батон</t>
        </is>
      </c>
      <c r="N448" s="682" t="n"/>
      <c r="O448" s="682" t="n"/>
      <c r="P448" s="682" t="n"/>
      <c r="Q448" s="648" t="n"/>
      <c r="R448" s="40" t="inlineStr"/>
      <c r="S448" s="40" t="inlineStr"/>
      <c r="T448" s="41" t="inlineStr">
        <is>
          <t>кг</t>
        </is>
      </c>
      <c r="U448" s="683" t="n">
        <v>0</v>
      </c>
      <c r="V448" s="684">
        <f>IFERROR(IF(U448="",0,CEILING((U448/$H448),1)*$H448),"")</f>
        <v/>
      </c>
      <c r="W448" s="42">
        <f>IFERROR(IF(V448=0,"",ROUNDUP(V448/H448,0)*0.02175),"")</f>
        <v/>
      </c>
      <c r="X448" s="69" t="inlineStr"/>
      <c r="Y448" s="70" t="inlineStr"/>
      <c r="AC448" s="71" t="n"/>
      <c r="AZ448" s="309" t="inlineStr">
        <is>
          <t>КИ</t>
        </is>
      </c>
    </row>
    <row r="449" ht="16.5" customHeight="1">
      <c r="A449" s="64" t="inlineStr">
        <is>
          <t>SU002806</t>
        </is>
      </c>
      <c r="B449" s="64" t="inlineStr">
        <is>
          <t>P003591</t>
        </is>
      </c>
      <c r="C449" s="37" t="n">
        <v>4301020269</v>
      </c>
      <c r="D449" s="323" t="n">
        <v>4640242180519</v>
      </c>
      <c r="E449" s="648" t="n"/>
      <c r="F449" s="680" t="n">
        <v>1.35</v>
      </c>
      <c r="G449" s="38" t="n">
        <v>8</v>
      </c>
      <c r="H449" s="680" t="n">
        <v>10.8</v>
      </c>
      <c r="I449" s="680" t="n">
        <v>11.28</v>
      </c>
      <c r="J449" s="38" t="n">
        <v>56</v>
      </c>
      <c r="K449" s="39" t="inlineStr">
        <is>
          <t>СК3</t>
        </is>
      </c>
      <c r="L449" s="38" t="n">
        <v>50</v>
      </c>
      <c r="M449" s="925" t="inlineStr">
        <is>
          <t>Ветчины «Нежная» Весовой п/а ТМ «Зареченские»</t>
        </is>
      </c>
      <c r="N449" s="682" t="n"/>
      <c r="O449" s="682" t="n"/>
      <c r="P449" s="682" t="n"/>
      <c r="Q449" s="648" t="n"/>
      <c r="R449" s="40" t="inlineStr"/>
      <c r="S449" s="40" t="inlineStr"/>
      <c r="T449" s="41" t="inlineStr">
        <is>
          <t>кг</t>
        </is>
      </c>
      <c r="U449" s="683" t="n">
        <v>0</v>
      </c>
      <c r="V449" s="684">
        <f>IFERROR(IF(U449="",0,CEILING((U449/$H449),1)*$H449),"")</f>
        <v/>
      </c>
      <c r="W449" s="42">
        <f>IFERROR(IF(V449=0,"",ROUNDUP(V449/H449,0)*0.02175),"")</f>
        <v/>
      </c>
      <c r="X449" s="69" t="inlineStr"/>
      <c r="Y449" s="70" t="inlineStr"/>
      <c r="AC449" s="71" t="n"/>
      <c r="AZ449" s="310" t="inlineStr">
        <is>
          <t>КИ</t>
        </is>
      </c>
    </row>
    <row r="450" ht="16.5" customHeight="1">
      <c r="A450" s="64" t="inlineStr">
        <is>
          <t>SU002806</t>
        </is>
      </c>
      <c r="B450" s="64" t="inlineStr">
        <is>
          <t>P003207</t>
        </is>
      </c>
      <c r="C450" s="37" t="n">
        <v>4301020230</v>
      </c>
      <c r="D450" s="323" t="n">
        <v>4680115881112</v>
      </c>
      <c r="E450" s="648" t="n"/>
      <c r="F450" s="680" t="n">
        <v>1.35</v>
      </c>
      <c r="G450" s="38" t="n">
        <v>8</v>
      </c>
      <c r="H450" s="680" t="n">
        <v>10.8</v>
      </c>
      <c r="I450" s="680" t="n">
        <v>11.28</v>
      </c>
      <c r="J450" s="38" t="n">
        <v>56</v>
      </c>
      <c r="K450" s="39" t="inlineStr">
        <is>
          <t>СК1</t>
        </is>
      </c>
      <c r="L450" s="38" t="n">
        <v>50</v>
      </c>
      <c r="M450" s="926">
        <f>HYPERLINK("https://abi.ru/products/Охлажденные/Зареченские/Зареченские продукты/Ветчины/P003207/","Ветчины «Нежная» Весовой п/а ТМ «Зареченские»")</f>
        <v/>
      </c>
      <c r="N450" s="682" t="n"/>
      <c r="O450" s="682" t="n"/>
      <c r="P450" s="682" t="n"/>
      <c r="Q450" s="648" t="n"/>
      <c r="R450" s="40" t="inlineStr"/>
      <c r="S450" s="40" t="inlineStr"/>
      <c r="T450" s="41" t="inlineStr">
        <is>
          <t>кг</t>
        </is>
      </c>
      <c r="U450" s="683" t="n">
        <v>0</v>
      </c>
      <c r="V450" s="684">
        <f>IFERROR(IF(U450="",0,CEILING((U450/$H450),1)*$H450),"")</f>
        <v/>
      </c>
      <c r="W450" s="42">
        <f>IFERROR(IF(V450=0,"",ROUNDUP(V450/H450,0)*0.02175),"")</f>
        <v/>
      </c>
      <c r="X450" s="69" t="inlineStr"/>
      <c r="Y450" s="70" t="inlineStr"/>
      <c r="AC450" s="71" t="n"/>
      <c r="AZ450" s="311" t="inlineStr">
        <is>
          <t>КИ</t>
        </is>
      </c>
    </row>
    <row r="451">
      <c r="A451" s="33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685" t="n"/>
      <c r="M451" s="686" t="inlineStr">
        <is>
          <t>Итого</t>
        </is>
      </c>
      <c r="N451" s="656" t="n"/>
      <c r="O451" s="656" t="n"/>
      <c r="P451" s="656" t="n"/>
      <c r="Q451" s="656" t="n"/>
      <c r="R451" s="656" t="n"/>
      <c r="S451" s="657" t="n"/>
      <c r="T451" s="43" t="inlineStr">
        <is>
          <t>кор</t>
        </is>
      </c>
      <c r="U451" s="687">
        <f>IFERROR(U448/H448,"0")+IFERROR(U449/H449,"0")+IFERROR(U450/H450,"0")</f>
        <v/>
      </c>
      <c r="V451" s="687">
        <f>IFERROR(V448/H448,"0")+IFERROR(V449/H449,"0")+IFERROR(V450/H450,"0")</f>
        <v/>
      </c>
      <c r="W451" s="687">
        <f>IFERROR(IF(W448="",0,W448),"0")+IFERROR(IF(W449="",0,W449),"0")+IFERROR(IF(W450="",0,W450),"0")</f>
        <v/>
      </c>
      <c r="X451" s="688" t="n"/>
      <c r="Y451" s="688" t="n"/>
    </row>
    <row r="452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685" t="n"/>
      <c r="M452" s="686" t="inlineStr">
        <is>
          <t>Итого</t>
        </is>
      </c>
      <c r="N452" s="656" t="n"/>
      <c r="O452" s="656" t="n"/>
      <c r="P452" s="656" t="n"/>
      <c r="Q452" s="656" t="n"/>
      <c r="R452" s="656" t="n"/>
      <c r="S452" s="657" t="n"/>
      <c r="T452" s="43" t="inlineStr">
        <is>
          <t>кг</t>
        </is>
      </c>
      <c r="U452" s="687">
        <f>IFERROR(SUM(U448:U450),"0")</f>
        <v/>
      </c>
      <c r="V452" s="687">
        <f>IFERROR(SUM(V448:V450),"0")</f>
        <v/>
      </c>
      <c r="W452" s="43" t="n"/>
      <c r="X452" s="688" t="n"/>
      <c r="Y452" s="688" t="n"/>
    </row>
    <row r="453" ht="14.25" customHeight="1">
      <c r="A453" s="322" t="inlineStr">
        <is>
          <t>Копченые колбасы</t>
        </is>
      </c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322" t="n"/>
      <c r="Y453" s="322" t="n"/>
    </row>
    <row r="454" ht="27" customHeight="1">
      <c r="A454" s="64" t="inlineStr">
        <is>
          <t>SU002805</t>
        </is>
      </c>
      <c r="B454" s="64" t="inlineStr">
        <is>
          <t>P003206</t>
        </is>
      </c>
      <c r="C454" s="37" t="n">
        <v>4301031192</v>
      </c>
      <c r="D454" s="323" t="n">
        <v>4680115881167</v>
      </c>
      <c r="E454" s="648" t="n"/>
      <c r="F454" s="680" t="n">
        <v>0.73</v>
      </c>
      <c r="G454" s="38" t="n">
        <v>6</v>
      </c>
      <c r="H454" s="680" t="n">
        <v>4.38</v>
      </c>
      <c r="I454" s="680" t="n">
        <v>4.64</v>
      </c>
      <c r="J454" s="38" t="n">
        <v>156</v>
      </c>
      <c r="K454" s="39" t="inlineStr">
        <is>
          <t>СК2</t>
        </is>
      </c>
      <c r="L454" s="38" t="n">
        <v>40</v>
      </c>
      <c r="M454" s="927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/>
      </c>
      <c r="N454" s="682" t="n"/>
      <c r="O454" s="682" t="n"/>
      <c r="P454" s="682" t="n"/>
      <c r="Q454" s="648" t="n"/>
      <c r="R454" s="40" t="inlineStr"/>
      <c r="S454" s="40" t="inlineStr"/>
      <c r="T454" s="41" t="inlineStr">
        <is>
          <t>кг</t>
        </is>
      </c>
      <c r="U454" s="683" t="n">
        <v>0</v>
      </c>
      <c r="V454" s="684">
        <f>IFERROR(IF(U454="",0,CEILING((U454/$H454),1)*$H454),"")</f>
        <v/>
      </c>
      <c r="W454" s="42">
        <f>IFERROR(IF(V454=0,"",ROUNDUP(V454/H454,0)*0.00753),"")</f>
        <v/>
      </c>
      <c r="X454" s="69" t="inlineStr"/>
      <c r="Y454" s="70" t="inlineStr"/>
      <c r="AC454" s="71" t="n"/>
      <c r="AZ454" s="312" t="inlineStr">
        <is>
          <t>КИ</t>
        </is>
      </c>
    </row>
    <row r="455" ht="27" customHeight="1">
      <c r="A455" s="64" t="inlineStr">
        <is>
          <t>SU002809</t>
        </is>
      </c>
      <c r="B455" s="64" t="inlineStr">
        <is>
          <t>P003586</t>
        </is>
      </c>
      <c r="C455" s="37" t="n">
        <v>4301031244</v>
      </c>
      <c r="D455" s="323" t="n">
        <v>4640242180595</v>
      </c>
      <c r="E455" s="648" t="n"/>
      <c r="F455" s="680" t="n">
        <v>0.7</v>
      </c>
      <c r="G455" s="38" t="n">
        <v>6</v>
      </c>
      <c r="H455" s="680" t="n">
        <v>4.2</v>
      </c>
      <c r="I455" s="680" t="n">
        <v>4.46</v>
      </c>
      <c r="J455" s="38" t="n">
        <v>156</v>
      </c>
      <c r="K455" s="39" t="inlineStr">
        <is>
          <t>СК2</t>
        </is>
      </c>
      <c r="L455" s="38" t="n">
        <v>40</v>
      </c>
      <c r="M455" s="928" t="inlineStr">
        <is>
          <t>В/к колбасы «Сервелат Рижский» НТУ Весовые Фиброуз в/у ТМ «Зареченские»</t>
        </is>
      </c>
      <c r="N455" s="682" t="n"/>
      <c r="O455" s="682" t="n"/>
      <c r="P455" s="682" t="n"/>
      <c r="Q455" s="648" t="n"/>
      <c r="R455" s="40" t="inlineStr"/>
      <c r="S455" s="40" t="inlineStr"/>
      <c r="T455" s="41" t="inlineStr">
        <is>
          <t>кг</t>
        </is>
      </c>
      <c r="U455" s="683" t="n">
        <v>0</v>
      </c>
      <c r="V455" s="684">
        <f>IFERROR(IF(U455="",0,CEILING((U455/$H455),1)*$H455),"")</f>
        <v/>
      </c>
      <c r="W455" s="42">
        <f>IFERROR(IF(V455=0,"",ROUNDUP(V455/H455,0)*0.00753),"")</f>
        <v/>
      </c>
      <c r="X455" s="69" t="inlineStr"/>
      <c r="Y455" s="70" t="inlineStr"/>
      <c r="AC455" s="71" t="n"/>
      <c r="AZ455" s="313" t="inlineStr">
        <is>
          <t>КИ</t>
        </is>
      </c>
    </row>
    <row r="456" ht="27" customHeight="1">
      <c r="A456" s="64" t="inlineStr">
        <is>
          <t>SU002809</t>
        </is>
      </c>
      <c r="B456" s="64" t="inlineStr">
        <is>
          <t>P003216</t>
        </is>
      </c>
      <c r="C456" s="37" t="n">
        <v>4301031193</v>
      </c>
      <c r="D456" s="323" t="n">
        <v>4680115881136</v>
      </c>
      <c r="E456" s="648" t="n"/>
      <c r="F456" s="680" t="n">
        <v>0.73</v>
      </c>
      <c r="G456" s="38" t="n">
        <v>6</v>
      </c>
      <c r="H456" s="680" t="n">
        <v>4.38</v>
      </c>
      <c r="I456" s="680" t="n">
        <v>4.64</v>
      </c>
      <c r="J456" s="38" t="n">
        <v>156</v>
      </c>
      <c r="K456" s="39" t="inlineStr">
        <is>
          <t>СК2</t>
        </is>
      </c>
      <c r="L456" s="38" t="n">
        <v>40</v>
      </c>
      <c r="M456" s="929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/>
      </c>
      <c r="N456" s="682" t="n"/>
      <c r="O456" s="682" t="n"/>
      <c r="P456" s="682" t="n"/>
      <c r="Q456" s="648" t="n"/>
      <c r="R456" s="40" t="inlineStr"/>
      <c r="S456" s="40" t="inlineStr"/>
      <c r="T456" s="41" t="inlineStr">
        <is>
          <t>кг</t>
        </is>
      </c>
      <c r="U456" s="683" t="n">
        <v>0</v>
      </c>
      <c r="V456" s="684">
        <f>IFERROR(IF(U456="",0,CEILING((U456/$H456),1)*$H456),"")</f>
        <v/>
      </c>
      <c r="W456" s="42">
        <f>IFERROR(IF(V456=0,"",ROUNDUP(V456/H456,0)*0.00753),"")</f>
        <v/>
      </c>
      <c r="X456" s="69" t="inlineStr"/>
      <c r="Y456" s="70" t="inlineStr"/>
      <c r="AC456" s="71" t="n"/>
      <c r="AZ456" s="314" t="inlineStr">
        <is>
          <t>КИ</t>
        </is>
      </c>
    </row>
    <row r="457">
      <c r="A457" s="33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685" t="n"/>
      <c r="M457" s="686" t="inlineStr">
        <is>
          <t>Итого</t>
        </is>
      </c>
      <c r="N457" s="656" t="n"/>
      <c r="O457" s="656" t="n"/>
      <c r="P457" s="656" t="n"/>
      <c r="Q457" s="656" t="n"/>
      <c r="R457" s="656" t="n"/>
      <c r="S457" s="657" t="n"/>
      <c r="T457" s="43" t="inlineStr">
        <is>
          <t>кор</t>
        </is>
      </c>
      <c r="U457" s="687">
        <f>IFERROR(U454/H454,"0")+IFERROR(U455/H455,"0")+IFERROR(U456/H456,"0")</f>
        <v/>
      </c>
      <c r="V457" s="687">
        <f>IFERROR(V454/H454,"0")+IFERROR(V455/H455,"0")+IFERROR(V456/H456,"0")</f>
        <v/>
      </c>
      <c r="W457" s="687">
        <f>IFERROR(IF(W454="",0,W454),"0")+IFERROR(IF(W455="",0,W455),"0")+IFERROR(IF(W456="",0,W456),"0")</f>
        <v/>
      </c>
      <c r="X457" s="688" t="n"/>
      <c r="Y457" s="688" t="n"/>
    </row>
    <row r="45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685" t="n"/>
      <c r="M458" s="686" t="inlineStr">
        <is>
          <t>Итого</t>
        </is>
      </c>
      <c r="N458" s="656" t="n"/>
      <c r="O458" s="656" t="n"/>
      <c r="P458" s="656" t="n"/>
      <c r="Q458" s="656" t="n"/>
      <c r="R458" s="656" t="n"/>
      <c r="S458" s="657" t="n"/>
      <c r="T458" s="43" t="inlineStr">
        <is>
          <t>кг</t>
        </is>
      </c>
      <c r="U458" s="687">
        <f>IFERROR(SUM(U454:U456),"0")</f>
        <v/>
      </c>
      <c r="V458" s="687">
        <f>IFERROR(SUM(V454:V456),"0")</f>
        <v/>
      </c>
      <c r="W458" s="43" t="n"/>
      <c r="X458" s="688" t="n"/>
      <c r="Y458" s="688" t="n"/>
    </row>
    <row r="459" ht="14.25" customHeight="1">
      <c r="A459" s="322" t="inlineStr">
        <is>
          <t>Сосиски</t>
        </is>
      </c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322" t="n"/>
      <c r="Y459" s="322" t="n"/>
    </row>
    <row r="460" ht="27" customHeight="1">
      <c r="A460" s="64" t="inlineStr">
        <is>
          <t>SU002803</t>
        </is>
      </c>
      <c r="B460" s="64" t="inlineStr">
        <is>
          <t>P003204</t>
        </is>
      </c>
      <c r="C460" s="37" t="n">
        <v>4301051381</v>
      </c>
      <c r="D460" s="323" t="n">
        <v>4680115881068</v>
      </c>
      <c r="E460" s="648" t="n"/>
      <c r="F460" s="680" t="n">
        <v>1.3</v>
      </c>
      <c r="G460" s="38" t="n">
        <v>6</v>
      </c>
      <c r="H460" s="680" t="n">
        <v>7.8</v>
      </c>
      <c r="I460" s="680" t="n">
        <v>8.279999999999999</v>
      </c>
      <c r="J460" s="38" t="n">
        <v>56</v>
      </c>
      <c r="K460" s="39" t="inlineStr">
        <is>
          <t>СК2</t>
        </is>
      </c>
      <c r="L460" s="38" t="n">
        <v>30</v>
      </c>
      <c r="M460" s="930">
        <f>HYPERLINK("https://abi.ru/products/Охлажденные/Зареченские/Зареченские продукты/Сосиски/P003204/","Сосиски «Сочные» Весовой п/а ТМ «Зареченские»")</f>
        <v/>
      </c>
      <c r="N460" s="682" t="n"/>
      <c r="O460" s="682" t="n"/>
      <c r="P460" s="682" t="n"/>
      <c r="Q460" s="648" t="n"/>
      <c r="R460" s="40" t="inlineStr"/>
      <c r="S460" s="40" t="inlineStr"/>
      <c r="T460" s="41" t="inlineStr">
        <is>
          <t>кг</t>
        </is>
      </c>
      <c r="U460" s="683" t="n">
        <v>0</v>
      </c>
      <c r="V460" s="684">
        <f>IFERROR(IF(U460="",0,CEILING((U460/$H460),1)*$H460),"")</f>
        <v/>
      </c>
      <c r="W460" s="42">
        <f>IFERROR(IF(V460=0,"",ROUNDUP(V460/H460,0)*0.02175),"")</f>
        <v/>
      </c>
      <c r="X460" s="69" t="inlineStr"/>
      <c r="Y460" s="70" t="inlineStr"/>
      <c r="AC460" s="71" t="n"/>
      <c r="AZ460" s="315" t="inlineStr">
        <is>
          <t>КИ</t>
        </is>
      </c>
    </row>
    <row r="461" ht="27" customHeight="1">
      <c r="A461" s="64" t="inlineStr">
        <is>
          <t>SU002804</t>
        </is>
      </c>
      <c r="B461" s="64" t="inlineStr">
        <is>
          <t>P003205</t>
        </is>
      </c>
      <c r="C461" s="37" t="n">
        <v>4301051382</v>
      </c>
      <c r="D461" s="323" t="n">
        <v>4680115881075</v>
      </c>
      <c r="E461" s="648" t="n"/>
      <c r="F461" s="680" t="n">
        <v>0.5</v>
      </c>
      <c r="G461" s="38" t="n">
        <v>6</v>
      </c>
      <c r="H461" s="680" t="n">
        <v>3</v>
      </c>
      <c r="I461" s="680" t="n">
        <v>3.2</v>
      </c>
      <c r="J461" s="38" t="n">
        <v>156</v>
      </c>
      <c r="K461" s="39" t="inlineStr">
        <is>
          <t>СК2</t>
        </is>
      </c>
      <c r="L461" s="38" t="n">
        <v>30</v>
      </c>
      <c r="M461" s="931">
        <f>HYPERLINK("https://abi.ru/products/Охлажденные/Зареченские/Зареченские продукты/Сосиски/P003205/","Сосиски «Сочные» Фикс.вес 0,5 п/а ТМ «Зареченские»")</f>
        <v/>
      </c>
      <c r="N461" s="682" t="n"/>
      <c r="O461" s="682" t="n"/>
      <c r="P461" s="682" t="n"/>
      <c r="Q461" s="648" t="n"/>
      <c r="R461" s="40" t="inlineStr"/>
      <c r="S461" s="40" t="inlineStr"/>
      <c r="T461" s="41" t="inlineStr">
        <is>
          <t>кг</t>
        </is>
      </c>
      <c r="U461" s="683" t="n">
        <v>0</v>
      </c>
      <c r="V461" s="684">
        <f>IFERROR(IF(U461="",0,CEILING((U461/$H461),1)*$H461),"")</f>
        <v/>
      </c>
      <c r="W461" s="42">
        <f>IFERROR(IF(V461=0,"",ROUNDUP(V461/H461,0)*0.00753),"")</f>
        <v/>
      </c>
      <c r="X461" s="69" t="inlineStr"/>
      <c r="Y461" s="70" t="inlineStr"/>
      <c r="AC461" s="71" t="n"/>
      <c r="AZ461" s="316" t="inlineStr">
        <is>
          <t>КИ</t>
        </is>
      </c>
    </row>
    <row r="462">
      <c r="A462" s="33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685" t="n"/>
      <c r="M462" s="686" t="inlineStr">
        <is>
          <t>Итого</t>
        </is>
      </c>
      <c r="N462" s="656" t="n"/>
      <c r="O462" s="656" t="n"/>
      <c r="P462" s="656" t="n"/>
      <c r="Q462" s="656" t="n"/>
      <c r="R462" s="656" t="n"/>
      <c r="S462" s="657" t="n"/>
      <c r="T462" s="43" t="inlineStr">
        <is>
          <t>кор</t>
        </is>
      </c>
      <c r="U462" s="687">
        <f>IFERROR(U460/H460,"0")+IFERROR(U461/H461,"0")</f>
        <v/>
      </c>
      <c r="V462" s="687">
        <f>IFERROR(V460/H460,"0")+IFERROR(V461/H461,"0")</f>
        <v/>
      </c>
      <c r="W462" s="687">
        <f>IFERROR(IF(W460="",0,W460),"0")+IFERROR(IF(W461="",0,W461),"0")</f>
        <v/>
      </c>
      <c r="X462" s="688" t="n"/>
      <c r="Y462" s="688" t="n"/>
    </row>
    <row r="463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685" t="n"/>
      <c r="M463" s="686" t="inlineStr">
        <is>
          <t>Итого</t>
        </is>
      </c>
      <c r="N463" s="656" t="n"/>
      <c r="O463" s="656" t="n"/>
      <c r="P463" s="656" t="n"/>
      <c r="Q463" s="656" t="n"/>
      <c r="R463" s="656" t="n"/>
      <c r="S463" s="657" t="n"/>
      <c r="T463" s="43" t="inlineStr">
        <is>
          <t>кг</t>
        </is>
      </c>
      <c r="U463" s="687">
        <f>IFERROR(SUM(U460:U461),"0")</f>
        <v/>
      </c>
      <c r="V463" s="687">
        <f>IFERROR(SUM(V460:V461),"0")</f>
        <v/>
      </c>
      <c r="W463" s="43" t="n"/>
      <c r="X463" s="688" t="n"/>
      <c r="Y463" s="688" t="n"/>
    </row>
    <row r="464" ht="16.5" customHeight="1">
      <c r="A464" s="321" t="inlineStr">
        <is>
          <t>Выгодная цена</t>
        </is>
      </c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321" t="n"/>
      <c r="Y464" s="321" t="n"/>
    </row>
    <row r="465" ht="14.25" customHeight="1">
      <c r="A465" s="322" t="inlineStr">
        <is>
          <t>Сосиски</t>
        </is>
      </c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322" t="n"/>
      <c r="Y465" s="322" t="n"/>
    </row>
    <row r="466" ht="16.5" customHeight="1">
      <c r="A466" s="64" t="inlineStr">
        <is>
          <t>SU002655</t>
        </is>
      </c>
      <c r="B466" s="64" t="inlineStr">
        <is>
          <t>P003022</t>
        </is>
      </c>
      <c r="C466" s="37" t="n">
        <v>4301051310</v>
      </c>
      <c r="D466" s="323" t="n">
        <v>4680115880870</v>
      </c>
      <c r="E466" s="648" t="n"/>
      <c r="F466" s="680" t="n">
        <v>1.3</v>
      </c>
      <c r="G466" s="38" t="n">
        <v>6</v>
      </c>
      <c r="H466" s="680" t="n">
        <v>7.8</v>
      </c>
      <c r="I466" s="680" t="n">
        <v>8.364000000000001</v>
      </c>
      <c r="J466" s="38" t="n">
        <v>56</v>
      </c>
      <c r="K466" s="39" t="inlineStr">
        <is>
          <t>СК3</t>
        </is>
      </c>
      <c r="L466" s="38" t="n">
        <v>40</v>
      </c>
      <c r="M466" s="932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N466" s="682" t="n"/>
      <c r="O466" s="682" t="n"/>
      <c r="P466" s="682" t="n"/>
      <c r="Q466" s="648" t="n"/>
      <c r="R466" s="40" t="inlineStr"/>
      <c r="S466" s="40" t="inlineStr"/>
      <c r="T466" s="41" t="inlineStr">
        <is>
          <t>кг</t>
        </is>
      </c>
      <c r="U466" s="683" t="n">
        <v>0</v>
      </c>
      <c r="V466" s="684">
        <f>IFERROR(IF(U466="",0,CEILING((U466/$H466),1)*$H466),"")</f>
        <v/>
      </c>
      <c r="W466" s="42">
        <f>IFERROR(IF(V466=0,"",ROUNDUP(V466/H466,0)*0.02175),"")</f>
        <v/>
      </c>
      <c r="X466" s="69" t="inlineStr"/>
      <c r="Y466" s="70" t="inlineStr"/>
      <c r="AC466" s="71" t="n"/>
      <c r="AZ466" s="317" t="inlineStr">
        <is>
          <t>КИ</t>
        </is>
      </c>
    </row>
    <row r="467">
      <c r="A467" s="33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685" t="n"/>
      <c r="M467" s="686" t="inlineStr">
        <is>
          <t>Итого</t>
        </is>
      </c>
      <c r="N467" s="656" t="n"/>
      <c r="O467" s="656" t="n"/>
      <c r="P467" s="656" t="n"/>
      <c r="Q467" s="656" t="n"/>
      <c r="R467" s="656" t="n"/>
      <c r="S467" s="657" t="n"/>
      <c r="T467" s="43" t="inlineStr">
        <is>
          <t>кор</t>
        </is>
      </c>
      <c r="U467" s="687">
        <f>IFERROR(U466/H466,"0")</f>
        <v/>
      </c>
      <c r="V467" s="687">
        <f>IFERROR(V466/H466,"0")</f>
        <v/>
      </c>
      <c r="W467" s="687">
        <f>IFERROR(IF(W466="",0,W466),"0")</f>
        <v/>
      </c>
      <c r="X467" s="688" t="n"/>
      <c r="Y467" s="688" t="n"/>
    </row>
    <row r="46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685" t="n"/>
      <c r="M468" s="686" t="inlineStr">
        <is>
          <t>Итого</t>
        </is>
      </c>
      <c r="N468" s="656" t="n"/>
      <c r="O468" s="656" t="n"/>
      <c r="P468" s="656" t="n"/>
      <c r="Q468" s="656" t="n"/>
      <c r="R468" s="656" t="n"/>
      <c r="S468" s="657" t="n"/>
      <c r="T468" s="43" t="inlineStr">
        <is>
          <t>кг</t>
        </is>
      </c>
      <c r="U468" s="687">
        <f>IFERROR(SUM(U466:U466),"0")</f>
        <v/>
      </c>
      <c r="V468" s="687">
        <f>IFERROR(SUM(V466:V466),"0")</f>
        <v/>
      </c>
      <c r="W468" s="43" t="n"/>
      <c r="X468" s="688" t="n"/>
      <c r="Y468" s="688" t="n"/>
    </row>
    <row r="469" ht="15" customHeight="1">
      <c r="A469" s="335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645" t="n"/>
      <c r="M469" s="933" t="inlineStr">
        <is>
          <t>ИТОГО НЕТТО</t>
        </is>
      </c>
      <c r="N469" s="639" t="n"/>
      <c r="O469" s="639" t="n"/>
      <c r="P469" s="639" t="n"/>
      <c r="Q469" s="639" t="n"/>
      <c r="R469" s="639" t="n"/>
      <c r="S469" s="640" t="n"/>
      <c r="T469" s="43" t="inlineStr">
        <is>
          <t>кг</t>
        </is>
      </c>
      <c r="U469" s="687">
        <f>IFERROR(U24+U33+U37+U41+U45+U52+U60+U80+U89+U103+U116+U124+U132+U140+U152+U158+U163+U170+U191+U196+U215+U219+U226+U235+U241+U247+U253+U264+U269+U274+U280+U284+U288+U301+U306+U310+U314+U322+U327+U334+U338+U345+U361+U368+U372+U378+U382+U388+U398+U402+U406+U420+U425+U434+U439+U446+U452+U458+U463+U468,"0")</f>
        <v/>
      </c>
      <c r="V469" s="687">
        <f>IFERROR(V24+V33+V37+V41+V45+V52+V60+V80+V89+V103+V116+V124+V132+V140+V152+V158+V163+V170+V191+V196+V215+V219+V226+V235+V241+V247+V253+V264+V269+V274+V280+V284+V288+V301+V306+V310+V314+V322+V327+V334+V338+V345+V361+V368+V372+V378+V382+V388+V398+V402+V406+V420+V425+V434+V439+V446+V452+V458+V463+V468,"0")</f>
        <v/>
      </c>
      <c r="W469" s="43" t="n"/>
      <c r="X469" s="688" t="n"/>
      <c r="Y469" s="688" t="n"/>
    </row>
    <row r="470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645" t="n"/>
      <c r="M470" s="933" t="inlineStr">
        <is>
          <t>ИТОГО БРУТТО</t>
        </is>
      </c>
      <c r="N470" s="639" t="n"/>
      <c r="O470" s="639" t="n"/>
      <c r="P470" s="639" t="n"/>
      <c r="Q470" s="639" t="n"/>
      <c r="R470" s="639" t="n"/>
      <c r="S470" s="640" t="n"/>
      <c r="T470" s="43" t="inlineStr">
        <is>
          <t>кг</t>
        </is>
      </c>
      <c r="U470" s="687">
        <f>IFERROR(IFERROR(U22*I22/H22,"0")+IFERROR(U26*I26/H26,"0")+IFERROR(U27*I27/H27,"0")+IFERROR(U28*I28/H28,"0")+IFERROR(U29*I29/H29,"0")+IFERROR(U30*I30/H30,"0")+IFERROR(U31*I31/H31,"0")+IFERROR(U35*I35/H35,"0")+IFERROR(U39*I39/H39,"0")+IFERROR(U43*I43/H43,"0")+IFERROR(U49*I49/H49,"0")+IFERROR(U50*I50/H50,"0")+IFERROR(U55*I55/H55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82*I82/H82,"0")+IFERROR(U83*I83/H83,"0")+IFERROR(U84*I84/H84,"0")+IFERROR(U85*I85/H85,"0")+IFERROR(U86*I86/H86,"0")+IFERROR(U87*I87/H87,"0")+IFERROR(U91*I91/H91,"0")+IFERROR(U92*I92/H92,"0")+IFERROR(U93*I93/H93,"0")+IFERROR(U94*I94/H94,"0")+IFERROR(U95*I95/H95,"0")+IFERROR(U96*I96/H96,"0")+IFERROR(U97*I97/H97,"0")+IFERROR(U98*I98/H98,"0")+IFERROR(U99*I99/H99,"0")+IFERROR(U100*I100/H100,"0")+IFERROR(U101*I101/H101,"0")+IFERROR(U105*I105/H105,"0")+IFERROR(U106*I106/H106,"0")+IFERROR(U107*I107/H107,"0")+IFERROR(U108*I108/H108,"0")+IFERROR(U109*I109/H109,"0")+IFERROR(U110*I110/H110,"0")+IFERROR(U111*I111/H111,"0")+IFERROR(U112*I112/H112,"0")+IFERROR(U113*I113/H113,"0")+IFERROR(U114*I114/H114,"0")+IFERROR(U118*I118/H118,"0")+IFERROR(U119*I119/H119,"0")+IFERROR(U120*I120/H120,"0")+IFERROR(U121*I121/H121,"0")+IFERROR(U122*I122/H122,"0")+IFERROR(U127*I127/H127,"0")+IFERROR(U128*I128/H128,"0")+IFERROR(U129*I129/H129,"0")+IFERROR(U130*I130/H130,"0")+IFERROR(U136*I136/H136,"0")+IFERROR(U137*I137/H137,"0")+IFERROR(U138*I138/H138,"0")+IFERROR(U143*I143/H143,"0")+IFERROR(U144*I144/H144,"0")+IFERROR(U145*I145/H145,"0")+IFERROR(U146*I146/H146,"0")+IFERROR(U147*I147/H147,"0")+IFERROR(U148*I148/H148,"0")+IFERROR(U149*I149/H149,"0")+IFERROR(U150*I150/H150,"0")+IFERROR(U155*I155/H155,"0")+IFERROR(U156*I156/H156,"0")+IFERROR(U160*I160/H160,"0")+IFERROR(U161*I161/H161,"0")+IFERROR(U165*I165/H165,"0")+IFERROR(U166*I166/H166,"0")+IFERROR(U167*I167/H167,"0")+IFERROR(U168*I168/H168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182*I182/H182,"0")+IFERROR(U183*I183/H183,"0")+IFERROR(U184*I184/H184,"0")+IFERROR(U185*I185/H185,"0")+IFERROR(U186*I186/H186,"0")+IFERROR(U187*I187/H187,"0")+IFERROR(U188*I188/H188,"0")+IFERROR(U189*I189/H189,"0")+IFERROR(U193*I193/H193,"0")+IFERROR(U194*I194/H194,"0")+IFERROR(U199*I199/H199,"0")+IFERROR(U200*I200/H200,"0")+IFERROR(U201*I201/H201,"0")+IFERROR(U202*I202/H202,"0")+IFERROR(U203*I203/H203,"0")+IFERROR(U204*I204/H204,"0")+IFERROR(U205*I205/H205,"0")+IFERROR(U206*I206/H206,"0")+IFERROR(U207*I207/H207,"0")+IFERROR(U208*I208/H208,"0")+IFERROR(U209*I209/H209,"0")+IFERROR(U210*I210/H210,"0")+IFERROR(U211*I211/H211,"0")+IFERROR(U212*I212/H212,"0")+IFERROR(U213*I213/H213,"0")+IFERROR(U217*I217/H217,"0")+IFERROR(U221*I221/H221,"0")+IFERROR(U222*I222/H222,"0")+IFERROR(U223*I223/H223,"0")+IFERROR(U224*I224/H224,"0")+IFERROR(U228*I228/H228,"0")+IFERROR(U229*I229/H229,"0")+IFERROR(U230*I230/H230,"0")+IFERROR(U231*I231/H231,"0")+IFERROR(U232*I232/H232,"0")+IFERROR(U233*I233/H233,"0")+IFERROR(U237*I237/H237,"0")+IFERROR(U238*I238/H238,"0")+IFERROR(U239*I239/H239,"0")+IFERROR(U243*I243/H243,"0")+IFERROR(U244*I244/H244,"0")+IFERROR(U245*I245/H245,"0")+IFERROR(U249*I249/H249,"0")+IFERROR(U250*I250/H250,"0")+IFERROR(U251*I251/H251,"0")+IFERROR(U256*I256/H256,"0")+IFERROR(U257*I257/H257,"0")+IFERROR(U258*I258/H258,"0")+IFERROR(U259*I259/H259,"0")+IFERROR(U260*I260/H260,"0")+IFERROR(U261*I261/H261,"0")+IFERROR(U262*I262/H262,"0")+IFERROR(U266*I266/H266,"0")+IFERROR(U267*I267/H267,"0")+IFERROR(U272*I272/H272,"0")+IFERROR(U276*I276/H276,"0")+IFERROR(U277*I277/H277,"0")+IFERROR(U278*I278/H278,"0")+IFERROR(U282*I282/H282,"0")+IFERROR(U286*I286/H286,"0")+IFERROR(U292*I292/H292,"0")+IFERROR(U293*I293/H293,"0")+IFERROR(U294*I294/H294,"0")+IFERROR(U295*I295/H295,"0")+IFERROR(U296*I296/H296,"0")+IFERROR(U297*I297/H297,"0")+IFERROR(U298*I298/H298,"0")+IFERROR(U299*I299/H299,"0")+IFERROR(U303*I303/H303,"0")+IFERROR(U304*I304/H304,"0")+IFERROR(U308*I308/H308,"0")+IFERROR(U312*I312/H312,"0")+IFERROR(U317*I317/H317,"0")+IFERROR(U318*I318/H318,"0")+IFERROR(U319*I319/H319,"0")+IFERROR(U320*I320/H320,"0")+IFERROR(U324*I324/H324,"0")+IFERROR(U325*I325/H325,"0")+IFERROR(U329*I329/H329,"0")+IFERROR(U330*I330/H330,"0")+IFERROR(U331*I331/H331,"0")+IFERROR(U332*I332/H332,"0")+IFERROR(U336*I336/H336,"0")+IFERROR(U342*I342/H342,"0")+IFERROR(U343*I343/H343,"0")+IFERROR(U347*I347/H347,"0")+IFERROR(U348*I348/H348,"0")+IFERROR(U349*I349/H349,"0")+IFERROR(U350*I350/H350,"0")+IFERROR(U351*I351/H351,"0")+IFERROR(U352*I352/H352,"0")+IFERROR(U353*I353/H353,"0")+IFERROR(U354*I354/H354,"0")+IFERROR(U355*I355/H355,"0")+IFERROR(U356*I356/H356,"0")+IFERROR(U357*I357/H357,"0")+IFERROR(U358*I358/H358,"0")+IFERROR(U359*I359/H359,"0")+IFERROR(U363*I363/H363,"0")+IFERROR(U364*I364/H364,"0")+IFERROR(U365*I365/H365,"0")+IFERROR(U366*I366/H366,"0")+IFERROR(U370*I370/H370,"0")+IFERROR(U374*I374/H374,"0")+IFERROR(U375*I375/H375,"0")+IFERROR(U376*I376/H376,"0")+IFERROR(U380*I380/H380,"0")+IFERROR(U385*I385/H385,"0")+IFERROR(U386*I386/H386,"0")+IFERROR(U390*I390/H390,"0")+IFERROR(U391*I391/H391,"0")+IFERROR(U392*I392/H392,"0")+IFERROR(U393*I393/H393,"0")+IFERROR(U394*I394/H394,"0")+IFERROR(U395*I395/H395,"0")+IFERROR(U396*I396/H396,"0")+IFERROR(U400*I400/H400,"0")+IFERROR(U404*I404/H404,"0")+IFERROR(U410*I410/H410,"0")+IFERROR(U411*I411/H411,"0")+IFERROR(U412*I412/H412,"0")+IFERROR(U413*I413/H413,"0")+IFERROR(U414*I414/H414,"0")+IFERROR(U415*I415/H415,"0")+IFERROR(U416*I416/H416,"0")+IFERROR(U417*I417/H417,"0")+IFERROR(U418*I418/H418,"0")+IFERROR(U422*I422/H422,"0")+IFERROR(U423*I423/H423,"0")+IFERROR(U427*I427/H427,"0")+IFERROR(U428*I428/H428,"0")+IFERROR(U429*I429/H429,"0")+IFERROR(U430*I430/H430,"0")+IFERROR(U431*I431/H431,"0")+IFERROR(U432*I432/H432,"0")+IFERROR(U436*I436/H436,"0")+IFERROR(U437*I437/H437,"0")+IFERROR(U443*I443/H443,"0")+IFERROR(U444*I444/H444,"0")+IFERROR(U448*I448/H448,"0")+IFERROR(U449*I449/H449,"0")+IFERROR(U450*I450/H450,"0")+IFERROR(U454*I454/H454,"0")+IFERROR(U455*I455/H455,"0")+IFERROR(U456*I456/H456,"0")+IFERROR(U460*I460/H460,"0")+IFERROR(U461*I461/H461,"0")+IFERROR(U466*I466/H466,"0"),"0")</f>
        <v/>
      </c>
      <c r="V470" s="687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91*I91/H91,"0")+IFERROR(V92*I92/H92,"0")+IFERROR(V93*I93/H93,"0")+IFERROR(V94*I94/H94,"0")+IFERROR(V95*I95/H95,"0")+IFERROR(V96*I96/H96,"0")+IFERROR(V97*I97/H97,"0")+IFERROR(V98*I98/H98,"0")+IFERROR(V99*I99/H99,"0")+IFERROR(V100*I100/H100,"0")+IFERROR(V101*I101/H101,"0")+IFERROR(V105*I105/H105,"0")+IFERROR(V106*I106/H106,"0")+IFERROR(V107*I107/H107,"0")+IFERROR(V108*I108/H108,"0")+IFERROR(V109*I109/H109,"0")+IFERROR(V110*I110/H110,"0")+IFERROR(V111*I111/H111,"0")+IFERROR(V112*I112/H112,"0")+IFERROR(V113*I113/H113,"0")+IFERROR(V114*I114/H114,"0")+IFERROR(V118*I118/H118,"0")+IFERROR(V119*I119/H119,"0")+IFERROR(V120*I120/H120,"0")+IFERROR(V121*I121/H121,"0")+IFERROR(V122*I122/H122,"0")+IFERROR(V127*I127/H127,"0")+IFERROR(V128*I128/H128,"0")+IFERROR(V129*I129/H129,"0")+IFERROR(V130*I130/H130,"0")+IFERROR(V136*I136/H136,"0")+IFERROR(V137*I137/H137,"0")+IFERROR(V138*I138/H138,"0")+IFERROR(V143*I143/H143,"0")+IFERROR(V144*I144/H144,"0")+IFERROR(V145*I145/H145,"0")+IFERROR(V146*I146/H146,"0")+IFERROR(V147*I147/H147,"0")+IFERROR(V148*I148/H148,"0")+IFERROR(V149*I149/H149,"0")+IFERROR(V150*I150/H150,"0")+IFERROR(V155*I155/H155,"0")+IFERROR(V156*I156/H156,"0")+IFERROR(V160*I160/H160,"0")+IFERROR(V161*I161/H161,"0")+IFERROR(V165*I165/H165,"0")+IFERROR(V166*I166/H166,"0")+IFERROR(V167*I167/H167,"0")+IFERROR(V168*I168/H168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193*I193/H193,"0")+IFERROR(V194*I194/H194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213*I213/H213,"0")+IFERROR(V217*I217/H217,"0")+IFERROR(V221*I221/H221,"0")+IFERROR(V222*I222/H222,"0")+IFERROR(V223*I223/H223,"0")+IFERROR(V224*I224/H224,"0")+IFERROR(V228*I228/H228,"0")+IFERROR(V229*I229/H229,"0")+IFERROR(V230*I230/H230,"0")+IFERROR(V231*I231/H231,"0")+IFERROR(V232*I232/H232,"0")+IFERROR(V233*I233/H233,"0")+IFERROR(V237*I237/H237,"0")+IFERROR(V238*I238/H238,"0")+IFERROR(V239*I239/H239,"0")+IFERROR(V243*I243/H243,"0")+IFERROR(V244*I244/H244,"0")+IFERROR(V245*I245/H245,"0")+IFERROR(V249*I249/H249,"0")+IFERROR(V250*I250/H250,"0")+IFERROR(V251*I251/H251,"0")+IFERROR(V256*I256/H256,"0")+IFERROR(V257*I257/H257,"0")+IFERROR(V258*I258/H258,"0")+IFERROR(V259*I259/H259,"0")+IFERROR(V260*I260/H260,"0")+IFERROR(V261*I261/H261,"0")+IFERROR(V262*I262/H262,"0")+IFERROR(V266*I266/H266,"0")+IFERROR(V267*I267/H267,"0")+IFERROR(V272*I272/H272,"0")+IFERROR(V276*I276/H276,"0")+IFERROR(V277*I277/H277,"0")+IFERROR(V278*I278/H278,"0")+IFERROR(V282*I282/H282,"0")+IFERROR(V286*I286/H286,"0")+IFERROR(V292*I292/H292,"0")+IFERROR(V293*I293/H293,"0")+IFERROR(V294*I294/H294,"0")+IFERROR(V295*I295/H295,"0")+IFERROR(V296*I296/H296,"0")+IFERROR(V297*I297/H297,"0")+IFERROR(V298*I298/H298,"0")+IFERROR(V299*I299/H299,"0")+IFERROR(V303*I303/H303,"0")+IFERROR(V304*I304/H304,"0")+IFERROR(V308*I308/H308,"0")+IFERROR(V312*I312/H312,"0")+IFERROR(V317*I317/H317,"0")+IFERROR(V318*I318/H318,"0")+IFERROR(V319*I319/H319,"0")+IFERROR(V320*I320/H320,"0")+IFERROR(V324*I324/H324,"0")+IFERROR(V325*I325/H325,"0")+IFERROR(V329*I329/H329,"0")+IFERROR(V330*I330/H330,"0")+IFERROR(V331*I331/H331,"0")+IFERROR(V332*I332/H332,"0")+IFERROR(V336*I336/H336,"0")+IFERROR(V342*I342/H342,"0")+IFERROR(V343*I343/H343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363*I363/H363,"0")+IFERROR(V364*I364/H364,"0")+IFERROR(V365*I365/H365,"0")+IFERROR(V366*I366/H366,"0")+IFERROR(V370*I370/H370,"0")+IFERROR(V374*I374/H374,"0")+IFERROR(V375*I375/H375,"0")+IFERROR(V376*I376/H376,"0")+IFERROR(V380*I380/H380,"0")+IFERROR(V385*I385/H385,"0")+IFERROR(V386*I386/H386,"0")+IFERROR(V390*I390/H390,"0")+IFERROR(V391*I391/H391,"0")+IFERROR(V392*I392/H392,"0")+IFERROR(V393*I393/H393,"0")+IFERROR(V394*I394/H394,"0")+IFERROR(V395*I395/H395,"0")+IFERROR(V396*I396/H396,"0")+IFERROR(V400*I400/H400,"0")+IFERROR(V404*I404/H404,"0")+IFERROR(V410*I410/H410,"0")+IFERROR(V411*I411/H411,"0")+IFERROR(V412*I412/H412,"0")+IFERROR(V413*I413/H413,"0")+IFERROR(V414*I414/H414,"0")+IFERROR(V415*I415/H415,"0")+IFERROR(V416*I416/H416,"0")+IFERROR(V417*I417/H417,"0")+IFERROR(V418*I418/H418,"0")+IFERROR(V422*I422/H422,"0")+IFERROR(V423*I423/H423,"0")+IFERROR(V427*I427/H427,"0")+IFERROR(V428*I428/H428,"0")+IFERROR(V429*I429/H429,"0")+IFERROR(V430*I430/H430,"0")+IFERROR(V431*I431/H431,"0")+IFERROR(V432*I432/H432,"0")+IFERROR(V436*I436/H436,"0")+IFERROR(V437*I437/H437,"0")+IFERROR(V443*I443/H443,"0")+IFERROR(V444*I444/H444,"0")+IFERROR(V448*I448/H448,"0")+IFERROR(V449*I449/H449,"0")+IFERROR(V450*I450/H450,"0")+IFERROR(V454*I454/H454,"0")+IFERROR(V455*I455/H455,"0")+IFERROR(V456*I456/H456,"0")+IFERROR(V460*I460/H460,"0")+IFERROR(V461*I461/H461,"0")+IFERROR(V466*I466/H466,"0"),"0")</f>
        <v/>
      </c>
      <c r="W470" s="43" t="n"/>
      <c r="X470" s="688" t="n"/>
      <c r="Y470" s="688" t="n"/>
    </row>
    <row r="471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645" t="n"/>
      <c r="M471" s="933" t="inlineStr">
        <is>
          <t>Кол-во паллет</t>
        </is>
      </c>
      <c r="N471" s="639" t="n"/>
      <c r="O471" s="639" t="n"/>
      <c r="P471" s="639" t="n"/>
      <c r="Q471" s="639" t="n"/>
      <c r="R471" s="639" t="n"/>
      <c r="S471" s="640" t="n"/>
      <c r="T471" s="43" t="inlineStr">
        <is>
          <t>шт</t>
        </is>
      </c>
      <c r="U471" s="45">
        <f>ROUNDUP(IFERROR(SUMPRODUCT(1/J22:J22*(U22:U22/H22:H22)),"0")+IFERROR(SUMPRODUCT(1/J26:J31*(U26:U31/H26:H31)),"0")+IFERROR(SUMPRODUCT(1/J35:J35*(U35:U35/H35:H35)),"0")+IFERROR(SUMPRODUCT(1/J39:J39*(U39:U39/H39:H39)),"0")+IFERROR(SUMPRODUCT(1/J43:J43*(U43:U43/H43:H43)),"0")+IFERROR(SUMPRODUCT(1/J49:J50*(U49:U50/H49:H50)),"0")+IFERROR(SUMPRODUCT(1/J55:J58*(U55:U58/H55:H58)),"0")+IFERROR(SUMPRODUCT(1/J63:J78*(U63:U78/H63:H78)),"0")+IFERROR(SUMPRODUCT(1/J82:J87*(U82:U87/H82:H87)),"0")+IFERROR(SUMPRODUCT(1/J91:J101*(U91:U101/H91:H101)),"0")+IFERROR(SUMPRODUCT(1/J105:J114*(U105:U114/H105:H114)),"0")+IFERROR(SUMPRODUCT(1/J118:J122*(U118:U122/H118:H122)),"0")+IFERROR(SUMPRODUCT(1/J127:J130*(U127:U130/H127:H130)),"0")+IFERROR(SUMPRODUCT(1/J136:J138*(U136:U138/H136:H138)),"0")+IFERROR(SUMPRODUCT(1/J143:J150*(U143:U150/H143:H150)),"0")+IFERROR(SUMPRODUCT(1/J155:J156*(U155:U156/H155:H156)),"0")+IFERROR(SUMPRODUCT(1/J160:J161*(U160:U161/H160:H161)),"0")+IFERROR(SUMPRODUCT(1/J165:J168*(U165:U168/H165:H168)),"0")+IFERROR(SUMPRODUCT(1/J172:J189*(U172:U189/H172:H189)),"0")+IFERROR(SUMPRODUCT(1/J193:J194*(U193:U194/H193:H194)),"0")+IFERROR(SUMPRODUCT(1/J199:J213*(U199:U213/H199:H213)),"0")+IFERROR(SUMPRODUCT(1/J217:J217*(U217:U217/H217:H217)),"0")+IFERROR(SUMPRODUCT(1/J221:J224*(U221:U224/H221:H224)),"0")+IFERROR(SUMPRODUCT(1/J228:J233*(U228:U233/H228:H233)),"0")+IFERROR(SUMPRODUCT(1/J237:J239*(U237:U239/H237:H239)),"0")+IFERROR(SUMPRODUCT(1/J243:J245*(U243:U245/H243:H245)),"0")+IFERROR(SUMPRODUCT(1/J249:J251*(U249:U251/H249:H251)),"0")+IFERROR(SUMPRODUCT(1/J256:J262*(U256:U262/H256:H262)),"0")+IFERROR(SUMPRODUCT(1/J266:J267*(U266:U267/H266:H267)),"0")+IFERROR(SUMPRODUCT(1/J272:J272*(U272:U272/H272:H272)),"0")+IFERROR(SUMPRODUCT(1/J276:J278*(U276:U278/H276:H278)),"0")+IFERROR(SUMPRODUCT(1/J282:J282*(U282:U282/H282:H282)),"0")+IFERROR(SUMPRODUCT(1/J286:J286*(U286:U286/H286:H286)),"0")+IFERROR(SUMPRODUCT(1/J292:J299*(U292:U299/H292:H299)),"0")+IFERROR(SUMPRODUCT(1/J303:J304*(U303:U304/H303:H304)),"0")+IFERROR(SUMPRODUCT(1/J308:J308*(U308:U308/H308:H308)),"0")+IFERROR(SUMPRODUCT(1/J312:J312*(U312:U312/H312:H312)),"0")+IFERROR(SUMPRODUCT(1/J317:J320*(U317:U320/H317:H320)),"0")+IFERROR(SUMPRODUCT(1/J324:J325*(U324:U325/H324:H325)),"0")+IFERROR(SUMPRODUCT(1/J329:J332*(U329:U332/H329:H332)),"0")+IFERROR(SUMPRODUCT(1/J336:J336*(U336:U336/H336:H336)),"0")+IFERROR(SUMPRODUCT(1/J342:J343*(U342:U343/H342:H343)),"0")+IFERROR(SUMPRODUCT(1/J347:J359*(U347:U359/H347:H359)),"0")+IFERROR(SUMPRODUCT(1/J363:J366*(U363:U366/H363:H366)),"0")+IFERROR(SUMPRODUCT(1/J370:J370*(U370:U370/H370:H370)),"0")+IFERROR(SUMPRODUCT(1/J374:J376*(U374:U376/H374:H376)),"0")+IFERROR(SUMPRODUCT(1/J380:J380*(U380:U380/H380:H380)),"0")+IFERROR(SUMPRODUCT(1/J385:J386*(U385:U386/H385:H386)),"0")+IFERROR(SUMPRODUCT(1/J390:J396*(U390:U396/H390:H396)),"0")+IFERROR(SUMPRODUCT(1/J400:J400*(U400:U400/H400:H400)),"0")+IFERROR(SUMPRODUCT(1/J404:J404*(U404:U404/H404:H404)),"0")+IFERROR(SUMPRODUCT(1/J410:J418*(U410:U418/H410:H418)),"0")+IFERROR(SUMPRODUCT(1/J422:J423*(U422:U423/H422:H423)),"0")+IFERROR(SUMPRODUCT(1/J427:J432*(U427:U432/H427:H432)),"0")+IFERROR(SUMPRODUCT(1/J436:J437*(U436:U437/H436:H437)),"0")+IFERROR(SUMPRODUCT(1/J443:J444*(U443:U444/H443:H444)),"0")+IFERROR(SUMPRODUCT(1/J448:J450*(U448:U450/H448:H450)),"0")+IFERROR(SUMPRODUCT(1/J454:J456*(U454:U456/H454:H456)),"0")+IFERROR(SUMPRODUCT(1/J460:J461*(U460:U461/H460:H461)),"0")+IFERROR(SUMPRODUCT(1/J466:J466*(U466:U466/H466:H466)),"0"),0)</f>
        <v/>
      </c>
      <c r="V471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78*(V63:V78/H63:H78)),"0")+IFERROR(SUMPRODUCT(1/J82:J87*(V82:V87/H82:H87)),"0")+IFERROR(SUMPRODUCT(1/J91:J101*(V91:V101/H91:H101)),"0")+IFERROR(SUMPRODUCT(1/J105:J114*(V105:V114/H105:H114)),"0")+IFERROR(SUMPRODUCT(1/J118:J122*(V118:V122/H118:H122)),"0")+IFERROR(SUMPRODUCT(1/J127:J130*(V127:V130/H127:H130)),"0")+IFERROR(SUMPRODUCT(1/J136:J138*(V136:V138/H136:H138)),"0")+IFERROR(SUMPRODUCT(1/J143:J150*(V143:V150/H143:H150)),"0")+IFERROR(SUMPRODUCT(1/J155:J156*(V155:V156/H155:H156)),"0")+IFERROR(SUMPRODUCT(1/J160:J161*(V160:V161/H160:H161)),"0")+IFERROR(SUMPRODUCT(1/J165:J168*(V165:V168/H165:H168)),"0")+IFERROR(SUMPRODUCT(1/J172:J189*(V172:V189/H172:H189)),"0")+IFERROR(SUMPRODUCT(1/J193:J194*(V193:V194/H193:H194)),"0")+IFERROR(SUMPRODUCT(1/J199:J213*(V199:V213/H199:H213)),"0")+IFERROR(SUMPRODUCT(1/J217:J217*(V217:V217/H217:H217)),"0")+IFERROR(SUMPRODUCT(1/J221:J224*(V221:V224/H221:H224)),"0")+IFERROR(SUMPRODUCT(1/J228:J233*(V228:V233/H228:H233)),"0")+IFERROR(SUMPRODUCT(1/J237:J239*(V237:V239/H237:H239)),"0")+IFERROR(SUMPRODUCT(1/J243:J245*(V243:V245/H243:H245)),"0")+IFERROR(SUMPRODUCT(1/J249:J251*(V249:V251/H249:H251)),"0")+IFERROR(SUMPRODUCT(1/J256:J262*(V256:V262/H256:H262)),"0")+IFERROR(SUMPRODUCT(1/J266:J267*(V266:V267/H266:H267)),"0")+IFERROR(SUMPRODUCT(1/J272:J272*(V272:V272/H272:H272)),"0")+IFERROR(SUMPRODUCT(1/J276:J278*(V276:V278/H276:H278)),"0")+IFERROR(SUMPRODUCT(1/J282:J282*(V282:V282/H282:H282)),"0")+IFERROR(SUMPRODUCT(1/J286:J286*(V286:V286/H286:H286)),"0")+IFERROR(SUMPRODUCT(1/J292:J299*(V292:V299/H292:H299)),"0")+IFERROR(SUMPRODUCT(1/J303:J304*(V303:V304/H303:H304)),"0")+IFERROR(SUMPRODUCT(1/J308:J308*(V308:V308/H308:H308)),"0")+IFERROR(SUMPRODUCT(1/J312:J312*(V312:V312/H312:H312)),"0")+IFERROR(SUMPRODUCT(1/J317:J320*(V317:V320/H317:H320)),"0")+IFERROR(SUMPRODUCT(1/J324:J325*(V324:V325/H324:H325)),"0")+IFERROR(SUMPRODUCT(1/J329:J332*(V329:V332/H329:H332)),"0")+IFERROR(SUMPRODUCT(1/J336:J336*(V336:V336/H336:H336)),"0")+IFERROR(SUMPRODUCT(1/J342:J343*(V342:V343/H342:H343)),"0")+IFERROR(SUMPRODUCT(1/J347:J359*(V347:V359/H347:H359)),"0")+IFERROR(SUMPRODUCT(1/J363:J366*(V363:V366/H363:H366)),"0")+IFERROR(SUMPRODUCT(1/J370:J370*(V370:V370/H370:H370)),"0")+IFERROR(SUMPRODUCT(1/J374:J376*(V374:V376/H374:H376)),"0")+IFERROR(SUMPRODUCT(1/J380:J380*(V380:V380/H380:H380)),"0")+IFERROR(SUMPRODUCT(1/J385:J386*(V385:V386/H385:H386)),"0")+IFERROR(SUMPRODUCT(1/J390:J396*(V390:V396/H390:H396)),"0")+IFERROR(SUMPRODUCT(1/J400:J400*(V400:V400/H400:H400)),"0")+IFERROR(SUMPRODUCT(1/J404:J404*(V404:V404/H404:H404)),"0")+IFERROR(SUMPRODUCT(1/J410:J418*(V410:V418/H410:H418)),"0")+IFERROR(SUMPRODUCT(1/J422:J423*(V422:V423/H422:H423)),"0")+IFERROR(SUMPRODUCT(1/J427:J432*(V427:V432/H427:H432)),"0")+IFERROR(SUMPRODUCT(1/J436:J437*(V436:V437/H436:H437)),"0")+IFERROR(SUMPRODUCT(1/J443:J444*(V443:V444/H443:H444)),"0")+IFERROR(SUMPRODUCT(1/J448:J450*(V448:V450/H448:H450)),"0")+IFERROR(SUMPRODUCT(1/J454:J456*(V454:V456/H454:H456)),"0")+IFERROR(SUMPRODUCT(1/J460:J461*(V460:V461/H460:H461)),"0")+IFERROR(SUMPRODUCT(1/J466:J466*(V466:V466/H466:H466)),"0"),0)</f>
        <v/>
      </c>
      <c r="W471" s="43" t="n"/>
      <c r="X471" s="688" t="n"/>
      <c r="Y471" s="688" t="n"/>
    </row>
    <row r="472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645" t="n"/>
      <c r="M472" s="933" t="inlineStr">
        <is>
          <t>Вес брутто  с паллетами</t>
        </is>
      </c>
      <c r="N472" s="639" t="n"/>
      <c r="O472" s="639" t="n"/>
      <c r="P472" s="639" t="n"/>
      <c r="Q472" s="639" t="n"/>
      <c r="R472" s="639" t="n"/>
      <c r="S472" s="640" t="n"/>
      <c r="T472" s="43" t="inlineStr">
        <is>
          <t>кг</t>
        </is>
      </c>
      <c r="U472" s="687">
        <f>GrossWeightTotal+PalletQtyTotal*25</f>
        <v/>
      </c>
      <c r="V472" s="687">
        <f>GrossWeightTotalR+PalletQtyTotalR*25</f>
        <v/>
      </c>
      <c r="W472" s="43" t="n"/>
      <c r="X472" s="688" t="n"/>
      <c r="Y472" s="688" t="n"/>
    </row>
    <row r="473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645" t="n"/>
      <c r="M473" s="933" t="inlineStr">
        <is>
          <t>Кол-во коробок</t>
        </is>
      </c>
      <c r="N473" s="639" t="n"/>
      <c r="O473" s="639" t="n"/>
      <c r="P473" s="639" t="n"/>
      <c r="Q473" s="639" t="n"/>
      <c r="R473" s="639" t="n"/>
      <c r="S473" s="640" t="n"/>
      <c r="T473" s="43" t="inlineStr">
        <is>
          <t>шт</t>
        </is>
      </c>
      <c r="U473" s="687">
        <f>IFERROR(U23+U32+U36+U40+U44+U51+U59+U79+U88+U102+U115+U123+U131+U139+U151+U157+U162+U169+U190+U195+U214+U218+U225+U234+U240+U246+U252+U263+U268+U273+U279+U283+U287+U300+U305+U309+U313+U321+U326+U333+U337+U344+U360+U367+U371+U377+U381+U387+U397+U401+U405+U419+U424+U433+U438+U445+U451+U457+U462+U467,"0")</f>
        <v/>
      </c>
      <c r="V473" s="687">
        <f>IFERROR(V23+V32+V36+V40+V44+V51+V59+V79+V88+V102+V115+V123+V131+V139+V151+V157+V162+V169+V190+V195+V214+V218+V225+V234+V240+V246+V252+V263+V268+V273+V279+V283+V287+V300+V305+V309+V313+V321+V326+V333+V337+V344+V360+V367+V371+V377+V381+V387+V397+V401+V405+V419+V424+V433+V438+V445+V451+V457+V462+V467,"0")</f>
        <v/>
      </c>
      <c r="W473" s="43" t="n"/>
      <c r="X473" s="688" t="n"/>
      <c r="Y473" s="688" t="n"/>
    </row>
    <row r="474" ht="14.25" customHeight="1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645" t="n"/>
      <c r="M474" s="933" t="inlineStr">
        <is>
          <t>Объем заказа</t>
        </is>
      </c>
      <c r="N474" s="639" t="n"/>
      <c r="O474" s="639" t="n"/>
      <c r="P474" s="639" t="n"/>
      <c r="Q474" s="639" t="n"/>
      <c r="R474" s="639" t="n"/>
      <c r="S474" s="640" t="n"/>
      <c r="T474" s="46" t="inlineStr">
        <is>
          <t>м3</t>
        </is>
      </c>
      <c r="U474" s="43" t="n"/>
      <c r="V474" s="43" t="n"/>
      <c r="W474" s="43">
        <f>IFERROR(W23+W32+W36+W40+W44+W51+W59+W79+W88+W102+W115+W123+W131+W139+W151+W157+W162+W169+W190+W195+W214+W218+W225+W234+W240+W246+W252+W263+W268+W273+W279+W283+W287+W300+W305+W309+W313+W321+W326+W333+W337+W344+W360+W367+W371+W377+W381+W387+W397+W401+W405+W419+W424+W433+W438+W445+W451+W457+W462+W467,"0")</f>
        <v/>
      </c>
      <c r="X474" s="688" t="n"/>
      <c r="Y474" s="688" t="n"/>
    </row>
    <row r="475" ht="13.5" customHeight="1" thickBot="1"/>
    <row r="476" ht="27" customHeight="1" thickBot="1" thickTop="1">
      <c r="A476" s="47" t="inlineStr">
        <is>
          <t>ТОРГОВАЯ МАРКА</t>
        </is>
      </c>
      <c r="B476" s="318" t="inlineStr">
        <is>
          <t>Ядрена копоть</t>
        </is>
      </c>
      <c r="C476" s="318" t="inlineStr">
        <is>
          <t>Вязанка</t>
        </is>
      </c>
      <c r="D476" s="934" t="n"/>
      <c r="E476" s="934" t="n"/>
      <c r="F476" s="935" t="n"/>
      <c r="G476" s="318" t="inlineStr">
        <is>
          <t>Стародворье</t>
        </is>
      </c>
      <c r="H476" s="934" t="n"/>
      <c r="I476" s="934" t="n"/>
      <c r="J476" s="934" t="n"/>
      <c r="K476" s="934" t="n"/>
      <c r="L476" s="935" t="n"/>
      <c r="M476" s="318" t="inlineStr">
        <is>
          <t>Особый рецепт</t>
        </is>
      </c>
      <c r="N476" s="935" t="n"/>
      <c r="O476" s="318" t="inlineStr">
        <is>
          <t>Баварушка</t>
        </is>
      </c>
      <c r="P476" s="935" t="n"/>
      <c r="Q476" s="318" t="inlineStr">
        <is>
          <t>Дугушка</t>
        </is>
      </c>
      <c r="R476" s="318" t="inlineStr">
        <is>
          <t>Зареченские</t>
        </is>
      </c>
      <c r="S476" s="935" t="n"/>
      <c r="T476" s="1" t="n"/>
      <c r="Y476" s="61" t="n"/>
      <c r="AB476" s="1" t="n"/>
    </row>
    <row r="477" ht="14.25" customHeight="1" thickTop="1">
      <c r="A477" s="319" t="inlineStr">
        <is>
          <t>СЕРИЯ</t>
        </is>
      </c>
      <c r="B477" s="318" t="inlineStr">
        <is>
          <t>Ядрена копоть</t>
        </is>
      </c>
      <c r="C477" s="318" t="inlineStr">
        <is>
          <t>Столичная</t>
        </is>
      </c>
      <c r="D477" s="318" t="inlineStr">
        <is>
          <t>Классическая</t>
        </is>
      </c>
      <c r="E477" s="318" t="inlineStr">
        <is>
          <t>Вязанка</t>
        </is>
      </c>
      <c r="F477" s="318" t="inlineStr">
        <is>
          <t>Сливушки</t>
        </is>
      </c>
      <c r="G477" s="318" t="inlineStr">
        <is>
          <t>Золоченная в печи</t>
        </is>
      </c>
      <c r="H477" s="318" t="inlineStr">
        <is>
          <t>Мясорубская</t>
        </is>
      </c>
      <c r="I477" s="318" t="inlineStr">
        <is>
          <t>Сочинка</t>
        </is>
      </c>
      <c r="J477" s="318" t="inlineStr">
        <is>
          <t>Бордо</t>
        </is>
      </c>
      <c r="K477" s="318" t="inlineStr">
        <is>
          <t>Фирменная</t>
        </is>
      </c>
      <c r="L477" s="318" t="inlineStr">
        <is>
          <t>Бавария</t>
        </is>
      </c>
      <c r="M477" s="318" t="inlineStr">
        <is>
          <t>Особая</t>
        </is>
      </c>
      <c r="N477" s="318" t="inlineStr">
        <is>
          <t>Особая Без свинины</t>
        </is>
      </c>
      <c r="O477" s="318" t="inlineStr">
        <is>
          <t>Филейбургская</t>
        </is>
      </c>
      <c r="P477" s="318" t="inlineStr">
        <is>
          <t>Балыкбургская</t>
        </is>
      </c>
      <c r="Q477" s="318" t="inlineStr">
        <is>
          <t>Дугушка</t>
        </is>
      </c>
      <c r="R477" s="318" t="inlineStr">
        <is>
          <t>Зареченские продукты</t>
        </is>
      </c>
      <c r="S477" s="318" t="inlineStr">
        <is>
          <t>Выгодная цена</t>
        </is>
      </c>
      <c r="T477" s="1" t="n"/>
      <c r="Y477" s="61" t="n"/>
      <c r="AB477" s="1" t="n"/>
    </row>
    <row r="478" ht="13.5" customHeight="1" thickBot="1">
      <c r="A478" s="936" t="n"/>
      <c r="B478" s="937" t="n"/>
      <c r="C478" s="937" t="n"/>
      <c r="D478" s="937" t="n"/>
      <c r="E478" s="937" t="n"/>
      <c r="F478" s="937" t="n"/>
      <c r="G478" s="937" t="n"/>
      <c r="H478" s="937" t="n"/>
      <c r="I478" s="937" t="n"/>
      <c r="J478" s="937" t="n"/>
      <c r="K478" s="937" t="n"/>
      <c r="L478" s="937" t="n"/>
      <c r="M478" s="937" t="n"/>
      <c r="N478" s="937" t="n"/>
      <c r="O478" s="937" t="n"/>
      <c r="P478" s="937" t="n"/>
      <c r="Q478" s="937" t="n"/>
      <c r="R478" s="937" t="n"/>
      <c r="S478" s="937" t="n"/>
      <c r="T478" s="1" t="n"/>
      <c r="Y478" s="61" t="n"/>
      <c r="AB478" s="1" t="n"/>
    </row>
    <row r="479" ht="18" customHeight="1" thickBot="1" thickTop="1">
      <c r="A479" s="47" t="inlineStr">
        <is>
          <t>ИТОГО, кг</t>
        </is>
      </c>
      <c r="B479" s="53">
        <f>IFERROR(V22*1,"0")+IFERROR(V26*1,"0")+IFERROR(V27*1,"0")+IFERROR(V28*1,"0")+IFERROR(V29*1,"0")+IFERROR(V30*1,"0")+IFERROR(V31*1,"0")+IFERROR(V35*1,"0")+IFERROR(V39*1,"0")+IFERROR(V43*1,"0")</f>
        <v/>
      </c>
      <c r="C479" s="53">
        <f>IFERROR(V49*1,"0")+IFERROR(V50*1,"0")</f>
        <v/>
      </c>
      <c r="D479" s="53">
        <f>IFERROR(V55*1,"0")+IFERROR(V56*1,"0")+IFERROR(V57*1,"0")+IFERROR(V58*1,"0")</f>
        <v/>
      </c>
      <c r="E479" s="53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82*1,"0")+IFERROR(V83*1,"0")+IFERROR(V84*1,"0")+IFERROR(V85*1,"0")+IFERROR(V86*1,"0")+IFERROR(V87*1,"0")+IFERROR(V91*1,"0")+IFERROR(V92*1,"0")+IFERROR(V93*1,"0")+IFERROR(V94*1,"0")+IFERROR(V95*1,"0")+IFERROR(V96*1,"0")+IFERROR(V97*1,"0")+IFERROR(V98*1,"0")+IFERROR(V99*1,"0")+IFERROR(V100*1,"0")+IFERROR(V101*1,"0")+IFERROR(V105*1,"0")+IFERROR(V106*1,"0")+IFERROR(V107*1,"0")+IFERROR(V108*1,"0")+IFERROR(V109*1,"0")+IFERROR(V110*1,"0")+IFERROR(V111*1,"0")+IFERROR(V112*1,"0")+IFERROR(V113*1,"0")+IFERROR(V114*1,"0")+IFERROR(V118*1,"0")+IFERROR(V119*1,"0")+IFERROR(V120*1,"0")+IFERROR(V121*1,"0")+IFERROR(V122*1,"0")</f>
        <v/>
      </c>
      <c r="F479" s="53">
        <f>IFERROR(V127*1,"0")+IFERROR(V128*1,"0")+IFERROR(V129*1,"0")+IFERROR(V130*1,"0")</f>
        <v/>
      </c>
      <c r="G479" s="53">
        <f>IFERROR(V136*1,"0")+IFERROR(V137*1,"0")+IFERROR(V138*1,"0")</f>
        <v/>
      </c>
      <c r="H479" s="53">
        <f>IFERROR(V143*1,"0")+IFERROR(V144*1,"0")+IFERROR(V145*1,"0")+IFERROR(V146*1,"0")+IFERROR(V147*1,"0")+IFERROR(V148*1,"0")+IFERROR(V149*1,"0")+IFERROR(V150*1,"0")</f>
        <v/>
      </c>
      <c r="I479" s="53">
        <f>IFERROR(V155*1,"0")+IFERROR(V156*1,"0")+IFERROR(V160*1,"0")+IFERROR(V161*1,"0")+IFERROR(V165*1,"0")+IFERROR(V166*1,"0")+IFERROR(V167*1,"0")+IFERROR(V168*1,"0")+IFERROR(V172*1,"0")+IFERROR(V173*1,"0")+IFERROR(V174*1,"0")+IFERROR(V175*1,"0")+IFERROR(V176*1,"0")+IFERROR(V177*1,"0")+IFERROR(V178*1,"0")+IFERROR(V179*1,"0")+IFERROR(V180*1,"0")+IFERROR(V181*1,"0")+IFERROR(V182*1,"0")+IFERROR(V183*1,"0")+IFERROR(V184*1,"0")+IFERROR(V185*1,"0")+IFERROR(V186*1,"0")+IFERROR(V187*1,"0")+IFERROR(V188*1,"0")+IFERROR(V189*1,"0")+IFERROR(V193*1,"0")+IFERROR(V194*1,"0")</f>
        <v/>
      </c>
      <c r="J479" s="53">
        <f>IFERROR(V199*1,"0")+IFERROR(V200*1,"0")+IFERROR(V201*1,"0")+IFERROR(V202*1,"0")+IFERROR(V203*1,"0")+IFERROR(V204*1,"0")+IFERROR(V205*1,"0")+IFERROR(V206*1,"0")+IFERROR(V207*1,"0")+IFERROR(V208*1,"0")+IFERROR(V209*1,"0")+IFERROR(V210*1,"0")+IFERROR(V211*1,"0")+IFERROR(V212*1,"0")+IFERROR(V213*1,"0")+IFERROR(V217*1,"0")+IFERROR(V221*1,"0")+IFERROR(V222*1,"0")+IFERROR(V223*1,"0")+IFERROR(V224*1,"0")+IFERROR(V228*1,"0")+IFERROR(V229*1,"0")+IFERROR(V230*1,"0")+IFERROR(V231*1,"0")+IFERROR(V232*1,"0")+IFERROR(V233*1,"0")+IFERROR(V237*1,"0")+IFERROR(V238*1,"0")+IFERROR(V239*1,"0")+IFERROR(V243*1,"0")+IFERROR(V244*1,"0")+IFERROR(V245*1,"0")+IFERROR(V249*1,"0")+IFERROR(V250*1,"0")+IFERROR(V251*1,"0")</f>
        <v/>
      </c>
      <c r="K479" s="53">
        <f>IFERROR(V256*1,"0")+IFERROR(V257*1,"0")+IFERROR(V258*1,"0")+IFERROR(V259*1,"0")+IFERROR(V260*1,"0")+IFERROR(V261*1,"0")+IFERROR(V262*1,"0")+IFERROR(V266*1,"0")+IFERROR(V267*1,"0")</f>
        <v/>
      </c>
      <c r="L479" s="53">
        <f>IFERROR(V272*1,"0")+IFERROR(V276*1,"0")+IFERROR(V277*1,"0")+IFERROR(V278*1,"0")+IFERROR(V282*1,"0")+IFERROR(V286*1,"0")</f>
        <v/>
      </c>
      <c r="M479" s="53">
        <f>IFERROR(V292*1,"0")+IFERROR(V293*1,"0")+IFERROR(V294*1,"0")+IFERROR(V295*1,"0")+IFERROR(V296*1,"0")+IFERROR(V297*1,"0")+IFERROR(V298*1,"0")+IFERROR(V299*1,"0")+IFERROR(V303*1,"0")+IFERROR(V304*1,"0")+IFERROR(V308*1,"0")+IFERROR(V312*1,"0")</f>
        <v/>
      </c>
      <c r="N479" s="53">
        <f>IFERROR(V317*1,"0")+IFERROR(V318*1,"0")+IFERROR(V319*1,"0")+IFERROR(V320*1,"0")+IFERROR(V324*1,"0")+IFERROR(V325*1,"0")+IFERROR(V329*1,"0")+IFERROR(V330*1,"0")+IFERROR(V331*1,"0")+IFERROR(V332*1,"0")+IFERROR(V336*1,"0")</f>
        <v/>
      </c>
      <c r="O479" s="53">
        <f>IFERROR(V342*1,"0")+IFERROR(V343*1,"0")+IFERROR(V347*1,"0")+IFERROR(V348*1,"0")+IFERROR(V349*1,"0")+IFERROR(V350*1,"0")+IFERROR(V351*1,"0")+IFERROR(V352*1,"0")+IFERROR(V353*1,"0")+IFERROR(V354*1,"0")+IFERROR(V355*1,"0")+IFERROR(V356*1,"0")+IFERROR(V357*1,"0")+IFERROR(V358*1,"0")+IFERROR(V359*1,"0")+IFERROR(V363*1,"0")+IFERROR(V364*1,"0")+IFERROR(V365*1,"0")+IFERROR(V366*1,"0")+IFERROR(V370*1,"0")+IFERROR(V374*1,"0")+IFERROR(V375*1,"0")+IFERROR(V376*1,"0")+IFERROR(V380*1,"0")</f>
        <v/>
      </c>
      <c r="P479" s="53">
        <f>IFERROR(V385*1,"0")+IFERROR(V386*1,"0")+IFERROR(V390*1,"0")+IFERROR(V391*1,"0")+IFERROR(V392*1,"0")+IFERROR(V393*1,"0")+IFERROR(V394*1,"0")+IFERROR(V395*1,"0")+IFERROR(V396*1,"0")+IFERROR(V400*1,"0")+IFERROR(V404*1,"0")</f>
        <v/>
      </c>
      <c r="Q479" s="53">
        <f>IFERROR(V410*1,"0")+IFERROR(V411*1,"0")+IFERROR(V412*1,"0")+IFERROR(V413*1,"0")+IFERROR(V414*1,"0")+IFERROR(V415*1,"0")+IFERROR(V416*1,"0")+IFERROR(V417*1,"0")+IFERROR(V418*1,"0")+IFERROR(V422*1,"0")+IFERROR(V423*1,"0")+IFERROR(V427*1,"0")+IFERROR(V428*1,"0")+IFERROR(V429*1,"0")+IFERROR(V430*1,"0")+IFERROR(V431*1,"0")+IFERROR(V432*1,"0")+IFERROR(V436*1,"0")+IFERROR(V437*1,"0")</f>
        <v/>
      </c>
      <c r="R479" s="53">
        <f>IFERROR(V443*1,"0")+IFERROR(V444*1,"0")+IFERROR(V448*1,"0")+IFERROR(V449*1,"0")+IFERROR(V450*1,"0")+IFERROR(V454*1,"0")+IFERROR(V455*1,"0")+IFERROR(V456*1,"0")+IFERROR(V460*1,"0")+IFERROR(V461*1,"0")</f>
        <v/>
      </c>
      <c r="S479" s="53">
        <f>IFERROR(V466*1,"0")</f>
        <v/>
      </c>
      <c r="T479" s="1" t="n"/>
      <c r="Y479" s="61" t="n"/>
      <c r="AB479" s="1" t="n"/>
    </row>
    <row r="480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5Qr4jX7BxktWRudLe3eatA==" formatRows="1" sort="0" spinCount="100000" hashValue="KT+gh6hfAry19ZQJMY9ZmaioZTs1MXS0YxNmQFhtzi/AEE8FMX4Th0Wc5dk/SmUZhXjENFqrA7hAvKCdURPexw=="/>
  <autoFilter ref="B18:W18">
    <filterColumn colId="2" hiddenButton="0" showButton="0"/>
    <filterColumn colId="11" hiddenButton="0" showButton="0"/>
    <filterColumn colId="12" hiddenButton="0" showButton="0"/>
    <filterColumn colId="13" hiddenButton="0" showButton="0"/>
    <filterColumn colId="14" hiddenButton="0" showButton="0"/>
  </autoFilter>
  <mergeCells count="850">
    <mergeCell ref="A477:A478"/>
    <mergeCell ref="C477:C478"/>
    <mergeCell ref="A451:L452"/>
    <mergeCell ref="M143:Q143"/>
    <mergeCell ref="D187:E187"/>
    <mergeCell ref="A15:K15"/>
    <mergeCell ref="D174:E174"/>
    <mergeCell ref="M361:S361"/>
    <mergeCell ref="D423:E423"/>
    <mergeCell ref="A48:W48"/>
    <mergeCell ref="D410:E410"/>
    <mergeCell ref="M49:Q49"/>
    <mergeCell ref="M284:S284"/>
    <mergeCell ref="A142:W142"/>
    <mergeCell ref="M207:Q207"/>
    <mergeCell ref="H9:I9"/>
    <mergeCell ref="J9:K9"/>
    <mergeCell ref="M215:S215"/>
    <mergeCell ref="M78:Q78"/>
    <mergeCell ref="D297:E297"/>
    <mergeCell ref="A442:W442"/>
    <mergeCell ref="M152:S152"/>
    <mergeCell ref="D70:E70"/>
    <mergeCell ref="M279:S279"/>
    <mergeCell ref="D312:E312"/>
    <mergeCell ref="H1:N1"/>
    <mergeCell ref="A379:W379"/>
    <mergeCell ref="D238:E238"/>
    <mergeCell ref="M296:Q296"/>
    <mergeCell ref="A252:L253"/>
    <mergeCell ref="D78:E78"/>
    <mergeCell ref="D205:E205"/>
    <mergeCell ref="M217:Q217"/>
    <mergeCell ref="D376:E376"/>
    <mergeCell ref="M452:S452"/>
    <mergeCell ref="D363:E363"/>
    <mergeCell ref="D357:E357"/>
    <mergeCell ref="M27:Q27"/>
    <mergeCell ref="D71:E71"/>
    <mergeCell ref="M298:Q298"/>
    <mergeCell ref="M218:S218"/>
    <mergeCell ref="M325:Q325"/>
    <mergeCell ref="D332:E332"/>
    <mergeCell ref="M396:Q396"/>
    <mergeCell ref="M390:Q390"/>
    <mergeCell ref="M91:Q91"/>
    <mergeCell ref="D98:E98"/>
    <mergeCell ref="D73:E73"/>
    <mergeCell ref="M156:Q156"/>
    <mergeCell ref="A214:L215"/>
    <mergeCell ref="M454:Q454"/>
    <mergeCell ref="M305:S305"/>
    <mergeCell ref="A377:L378"/>
    <mergeCell ref="M155:Q155"/>
    <mergeCell ref="M468:S468"/>
    <mergeCell ref="M93:Q93"/>
    <mergeCell ref="M391:Q391"/>
    <mergeCell ref="M163:S163"/>
    <mergeCell ref="M234:S234"/>
    <mergeCell ref="M405:S405"/>
    <mergeCell ref="B17:B18"/>
    <mergeCell ref="M180:Q180"/>
    <mergeCell ref="D258:E258"/>
    <mergeCell ref="A59:L60"/>
    <mergeCell ref="Q6:R9"/>
    <mergeCell ref="M382:S382"/>
    <mergeCell ref="A281:W281"/>
    <mergeCell ref="S6:T9"/>
    <mergeCell ref="D189:E189"/>
    <mergeCell ref="D431:E431"/>
    <mergeCell ref="M109:Q109"/>
    <mergeCell ref="M84:Q84"/>
    <mergeCell ref="A88:L89"/>
    <mergeCell ref="M22:Q22"/>
    <mergeCell ref="D66:E66"/>
    <mergeCell ref="M320:Q320"/>
    <mergeCell ref="H10:K10"/>
    <mergeCell ref="M75:Q75"/>
    <mergeCell ref="A133:W133"/>
    <mergeCell ref="D351:E351"/>
    <mergeCell ref="A369:W369"/>
    <mergeCell ref="A169:L170"/>
    <mergeCell ref="A225:L226"/>
    <mergeCell ref="D411:E411"/>
    <mergeCell ref="M286:Q286"/>
    <mergeCell ref="M86:Q86"/>
    <mergeCell ref="A283:L284"/>
    <mergeCell ref="M444:Q444"/>
    <mergeCell ref="W17:W18"/>
    <mergeCell ref="M300:S300"/>
    <mergeCell ref="M287:S287"/>
    <mergeCell ref="M458:S458"/>
    <mergeCell ref="B477:B478"/>
    <mergeCell ref="M106:Q106"/>
    <mergeCell ref="M404:Q404"/>
    <mergeCell ref="A38:W38"/>
    <mergeCell ref="D129:E129"/>
    <mergeCell ref="D365:E365"/>
    <mergeCell ref="M89:S89"/>
    <mergeCell ref="D144:E144"/>
    <mergeCell ref="M460:Q460"/>
    <mergeCell ref="D429:E429"/>
    <mergeCell ref="M177:Q177"/>
    <mergeCell ref="M299:Q299"/>
    <mergeCell ref="D208:E208"/>
    <mergeCell ref="A275:W275"/>
    <mergeCell ref="M313:S313"/>
    <mergeCell ref="D366:E366"/>
    <mergeCell ref="A340:W340"/>
    <mergeCell ref="H5:K5"/>
    <mergeCell ref="M35:Q35"/>
    <mergeCell ref="M228:Q228"/>
    <mergeCell ref="M17:Q18"/>
    <mergeCell ref="M222:Q222"/>
    <mergeCell ref="D6:K6"/>
    <mergeCell ref="M172:Q172"/>
    <mergeCell ref="M99:Q99"/>
    <mergeCell ref="A157:L158"/>
    <mergeCell ref="A246:L247"/>
    <mergeCell ref="M344:S344"/>
    <mergeCell ref="M471:S471"/>
    <mergeCell ref="M30:Q30"/>
    <mergeCell ref="M223:Q223"/>
    <mergeCell ref="M123:S123"/>
    <mergeCell ref="M446:S446"/>
    <mergeCell ref="D259:E259"/>
    <mergeCell ref="A457:L458"/>
    <mergeCell ref="M317:Q317"/>
    <mergeCell ref="D28:E28"/>
    <mergeCell ref="M402:S402"/>
    <mergeCell ref="M473:S473"/>
    <mergeCell ref="A464:W464"/>
    <mergeCell ref="Z17:AB18"/>
    <mergeCell ref="K477:K478"/>
    <mergeCell ref="D432:E432"/>
    <mergeCell ref="D92:E92"/>
    <mergeCell ref="D55:E55"/>
    <mergeCell ref="D30:E30"/>
    <mergeCell ref="M175:Q175"/>
    <mergeCell ref="D353:E353"/>
    <mergeCell ref="A159:W159"/>
    <mergeCell ref="D67:E67"/>
    <mergeCell ref="D5:E5"/>
    <mergeCell ref="M214:S214"/>
    <mergeCell ref="D303:E303"/>
    <mergeCell ref="M318:Q318"/>
    <mergeCell ref="M256:Q256"/>
    <mergeCell ref="M312:Q312"/>
    <mergeCell ref="M112:Q112"/>
    <mergeCell ref="D94:E94"/>
    <mergeCell ref="D417:E417"/>
    <mergeCell ref="M348:Q348"/>
    <mergeCell ref="D69:E69"/>
    <mergeCell ref="M326:S326"/>
    <mergeCell ref="M56:Q56"/>
    <mergeCell ref="A459:W459"/>
    <mergeCell ref="M127:Q127"/>
    <mergeCell ref="M176:Q176"/>
    <mergeCell ref="M301:S301"/>
    <mergeCell ref="M114:Q114"/>
    <mergeCell ref="D354:E354"/>
    <mergeCell ref="M412:Q412"/>
    <mergeCell ref="M337:S337"/>
    <mergeCell ref="A462:L463"/>
    <mergeCell ref="M309:S309"/>
    <mergeCell ref="M32:S32"/>
    <mergeCell ref="M103:S103"/>
    <mergeCell ref="D356:E356"/>
    <mergeCell ref="M401:S401"/>
    <mergeCell ref="M201:Q201"/>
    <mergeCell ref="J477:J478"/>
    <mergeCell ref="M240:S240"/>
    <mergeCell ref="L477:L478"/>
    <mergeCell ref="A54:W54"/>
    <mergeCell ref="D145:E145"/>
    <mergeCell ref="D272:E272"/>
    <mergeCell ref="M203:Q203"/>
    <mergeCell ref="A90:W90"/>
    <mergeCell ref="D210:E210"/>
    <mergeCell ref="D443:E443"/>
    <mergeCell ref="D308:E308"/>
    <mergeCell ref="M243:Q243"/>
    <mergeCell ref="D87:E87"/>
    <mergeCell ref="D209:E209"/>
    <mergeCell ref="D147:E147"/>
    <mergeCell ref="M292:Q292"/>
    <mergeCell ref="M267:Q267"/>
    <mergeCell ref="A154:W154"/>
    <mergeCell ref="D245:E245"/>
    <mergeCell ref="D380:E380"/>
    <mergeCell ref="A285:W285"/>
    <mergeCell ref="D122:E122"/>
    <mergeCell ref="A341:W341"/>
    <mergeCell ref="D224:E224"/>
    <mergeCell ref="M398:S398"/>
    <mergeCell ref="D211:E211"/>
    <mergeCell ref="AZ17:AZ18"/>
    <mergeCell ref="D1:F1"/>
    <mergeCell ref="M244:Q244"/>
    <mergeCell ref="M100:Q100"/>
    <mergeCell ref="J17:J18"/>
    <mergeCell ref="D82:E82"/>
    <mergeCell ref="L17:L18"/>
    <mergeCell ref="M231:Q231"/>
    <mergeCell ref="M336:Q336"/>
    <mergeCell ref="A321:L322"/>
    <mergeCell ref="M472:S472"/>
    <mergeCell ref="M124:S124"/>
    <mergeCell ref="M195:S195"/>
    <mergeCell ref="M45:S45"/>
    <mergeCell ref="M116:S116"/>
    <mergeCell ref="D100:E100"/>
    <mergeCell ref="M474:S474"/>
    <mergeCell ref="A403:W403"/>
    <mergeCell ref="M253:S253"/>
    <mergeCell ref="D31:E31"/>
    <mergeCell ref="M345:S345"/>
    <mergeCell ref="D329:E329"/>
    <mergeCell ref="M418:Q418"/>
    <mergeCell ref="D229:E229"/>
    <mergeCell ref="D400:E400"/>
    <mergeCell ref="M264:S264"/>
    <mergeCell ref="D77:E77"/>
    <mergeCell ref="M64:Q64"/>
    <mergeCell ref="D108:E108"/>
    <mergeCell ref="D375:E375"/>
    <mergeCell ref="M262:Q262"/>
    <mergeCell ref="M178:Q178"/>
    <mergeCell ref="M349:Q349"/>
    <mergeCell ref="D160:E160"/>
    <mergeCell ref="I17:I18"/>
    <mergeCell ref="A227:W227"/>
    <mergeCell ref="M128:Q128"/>
    <mergeCell ref="N5:O5"/>
    <mergeCell ref="M364:Q364"/>
    <mergeCell ref="M44:S44"/>
    <mergeCell ref="A51:L52"/>
    <mergeCell ref="M413:Q413"/>
    <mergeCell ref="D72:E72"/>
    <mergeCell ref="M378:S378"/>
    <mergeCell ref="M428:Q428"/>
    <mergeCell ref="M415:Q415"/>
    <mergeCell ref="M169:S169"/>
    <mergeCell ref="A302:W302"/>
    <mergeCell ref="A469:L474"/>
    <mergeCell ref="D260:E260"/>
    <mergeCell ref="M469:S469"/>
    <mergeCell ref="A6:C6"/>
    <mergeCell ref="A389:W389"/>
    <mergeCell ref="D113:E113"/>
    <mergeCell ref="D26:E26"/>
    <mergeCell ref="D148:E148"/>
    <mergeCell ref="M146:Q146"/>
    <mergeCell ref="M235:S235"/>
    <mergeCell ref="D324:E324"/>
    <mergeCell ref="M342:Q342"/>
    <mergeCell ref="M406:S406"/>
    <mergeCell ref="M41:S41"/>
    <mergeCell ref="M181:Q181"/>
    <mergeCell ref="I477:I478"/>
    <mergeCell ref="M308:Q308"/>
    <mergeCell ref="M83:Q83"/>
    <mergeCell ref="D261:E261"/>
    <mergeCell ref="S12:T12"/>
    <mergeCell ref="M24:S24"/>
    <mergeCell ref="A328:W328"/>
    <mergeCell ref="D448:E448"/>
    <mergeCell ref="M322:S322"/>
    <mergeCell ref="A333:L334"/>
    <mergeCell ref="M245:Q245"/>
    <mergeCell ref="M39:Q39"/>
    <mergeCell ref="M110:Q110"/>
    <mergeCell ref="D390:E390"/>
    <mergeCell ref="A5:C5"/>
    <mergeCell ref="M174:Q174"/>
    <mergeCell ref="T17:T18"/>
    <mergeCell ref="M410:Q410"/>
    <mergeCell ref="D179:E179"/>
    <mergeCell ref="D166:E166"/>
    <mergeCell ref="M132:S132"/>
    <mergeCell ref="A17:A18"/>
    <mergeCell ref="K17:K18"/>
    <mergeCell ref="C17:C18"/>
    <mergeCell ref="M199:Q199"/>
    <mergeCell ref="D230:E230"/>
    <mergeCell ref="A248:W248"/>
    <mergeCell ref="D168:E168"/>
    <mergeCell ref="A104:W104"/>
    <mergeCell ref="D466:E466"/>
    <mergeCell ref="D9:E9"/>
    <mergeCell ref="M136:Q136"/>
    <mergeCell ref="D118:E118"/>
    <mergeCell ref="F9:G9"/>
    <mergeCell ref="D180:E180"/>
    <mergeCell ref="D167:E167"/>
    <mergeCell ref="M57:Q57"/>
    <mergeCell ref="D161:E161"/>
    <mergeCell ref="M355:Q355"/>
    <mergeCell ref="D232:E232"/>
    <mergeCell ref="M419:S419"/>
    <mergeCell ref="N6:O6"/>
    <mergeCell ref="M29:Q29"/>
    <mergeCell ref="M200:Q200"/>
    <mergeCell ref="M194:Q194"/>
    <mergeCell ref="M365:Q365"/>
    <mergeCell ref="M436:Q436"/>
    <mergeCell ref="M121:Q121"/>
    <mergeCell ref="M357:Q357"/>
    <mergeCell ref="M37:S37"/>
    <mergeCell ref="M71:Q71"/>
    <mergeCell ref="M202:Q202"/>
    <mergeCell ref="M58:Q58"/>
    <mergeCell ref="R477:R478"/>
    <mergeCell ref="M294:Q294"/>
    <mergeCell ref="D63:E63"/>
    <mergeCell ref="D330:E330"/>
    <mergeCell ref="M381:S381"/>
    <mergeCell ref="A344:L345"/>
    <mergeCell ref="R476:S476"/>
    <mergeCell ref="M260:Q260"/>
    <mergeCell ref="D96:E96"/>
    <mergeCell ref="M276:Q276"/>
    <mergeCell ref="M274:S274"/>
    <mergeCell ref="A337:L338"/>
    <mergeCell ref="M445:S445"/>
    <mergeCell ref="M470:S470"/>
    <mergeCell ref="A399:W399"/>
    <mergeCell ref="D350:E350"/>
    <mergeCell ref="D27:E27"/>
    <mergeCell ref="D325:E325"/>
    <mergeCell ref="M338:S338"/>
    <mergeCell ref="M278:Q278"/>
    <mergeCell ref="D396:E396"/>
    <mergeCell ref="D456:E456"/>
    <mergeCell ref="A25:W25"/>
    <mergeCell ref="M370:Q370"/>
    <mergeCell ref="D414:E414"/>
    <mergeCell ref="D352:E352"/>
    <mergeCell ref="D91:E91"/>
    <mergeCell ref="M293:Q293"/>
    <mergeCell ref="M149:Q149"/>
    <mergeCell ref="A36:L37"/>
    <mergeCell ref="D156:E156"/>
    <mergeCell ref="D460:E460"/>
    <mergeCell ref="D454:E454"/>
    <mergeCell ref="M385:Q385"/>
    <mergeCell ref="A198:W198"/>
    <mergeCell ref="A465:W465"/>
    <mergeCell ref="D106:E106"/>
    <mergeCell ref="D416:E416"/>
    <mergeCell ref="Q477:Q478"/>
    <mergeCell ref="S477:S478"/>
    <mergeCell ref="D93:E93"/>
    <mergeCell ref="M206:Q206"/>
    <mergeCell ref="M213:Q213"/>
    <mergeCell ref="D391:E391"/>
    <mergeCell ref="M449:Q449"/>
    <mergeCell ref="A263:L264"/>
    <mergeCell ref="A254:W254"/>
    <mergeCell ref="M411:Q411"/>
    <mergeCell ref="M140:S140"/>
    <mergeCell ref="M196:S196"/>
    <mergeCell ref="A273:L274"/>
    <mergeCell ref="M367:S367"/>
    <mergeCell ref="M2:T3"/>
    <mergeCell ref="D251:E251"/>
    <mergeCell ref="A20:W20"/>
    <mergeCell ref="M438:S438"/>
    <mergeCell ref="M158:S158"/>
    <mergeCell ref="M425:S425"/>
    <mergeCell ref="D343:E343"/>
    <mergeCell ref="M15:Q16"/>
    <mergeCell ref="A131:L132"/>
    <mergeCell ref="D182:E182"/>
    <mergeCell ref="D109:E109"/>
    <mergeCell ref="M363:Q363"/>
    <mergeCell ref="M306:S306"/>
    <mergeCell ref="D119:E119"/>
    <mergeCell ref="U17:U18"/>
    <mergeCell ref="M329:Q329"/>
    <mergeCell ref="M129:Q129"/>
    <mergeCell ref="M420:S420"/>
    <mergeCell ref="D111:E111"/>
    <mergeCell ref="D233:E233"/>
    <mergeCell ref="D282:E282"/>
    <mergeCell ref="D183:E183"/>
    <mergeCell ref="M73:Q73"/>
    <mergeCell ref="M266:Q266"/>
    <mergeCell ref="M70:Q70"/>
    <mergeCell ref="M437:Q437"/>
    <mergeCell ref="D444:E444"/>
    <mergeCell ref="A315:W315"/>
    <mergeCell ref="M358:Q358"/>
    <mergeCell ref="M429:Q429"/>
    <mergeCell ref="M280:S280"/>
    <mergeCell ref="M451:S451"/>
    <mergeCell ref="M137:Q137"/>
    <mergeCell ref="D185:E185"/>
    <mergeCell ref="M372:S372"/>
    <mergeCell ref="M59:S59"/>
    <mergeCell ref="D277:E277"/>
    <mergeCell ref="M366:Q366"/>
    <mergeCell ref="M74:Q74"/>
    <mergeCell ref="D43:E43"/>
    <mergeCell ref="M88:S88"/>
    <mergeCell ref="M219:S219"/>
    <mergeCell ref="A360:L361"/>
    <mergeCell ref="D137:E137"/>
    <mergeCell ref="D422:E422"/>
    <mergeCell ref="A440:W440"/>
    <mergeCell ref="D74:E74"/>
    <mergeCell ref="D130:E130"/>
    <mergeCell ref="M388:S388"/>
    <mergeCell ref="D68:E68"/>
    <mergeCell ref="D201:E201"/>
    <mergeCell ref="A141:W141"/>
    <mergeCell ref="A424:L425"/>
    <mergeCell ref="M455:Q455"/>
    <mergeCell ref="A135:W135"/>
    <mergeCell ref="D188:E188"/>
    <mergeCell ref="A62:W62"/>
    <mergeCell ref="M63:Q63"/>
    <mergeCell ref="M150:Q150"/>
    <mergeCell ref="M50:Q50"/>
    <mergeCell ref="M221:Q221"/>
    <mergeCell ref="M392:Q392"/>
    <mergeCell ref="M386:Q386"/>
    <mergeCell ref="D295:E295"/>
    <mergeCell ref="D178:E178"/>
    <mergeCell ref="A435:W435"/>
    <mergeCell ref="D172:E172"/>
    <mergeCell ref="A362:W362"/>
    <mergeCell ref="M432:Q432"/>
    <mergeCell ref="M92:Q92"/>
    <mergeCell ref="M394:Q394"/>
    <mergeCell ref="M450:Q450"/>
    <mergeCell ref="M229:Q229"/>
    <mergeCell ref="A279:L280"/>
    <mergeCell ref="M439:S439"/>
    <mergeCell ref="M377:S377"/>
    <mergeCell ref="A61:W61"/>
    <mergeCell ref="A153:W153"/>
    <mergeCell ref="A346:W346"/>
    <mergeCell ref="A268:L269"/>
    <mergeCell ref="A426:W426"/>
    <mergeCell ref="C476:F476"/>
    <mergeCell ref="S10:T10"/>
    <mergeCell ref="M105:Q105"/>
    <mergeCell ref="D112:E112"/>
    <mergeCell ref="A192:W192"/>
    <mergeCell ref="D348:E348"/>
    <mergeCell ref="D56:E56"/>
    <mergeCell ref="M120:Q120"/>
    <mergeCell ref="D127:E127"/>
    <mergeCell ref="M145:Q145"/>
    <mergeCell ref="D193:E193"/>
    <mergeCell ref="M443:Q443"/>
    <mergeCell ref="D176:E176"/>
    <mergeCell ref="D347:E347"/>
    <mergeCell ref="D114:E114"/>
    <mergeCell ref="M101:Q101"/>
    <mergeCell ref="D412:E412"/>
    <mergeCell ref="D64:E64"/>
    <mergeCell ref="M76:Q76"/>
    <mergeCell ref="M209:Q209"/>
    <mergeCell ref="S5:T5"/>
    <mergeCell ref="M147:Q147"/>
    <mergeCell ref="A151:L152"/>
    <mergeCell ref="M380:Q380"/>
    <mergeCell ref="F477:F478"/>
    <mergeCell ref="H477:H478"/>
    <mergeCell ref="D349:E349"/>
    <mergeCell ref="M165:Q165"/>
    <mergeCell ref="M283:S283"/>
    <mergeCell ref="M211:Q211"/>
    <mergeCell ref="D138:E138"/>
    <mergeCell ref="M225:S225"/>
    <mergeCell ref="A34:W34"/>
    <mergeCell ref="D203:E203"/>
    <mergeCell ref="D374:E374"/>
    <mergeCell ref="A270:W270"/>
    <mergeCell ref="A441:W441"/>
    <mergeCell ref="M327:S327"/>
    <mergeCell ref="D267:E267"/>
    <mergeCell ref="A383:W383"/>
    <mergeCell ref="D359:E359"/>
    <mergeCell ref="H17:H18"/>
    <mergeCell ref="D204:E204"/>
    <mergeCell ref="M94:Q94"/>
    <mergeCell ref="A271:W271"/>
    <mergeCell ref="D296:E296"/>
    <mergeCell ref="D427:E427"/>
    <mergeCell ref="M237:Q237"/>
    <mergeCell ref="M31:Q31"/>
    <mergeCell ref="D75:E75"/>
    <mergeCell ref="D206:E206"/>
    <mergeCell ref="A287:L288"/>
    <mergeCell ref="D7:K7"/>
    <mergeCell ref="D298:E298"/>
    <mergeCell ref="D181:E181"/>
    <mergeCell ref="M168:Q168"/>
    <mergeCell ref="A305:L306"/>
    <mergeCell ref="M239:Q239"/>
    <mergeCell ref="M95:Q95"/>
    <mergeCell ref="M393:Q393"/>
    <mergeCell ref="A397:L398"/>
    <mergeCell ref="M160:Q160"/>
    <mergeCell ref="A218:L219"/>
    <mergeCell ref="M282:Q282"/>
    <mergeCell ref="M331:Q331"/>
    <mergeCell ref="A13:K13"/>
    <mergeCell ref="A381:L382"/>
    <mergeCell ref="D39:E39"/>
    <mergeCell ref="M467:S467"/>
    <mergeCell ref="M26:Q26"/>
    <mergeCell ref="M97:Q97"/>
    <mergeCell ref="D8:K8"/>
    <mergeCell ref="M246:S246"/>
    <mergeCell ref="AC17:AC18"/>
    <mergeCell ref="M40:S40"/>
    <mergeCell ref="A445:L446"/>
    <mergeCell ref="D418:E418"/>
    <mergeCell ref="D393:E393"/>
    <mergeCell ref="M273:S273"/>
    <mergeCell ref="M184:Q184"/>
    <mergeCell ref="A234:L235"/>
    <mergeCell ref="A220:W220"/>
    <mergeCell ref="D128:E128"/>
    <mergeCell ref="D199:E199"/>
    <mergeCell ref="D364:E364"/>
    <mergeCell ref="M113:Q113"/>
    <mergeCell ref="D186:E186"/>
    <mergeCell ref="M173:Q173"/>
    <mergeCell ref="D217:E217"/>
    <mergeCell ref="D413:E413"/>
    <mergeCell ref="D65:E65"/>
    <mergeCell ref="M148:Q148"/>
    <mergeCell ref="M250:Q250"/>
    <mergeCell ref="D428:E428"/>
    <mergeCell ref="A197:W197"/>
    <mergeCell ref="A102:L103"/>
    <mergeCell ref="M162:S162"/>
    <mergeCell ref="D415:E415"/>
    <mergeCell ref="A300:L301"/>
    <mergeCell ref="M212:Q212"/>
    <mergeCell ref="A387:L388"/>
    <mergeCell ref="D194:E194"/>
    <mergeCell ref="M448:Q448"/>
    <mergeCell ref="M108:Q108"/>
    <mergeCell ref="M226:S226"/>
    <mergeCell ref="M462:S462"/>
    <mergeCell ref="E477:E478"/>
    <mergeCell ref="M170:S170"/>
    <mergeCell ref="G477:G478"/>
    <mergeCell ref="M241:S241"/>
    <mergeCell ref="M157:S157"/>
    <mergeCell ref="A409:W409"/>
    <mergeCell ref="D212:E212"/>
    <mergeCell ref="D146:E146"/>
    <mergeCell ref="M28:Q28"/>
    <mergeCell ref="D317:E317"/>
    <mergeCell ref="M85:Q85"/>
    <mergeCell ref="A384:W384"/>
    <mergeCell ref="D304:E304"/>
    <mergeCell ref="D83:E83"/>
    <mergeCell ref="N9:O9"/>
    <mergeCell ref="D143:E143"/>
    <mergeCell ref="M166:Q166"/>
    <mergeCell ref="M457:S457"/>
    <mergeCell ref="D319:E319"/>
    <mergeCell ref="A313:L314"/>
    <mergeCell ref="A373:W373"/>
    <mergeCell ref="M303:Q303"/>
    <mergeCell ref="M330:Q330"/>
    <mergeCell ref="D85:E85"/>
    <mergeCell ref="D207:E207"/>
    <mergeCell ref="M230:Q230"/>
    <mergeCell ref="A81:W81"/>
    <mergeCell ref="D256:E256"/>
    <mergeCell ref="A323:W323"/>
    <mergeCell ref="M395:Q395"/>
    <mergeCell ref="D299:E299"/>
    <mergeCell ref="A405:L406"/>
    <mergeCell ref="D370:E370"/>
    <mergeCell ref="M466:Q466"/>
    <mergeCell ref="M118:Q118"/>
    <mergeCell ref="M96:Q96"/>
    <mergeCell ref="D222:E222"/>
    <mergeCell ref="M167:Q167"/>
    <mergeCell ref="A371:L372"/>
    <mergeCell ref="G17:G18"/>
    <mergeCell ref="M161:Q161"/>
    <mergeCell ref="A289:W289"/>
    <mergeCell ref="A23:L24"/>
    <mergeCell ref="M232:Q232"/>
    <mergeCell ref="M332:Q332"/>
    <mergeCell ref="M111:Q111"/>
    <mergeCell ref="A115:L116"/>
    <mergeCell ref="M304:Q304"/>
    <mergeCell ref="M98:Q98"/>
    <mergeCell ref="M321:S321"/>
    <mergeCell ref="A291:W291"/>
    <mergeCell ref="M461:Q461"/>
    <mergeCell ref="D136:E136"/>
    <mergeCell ref="M314:S314"/>
    <mergeCell ref="D461:E461"/>
    <mergeCell ref="M387:S387"/>
    <mergeCell ref="D200:E200"/>
    <mergeCell ref="M187:Q187"/>
    <mergeCell ref="M258:Q258"/>
    <mergeCell ref="D436:E436"/>
    <mergeCell ref="D292:E292"/>
    <mergeCell ref="M423:Q423"/>
    <mergeCell ref="A236:W236"/>
    <mergeCell ref="M350:Q350"/>
    <mergeCell ref="A9:C9"/>
    <mergeCell ref="D202:E202"/>
    <mergeCell ref="M251:Q251"/>
    <mergeCell ref="D58:E58"/>
    <mergeCell ref="M189:Q189"/>
    <mergeCell ref="A326:L327"/>
    <mergeCell ref="M431:Q431"/>
    <mergeCell ref="M238:Q238"/>
    <mergeCell ref="D294:E294"/>
    <mergeCell ref="M456:Q456"/>
    <mergeCell ref="M414:Q414"/>
    <mergeCell ref="M352:Q352"/>
    <mergeCell ref="A311:W311"/>
    <mergeCell ref="D231:E231"/>
    <mergeCell ref="D358:E358"/>
    <mergeCell ref="A32:L33"/>
    <mergeCell ref="M416:Q416"/>
    <mergeCell ref="M463:S463"/>
    <mergeCell ref="A401:L402"/>
    <mergeCell ref="A125:W125"/>
    <mergeCell ref="M36:S36"/>
    <mergeCell ref="A240:L241"/>
    <mergeCell ref="M33:S33"/>
    <mergeCell ref="D318:E318"/>
    <mergeCell ref="N11:O11"/>
    <mergeCell ref="M205:Q205"/>
    <mergeCell ref="M269:S269"/>
    <mergeCell ref="M376:Q376"/>
    <mergeCell ref="M477:M478"/>
    <mergeCell ref="O477:O478"/>
    <mergeCell ref="D84:E84"/>
    <mergeCell ref="D22:E22"/>
    <mergeCell ref="D155:E155"/>
    <mergeCell ref="D149:E149"/>
    <mergeCell ref="D320:E320"/>
    <mergeCell ref="A216:W216"/>
    <mergeCell ref="D385:E385"/>
    <mergeCell ref="M115:S115"/>
    <mergeCell ref="M182:Q182"/>
    <mergeCell ref="M102:S102"/>
    <mergeCell ref="D86:E86"/>
    <mergeCell ref="N12:O12"/>
    <mergeCell ref="D257:E257"/>
    <mergeCell ref="D213:E213"/>
    <mergeCell ref="M144:Q144"/>
    <mergeCell ref="D449:E449"/>
    <mergeCell ref="A123:L124"/>
    <mergeCell ref="A316:W316"/>
    <mergeCell ref="D150:E150"/>
    <mergeCell ref="M233:Q233"/>
    <mergeCell ref="A46:W46"/>
    <mergeCell ref="D386:E386"/>
    <mergeCell ref="A453:W453"/>
    <mergeCell ref="M183:Q183"/>
    <mergeCell ref="M247:S247"/>
    <mergeCell ref="A162:L163"/>
    <mergeCell ref="M297:Q297"/>
    <mergeCell ref="M191:S191"/>
    <mergeCell ref="M433:S433"/>
    <mergeCell ref="M51:S51"/>
    <mergeCell ref="A242:W242"/>
    <mergeCell ref="A307:W307"/>
    <mergeCell ref="D177:E177"/>
    <mergeCell ref="A171:W171"/>
    <mergeCell ref="M66:Q66"/>
    <mergeCell ref="A407:W407"/>
    <mergeCell ref="M259:Q259"/>
    <mergeCell ref="D437:E437"/>
    <mergeCell ref="M324:Q324"/>
    <mergeCell ref="D35:E35"/>
    <mergeCell ref="M351:Q351"/>
    <mergeCell ref="D228:E228"/>
    <mergeCell ref="M422:Q422"/>
    <mergeCell ref="A309:L310"/>
    <mergeCell ref="D404:E404"/>
    <mergeCell ref="D10:E10"/>
    <mergeCell ref="M130:Q130"/>
    <mergeCell ref="F10:G10"/>
    <mergeCell ref="M68:Q68"/>
    <mergeCell ref="M261:Q261"/>
    <mergeCell ref="D243:E243"/>
    <mergeCell ref="M55:Q55"/>
    <mergeCell ref="D99:E99"/>
    <mergeCell ref="M188:Q188"/>
    <mergeCell ref="M353:Q353"/>
    <mergeCell ref="A44:L45"/>
    <mergeCell ref="M67:Q67"/>
    <mergeCell ref="M430:Q430"/>
    <mergeCell ref="M319:Q319"/>
    <mergeCell ref="M119:Q119"/>
    <mergeCell ref="D101:E101"/>
    <mergeCell ref="M417:Q417"/>
    <mergeCell ref="A339:W339"/>
    <mergeCell ref="M69:Q69"/>
    <mergeCell ref="D76:E76"/>
    <mergeCell ref="F5:G5"/>
    <mergeCell ref="M333:S333"/>
    <mergeCell ref="A467:L468"/>
    <mergeCell ref="M476:N476"/>
    <mergeCell ref="O476:P476"/>
    <mergeCell ref="M252:S252"/>
    <mergeCell ref="M354:Q354"/>
    <mergeCell ref="D455:E455"/>
    <mergeCell ref="M368:S368"/>
    <mergeCell ref="D430:E430"/>
    <mergeCell ref="M52:S52"/>
    <mergeCell ref="A255:W255"/>
    <mergeCell ref="D175:E175"/>
    <mergeCell ref="D221:E221"/>
    <mergeCell ref="M334:S334"/>
    <mergeCell ref="M208:Q208"/>
    <mergeCell ref="D392:E392"/>
    <mergeCell ref="A21:W21"/>
    <mergeCell ref="D165:E165"/>
    <mergeCell ref="N13:O13"/>
    <mergeCell ref="D223:E223"/>
    <mergeCell ref="M272:Q272"/>
    <mergeCell ref="M210:Q210"/>
    <mergeCell ref="D394:E394"/>
    <mergeCell ref="D450:E450"/>
    <mergeCell ref="A290:W290"/>
    <mergeCell ref="A195:L196"/>
    <mergeCell ref="M185:Q185"/>
    <mergeCell ref="D29:E29"/>
    <mergeCell ref="N477:N478"/>
    <mergeCell ref="P477:P478"/>
    <mergeCell ref="M122:Q122"/>
    <mergeCell ref="M249:Q249"/>
    <mergeCell ref="M288:S288"/>
    <mergeCell ref="M43:Q43"/>
    <mergeCell ref="M347:Q347"/>
    <mergeCell ref="O1:Q1"/>
    <mergeCell ref="M263:S263"/>
    <mergeCell ref="M434:S434"/>
    <mergeCell ref="G476:L476"/>
    <mergeCell ref="M186:Q186"/>
    <mergeCell ref="A190:L191"/>
    <mergeCell ref="M107:Q107"/>
    <mergeCell ref="M23:S23"/>
    <mergeCell ref="D249:E249"/>
    <mergeCell ref="D105:E105"/>
    <mergeCell ref="D276:E276"/>
    <mergeCell ref="M131:S131"/>
    <mergeCell ref="A408:W408"/>
    <mergeCell ref="D49:E49"/>
    <mergeCell ref="Q5:R5"/>
    <mergeCell ref="F17:F18"/>
    <mergeCell ref="D120:E120"/>
    <mergeCell ref="M138:Q138"/>
    <mergeCell ref="M374:Q374"/>
    <mergeCell ref="D477:D478"/>
    <mergeCell ref="D107:E107"/>
    <mergeCell ref="D278:E278"/>
    <mergeCell ref="A79:L80"/>
    <mergeCell ref="N8:O8"/>
    <mergeCell ref="D244:E244"/>
    <mergeCell ref="A12:K12"/>
    <mergeCell ref="D342:E342"/>
    <mergeCell ref="D336:E336"/>
    <mergeCell ref="M77:Q77"/>
    <mergeCell ref="N10:O10"/>
    <mergeCell ref="M204:Q204"/>
    <mergeCell ref="M375:Q375"/>
    <mergeCell ref="R17:S17"/>
    <mergeCell ref="A14:K14"/>
    <mergeCell ref="M356:Q356"/>
    <mergeCell ref="A47:W47"/>
    <mergeCell ref="M427:Q427"/>
    <mergeCell ref="A419:L420"/>
    <mergeCell ref="A139:L140"/>
    <mergeCell ref="M72:Q72"/>
    <mergeCell ref="A134:W134"/>
    <mergeCell ref="M343:Q343"/>
    <mergeCell ref="A265:W265"/>
    <mergeCell ref="M80:S80"/>
    <mergeCell ref="M87:Q87"/>
    <mergeCell ref="M151:S151"/>
    <mergeCell ref="D262:E262"/>
    <mergeCell ref="M424:S424"/>
    <mergeCell ref="M193:Q193"/>
    <mergeCell ref="D237:E237"/>
    <mergeCell ref="M295:Q295"/>
    <mergeCell ref="A421:W421"/>
    <mergeCell ref="M190:S190"/>
    <mergeCell ref="M257:Q257"/>
    <mergeCell ref="D239:E239"/>
    <mergeCell ref="D95:E95"/>
    <mergeCell ref="D266:E266"/>
    <mergeCell ref="M82:Q82"/>
    <mergeCell ref="M359:Q359"/>
    <mergeCell ref="S11:T11"/>
    <mergeCell ref="Y17:Y18"/>
    <mergeCell ref="A40:L41"/>
    <mergeCell ref="D57:E57"/>
    <mergeCell ref="A8:C8"/>
    <mergeCell ref="D331:E331"/>
    <mergeCell ref="D355:E355"/>
    <mergeCell ref="D293:E293"/>
    <mergeCell ref="D97:E97"/>
    <mergeCell ref="D395:E395"/>
    <mergeCell ref="M277:Q277"/>
    <mergeCell ref="A164:W164"/>
    <mergeCell ref="A335:W335"/>
    <mergeCell ref="M65:Q65"/>
    <mergeCell ref="A10:C10"/>
    <mergeCell ref="A367:L368"/>
    <mergeCell ref="A438:L439"/>
    <mergeCell ref="M79:S79"/>
    <mergeCell ref="A447:W447"/>
    <mergeCell ref="M371:S371"/>
    <mergeCell ref="D184:E184"/>
    <mergeCell ref="M60:S60"/>
    <mergeCell ref="M400:Q400"/>
    <mergeCell ref="A42:W42"/>
    <mergeCell ref="D121:E121"/>
    <mergeCell ref="M268:S268"/>
    <mergeCell ref="M179:Q179"/>
    <mergeCell ref="A126:W126"/>
    <mergeCell ref="A433:L434"/>
    <mergeCell ref="M397:S397"/>
    <mergeCell ref="M360:S360"/>
    <mergeCell ref="D17:E18"/>
    <mergeCell ref="A53:W53"/>
    <mergeCell ref="D173:E173"/>
    <mergeCell ref="V17:V18"/>
    <mergeCell ref="A117:W117"/>
    <mergeCell ref="M139:S139"/>
    <mergeCell ref="X17:X18"/>
    <mergeCell ref="M310:S310"/>
    <mergeCell ref="D250:E250"/>
    <mergeCell ref="D50:E50"/>
    <mergeCell ref="A19:W19"/>
    <mergeCell ref="D110:E110"/>
    <mergeCell ref="D286:E286"/>
    <mergeCell ref="M224:Q224"/>
  </mergeCells>
  <conditionalFormatting sqref="A8:K8 A9:C10 M9:O13">
    <cfRule type="expression" priority="12" dxfId="0" stopIfTrue="1">
      <formula>IF($S$5="самовывоз",1,0)</formula>
    </cfRule>
  </conditionalFormatting>
  <conditionalFormatting sqref="H10:K10">
    <cfRule type="expression" priority="7" dxfId="0" stopIfTrue="1">
      <formula>IF($S$5="самовывоз",1,0)</formula>
    </cfRule>
  </conditionalFormatting>
  <conditionalFormatting sqref="J9:K9">
    <cfRule type="expression" priority="6" dxfId="0" stopIfTrue="1">
      <formula>IF($S$5="самовывоз",1,0)</formula>
    </cfRule>
  </conditionalFormatting>
  <conditionalFormatting sqref="H9:I9">
    <cfRule type="expression" priority="5" dxfId="0" stopIfTrue="1">
      <formula>IF($S$5="самовывоз",1,0)</formula>
    </cfRule>
  </conditionalFormatting>
  <conditionalFormatting sqref="F9:G9">
    <cfRule type="expression" priority="4" dxfId="0" stopIfTrue="1">
      <formula>IF($S$5="самовывоз",1,0)</formula>
    </cfRule>
  </conditionalFormatting>
  <conditionalFormatting sqref="F10:G10">
    <cfRule type="expression" priority="3" dxfId="0" stopIfTrue="1">
      <formula>IF($S$5="самовывоз",1,0)</formula>
    </cfRule>
  </conditionalFormatting>
  <conditionalFormatting sqref="D9:E9">
    <cfRule type="expression" priority="2" dxfId="0" stopIfTrue="1">
      <formula>IF($S$5="самовывоз",1,0)</formula>
    </cfRule>
  </conditionalFormatting>
  <conditionalFormatting sqref="D10:E10">
    <cfRule type="expression" priority="1" dxfId="0" stopIfTrue="1">
      <formula>IF($S$5="самовывоз",1,0)</formula>
    </cfRule>
  </conditionalFormatting>
  <dataValidations xWindow="697" yWindow="616" count="16">
    <dataValidation sqref="N6:N7" showDropDown="0" showInputMessage="1" showErrorMessage="1" allowBlank="0" prompt="День недели загрузки. Считается сам."/>
    <dataValidation sqref="U16:Y16" showDropDown="0" showInputMessage="1" showErrorMessage="1" allowBlank="0" type="list">
      <formula1>"80-60,60-40,40-10,70-10"</formula1>
    </dataValidation>
    <dataValidation sqref="N5:O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S6:S7" showDropDown="0" showInputMessage="1" showErrorMessage="1" allowBlank="0" prompt="Введите название вашей фирмы."/>
    <dataValidation sqref="S10" showDropDown="0" showInputMessage="1" showErrorMessage="1" allowBlank="0" prompt="Введите код клиента в системе Axapta"/>
    <dataValidation sqref="S11:T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K6" showDropDown="0" showInputMessage="1" showErrorMessage="1" allowBlank="0" type="list">
      <formula1>DeliveryAdressList</formula1>
    </dataValidation>
    <dataValidation sqref="S5:T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D8:K8" showDropDown="0" showInputMessage="1" showErrorMessage="1" allowBlank="0" type="list">
      <formula1>CHOOSE($D$7,UnloadAdressList0001,UnloadAdressList0002,UnloadAdressList0003,UnloadAdressList0004)</formula1>
    </dataValidation>
    <dataValidation sqref="N8:O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N10:O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N9:O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W22:Y22" showDropDown="0" showInputMessage="1" showErrorMessage="1" allowBlank="0" error="укажите вес, кратный весу коробки" operator="equal"/>
    <dataValidation sqref="S12" showDropDown="0" showInputMessage="1" showErrorMessage="1" allowBlank="0" type="list">
      <formula1>DeliveryConditionsList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9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Орловская обл, Орёл г, Ливенская ул, д.78,</t>
        </is>
      </c>
      <c r="C6" s="54" t="inlineStr">
        <is>
          <t>590704_2</t>
        </is>
      </c>
      <c r="D6" s="54" t="inlineStr">
        <is>
          <t>1</t>
        </is>
      </c>
      <c r="E6" s="54" t="inlineStr"/>
    </row>
    <row r="7">
      <c r="B7" s="54" t="inlineStr">
        <is>
          <t>ЛП, ООО, Крым Респ, Симферополь г, Данилова ул, д. 43В, лит В, офис 4</t>
        </is>
      </c>
      <c r="C7" s="54" t="inlineStr">
        <is>
          <t>590704_5</t>
        </is>
      </c>
      <c r="D7" s="54" t="inlineStr">
        <is>
          <t>2</t>
        </is>
      </c>
      <c r="E7" s="54" t="inlineStr"/>
    </row>
    <row r="8">
      <c r="B8" s="54" t="inlineStr">
        <is>
          <t>ЛП, ООО, 73009, Херсон г, Некрасова ул, 2,</t>
        </is>
      </c>
      <c r="C8" s="54" t="inlineStr">
        <is>
          <t>590704_4</t>
        </is>
      </c>
      <c r="D8" s="54" t="inlineStr">
        <is>
          <t>3</t>
        </is>
      </c>
      <c r="E8" s="54" t="inlineStr"/>
    </row>
    <row r="9">
      <c r="B9" s="54" t="inlineStr">
        <is>
          <t>ЛП, ООО, Ростовская обл, Ростов-на-Дону г, Фермерский пер, д. 66, литер Д,</t>
        </is>
      </c>
      <c r="C9" s="54" t="inlineStr">
        <is>
          <t>590704_9</t>
        </is>
      </c>
      <c r="D9" s="54" t="inlineStr">
        <is>
          <t>4</t>
        </is>
      </c>
      <c r="E9" s="54" t="inlineStr"/>
    </row>
    <row r="11">
      <c r="B11" s="54" t="inlineStr">
        <is>
          <t>302004Российская Федерация, Орловская обл, Орёл г, Ливенская ул, д.78,</t>
        </is>
      </c>
      <c r="C11" s="54" t="inlineStr">
        <is>
          <t>590704_2</t>
        </is>
      </c>
      <c r="D11" s="54" t="inlineStr"/>
      <c r="E11" s="54" t="inlineStr"/>
    </row>
    <row r="13">
      <c r="B13" s="54" t="inlineStr">
        <is>
          <t>295021Российская Федерация, Крым Респ, Симферополь г, Данилова ул, д. 43В, лит В, офис 4</t>
        </is>
      </c>
      <c r="C13" s="54" t="inlineStr">
        <is>
          <t>590704_5</t>
        </is>
      </c>
      <c r="D13" s="54" t="inlineStr"/>
      <c r="E13" s="54" t="inlineStr"/>
    </row>
    <row r="15">
      <c r="B15" s="54" t="inlineStr">
        <is>
          <t>Российская Федерация, Херсонская обл, Херсон г, Некрасова ул, д. 2,</t>
        </is>
      </c>
      <c r="C15" s="54" t="inlineStr">
        <is>
          <t>590704_4</t>
        </is>
      </c>
      <c r="D15" s="54" t="inlineStr"/>
      <c r="E15" s="54" t="inlineStr"/>
    </row>
    <row r="17">
      <c r="B17" s="54" t="inlineStr">
        <is>
          <t>344055Российская Федерация, Ростовская обл, Ростов-на-Дону г, Фермерский пер, д. 66, литер Д,</t>
        </is>
      </c>
      <c r="C17" s="54" t="inlineStr">
        <is>
          <t>590704_9</t>
        </is>
      </c>
      <c r="D17" s="54" t="inlineStr"/>
      <c r="E17" s="54" t="inlineStr"/>
    </row>
    <row r="19">
      <c r="B19" s="54" t="inlineStr">
        <is>
          <t>CFR</t>
        </is>
      </c>
      <c r="C19" s="54" t="inlineStr"/>
      <c r="D19" s="54" t="inlineStr"/>
      <c r="E19" s="54" t="inlineStr"/>
    </row>
    <row r="20">
      <c r="B20" s="54" t="inlineStr">
        <is>
          <t>CIF</t>
        </is>
      </c>
      <c r="C20" s="54" t="inlineStr"/>
      <c r="D20" s="54" t="inlineStr"/>
      <c r="E20" s="54" t="inlineStr"/>
    </row>
    <row r="21">
      <c r="B21" s="54" t="inlineStr">
        <is>
          <t>CIP</t>
        </is>
      </c>
      <c r="C21" s="54" t="inlineStr"/>
      <c r="D21" s="54" t="inlineStr"/>
      <c r="E21" s="54" t="inlineStr"/>
    </row>
    <row r="22">
      <c r="B22" s="54" t="inlineStr">
        <is>
          <t>CPT</t>
        </is>
      </c>
      <c r="C22" s="54" t="inlineStr"/>
      <c r="D22" s="54" t="inlineStr"/>
      <c r="E22" s="54" t="inlineStr"/>
    </row>
    <row r="23">
      <c r="B23" s="54" t="inlineStr">
        <is>
          <t>DAP</t>
        </is>
      </c>
      <c r="C23" s="54" t="inlineStr"/>
      <c r="D23" s="54" t="inlineStr"/>
      <c r="E23" s="54" t="inlineStr"/>
    </row>
    <row r="24">
      <c r="B24" s="54" t="inlineStr">
        <is>
          <t>DAT</t>
        </is>
      </c>
      <c r="C24" s="54" t="inlineStr"/>
      <c r="D24" s="54" t="inlineStr"/>
      <c r="E24" s="54" t="inlineStr"/>
    </row>
    <row r="25">
      <c r="B25" s="54" t="inlineStr">
        <is>
          <t>DDP</t>
        </is>
      </c>
      <c r="C25" s="54" t="inlineStr"/>
      <c r="D25" s="54" t="inlineStr"/>
      <c r="E25" s="54" t="inlineStr"/>
    </row>
    <row r="26">
      <c r="B26" s="54" t="inlineStr">
        <is>
          <t>EXW</t>
        </is>
      </c>
      <c r="C26" s="54" t="inlineStr"/>
      <c r="D26" s="54" t="inlineStr"/>
      <c r="E26" s="54" t="inlineStr"/>
    </row>
    <row r="27">
      <c r="B27" s="54" t="inlineStr">
        <is>
          <t>FAS</t>
        </is>
      </c>
      <c r="C27" s="54" t="inlineStr"/>
      <c r="D27" s="54" t="inlineStr"/>
      <c r="E27" s="54" t="inlineStr"/>
    </row>
    <row r="28">
      <c r="B28" s="54" t="inlineStr">
        <is>
          <t>FCA</t>
        </is>
      </c>
      <c r="C28" s="54" t="inlineStr"/>
      <c r="D28" s="54" t="inlineStr"/>
      <c r="E28" s="54" t="inlineStr"/>
    </row>
    <row r="29">
      <c r="B29" s="54" t="inlineStr">
        <is>
          <t>FOB</t>
        </is>
      </c>
      <c r="C29" s="54" t="inlineStr"/>
      <c r="D29" s="54" t="inlineStr"/>
      <c r="E29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Gqssf2/ptKTLkkPsMPuG1A==" formatRows="1" sort="0" spinCount="100000" hashValue="EWQzKGRUj94ydfXVKgWVkNuimd3BUjWGz4VPsPvp1mOLwckADpRW7sif06V0nD8E06dmfviQwB5RXCM47LbIGA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2023-10-19T08:45:48Z</dcterms:modified>
  <cp:lastModifiedBy>Admin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