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заказа'!$U$468:$U$468</definedName>
    <definedName name="GrossWeightTotalR">'Бланк заказа'!$V$468:$V$468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заказа'!$U$469:$U$469</definedName>
    <definedName name="PalletQtyTotalR">'Бланк заказа'!$V$469:$V$469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заказа'!$B$191:$B$191</definedName>
    <definedName name="ProductId105">'Бланк заказа'!$B$192:$B$192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заказа'!$B$264:$B$264</definedName>
    <definedName name="ProductId149">'Бланк заказа'!$B$265:$B$265</definedName>
    <definedName name="ProductId15">'Бланк заказа'!$B$57:$B$57</definedName>
    <definedName name="ProductId150">'Бланк заказа'!$B$270:$B$270</definedName>
    <definedName name="ProductId151">'Бланк заказа'!$B$274:$B$274</definedName>
    <definedName name="ProductId152">'Бланк заказа'!$B$275:$B$275</definedName>
    <definedName name="ProductId153">'Бланк заказа'!$B$276:$B$276</definedName>
    <definedName name="ProductId154">'Бланк заказа'!$B$280:$B$280</definedName>
    <definedName name="ProductId155">'Бланк заказа'!$B$284:$B$284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заказа'!$B$302:$B$302</definedName>
    <definedName name="ProductId166">'Бланк заказа'!$B$306:$B$306</definedName>
    <definedName name="ProductId167">'Бланк заказа'!$B$310:$B$310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заказа'!$B$330:$B$330</definedName>
    <definedName name="ProductId178">'Бланк заказа'!$B$334:$B$334</definedName>
    <definedName name="ProductId179">'Бланк заказа'!$B$340:$B$340</definedName>
    <definedName name="ProductId18">'Бланк заказа'!$B$64:$B$64</definedName>
    <definedName name="ProductId180">'Бланк заказа'!$B$341:$B$341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заказа'!$B$364:$B$364</definedName>
    <definedName name="ProductId198">'Бланк заказа'!$B$368:$B$368</definedName>
    <definedName name="ProductId199">'Бланк заказа'!$B$372:$B$372</definedName>
    <definedName name="ProductId2">'Бланк заказа'!$B$26:$B$26</definedName>
    <definedName name="ProductId20">'Бланк заказа'!$B$66:$B$66</definedName>
    <definedName name="ProductId200">'Бланк заказа'!$B$373:$B$373</definedName>
    <definedName name="ProductId201">'Бланк заказа'!$B$374:$B$374</definedName>
    <definedName name="ProductId202">'Бланк заказа'!$B$378:$B$378</definedName>
    <definedName name="ProductId203">'Бланк заказа'!$B$383:$B$383</definedName>
    <definedName name="ProductId204">'Бланк заказа'!$B$384:$B$384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заказа'!$B$394:$B$394</definedName>
    <definedName name="ProductId212">'Бланк заказа'!$B$398:$B$398</definedName>
    <definedName name="ProductId213">'Бланк заказа'!$B$402:$B$402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заказа'!$B$434:$B$434</definedName>
    <definedName name="ProductId232">'Бланк заказа'!$B$435:$B$435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заказа'!$B$447:$B$447</definedName>
    <definedName name="ProductId237">'Бланк заказа'!$B$448:$B$448</definedName>
    <definedName name="ProductId238">'Бланк заказа'!$B$452:$B$452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заказа'!$B$464:$B$464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заказа'!$B$81:$B$81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заказа'!$B$90:$B$90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заказа'!$B$125:$B$125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заказа'!$U$186:$U$186</definedName>
    <definedName name="SalesQty103">'Бланк заказа'!$U$187:$U$187</definedName>
    <definedName name="SalesQty104">'Бланк заказа'!$U$191:$U$191</definedName>
    <definedName name="SalesQty105">'Бланк заказа'!$U$192:$U$192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заказа'!$U$210:$U$210</definedName>
    <definedName name="SalesQty12">'Бланк заказа'!$U$50:$U$50</definedName>
    <definedName name="SalesQty120">'Бланк заказа'!$U$211:$U$211</definedName>
    <definedName name="SalesQty121">'Бланк заказа'!$U$215:$U$215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заказа'!$U$226:$U$226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заказа'!$U$230:$U$230</definedName>
    <definedName name="SalesQty131">'Бланк заказа'!$U$231:$U$231</definedName>
    <definedName name="SalesQty132">'Бланк заказа'!$U$235:$U$235</definedName>
    <definedName name="SalesQty133">'Бланк заказа'!$U$236:$U$236</definedName>
    <definedName name="SalesQty134">'Бланк заказа'!$U$237:$U$237</definedName>
    <definedName name="SalesQty135">'Бланк заказа'!$U$241:$U$241</definedName>
    <definedName name="SalesQty136">'Бланк заказа'!$U$242:$U$242</definedName>
    <definedName name="SalesQty137">'Бланк заказа'!$U$243:$U$243</definedName>
    <definedName name="SalesQty138">'Бланк заказа'!$U$247:$U$247</definedName>
    <definedName name="SalesQty139">'Бланк заказа'!$U$248:$U$248</definedName>
    <definedName name="SalesQty14">'Бланк заказа'!$U$56:$U$56</definedName>
    <definedName name="SalesQty140">'Бланк заказа'!$U$249:$U$249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заказа'!$U$260:$U$260</definedName>
    <definedName name="SalesQty148">'Бланк заказа'!$U$264:$U$264</definedName>
    <definedName name="SalesQty149">'Бланк заказа'!$U$265:$U$265</definedName>
    <definedName name="SalesQty15">'Бланк заказа'!$U$57:$U$57</definedName>
    <definedName name="SalesQty150">'Бланк заказа'!$U$270:$U$270</definedName>
    <definedName name="SalesQty151">'Бланк заказа'!$U$274:$U$274</definedName>
    <definedName name="SalesQty152">'Бланк заказа'!$U$275:$U$275</definedName>
    <definedName name="SalesQty153">'Бланк заказа'!$U$276:$U$276</definedName>
    <definedName name="SalesQty154">'Бланк заказа'!$U$280:$U$280</definedName>
    <definedName name="SalesQty155">'Бланк заказа'!$U$284:$U$284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заказа'!$U$302:$U$302</definedName>
    <definedName name="SalesQty166">'Бланк заказа'!$U$306:$U$306</definedName>
    <definedName name="SalesQty167">'Бланк заказа'!$U$310:$U$310</definedName>
    <definedName name="SalesQty168">'Бланк заказа'!$U$315:$U$315</definedName>
    <definedName name="SalesQty169">'Бланк заказа'!$U$316:$U$316</definedName>
    <definedName name="SalesQty17">'Бланк заказа'!$U$63:$U$63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заказа'!$U$327:$U$327</definedName>
    <definedName name="SalesQty175">'Бланк заказа'!$U$328:$U$328</definedName>
    <definedName name="SalesQty176">'Бланк заказа'!$U$329:$U$329</definedName>
    <definedName name="SalesQty177">'Бланк заказа'!$U$330:$U$330</definedName>
    <definedName name="SalesQty178">'Бланк заказа'!$U$334:$U$334</definedName>
    <definedName name="SalesQty179">'Бланк заказа'!$U$340:$U$340</definedName>
    <definedName name="SalesQty18">'Бланк заказа'!$U$64:$U$64</definedName>
    <definedName name="SalesQty180">'Бланк заказа'!$U$341:$U$341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заказа'!$U$361:$U$361</definedName>
    <definedName name="SalesQty195">'Бланк заказа'!$U$362:$U$362</definedName>
    <definedName name="SalesQty196">'Бланк заказа'!$U$363:$U$363</definedName>
    <definedName name="SalesQty197">'Бланк заказа'!$U$364:$U$364</definedName>
    <definedName name="SalesQty198">'Бланк заказа'!$U$368:$U$368</definedName>
    <definedName name="SalesQty199">'Бланк заказа'!$U$372:$U$372</definedName>
    <definedName name="SalesQty2">'Бланк заказа'!$U$26:$U$26</definedName>
    <definedName name="SalesQty20">'Бланк заказа'!$U$66:$U$66</definedName>
    <definedName name="SalesQty200">'Бланк заказа'!$U$373:$U$373</definedName>
    <definedName name="SalesQty201">'Бланк заказа'!$U$374:$U$374</definedName>
    <definedName name="SalesQty202">'Бланк заказа'!$U$378:$U$378</definedName>
    <definedName name="SalesQty203">'Бланк заказа'!$U$383:$U$383</definedName>
    <definedName name="SalesQty204">'Бланк заказа'!$U$384:$U$384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заказа'!$U$394:$U$394</definedName>
    <definedName name="SalesQty212">'Бланк заказа'!$U$398:$U$398</definedName>
    <definedName name="SalesQty213">'Бланк заказа'!$U$402:$U$402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заказа'!$U$434:$U$434</definedName>
    <definedName name="SalesQty232">'Бланк заказа'!$U$435:$U$435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заказа'!$U$447:$U$447</definedName>
    <definedName name="SalesQty237">'Бланк заказа'!$U$448:$U$448</definedName>
    <definedName name="SalesQty238">'Бланк заказа'!$U$452:$U$452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заказа'!$U$464:$U$464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заказа'!$U$81:$U$81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заказа'!$U$90:$U$90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заказа'!$U$125:$U$125</definedName>
    <definedName name="SalesQty64">'Бланк заказа'!$U$126:$U$126</definedName>
    <definedName name="SalesQty65">'Бланк заказа'!$U$127:$U$127</definedName>
    <definedName name="SalesQty66">'Бланк заказа'!$U$128:$U$128</definedName>
    <definedName name="SalesQty67">'Бланк заказа'!$U$134:$U$134</definedName>
    <definedName name="SalesQty68">'Бланк заказа'!$U$135:$U$135</definedName>
    <definedName name="SalesQty69">'Бланк заказа'!$U$136:$U$136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заказа'!$V$186:$V$186</definedName>
    <definedName name="SalesRoundBox103">'Бланк заказа'!$V$187:$V$187</definedName>
    <definedName name="SalesRoundBox104">'Бланк заказа'!$V$191:$V$191</definedName>
    <definedName name="SalesRoundBox105">'Бланк заказа'!$V$192:$V$192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заказа'!$V$210:$V$210</definedName>
    <definedName name="SalesRoundBox12">'Бланк заказа'!$V$50:$V$50</definedName>
    <definedName name="SalesRoundBox120">'Бланк заказа'!$V$211:$V$211</definedName>
    <definedName name="SalesRoundBox121">'Бланк заказа'!$V$215:$V$215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заказа'!$V$226:$V$226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заказа'!$V$230:$V$230</definedName>
    <definedName name="SalesRoundBox131">'Бланк заказа'!$V$231:$V$231</definedName>
    <definedName name="SalesRoundBox132">'Бланк заказа'!$V$235:$V$235</definedName>
    <definedName name="SalesRoundBox133">'Бланк заказа'!$V$236:$V$236</definedName>
    <definedName name="SalesRoundBox134">'Бланк заказа'!$V$237:$V$237</definedName>
    <definedName name="SalesRoundBox135">'Бланк заказа'!$V$241:$V$241</definedName>
    <definedName name="SalesRoundBox136">'Бланк заказа'!$V$242:$V$242</definedName>
    <definedName name="SalesRoundBox137">'Бланк заказа'!$V$243:$V$243</definedName>
    <definedName name="SalesRoundBox138">'Бланк заказа'!$V$247:$V$247</definedName>
    <definedName name="SalesRoundBox139">'Бланк заказа'!$V$248:$V$248</definedName>
    <definedName name="SalesRoundBox14">'Бланк заказа'!$V$56:$V$56</definedName>
    <definedName name="SalesRoundBox140">'Бланк заказа'!$V$249:$V$249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заказа'!$V$260:$V$260</definedName>
    <definedName name="SalesRoundBox148">'Бланк заказа'!$V$264:$V$264</definedName>
    <definedName name="SalesRoundBox149">'Бланк заказа'!$V$265:$V$265</definedName>
    <definedName name="SalesRoundBox15">'Бланк заказа'!$V$57:$V$57</definedName>
    <definedName name="SalesRoundBox150">'Бланк заказа'!$V$270:$V$270</definedName>
    <definedName name="SalesRoundBox151">'Бланк заказа'!$V$274:$V$274</definedName>
    <definedName name="SalesRoundBox152">'Бланк заказа'!$V$275:$V$275</definedName>
    <definedName name="SalesRoundBox153">'Бланк заказа'!$V$276:$V$276</definedName>
    <definedName name="SalesRoundBox154">'Бланк заказа'!$V$280:$V$280</definedName>
    <definedName name="SalesRoundBox155">'Бланк заказа'!$V$284:$V$284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заказа'!$V$302:$V$302</definedName>
    <definedName name="SalesRoundBox166">'Бланк заказа'!$V$306:$V$306</definedName>
    <definedName name="SalesRoundBox167">'Бланк заказа'!$V$310:$V$310</definedName>
    <definedName name="SalesRoundBox168">'Бланк заказа'!$V$315:$V$315</definedName>
    <definedName name="SalesRoundBox169">'Бланк заказа'!$V$316:$V$316</definedName>
    <definedName name="SalesRoundBox17">'Бланк заказа'!$V$63:$V$63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заказа'!$V$327:$V$327</definedName>
    <definedName name="SalesRoundBox175">'Бланк заказа'!$V$328:$V$328</definedName>
    <definedName name="SalesRoundBox176">'Бланк заказа'!$V$329:$V$329</definedName>
    <definedName name="SalesRoundBox177">'Бланк заказа'!$V$330:$V$330</definedName>
    <definedName name="SalesRoundBox178">'Бланк заказа'!$V$334:$V$334</definedName>
    <definedName name="SalesRoundBox179">'Бланк заказа'!$V$340:$V$340</definedName>
    <definedName name="SalesRoundBox18">'Бланк заказа'!$V$64:$V$64</definedName>
    <definedName name="SalesRoundBox180">'Бланк заказа'!$V$341:$V$341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заказа'!$V$361:$V$361</definedName>
    <definedName name="SalesRoundBox195">'Бланк заказа'!$V$362:$V$362</definedName>
    <definedName name="SalesRoundBox196">'Бланк заказа'!$V$363:$V$363</definedName>
    <definedName name="SalesRoundBox197">'Бланк заказа'!$V$364:$V$364</definedName>
    <definedName name="SalesRoundBox198">'Бланк заказа'!$V$368:$V$368</definedName>
    <definedName name="SalesRoundBox199">'Бланк заказа'!$V$372:$V$372</definedName>
    <definedName name="SalesRoundBox2">'Бланк заказа'!$V$26:$V$26</definedName>
    <definedName name="SalesRoundBox20">'Бланк заказа'!$V$66:$V$66</definedName>
    <definedName name="SalesRoundBox200">'Бланк заказа'!$V$373:$V$373</definedName>
    <definedName name="SalesRoundBox201">'Бланк заказа'!$V$374:$V$374</definedName>
    <definedName name="SalesRoundBox202">'Бланк заказа'!$V$378:$V$378</definedName>
    <definedName name="SalesRoundBox203">'Бланк заказа'!$V$383:$V$383</definedName>
    <definedName name="SalesRoundBox204">'Бланк заказа'!$V$384:$V$384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заказа'!$V$394:$V$394</definedName>
    <definedName name="SalesRoundBox212">'Бланк заказа'!$V$398:$V$398</definedName>
    <definedName name="SalesRoundBox213">'Бланк заказа'!$V$402:$V$402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заказа'!$V$434:$V$434</definedName>
    <definedName name="SalesRoundBox232">'Бланк заказа'!$V$435:$V$435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заказа'!$V$447:$V$447</definedName>
    <definedName name="SalesRoundBox237">'Бланк заказа'!$V$448:$V$448</definedName>
    <definedName name="SalesRoundBox238">'Бланк заказа'!$V$452:$V$452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заказа'!$V$464:$V$464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заказа'!$V$81:$V$81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заказа'!$V$90:$V$90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заказа'!$V$125:$V$125</definedName>
    <definedName name="SalesRoundBox64">'Бланк заказа'!$V$126:$V$126</definedName>
    <definedName name="SalesRoundBox65">'Бланк заказа'!$V$127:$V$127</definedName>
    <definedName name="SalesRoundBox66">'Бланк заказа'!$V$128:$V$128</definedName>
    <definedName name="SalesRoundBox67">'Бланк заказа'!$V$134:$V$134</definedName>
    <definedName name="SalesRoundBox68">'Бланк заказа'!$V$135:$V$135</definedName>
    <definedName name="SalesRoundBox69">'Бланк заказа'!$V$136:$V$136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заказа'!$T$186:$T$186</definedName>
    <definedName name="UnitOfMeasure103">'Бланк заказа'!$T$187:$T$187</definedName>
    <definedName name="UnitOfMeasure104">'Бланк заказа'!$T$191:$T$191</definedName>
    <definedName name="UnitOfMeasure105">'Бланк заказа'!$T$192:$T$192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заказа'!$T$210:$T$210</definedName>
    <definedName name="UnitOfMeasure12">'Бланк заказа'!$T$50:$T$50</definedName>
    <definedName name="UnitOfMeasure120">'Бланк заказа'!$T$211:$T$211</definedName>
    <definedName name="UnitOfMeasure121">'Бланк заказа'!$T$215:$T$215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заказа'!$T$226:$T$226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заказа'!$T$230:$T$230</definedName>
    <definedName name="UnitOfMeasure131">'Бланк заказа'!$T$231:$T$231</definedName>
    <definedName name="UnitOfMeasure132">'Бланк заказа'!$T$235:$T$235</definedName>
    <definedName name="UnitOfMeasure133">'Бланк заказа'!$T$236:$T$236</definedName>
    <definedName name="UnitOfMeasure134">'Бланк заказа'!$T$237:$T$237</definedName>
    <definedName name="UnitOfMeasure135">'Бланк заказа'!$T$241:$T$241</definedName>
    <definedName name="UnitOfMeasure136">'Бланк заказа'!$T$242:$T$242</definedName>
    <definedName name="UnitOfMeasure137">'Бланк заказа'!$T$243:$T$243</definedName>
    <definedName name="UnitOfMeasure138">'Бланк заказа'!$T$247:$T$247</definedName>
    <definedName name="UnitOfMeasure139">'Бланк заказа'!$T$248:$T$248</definedName>
    <definedName name="UnitOfMeasure14">'Бланк заказа'!$T$56:$T$56</definedName>
    <definedName name="UnitOfMeasure140">'Бланк заказа'!$T$249:$T$249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заказа'!$T$260:$T$260</definedName>
    <definedName name="UnitOfMeasure148">'Бланк заказа'!$T$264:$T$264</definedName>
    <definedName name="UnitOfMeasure149">'Бланк заказа'!$T$265:$T$265</definedName>
    <definedName name="UnitOfMeasure15">'Бланк заказа'!$T$57:$T$57</definedName>
    <definedName name="UnitOfMeasure150">'Бланк заказа'!$T$270:$T$270</definedName>
    <definedName name="UnitOfMeasure151">'Бланк заказа'!$T$274:$T$274</definedName>
    <definedName name="UnitOfMeasure152">'Бланк заказа'!$T$275:$T$275</definedName>
    <definedName name="UnitOfMeasure153">'Бланк заказа'!$T$276:$T$276</definedName>
    <definedName name="UnitOfMeasure154">'Бланк заказа'!$T$280:$T$280</definedName>
    <definedName name="UnitOfMeasure155">'Бланк заказа'!$T$284:$T$284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заказа'!$T$302:$T$302</definedName>
    <definedName name="UnitOfMeasure166">'Бланк заказа'!$T$306:$T$306</definedName>
    <definedName name="UnitOfMeasure167">'Бланк заказа'!$T$310:$T$310</definedName>
    <definedName name="UnitOfMeasure168">'Бланк заказа'!$T$315:$T$315</definedName>
    <definedName name="UnitOfMeasure169">'Бланк заказа'!$T$316:$T$316</definedName>
    <definedName name="UnitOfMeasure17">'Бланк заказа'!$T$63:$T$63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заказа'!$T$327:$T$327</definedName>
    <definedName name="UnitOfMeasure175">'Бланк заказа'!$T$328:$T$328</definedName>
    <definedName name="UnitOfMeasure176">'Бланк заказа'!$T$329:$T$329</definedName>
    <definedName name="UnitOfMeasure177">'Бланк заказа'!$T$330:$T$330</definedName>
    <definedName name="UnitOfMeasure178">'Бланк заказа'!$T$334:$T$334</definedName>
    <definedName name="UnitOfMeasure179">'Бланк заказа'!$T$340:$T$340</definedName>
    <definedName name="UnitOfMeasure18">'Бланк заказа'!$T$64:$T$64</definedName>
    <definedName name="UnitOfMeasure180">'Бланк заказа'!$T$341:$T$341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заказа'!$T$361:$T$361</definedName>
    <definedName name="UnitOfMeasure195">'Бланк заказа'!$T$362:$T$362</definedName>
    <definedName name="UnitOfMeasure196">'Бланк заказа'!$T$363:$T$363</definedName>
    <definedName name="UnitOfMeasure197">'Бланк заказа'!$T$364:$T$364</definedName>
    <definedName name="UnitOfMeasure198">'Бланк заказа'!$T$368:$T$368</definedName>
    <definedName name="UnitOfMeasure199">'Бланк заказа'!$T$372:$T$372</definedName>
    <definedName name="UnitOfMeasure2">'Бланк заказа'!$T$26:$T$26</definedName>
    <definedName name="UnitOfMeasure20">'Бланк заказа'!$T$66:$T$66</definedName>
    <definedName name="UnitOfMeasure200">'Бланк заказа'!$T$373:$T$373</definedName>
    <definedName name="UnitOfMeasure201">'Бланк заказа'!$T$374:$T$374</definedName>
    <definedName name="UnitOfMeasure202">'Бланк заказа'!$T$378:$T$378</definedName>
    <definedName name="UnitOfMeasure203">'Бланк заказа'!$T$383:$T$383</definedName>
    <definedName name="UnitOfMeasure204">'Бланк заказа'!$T$384:$T$384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заказа'!$T$394:$T$394</definedName>
    <definedName name="UnitOfMeasure212">'Бланк заказа'!$T$398:$T$398</definedName>
    <definedName name="UnitOfMeasure213">'Бланк заказа'!$T$402:$T$402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заказа'!$T$434:$T$434</definedName>
    <definedName name="UnitOfMeasure232">'Бланк заказа'!$T$435:$T$435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заказа'!$T$447:$T$447</definedName>
    <definedName name="UnitOfMeasure237">'Бланк заказа'!$T$448:$T$448</definedName>
    <definedName name="UnitOfMeasure238">'Бланк заказа'!$T$452:$T$452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заказа'!$T$464:$T$464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заказа'!$T$81:$T$81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заказа'!$T$90:$T$90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заказа'!$T$125:$T$125</definedName>
    <definedName name="UnitOfMeasure64">'Бланк заказа'!$T$126:$T$126</definedName>
    <definedName name="UnitOfMeasure65">'Бланк заказа'!$T$127:$T$127</definedName>
    <definedName name="UnitOfMeasure66">'Бланк заказа'!$T$128:$T$128</definedName>
    <definedName name="UnitOfMeasure67">'Бланк заказа'!$T$134:$T$134</definedName>
    <definedName name="UnitOfMeasure68">'Бланк заказа'!$T$135:$T$135</definedName>
    <definedName name="UnitOfMeasure69">'Бланк заказа'!$T$136:$T$136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0.000"/>
    <numFmt numFmtId="167" formatCode="#,##0.00_ ;[Red]\-#,##0.00\ "/>
    <numFmt numFmtId="168" formatCode="dd/mm/yy;@"/>
  </numFmts>
  <fonts count="54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5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2" fillId="0" borderId="14" applyAlignment="1" pivotButton="0" quotePrefix="0" xfId="39">
      <alignment horizontal="left" vertical="center"/>
    </xf>
    <xf numFmtId="0" fontId="33" fillId="0" borderId="0" applyAlignment="1" pivotButton="0" quotePrefix="0" xfId="0">
      <alignment horizontal="left" vertical="top" wrapText="1"/>
    </xf>
    <xf numFmtId="0" fontId="34" fillId="24" borderId="0" applyAlignment="1" pivotButton="0" quotePrefix="0" xfId="39">
      <alignment horizontal="center" vertical="center"/>
    </xf>
    <xf numFmtId="14" fontId="34" fillId="24" borderId="0" applyAlignment="1" pivotButton="0" quotePrefix="0" xfId="39">
      <alignment vertical="center" wrapText="1"/>
    </xf>
    <xf numFmtId="49" fontId="32" fillId="0" borderId="0" applyAlignment="1" pivotButton="0" quotePrefix="0" xfId="39">
      <alignment horizontal="left" vertical="center"/>
    </xf>
    <xf numFmtId="0" fontId="34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vertical="center" wrapText="1"/>
    </xf>
    <xf numFmtId="49" fontId="36" fillId="0" borderId="15" applyAlignment="1" applyProtection="1" pivotButton="0" quotePrefix="0" xfId="39">
      <alignment horizontal="center" vertical="center"/>
      <protection locked="0" hidden="0"/>
    </xf>
    <xf numFmtId="49" fontId="37" fillId="0" borderId="0" applyAlignment="1" pivotButton="0" quotePrefix="0" xfId="0">
      <alignment horizontal="left" vertical="center"/>
    </xf>
    <xf numFmtId="0" fontId="33" fillId="0" borderId="0" applyAlignment="1" pivotButton="0" quotePrefix="0" xfId="0">
      <alignment horizontal="center" vertical="center" wrapText="1"/>
    </xf>
    <xf numFmtId="0" fontId="38" fillId="0" borderId="0" applyAlignment="1" pivotButton="0" quotePrefix="0" xfId="0">
      <alignment vertical="center" wrapText="1"/>
    </xf>
    <xf numFmtId="0" fontId="39" fillId="0" borderId="0" applyAlignment="1" applyProtection="1" pivotButton="0" quotePrefix="0" xfId="0">
      <alignment horizontal="right"/>
      <protection locked="1" hidden="1"/>
    </xf>
    <xf numFmtId="0" fontId="40" fillId="0" borderId="0" applyAlignment="1" pivotButton="0" quotePrefix="0" xfId="0">
      <alignment horizontal="right"/>
    </xf>
    <xf numFmtId="2" fontId="42" fillId="0" borderId="0" applyAlignment="1" applyProtection="1" pivotButton="0" quotePrefix="0" xfId="0">
      <alignment horizontal="center" vertical="center" wrapText="1"/>
      <protection locked="1" hidden="1"/>
    </xf>
    <xf numFmtId="0" fontId="41" fillId="0" borderId="0" applyAlignment="1" applyProtection="1" pivotButton="0" quotePrefix="0" xfId="0">
      <alignment horizontal="right" vertical="center"/>
      <protection locked="1" hidden="1"/>
    </xf>
    <xf numFmtId="0" fontId="35" fillId="0" borderId="0" applyAlignment="1" applyProtection="1" pivotButton="0" quotePrefix="0" xfId="0">
      <alignment horizontal="center"/>
      <protection locked="1" hidden="1"/>
    </xf>
    <xf numFmtId="0" fontId="41" fillId="0" borderId="0" applyAlignment="1" pivotButton="0" quotePrefix="0" xfId="0">
      <alignment horizontal="right" vertical="center"/>
    </xf>
    <xf numFmtId="49" fontId="36" fillId="25" borderId="15" applyAlignment="1" applyProtection="1" pivotButton="0" quotePrefix="0" xfId="39">
      <alignment horizontal="center" vertical="center"/>
      <protection locked="0" hidden="0"/>
    </xf>
    <xf numFmtId="0" fontId="39" fillId="0" borderId="0" applyAlignment="1" applyProtection="1" pivotButton="0" quotePrefix="0" xfId="0">
      <alignment horizontal="left"/>
      <protection locked="1" hidden="1"/>
    </xf>
    <xf numFmtId="0" fontId="43" fillId="0" borderId="0" applyAlignment="1" pivotButton="0" quotePrefix="0" xfId="0">
      <alignment horizontal="left" vertical="top"/>
    </xf>
    <xf numFmtId="0" fontId="44" fillId="0" borderId="0" applyAlignment="1" pivotButton="0" quotePrefix="0" xfId="0">
      <alignment horizontal="left" vertical="top" wrapText="1"/>
    </xf>
    <xf numFmtId="1" fontId="46" fillId="0" borderId="15" applyAlignment="1" pivotButton="0" quotePrefix="0" xfId="39">
      <alignment horizontal="center" vertical="center"/>
    </xf>
    <xf numFmtId="0" fontId="2" fillId="0" borderId="15" applyAlignment="1" applyProtection="1" pivotButton="0" quotePrefix="0" xfId="0">
      <alignment horizontal="center" vertical="center"/>
      <protection locked="1" hidden="1"/>
    </xf>
    <xf numFmtId="1" fontId="2" fillId="0" borderId="1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/>
    </xf>
    <xf numFmtId="0" fontId="30" fillId="0" borderId="15" applyAlignment="1" applyProtection="1" pivotButton="0" quotePrefix="0" xfId="0">
      <alignment horizontal="center"/>
      <protection locked="1" hidden="1"/>
    </xf>
    <xf numFmtId="2" fontId="3" fillId="0" borderId="15" applyAlignment="1" pivotButton="0" quotePrefix="0" xfId="0">
      <alignment horizontal="center"/>
    </xf>
    <xf numFmtId="0" fontId="35" fillId="24" borderId="15" applyAlignment="1" applyProtection="1" pivotButton="0" quotePrefix="0" xfId="0">
      <alignment horizontal="center"/>
      <protection locked="1" hidden="1"/>
    </xf>
    <xf numFmtId="164" fontId="41" fillId="24" borderId="15" applyAlignment="1" pivotButton="0" quotePrefix="0" xfId="0">
      <alignment horizontal="right"/>
    </xf>
    <xf numFmtId="0" fontId="47" fillId="24" borderId="15" applyAlignment="1" applyProtection="1" pivotButton="0" quotePrefix="0" xfId="0">
      <alignment horizontal="center"/>
      <protection locked="1" hidden="1"/>
    </xf>
    <xf numFmtId="0" fontId="48" fillId="24" borderId="16" applyAlignment="1" applyProtection="1" pivotButton="0" quotePrefix="0" xfId="0">
      <alignment horizontal="center" vertical="center" wrapText="1"/>
      <protection locked="1" hidden="1"/>
    </xf>
    <xf numFmtId="0" fontId="34" fillId="24" borderId="0" applyAlignment="1" pivotButton="0" quotePrefix="0" xfId="39">
      <alignment vertical="center" wrapText="1"/>
    </xf>
    <xf numFmtId="49" fontId="36" fillId="0" borderId="15" applyAlignment="1" applyProtection="1" pivotButton="0" quotePrefix="0" xfId="0">
      <alignment horizontal="center" vertical="center"/>
      <protection locked="0" hidden="0"/>
    </xf>
    <xf numFmtId="49" fontId="49" fillId="0" borderId="0" applyAlignment="1" pivotButton="0" quotePrefix="0" xfId="0">
      <alignment horizontal="center" vertical="center" wrapText="1"/>
    </xf>
    <xf numFmtId="49" fontId="36" fillId="0" borderId="0" applyAlignment="1" pivotButton="0" quotePrefix="0" xfId="0">
      <alignment horizontal="center" vertical="center"/>
    </xf>
    <xf numFmtId="165" fontId="36" fillId="0" borderId="0" applyAlignment="1" applyProtection="1" pivotButton="0" quotePrefix="0" xfId="0">
      <alignment horizontal="center" vertical="center"/>
      <protection locked="0" hidden="0"/>
    </xf>
    <xf numFmtId="4" fontId="28" fillId="0" borderId="17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0" fillId="0" borderId="0" applyAlignment="1" pivotButton="0" quotePrefix="0" xfId="0">
      <alignment horizontal="center" vertical="center"/>
    </xf>
    <xf numFmtId="0" fontId="48" fillId="0" borderId="0" applyAlignment="1" applyProtection="1" pivotButton="0" quotePrefix="0" xfId="0">
      <alignment horizontal="center" vertical="center" wrapText="1"/>
      <protection locked="1" hidden="1"/>
    </xf>
    <xf numFmtId="4" fontId="51" fillId="0" borderId="0" applyAlignment="1" applyProtection="1" pivotButton="0" quotePrefix="0" xfId="39">
      <alignment horizontal="center" vertical="center"/>
      <protection locked="1" hidden="1"/>
    </xf>
    <xf numFmtId="0" fontId="35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4" fillId="24" borderId="0" applyAlignment="1" pivotButton="0" quotePrefix="0" xfId="39">
      <alignment horizontal="center" vertical="center" wrapText="1"/>
    </xf>
    <xf numFmtId="1" fontId="46" fillId="0" borderId="20" applyAlignment="1" pivotButton="0" quotePrefix="0" xfId="0">
      <alignment horizontal="center" vertical="center"/>
    </xf>
    <xf numFmtId="2" fontId="48" fillId="24" borderId="24" applyAlignment="1" applyProtection="1" pivotButton="0" quotePrefix="0" xfId="0">
      <alignment vertical="center" wrapText="1"/>
      <protection locked="1" hidden="1"/>
    </xf>
    <xf numFmtId="2" fontId="3" fillId="0" borderId="11" applyAlignment="1" pivotButton="0" quotePrefix="0" xfId="0">
      <alignment horizontal="center" wrapText="1"/>
    </xf>
    <xf numFmtId="0" fontId="31" fillId="0" borderId="11" applyProtection="1" pivotButton="0" quotePrefix="0" xfId="0">
      <protection locked="1" hidden="1"/>
    </xf>
    <xf numFmtId="0" fontId="58" fillId="0" borderId="0" applyProtection="1" pivotButton="0" quotePrefix="0" xfId="0">
      <protection locked="1" hidden="1"/>
    </xf>
    <xf numFmtId="0" fontId="60" fillId="0" borderId="0" pivotButton="0" quotePrefix="0" xfId="0"/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35" fillId="0" borderId="0" applyProtection="1" pivotButton="0" quotePrefix="0" xfId="0">
      <protection locked="1" hidden="1"/>
    </xf>
    <xf numFmtId="0" fontId="45" fillId="24" borderId="15" applyAlignment="1" applyProtection="1" pivotButton="0" quotePrefix="0" xfId="0">
      <alignment horizontal="center" vertical="center" wrapText="1"/>
      <protection locked="1" hidden="1"/>
    </xf>
    <xf numFmtId="0" fontId="54" fillId="26" borderId="0" applyAlignment="1" applyProtection="1" pivotButton="0" quotePrefix="0" xfId="0">
      <alignment horizontal="center"/>
      <protection locked="1" hidden="1"/>
    </xf>
    <xf numFmtId="2" fontId="26" fillId="26" borderId="0" applyAlignment="1" applyProtection="1" pivotButton="0" quotePrefix="0" xfId="0">
      <alignment horizontal="center"/>
      <protection locked="1" hidden="1"/>
    </xf>
    <xf numFmtId="0" fontId="27" fillId="0" borderId="23" applyAlignment="1" applyProtection="1" pivotButton="0" quotePrefix="0" xfId="0">
      <alignment horizontal="center" vertical="center" wrapText="1"/>
      <protection locked="1" hidden="1"/>
    </xf>
    <xf numFmtId="166" fontId="2" fillId="0" borderId="15" applyAlignment="1" applyProtection="1" pivotButton="0" quotePrefix="0" xfId="0">
      <alignment horizontal="center" vertical="center"/>
      <protection locked="1" hidden="1"/>
    </xf>
    <xf numFmtId="167" fontId="25" fillId="25" borderId="15" applyAlignment="1" applyProtection="1" pivotButton="0" quotePrefix="0" xfId="0">
      <alignment horizontal="right"/>
      <protection locked="0" hidden="0"/>
    </xf>
    <xf numFmtId="167" fontId="25" fillId="0" borderId="15" applyAlignment="1" pivotButton="0" quotePrefix="0" xfId="0">
      <alignment horizontal="right"/>
    </xf>
    <xf numFmtId="167" fontId="41" fillId="24" borderId="15" applyAlignment="1" pivotButton="0" quotePrefix="0" xfId="0">
      <alignment horizontal="right"/>
    </xf>
    <xf numFmtId="167" fontId="41" fillId="24" borderId="0" applyAlignment="1" pivotButton="0" quotePrefix="0" xfId="0">
      <alignment horizontal="right"/>
    </xf>
    <xf numFmtId="0" fontId="0" fillId="24" borderId="31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31" applyProtection="1" pivotButton="0" quotePrefix="0" xfId="0">
      <protection locked="1" hidden="1"/>
    </xf>
    <xf numFmtId="1" fontId="46" fillId="0" borderId="15" applyAlignment="1" pivotButton="0" quotePrefix="0" xfId="0">
      <alignment horizontal="center" vertical="center"/>
    </xf>
    <xf numFmtId="0" fontId="0" fillId="0" borderId="20" pivotButton="0" quotePrefix="0" xfId="0"/>
    <xf numFmtId="0" fontId="201" fillId="0" borderId="15" applyAlignment="1" pivotButton="0" quotePrefix="0" xfId="0">
      <alignment horizontal="left" vertical="center" wrapText="1"/>
    </xf>
    <xf numFmtId="0" fontId="0" fillId="0" borderId="19" pivotButton="0" quotePrefix="0" xfId="0"/>
    <xf numFmtId="0" fontId="523" fillId="0" borderId="15" applyAlignment="1" pivotButton="0" quotePrefix="0" xfId="0">
      <alignment horizontal="left" vertical="center" wrapText="1"/>
    </xf>
    <xf numFmtId="0" fontId="357" fillId="0" borderId="15" applyAlignment="1" pivotButton="0" quotePrefix="0" xfId="0">
      <alignment horizontal="left" vertical="center" wrapText="1"/>
    </xf>
    <xf numFmtId="2" fontId="53" fillId="24" borderId="15" applyAlignment="1" applyProtection="1" pivotButton="0" quotePrefix="0" xfId="0">
      <alignment horizontal="left" vertical="center" wrapText="1"/>
      <protection locked="1" hidden="1"/>
    </xf>
    <xf numFmtId="0" fontId="0" fillId="0" borderId="19" applyProtection="1" pivotButton="0" quotePrefix="0" xfId="0">
      <protection locked="1" hidden="1"/>
    </xf>
    <xf numFmtId="0" fontId="0" fillId="0" borderId="20" applyProtection="1" pivotButton="0" quotePrefix="0" xfId="0">
      <protection locked="1" hidden="1"/>
    </xf>
    <xf numFmtId="0" fontId="453" fillId="0" borderId="15" applyAlignment="1" pivotButton="0" quotePrefix="0" xfId="0">
      <alignment horizontal="left" vertical="center" wrapText="1"/>
    </xf>
    <xf numFmtId="2" fontId="26" fillId="26" borderId="0" applyAlignment="1" applyProtection="1" pivotButton="0" quotePrefix="0" xfId="0">
      <alignment horizontal="center"/>
      <protection locked="1" hidden="1"/>
    </xf>
    <xf numFmtId="0" fontId="79" fillId="0" borderId="15" applyAlignment="1" pivotButton="0" quotePrefix="0" xfId="0">
      <alignment horizontal="left" vertical="center" wrapText="1"/>
    </xf>
    <xf numFmtId="0" fontId="41" fillId="24" borderId="11" applyAlignment="1" applyProtection="1" pivotButton="0" quotePrefix="0" xfId="0">
      <alignment horizontal="right"/>
      <protection locked="1" hidden="1"/>
    </xf>
    <xf numFmtId="0" fontId="0" fillId="0" borderId="12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0" fontId="289" fillId="0" borderId="15" applyAlignment="1" pivotButton="0" quotePrefix="0" xfId="0">
      <alignment horizontal="left" vertical="center" wrapText="1"/>
    </xf>
    <xf numFmtId="0" fontId="413" fillId="0" borderId="15" applyAlignment="1" pivotButton="0" quotePrefix="0" xfId="0">
      <alignment horizontal="left" vertical="center" wrapText="1"/>
    </xf>
    <xf numFmtId="0" fontId="56" fillId="27" borderId="0" applyAlignment="1" applyProtection="1" pivotButton="0" quotePrefix="0" xfId="0">
      <alignment horizontal="left" vertical="center" wrapText="1"/>
      <protection locked="0" hidden="1"/>
    </xf>
    <xf numFmtId="0" fontId="0" fillId="0" borderId="0" applyProtection="1" pivotButton="0" quotePrefix="0" xfId="0">
      <protection locked="0" hidden="1"/>
    </xf>
    <xf numFmtId="0" fontId="34" fillId="24" borderId="0" applyAlignment="1" pivotButton="0" quotePrefix="0" xfId="39">
      <alignment horizontal="center" vertical="center" wrapText="1"/>
    </xf>
    <xf numFmtId="0" fontId="35" fillId="0" borderId="0" applyProtection="1" pivotButton="0" quotePrefix="0" xfId="0">
      <protection locked="1" hidden="1"/>
    </xf>
    <xf numFmtId="0" fontId="54" fillId="26" borderId="0" applyAlignment="1" applyProtection="1" pivotButton="0" quotePrefix="0" xfId="0">
      <alignment horizontal="center"/>
      <protection locked="1" hidden="1"/>
    </xf>
    <xf numFmtId="0" fontId="381" fillId="0" borderId="15" applyAlignment="1" pivotButton="0" quotePrefix="0" xfId="0">
      <alignment horizontal="left" vertical="center" wrapText="1"/>
    </xf>
    <xf numFmtId="0" fontId="541" fillId="0" borderId="15" applyAlignment="1" pivotButton="0" quotePrefix="0" xfId="0">
      <alignment horizontal="left" vertical="center" wrapText="1"/>
    </xf>
    <xf numFmtId="0" fontId="63" fillId="0" borderId="15" applyAlignment="1" pivotButton="0" quotePrefix="0" xfId="0">
      <alignment horizontal="left" vertical="center" wrapText="1"/>
    </xf>
    <xf numFmtId="0" fontId="215" fillId="0" borderId="15" applyAlignment="1" pivotButton="0" quotePrefix="0" xfId="0">
      <alignment horizontal="left" vertical="center" wrapText="1"/>
    </xf>
    <xf numFmtId="0" fontId="27" fillId="0" borderId="23" applyAlignment="1" applyProtection="1" pivotButton="0" quotePrefix="0" xfId="0">
      <alignment horizontal="center" vertical="center" wrapText="1"/>
      <protection locked="1" hidden="1"/>
    </xf>
    <xf numFmtId="0" fontId="0" fillId="0" borderId="41" applyProtection="1" pivotButton="0" quotePrefix="0" xfId="0">
      <protection locked="1" hidden="1"/>
    </xf>
    <xf numFmtId="0" fontId="471" fillId="0" borderId="15" applyAlignment="1" pivotButton="0" quotePrefix="0" xfId="0">
      <alignment horizontal="left" vertical="center" wrapText="1"/>
    </xf>
    <xf numFmtId="0" fontId="135" fillId="0" borderId="15" applyAlignment="1" pivotButton="0" quotePrefix="0" xfId="0">
      <alignment horizontal="left" vertical="center" wrapText="1"/>
    </xf>
    <xf numFmtId="0" fontId="469" fillId="0" borderId="15" applyAlignment="1" pivotButton="0" quotePrefix="0" xfId="0">
      <alignment horizontal="left" vertical="center" wrapText="1"/>
    </xf>
    <xf numFmtId="0" fontId="405" fillId="0" borderId="15" applyAlignment="1" pivotButton="0" quotePrefix="0" xfId="0">
      <alignment horizontal="left" vertical="center" wrapText="1"/>
    </xf>
    <xf numFmtId="0" fontId="537" fillId="0" borderId="15" applyAlignment="1" pivotButton="0" quotePrefix="0" xfId="0">
      <alignment horizontal="left" vertical="center" wrapText="1"/>
    </xf>
    <xf numFmtId="0" fontId="457" fillId="0" borderId="15" applyAlignment="1" pivotButton="0" quotePrefix="0" xfId="0">
      <alignment horizontal="left" vertical="center" wrapText="1"/>
    </xf>
    <xf numFmtId="0" fontId="41" fillId="24" borderId="15" applyAlignment="1" applyProtection="1" pivotButton="0" quotePrefix="0" xfId="0">
      <alignment horizontal="left"/>
      <protection locked="1" hidden="1"/>
    </xf>
    <xf numFmtId="0" fontId="139" fillId="0" borderId="15" applyAlignment="1" pivotButton="0" quotePrefix="0" xfId="0">
      <alignment horizontal="left" vertical="center" wrapText="1"/>
    </xf>
    <xf numFmtId="0" fontId="473" fillId="0" borderId="15" applyAlignment="1" pivotButton="0" quotePrefix="0" xfId="0">
      <alignment horizontal="left" vertical="center" wrapText="1"/>
    </xf>
    <xf numFmtId="0" fontId="303" fillId="0" borderId="15" applyAlignment="1" pivotButton="0" quotePrefix="0" xfId="0">
      <alignment horizontal="left" vertical="center" wrapText="1"/>
    </xf>
    <xf numFmtId="0" fontId="52" fillId="24" borderId="15" applyAlignment="1" applyProtection="1" pivotButton="0" quotePrefix="0" xfId="0">
      <alignment horizontal="center" vertical="center" wrapText="1"/>
      <protection locked="1" hidden="1"/>
    </xf>
    <xf numFmtId="0" fontId="0" fillId="0" borderId="25" applyProtection="1" pivotButton="0" quotePrefix="0" xfId="0">
      <protection locked="1" hidden="1"/>
    </xf>
    <xf numFmtId="0" fontId="249" fillId="0" borderId="15" applyAlignment="1" pivotButton="0" quotePrefix="0" xfId="0">
      <alignment horizontal="left" vertical="center" wrapText="1"/>
    </xf>
    <xf numFmtId="2" fontId="50" fillId="0" borderId="26" applyAlignment="1" pivotButton="0" quotePrefix="0" xfId="0">
      <alignment horizontal="center" vertical="center"/>
    </xf>
    <xf numFmtId="0" fontId="0" fillId="0" borderId="26" pivotButton="0" quotePrefix="0" xfId="0"/>
    <xf numFmtId="0" fontId="41" fillId="0" borderId="27" applyAlignment="1" applyProtection="1" pivotButton="0" quotePrefix="0" xfId="0">
      <alignment horizontal="center" vertical="center"/>
      <protection locked="1" hidden="1"/>
    </xf>
    <xf numFmtId="0" fontId="0" fillId="0" borderId="27" applyProtection="1" pivotButton="0" quotePrefix="0" xfId="0">
      <protection locked="1" hidden="1"/>
    </xf>
    <xf numFmtId="4" fontId="49" fillId="0" borderId="1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14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0" pivotButton="0" quotePrefix="0" xfId="0"/>
    <xf numFmtId="0" fontId="165" fillId="0" borderId="15" applyAlignment="1" pivotButton="0" quotePrefix="0" xfId="0">
      <alignment horizontal="left" vertical="center" wrapText="1"/>
    </xf>
    <xf numFmtId="0" fontId="127" fillId="0" borderId="15" applyAlignment="1" pivotButton="0" quotePrefix="0" xfId="0">
      <alignment horizontal="left" vertical="center" wrapText="1"/>
    </xf>
    <xf numFmtId="0" fontId="59" fillId="0" borderId="15" applyAlignment="1" pivotButton="0" quotePrefix="0" xfId="0">
      <alignment horizontal="left" vertical="center" wrapText="1"/>
    </xf>
    <xf numFmtId="0" fontId="115" fillId="0" borderId="15" applyAlignment="1" pivotButton="0" quotePrefix="0" xfId="0">
      <alignment horizontal="left" vertical="center" wrapText="1"/>
    </xf>
    <xf numFmtId="2" fontId="42" fillId="27" borderId="0" applyAlignment="1" applyProtection="1" pivotButton="0" quotePrefix="0" xfId="0">
      <alignment horizontal="left" vertical="center" wrapText="1"/>
      <protection locked="1" hidden="1"/>
    </xf>
    <xf numFmtId="0" fontId="487" fillId="0" borderId="15" applyAlignment="1" pivotButton="0" quotePrefix="0" xfId="0">
      <alignment horizontal="left" vertical="center" wrapText="1"/>
    </xf>
    <xf numFmtId="0" fontId="131" fillId="0" borderId="15" applyAlignment="1" pivotButton="0" quotePrefix="0" xfId="0">
      <alignment horizontal="left" vertical="center" wrapText="1"/>
    </xf>
    <xf numFmtId="0" fontId="465" fillId="0" borderId="15" applyAlignment="1" pivotButton="0" quotePrefix="0" xfId="0">
      <alignment horizontal="left" vertical="center" wrapText="1"/>
    </xf>
    <xf numFmtId="0" fontId="155" fillId="0" borderId="15" applyAlignment="1" pivotButton="0" quotePrefix="0" xfId="0">
      <alignment horizontal="left" vertical="center" wrapText="1"/>
    </xf>
    <xf numFmtId="0" fontId="415" fillId="0" borderId="15" applyAlignment="1" pivotButton="0" quotePrefix="0" xfId="0">
      <alignment horizontal="left" vertical="center" wrapText="1"/>
    </xf>
    <xf numFmtId="0" fontId="387" fillId="0" borderId="15" applyAlignment="1" pivotButton="0" quotePrefix="0" xfId="0">
      <alignment horizontal="left" vertical="center" wrapText="1"/>
    </xf>
    <xf numFmtId="0" fontId="159" fillId="0" borderId="15" applyAlignment="1" pivotButton="0" quotePrefix="0" xfId="0">
      <alignment horizontal="left" vertical="center" wrapText="1"/>
    </xf>
    <xf numFmtId="0" fontId="243" fillId="0" borderId="15" applyAlignment="1" pivotButton="0" quotePrefix="0" xfId="0">
      <alignment horizontal="left" vertical="center" wrapText="1"/>
    </xf>
    <xf numFmtId="0" fontId="309" fillId="0" borderId="15" applyAlignment="1" pivotButton="0" quotePrefix="0" xfId="0">
      <alignment horizontal="left" vertical="center" wrapText="1"/>
    </xf>
    <xf numFmtId="0" fontId="371" fillId="0" borderId="15" applyAlignment="1" pivotButton="0" quotePrefix="0" xfId="0">
      <alignment horizontal="left" vertical="center" wrapText="1"/>
    </xf>
    <xf numFmtId="0" fontId="229" fillId="0" borderId="15" applyAlignment="1" pivotButton="0" quotePrefix="0" xfId="0">
      <alignment horizontal="left" vertical="center" wrapText="1"/>
    </xf>
    <xf numFmtId="0" fontId="327" fillId="0" borderId="15" applyAlignment="1" pivotButton="0" quotePrefix="0" xfId="0">
      <alignment horizontal="left" vertical="center" wrapText="1"/>
    </xf>
    <xf numFmtId="2" fontId="48" fillId="25" borderId="15" applyAlignment="1" applyProtection="1" pivotButton="0" quotePrefix="0" xfId="0">
      <alignment horizontal="left" vertical="center" wrapText="1"/>
      <protection locked="0" hidden="1"/>
    </xf>
    <xf numFmtId="0" fontId="0" fillId="0" borderId="19" applyProtection="1" pivotButton="0" quotePrefix="0" xfId="0">
      <protection locked="0" hidden="1"/>
    </xf>
    <xf numFmtId="0" fontId="0" fillId="0" borderId="20" applyProtection="1" pivotButton="0" quotePrefix="0" xfId="0">
      <protection locked="0" hidden="1"/>
    </xf>
    <xf numFmtId="0" fontId="407" fillId="0" borderId="15" applyAlignment="1" pivotButton="0" quotePrefix="0" xfId="0">
      <alignment horizontal="left" vertical="center" wrapText="1"/>
    </xf>
    <xf numFmtId="0" fontId="73" fillId="0" borderId="15" applyAlignment="1" pivotButton="0" quotePrefix="0" xfId="0">
      <alignment horizontal="left" vertical="center" wrapText="1"/>
    </xf>
    <xf numFmtId="0" fontId="313" fillId="0" borderId="15" applyAlignment="1" pivotButton="0" quotePrefix="0" xfId="0">
      <alignment horizontal="left" vertical="center" wrapText="1"/>
    </xf>
    <xf numFmtId="0" fontId="307" fillId="0" borderId="15" applyAlignment="1" pivotButton="0" quotePrefix="0" xfId="0">
      <alignment horizontal="left" vertical="center" wrapText="1"/>
    </xf>
    <xf numFmtId="0" fontId="0" fillId="0" borderId="26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42" fillId="25" borderId="15" applyAlignment="1" applyProtection="1" pivotButton="0" quotePrefix="0" xfId="0">
      <alignment horizontal="left" vertical="top" wrapText="1"/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233" fillId="0" borderId="15" applyAlignment="1" pivotButton="0" quotePrefix="0" xfId="0">
      <alignment horizontal="left" vertical="center" wrapText="1"/>
    </xf>
    <xf numFmtId="0" fontId="151" fillId="0" borderId="15" applyAlignment="1" pivotButton="0" quotePrefix="0" xfId="0">
      <alignment horizontal="left" vertical="center" wrapText="1"/>
    </xf>
    <xf numFmtId="0" fontId="69" fillId="0" borderId="15" applyAlignment="1" pivotButton="0" quotePrefix="0" xfId="0">
      <alignment horizontal="left" vertical="center" wrapText="1"/>
    </xf>
    <xf numFmtId="0" fontId="397" fillId="0" borderId="15" applyAlignment="1" pivotButton="0" quotePrefix="0" xfId="0">
      <alignment horizontal="left" vertical="center" wrapText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52" fillId="24" borderId="11" applyAlignment="1" applyProtection="1" pivotButton="0" quotePrefix="0" xfId="0">
      <alignment horizontal="center" vertical="center" wrapText="1"/>
      <protection locked="1" hidden="1"/>
    </xf>
    <xf numFmtId="0" fontId="0" fillId="0" borderId="32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35" applyProtection="1" pivotButton="0" quotePrefix="0" xfId="0">
      <protection locked="1" hidden="1"/>
    </xf>
    <xf numFmtId="0" fontId="0" fillId="0" borderId="36" applyProtection="1" pivotButton="0" quotePrefix="0" xfId="0">
      <protection locked="1" hidden="1"/>
    </xf>
    <xf numFmtId="0" fontId="339" fillId="0" borderId="15" applyAlignment="1" pivotButton="0" quotePrefix="0" xfId="0">
      <alignment horizontal="left" vertical="center" wrapText="1"/>
    </xf>
    <xf numFmtId="0" fontId="421" fillId="0" borderId="15" applyAlignment="1" pivotButton="0" quotePrefix="0" xfId="0">
      <alignment horizontal="left" vertical="center" wrapText="1"/>
    </xf>
    <xf numFmtId="0" fontId="239" fillId="0" borderId="15" applyAlignment="1" pivotButton="0" quotePrefix="0" xfId="0">
      <alignment horizontal="left" vertical="center" wrapText="1"/>
    </xf>
    <xf numFmtId="0" fontId="183" fillId="0" borderId="15" applyAlignment="1" pivotButton="0" quotePrefix="0" xfId="0">
      <alignment horizontal="left" vertical="center" wrapText="1"/>
    </xf>
    <xf numFmtId="0" fontId="399" fillId="0" borderId="15" applyAlignment="1" pivotButton="0" quotePrefix="0" xfId="0">
      <alignment horizontal="left" vertical="center" wrapText="1"/>
    </xf>
    <xf numFmtId="0" fontId="343" fillId="0" borderId="15" applyAlignment="1" pivotButton="0" quotePrefix="0" xfId="0">
      <alignment horizontal="left" vertical="center" wrapText="1"/>
    </xf>
    <xf numFmtId="0" fontId="171" fillId="0" borderId="15" applyAlignment="1" pivotButton="0" quotePrefix="0" xfId="0">
      <alignment horizontal="left" vertical="center" wrapText="1"/>
    </xf>
    <xf numFmtId="0" fontId="425" fillId="0" borderId="15" applyAlignment="1" pivotButton="0" quotePrefix="0" xfId="0">
      <alignment horizontal="left" vertical="center" wrapText="1"/>
    </xf>
    <xf numFmtId="0" fontId="85" fillId="0" borderId="15" applyAlignment="1" pivotButton="0" quotePrefix="0" xfId="0">
      <alignment horizontal="left" vertical="center" wrapText="1"/>
    </xf>
    <xf numFmtId="0" fontId="403" fillId="0" borderId="15" applyAlignment="1" pivotButton="0" quotePrefix="0" xfId="0">
      <alignment horizontal="left" vertical="center" wrapText="1"/>
    </xf>
    <xf numFmtId="0" fontId="187" fillId="0" borderId="15" applyAlignment="1" pivotButton="0" quotePrefix="0" xfId="0">
      <alignment horizontal="left" vertical="center" wrapText="1"/>
    </xf>
    <xf numFmtId="0" fontId="241" fillId="0" borderId="15" applyAlignment="1" pivotButton="0" quotePrefix="0" xfId="0">
      <alignment horizontal="left" vertical="center" wrapText="1"/>
    </xf>
    <xf numFmtId="0" fontId="493" fillId="0" borderId="15" applyAlignment="1" pivotButton="0" quotePrefix="0" xfId="0">
      <alignment horizontal="left" vertical="center" wrapText="1"/>
    </xf>
    <xf numFmtId="0" fontId="277" fillId="0" borderId="15" applyAlignment="1" pivotButton="0" quotePrefix="0" xfId="0">
      <alignment horizontal="left" vertical="center" wrapText="1"/>
    </xf>
    <xf numFmtId="0" fontId="281" fillId="0" borderId="15" applyAlignment="1" pivotButton="0" quotePrefix="0" xfId="0">
      <alignment horizontal="left" vertical="center" wrapText="1"/>
    </xf>
    <xf numFmtId="0" fontId="331" fillId="0" borderId="15" applyAlignment="1" pivotButton="0" quotePrefix="0" xfId="0">
      <alignment horizontal="left" vertical="center" wrapText="1"/>
    </xf>
    <xf numFmtId="0" fontId="373" fillId="0" borderId="15" applyAlignment="1" pivotButton="0" quotePrefix="0" xfId="0">
      <alignment horizontal="left" vertical="center" wrapText="1"/>
    </xf>
    <xf numFmtId="0" fontId="329" fillId="0" borderId="15" applyAlignment="1" pivotButton="0" quotePrefix="0" xfId="0">
      <alignment horizontal="left" vertical="center" wrapText="1"/>
    </xf>
    <xf numFmtId="0" fontId="58" fillId="0" borderId="0" applyAlignment="1" applyProtection="1" pivotButton="0" quotePrefix="0" xfId="0">
      <alignment horizontal="center" vertical="center"/>
      <protection locked="1" hidden="1"/>
    </xf>
    <xf numFmtId="0" fontId="153" fillId="0" borderId="15" applyAlignment="1" pivotButton="0" quotePrefix="0" xfId="0">
      <alignment horizontal="left" vertical="center" wrapText="1"/>
    </xf>
    <xf numFmtId="0" fontId="319" fillId="0" borderId="15" applyAlignment="1" pivotButton="0" quotePrefix="0" xfId="0">
      <alignment horizontal="left" vertical="center" wrapText="1"/>
    </xf>
    <xf numFmtId="0" fontId="333" fillId="0" borderId="15" applyAlignment="1" pivotButton="0" quotePrefix="0" xfId="0">
      <alignment horizontal="left" vertical="center" wrapText="1"/>
    </xf>
    <xf numFmtId="0" fontId="93" fillId="0" borderId="15" applyAlignment="1" pivotButton="0" quotePrefix="0" xfId="0">
      <alignment horizontal="left" vertical="center" wrapText="1"/>
    </xf>
    <xf numFmtId="0" fontId="447" fillId="0" borderId="15" applyAlignment="1" pivotButton="0" quotePrefix="0" xfId="0">
      <alignment horizontal="left" vertical="center" wrapText="1"/>
    </xf>
    <xf numFmtId="0" fontId="265" fillId="0" borderId="15" applyAlignment="1" pivotButton="0" quotePrefix="0" xfId="0">
      <alignment horizontal="left" vertical="center" wrapText="1"/>
    </xf>
    <xf numFmtId="0" fontId="427" fillId="0" borderId="15" applyAlignment="1" pivotButton="0" quotePrefix="0" xfId="0">
      <alignment horizontal="left" vertical="center" wrapText="1"/>
    </xf>
    <xf numFmtId="0" fontId="245" fillId="0" borderId="15" applyAlignment="1" pivotButton="0" quotePrefix="0" xfId="0">
      <alignment horizontal="left" vertical="center" wrapText="1"/>
    </xf>
    <xf numFmtId="0" fontId="189" fillId="0" borderId="15" applyAlignment="1" pivotButton="0" quotePrefix="0" xfId="0">
      <alignment horizontal="left" vertical="center" wrapText="1"/>
    </xf>
    <xf numFmtId="0" fontId="509" fillId="0" borderId="15" applyAlignment="1" pivotButton="0" quotePrefix="0" xfId="0">
      <alignment horizontal="left" vertical="center" wrapText="1"/>
    </xf>
    <xf numFmtId="0" fontId="341" fillId="0" borderId="15" applyAlignment="1" pivotButton="0" quotePrefix="0" xfId="0">
      <alignment horizontal="left" vertical="center" wrapText="1"/>
    </xf>
    <xf numFmtId="0" fontId="451" fillId="0" borderId="15" applyAlignment="1" pivotButton="0" quotePrefix="0" xfId="0">
      <alignment horizontal="left" vertical="center" wrapText="1"/>
    </xf>
    <xf numFmtId="0" fontId="495" fillId="0" borderId="15" applyAlignment="1" pivotButton="0" quotePrefix="0" xfId="0">
      <alignment horizontal="left" vertical="center" wrapText="1"/>
    </xf>
    <xf numFmtId="168" fontId="36" fillId="25" borderId="15" applyAlignment="1" applyProtection="1" pivotButton="0" quotePrefix="0" xfId="0">
      <alignment horizontal="center" vertical="center"/>
      <protection locked="0" hidden="0"/>
    </xf>
    <xf numFmtId="0" fontId="267" fillId="0" borderId="15" applyAlignment="1" pivotButton="0" quotePrefix="0" xfId="0">
      <alignment horizontal="left" vertical="center" wrapText="1"/>
    </xf>
    <xf numFmtId="0" fontId="0" fillId="24" borderId="27" applyAlignment="1" applyProtection="1" pivotButton="0" quotePrefix="0" xfId="0">
      <alignment horizontal="center"/>
      <protection locked="1" hidden="1"/>
    </xf>
    <xf numFmtId="0" fontId="513" fillId="0" borderId="15" applyAlignment="1" pivotButton="0" quotePrefix="0" xfId="0">
      <alignment horizontal="left" vertical="center" wrapText="1"/>
    </xf>
    <xf numFmtId="0" fontId="499" fillId="0" borderId="15" applyAlignment="1" pivotButton="0" quotePrefix="0" xfId="0">
      <alignment horizontal="left" vertical="center" wrapText="1"/>
    </xf>
    <xf numFmtId="2" fontId="48" fillId="24" borderId="15" applyAlignment="1" applyProtection="1" pivotButton="0" quotePrefix="0" xfId="0">
      <alignment vertical="center" wrapText="1"/>
      <protection locked="1" hidden="1"/>
    </xf>
    <xf numFmtId="0" fontId="207" fillId="0" borderId="15" applyAlignment="1" pivotButton="0" quotePrefix="0" xfId="0">
      <alignment horizontal="left" vertical="center" wrapText="1"/>
    </xf>
    <xf numFmtId="0" fontId="251" fillId="0" borderId="15" applyAlignment="1" pivotButton="0" quotePrefix="0" xfId="0">
      <alignment horizontal="left" vertical="center" wrapText="1"/>
    </xf>
    <xf numFmtId="0" fontId="125" fillId="0" borderId="15" applyAlignment="1" pivotButton="0" quotePrefix="0" xfId="0">
      <alignment horizontal="left" vertical="center" wrapText="1"/>
    </xf>
    <xf numFmtId="0" fontId="75" fillId="0" borderId="15" applyAlignment="1" pivotButton="0" quotePrefix="0" xfId="0">
      <alignment horizontal="left" vertical="center" wrapText="1"/>
    </xf>
    <xf numFmtId="0" fontId="167" fillId="0" borderId="15" applyAlignment="1" pivotButton="0" quotePrefix="0" xfId="0">
      <alignment horizontal="left" vertical="center" wrapText="1"/>
    </xf>
    <xf numFmtId="0" fontId="485" fillId="0" borderId="15" applyAlignment="1" pivotButton="0" quotePrefix="0" xfId="0">
      <alignment horizontal="left" vertical="center" wrapText="1"/>
    </xf>
    <xf numFmtId="0" fontId="483" fillId="0" borderId="15" applyAlignment="1" pivotButton="0" quotePrefix="0" xfId="0">
      <alignment horizontal="left" vertical="center" wrapText="1"/>
    </xf>
    <xf numFmtId="0" fontId="237" fillId="0" borderId="15" applyAlignment="1" pivotButton="0" quotePrefix="0" xfId="0">
      <alignment horizontal="left" vertical="center" wrapText="1"/>
    </xf>
    <xf numFmtId="0" fontId="489" fillId="0" borderId="15" applyAlignment="1" pivotButton="0" quotePrefix="0" xfId="0">
      <alignment horizontal="left" vertical="center" wrapText="1"/>
    </xf>
    <xf numFmtId="0" fontId="273" fillId="0" borderId="15" applyAlignment="1" pivotButton="0" quotePrefix="0" xfId="0">
      <alignment horizontal="left" vertical="center" wrapText="1"/>
    </xf>
    <xf numFmtId="0" fontId="40" fillId="24" borderId="15" applyAlignment="1" applyProtection="1" pivotButton="0" quotePrefix="0" xfId="0">
      <alignment horizontal="center" vertical="center" wrapText="1"/>
      <protection locked="1" hidden="1"/>
    </xf>
    <xf numFmtId="0" fontId="195" fillId="0" borderId="15" applyAlignment="1" pivotButton="0" quotePrefix="0" xfId="0">
      <alignment horizontal="left" vertical="center" wrapText="1"/>
    </xf>
    <xf numFmtId="0" fontId="519" fillId="0" borderId="15" applyAlignment="1" pivotButton="0" quotePrefix="0" xfId="0">
      <alignment horizontal="left" vertical="center" wrapText="1"/>
    </xf>
    <xf numFmtId="0" fontId="48" fillId="27" borderId="0" applyAlignment="1" applyProtection="1" pivotButton="0" quotePrefix="1" xfId="0">
      <alignment horizontal="center" vertical="center" wrapText="1"/>
      <protection locked="0" hidden="1"/>
    </xf>
    <xf numFmtId="0" fontId="48" fillId="27" borderId="0" applyAlignment="1" applyProtection="1" pivotButton="0" quotePrefix="0" xfId="0">
      <alignment vertical="center" wrapText="1"/>
      <protection locked="1" hidden="1"/>
    </xf>
    <xf numFmtId="0" fontId="87" fillId="0" borderId="15" applyAlignment="1" pivotButton="0" quotePrefix="0" xfId="0">
      <alignment horizontal="left" vertical="center" wrapText="1"/>
    </xf>
    <xf numFmtId="0" fontId="439" fillId="0" borderId="15" applyAlignment="1" pivotButton="0" quotePrefix="0" xfId="0">
      <alignment horizontal="left" vertical="center" wrapText="1"/>
    </xf>
    <xf numFmtId="49" fontId="36" fillId="0" borderId="15" applyAlignment="1" pivotButton="0" quotePrefix="0" xfId="0">
      <alignment horizontal="center" vertical="center"/>
    </xf>
    <xf numFmtId="0" fontId="275" fillId="0" borderId="15" applyAlignment="1" pivotButton="0" quotePrefix="0" xfId="0">
      <alignment horizontal="left" vertical="center" wrapText="1"/>
    </xf>
    <xf numFmtId="0" fontId="191" fillId="0" borderId="15" applyAlignment="1" pivotButton="0" quotePrefix="0" xfId="0">
      <alignment horizontal="left" vertical="center" wrapText="1"/>
    </xf>
    <xf numFmtId="0" fontId="67" fillId="0" borderId="15" applyAlignment="1" pivotButton="0" quotePrefix="0" xfId="0">
      <alignment horizontal="left" vertical="center" wrapText="1"/>
    </xf>
    <xf numFmtId="0" fontId="355" fillId="0" borderId="15" applyAlignment="1" pivotButton="0" quotePrefix="0" xfId="0">
      <alignment horizontal="left" vertical="center" wrapText="1"/>
    </xf>
    <xf numFmtId="0" fontId="443" fillId="0" borderId="15" applyAlignment="1" pivotButton="0" quotePrefix="0" xfId="0">
      <alignment horizontal="left" vertical="center" wrapText="1"/>
    </xf>
    <xf numFmtId="0" fontId="107" fillId="0" borderId="15" applyAlignment="1" pivotButton="0" quotePrefix="0" xfId="0">
      <alignment horizontal="left" vertical="center" wrapText="1"/>
    </xf>
    <xf numFmtId="0" fontId="279" fillId="0" borderId="15" applyAlignment="1" pivotButton="0" quotePrefix="0" xfId="0">
      <alignment horizontal="left" vertical="center" wrapText="1"/>
    </xf>
    <xf numFmtId="0" fontId="89" fillId="0" borderId="15" applyAlignment="1" pivotButton="0" quotePrefix="0" xfId="0">
      <alignment horizontal="left" vertical="center" wrapText="1"/>
    </xf>
    <xf numFmtId="0" fontId="377" fillId="0" borderId="15" applyAlignment="1" pivotButton="0" quotePrefix="0" xfId="0">
      <alignment horizontal="left" vertical="center" wrapText="1"/>
    </xf>
    <xf numFmtId="0" fontId="351" fillId="0" borderId="15" applyAlignment="1" pivotButton="0" quotePrefix="0" xfId="0">
      <alignment horizontal="left" vertical="center" wrapText="1"/>
    </xf>
    <xf numFmtId="0" fontId="363" fillId="0" borderId="15" applyAlignment="1" pivotButton="0" quotePrefix="0" xfId="0">
      <alignment horizontal="left" vertical="center" wrapText="1"/>
    </xf>
    <xf numFmtId="0" fontId="463" fillId="0" borderId="15" applyAlignment="1" pivotButton="0" quotePrefix="0" xfId="0">
      <alignment horizontal="left" vertical="center" wrapText="1"/>
    </xf>
    <xf numFmtId="0" fontId="375" fillId="0" borderId="15" applyAlignment="1" pivotButton="0" quotePrefix="0" xfId="0">
      <alignment horizontal="left" vertical="center" wrapText="1"/>
    </xf>
    <xf numFmtId="0" fontId="529" fillId="0" borderId="15" applyAlignment="1" pivotButton="0" quotePrefix="0" xfId="0">
      <alignment horizontal="left" vertical="center" wrapText="1"/>
    </xf>
    <xf numFmtId="0" fontId="185" fillId="0" borderId="15" applyAlignment="1" pivotButton="0" quotePrefix="0" xfId="0">
      <alignment horizontal="left" vertical="center" wrapText="1"/>
    </xf>
    <xf numFmtId="0" fontId="491" fillId="0" borderId="15" applyAlignment="1" pivotButton="0" quotePrefix="0" xfId="0">
      <alignment horizontal="left" vertical="center" wrapText="1"/>
    </xf>
    <xf numFmtId="0" fontId="55" fillId="0" borderId="0" applyAlignment="1" applyProtection="1" pivotButton="0" quotePrefix="0" xfId="0">
      <alignment horizontal="center" vertical="center" wrapText="1"/>
      <protection locked="1" hidden="1"/>
    </xf>
    <xf numFmtId="0" fontId="57" fillId="0" borderId="37" applyAlignment="1" pivotButton="0" quotePrefix="0" xfId="0">
      <alignment horizontal="center" wrapText="1"/>
    </xf>
    <xf numFmtId="0" fontId="0" fillId="0" borderId="37" pivotButton="0" quotePrefix="0" xfId="0"/>
    <xf numFmtId="0" fontId="449" fillId="0" borderId="15" applyAlignment="1" pivotButton="0" quotePrefix="0" xfId="0">
      <alignment horizontal="left" vertical="center" wrapText="1"/>
    </xf>
    <xf numFmtId="0" fontId="409" fillId="0" borderId="15" applyAlignment="1" pivotButton="0" quotePrefix="0" xfId="0">
      <alignment horizontal="left" vertical="center" wrapText="1"/>
    </xf>
    <xf numFmtId="0" fontId="111" fillId="0" borderId="15" applyAlignment="1" pivotButton="0" quotePrefix="0" xfId="0">
      <alignment horizontal="left" vertical="center" wrapText="1"/>
    </xf>
    <xf numFmtId="0" fontId="393" fillId="0" borderId="15" applyAlignment="1" pivotButton="0" quotePrefix="0" xfId="0">
      <alignment horizontal="left" vertical="center" wrapText="1"/>
    </xf>
    <xf numFmtId="0" fontId="105" fillId="0" borderId="15" applyAlignment="1" pivotButton="0" quotePrefix="0" xfId="0">
      <alignment horizontal="left" vertical="center" wrapText="1"/>
    </xf>
    <xf numFmtId="0" fontId="515" fillId="0" borderId="15" applyAlignment="1" pivotButton="0" quotePrefix="0" xfId="0">
      <alignment horizontal="left" vertical="center" wrapText="1"/>
    </xf>
    <xf numFmtId="0" fontId="113" fillId="0" borderId="15" applyAlignment="1" pivotButton="0" quotePrefix="0" xfId="0">
      <alignment horizontal="left" vertical="center" wrapText="1"/>
    </xf>
    <xf numFmtId="0" fontId="391" fillId="0" borderId="15" applyAlignment="1" pivotButton="0" quotePrefix="0" xfId="0">
      <alignment horizontal="left" vertical="center" wrapText="1"/>
    </xf>
    <xf numFmtId="0" fontId="445" fillId="0" borderId="15" applyAlignment="1" pivotButton="0" quotePrefix="0" xfId="0">
      <alignment horizontal="left" vertical="center" wrapText="1"/>
    </xf>
    <xf numFmtId="0" fontId="367" fillId="0" borderId="15" applyAlignment="1" pivotButton="0" quotePrefix="0" xfId="0">
      <alignment horizontal="left" vertical="center" wrapText="1"/>
    </xf>
    <xf numFmtId="0" fontId="91" fillId="0" borderId="15" applyAlignment="1" pivotButton="0" quotePrefix="0" xfId="0">
      <alignment horizontal="left" vertical="center" wrapText="1"/>
    </xf>
    <xf numFmtId="0" fontId="475" fillId="0" borderId="15" applyAlignment="1" pivotButton="0" quotePrefix="0" xfId="0">
      <alignment horizontal="left" vertical="center" wrapText="1"/>
    </xf>
    <xf numFmtId="0" fontId="305" fillId="0" borderId="15" applyAlignment="1" pivotButton="0" quotePrefix="0" xfId="0">
      <alignment horizontal="left" vertical="center" wrapText="1"/>
    </xf>
    <xf numFmtId="0" fontId="299" fillId="0" borderId="15" applyAlignment="1" pivotButton="0" quotePrefix="0" xfId="0">
      <alignment horizontal="left" vertical="center" wrapText="1"/>
    </xf>
    <xf numFmtId="0" fontId="81" fillId="0" borderId="15" applyAlignment="1" pivotButton="0" quotePrefix="0" xfId="0">
      <alignment horizontal="left" vertical="center" wrapText="1"/>
    </xf>
    <xf numFmtId="0" fontId="137" fillId="0" borderId="15" applyAlignment="1" pivotButton="0" quotePrefix="0" xfId="0">
      <alignment horizontal="left" vertical="center" wrapText="1"/>
    </xf>
    <xf numFmtId="0" fontId="479" fillId="0" borderId="15" applyAlignment="1" pivotButton="0" quotePrefix="0" xfId="0">
      <alignment horizontal="left" vertical="center" wrapText="1"/>
    </xf>
    <xf numFmtId="0" fontId="315" fillId="0" borderId="15" applyAlignment="1" pivotButton="0" quotePrefix="0" xfId="0">
      <alignment horizontal="left" vertical="center" wrapText="1"/>
    </xf>
    <xf numFmtId="0" fontId="533" fillId="0" borderId="15" applyAlignment="1" pivotButton="0" quotePrefix="0" xfId="0">
      <alignment horizontal="left" vertical="center" wrapText="1"/>
    </xf>
    <xf numFmtId="0" fontId="121" fillId="0" borderId="15" applyAlignment="1" pivotButton="0" quotePrefix="0" xfId="0">
      <alignment horizontal="left" vertical="center" wrapText="1"/>
    </xf>
    <xf numFmtId="49" fontId="36" fillId="0" borderId="24" applyAlignment="1" pivotButton="0" quotePrefix="0" xfId="0">
      <alignment horizontal="center" vertical="center"/>
    </xf>
    <xf numFmtId="0" fontId="157" fillId="0" borderId="15" applyAlignment="1" pivotButton="0" quotePrefix="0" xfId="0">
      <alignment horizontal="left" vertical="center" wrapText="1"/>
    </xf>
    <xf numFmtId="0" fontId="417" fillId="0" borderId="15" applyAlignment="1" pivotButton="0" quotePrefix="0" xfId="0">
      <alignment horizontal="left" vertical="center" wrapText="1"/>
    </xf>
    <xf numFmtId="0" fontId="395" fillId="0" borderId="15" applyAlignment="1" pivotButton="0" quotePrefix="0" xfId="0">
      <alignment horizontal="left" vertical="center" wrapText="1"/>
    </xf>
    <xf numFmtId="0" fontId="205" fillId="0" borderId="15" applyAlignment="1" pivotButton="0" quotePrefix="0" xfId="0">
      <alignment horizontal="left" vertical="center" wrapText="1"/>
    </xf>
    <xf numFmtId="0" fontId="181" fillId="0" borderId="15" applyAlignment="1" pivotButton="0" quotePrefix="0" xfId="0">
      <alignment horizontal="left" vertical="center" wrapText="1"/>
    </xf>
    <xf numFmtId="0" fontId="221" fillId="0" borderId="15" applyAlignment="1" pivotButton="0" quotePrefix="0" xfId="0">
      <alignment horizontal="left" vertical="center" wrapText="1"/>
    </xf>
    <xf numFmtId="0" fontId="293" fillId="0" borderId="15" applyAlignment="1" pivotButton="0" quotePrefix="0" xfId="0">
      <alignment horizontal="left" vertical="center" wrapText="1"/>
    </xf>
    <xf numFmtId="0" fontId="117" fillId="0" borderId="15" applyAlignment="1" pivotButton="0" quotePrefix="0" xfId="0">
      <alignment horizontal="left" vertical="center" wrapText="1"/>
    </xf>
    <xf numFmtId="0" fontId="209" fillId="0" borderId="15" applyAlignment="1" pivotButton="0" quotePrefix="0" xfId="0">
      <alignment horizontal="left" vertical="center" wrapText="1"/>
    </xf>
    <xf numFmtId="49" fontId="36" fillId="25" borderId="15" applyAlignment="1" applyProtection="1" pivotButton="0" quotePrefix="0" xfId="0">
      <alignment horizontal="center" vertical="center"/>
      <protection locked="0" hidden="0"/>
    </xf>
    <xf numFmtId="0" fontId="225" fillId="0" borderId="15" applyAlignment="1" pivotButton="0" quotePrefix="0" xfId="0">
      <alignment horizontal="left" vertical="center" wrapText="1"/>
    </xf>
    <xf numFmtId="0" fontId="297" fillId="0" borderId="15" applyAlignment="1" pivotButton="0" quotePrefix="0" xfId="0">
      <alignment horizontal="left" vertical="center" wrapText="1"/>
    </xf>
    <xf numFmtId="0" fontId="323" fillId="0" borderId="15" applyAlignment="1" pivotButton="0" quotePrefix="0" xfId="0">
      <alignment horizontal="left" vertical="center" wrapText="1"/>
    </xf>
    <xf numFmtId="0" fontId="141" fillId="0" borderId="15" applyAlignment="1" pivotButton="0" quotePrefix="0" xfId="0">
      <alignment horizontal="left" vertical="center" wrapText="1"/>
    </xf>
    <xf numFmtId="0" fontId="539" fillId="0" borderId="15" applyAlignment="1" pivotButton="0" quotePrefix="0" xfId="0">
      <alignment horizontal="left" vertical="center" wrapText="1"/>
    </xf>
    <xf numFmtId="0" fontId="325" fillId="0" borderId="15" applyAlignment="1" pivotButton="0" quotePrefix="0" xfId="0">
      <alignment horizontal="left" vertical="center" wrapText="1"/>
    </xf>
    <xf numFmtId="0" fontId="71" fillId="0" borderId="15" applyAlignment="1" pivotButton="0" quotePrefix="0" xfId="0">
      <alignment horizontal="left" vertical="center" wrapText="1"/>
    </xf>
    <xf numFmtId="0" fontId="217" fillId="0" borderId="15" applyAlignment="1" pivotButton="0" quotePrefix="0" xfId="0">
      <alignment horizontal="left" vertical="center" wrapText="1"/>
    </xf>
    <xf numFmtId="0" fontId="42" fillId="25" borderId="24" applyAlignment="1" applyProtection="1" pivotButton="0" quotePrefix="0" xfId="0">
      <alignment horizontal="center" vertical="top" wrapText="1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43" fillId="0" borderId="15" applyAlignment="1" pivotButton="0" quotePrefix="0" xfId="0">
      <alignment horizontal="left" vertical="center" wrapText="1"/>
    </xf>
    <xf numFmtId="0" fontId="477" fillId="0" borderId="15" applyAlignment="1" pivotButton="0" quotePrefix="0" xfId="0">
      <alignment horizontal="left" vertical="center" wrapText="1"/>
    </xf>
    <xf numFmtId="2" fontId="48" fillId="24" borderId="15" applyAlignment="1" applyProtection="1" pivotButton="0" quotePrefix="0" xfId="0">
      <alignment horizontal="left" vertical="center" wrapText="1"/>
      <protection locked="1" hidden="1"/>
    </xf>
    <xf numFmtId="0" fontId="61" fillId="0" borderId="15" applyAlignment="1" pivotButton="0" quotePrefix="0" xfId="0">
      <alignment horizontal="left" vertical="center" wrapText="1"/>
    </xf>
    <xf numFmtId="0" fontId="147" fillId="0" borderId="15" applyAlignment="1" pivotButton="0" quotePrefix="0" xfId="0">
      <alignment horizontal="left" vertical="center" wrapText="1"/>
    </xf>
    <xf numFmtId="2" fontId="42" fillId="25" borderId="11" applyAlignment="1" applyProtection="1" pivotButton="0" quotePrefix="0" xfId="0">
      <alignment horizontal="left" vertical="center" wrapText="1"/>
      <protection locked="0" hidden="1"/>
    </xf>
    <xf numFmtId="0" fontId="0" fillId="0" borderId="12" applyProtection="1" pivotButton="0" quotePrefix="0" xfId="0">
      <protection locked="0" hidden="1"/>
    </xf>
    <xf numFmtId="0" fontId="0" fillId="0" borderId="13" applyProtection="1" pivotButton="0" quotePrefix="0" xfId="0">
      <protection locked="0" hidden="1"/>
    </xf>
    <xf numFmtId="0" fontId="58" fillId="0" borderId="38" applyAlignment="1" applyProtection="1" pivotButton="0" quotePrefix="0" xfId="0">
      <alignment horizontal="center" vertical="center"/>
      <protection locked="1" hidden="1"/>
    </xf>
    <xf numFmtId="0" fontId="0" fillId="0" borderId="38" applyProtection="1" pivotButton="0" quotePrefix="0" xfId="0">
      <protection locked="1" hidden="1"/>
    </xf>
    <xf numFmtId="0" fontId="257" fillId="0" borderId="15" applyAlignment="1" pivotButton="0" quotePrefix="0" xfId="0">
      <alignment horizontal="left" vertical="center" wrapText="1"/>
    </xf>
    <xf numFmtId="0" fontId="231" fillId="0" borderId="15" applyAlignment="1" pivotButton="0" quotePrefix="0" xfId="0">
      <alignment horizontal="left" vertical="center" wrapText="1"/>
    </xf>
    <xf numFmtId="0" fontId="235" fillId="0" borderId="15" applyAlignment="1" pivotButton="0" quotePrefix="0" xfId="0">
      <alignment horizontal="left" vertical="center" wrapText="1"/>
    </xf>
    <xf numFmtId="0" fontId="211" fillId="0" borderId="15" applyAlignment="1" pivotButton="0" quotePrefix="0" xfId="0">
      <alignment horizontal="left" vertical="center" wrapText="1"/>
    </xf>
    <xf numFmtId="0" fontId="527" fillId="0" borderId="15" applyAlignment="1" pivotButton="0" quotePrefix="0" xfId="0">
      <alignment horizontal="left" vertical="center" wrapText="1"/>
    </xf>
    <xf numFmtId="0" fontId="505" fillId="0" borderId="15" applyAlignment="1" pivotButton="0" quotePrefix="0" xfId="0">
      <alignment horizontal="left" vertical="center" wrapText="1"/>
    </xf>
    <xf numFmtId="0" fontId="531" fillId="0" borderId="15" applyAlignment="1" pivotButton="0" quotePrefix="0" xfId="0">
      <alignment horizontal="left" vertical="center" wrapText="1"/>
    </xf>
    <xf numFmtId="0" fontId="163" fillId="0" borderId="15" applyAlignment="1" pivotButton="0" quotePrefix="0" xfId="0">
      <alignment horizontal="left" vertical="center" wrapText="1"/>
    </xf>
    <xf numFmtId="0" fontId="311" fillId="0" borderId="15" applyAlignment="1" pivotButton="0" quotePrefix="0" xfId="0">
      <alignment horizontal="left" vertical="center" wrapText="1"/>
    </xf>
    <xf numFmtId="0" fontId="65" fillId="0" borderId="15" applyAlignment="1" pivotButton="0" quotePrefix="0" xfId="0">
      <alignment horizontal="left" vertical="center" wrapText="1"/>
    </xf>
    <xf numFmtId="0" fontId="129" fillId="0" borderId="15" applyAlignment="1" pivotButton="0" quotePrefix="0" xfId="0">
      <alignment horizontal="left" vertical="center" wrapText="1"/>
    </xf>
    <xf numFmtId="0" fontId="385" fillId="0" borderId="15" applyAlignment="1" pivotButton="0" quotePrefix="0" xfId="0">
      <alignment horizontal="left" vertical="center" wrapText="1"/>
    </xf>
    <xf numFmtId="0" fontId="48" fillId="24" borderId="21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227" fillId="0" borderId="15" applyAlignment="1" pivotButton="0" quotePrefix="0" xfId="0">
      <alignment horizontal="left" vertical="center" wrapText="1"/>
    </xf>
    <xf numFmtId="0" fontId="411" fillId="0" borderId="15" applyAlignment="1" pivotButton="0" quotePrefix="0" xfId="0">
      <alignment horizontal="left" vertical="center" wrapText="1"/>
    </xf>
    <xf numFmtId="0" fontId="317" fillId="0" borderId="15" applyAlignment="1" pivotButton="0" quotePrefix="0" xfId="0">
      <alignment horizontal="left" vertical="center" wrapText="1"/>
    </xf>
    <xf numFmtId="0" fontId="219" fillId="0" borderId="15" applyAlignment="1" pivotButton="0" quotePrefix="0" xfId="0">
      <alignment horizontal="left" vertical="center" wrapText="1"/>
    </xf>
    <xf numFmtId="0" fontId="177" fillId="0" borderId="15" applyAlignment="1" pivotButton="0" quotePrefix="0" xfId="0">
      <alignment horizontal="left" vertical="center" wrapText="1"/>
    </xf>
    <xf numFmtId="0" fontId="145" fillId="0" borderId="15" applyAlignment="1" pivotButton="0" quotePrefix="0" xfId="0">
      <alignment horizontal="left" vertical="center" wrapText="1"/>
    </xf>
    <xf numFmtId="0" fontId="169" fillId="0" borderId="15" applyAlignment="1" pivotButton="0" quotePrefix="0" xfId="0">
      <alignment horizontal="left" vertical="center" wrapText="1"/>
    </xf>
    <xf numFmtId="0" fontId="149" fillId="0" borderId="15" applyAlignment="1" pivotButton="0" quotePrefix="0" xfId="0">
      <alignment horizontal="left" vertical="center" wrapText="1"/>
    </xf>
    <xf numFmtId="0" fontId="481" fillId="0" borderId="15" applyAlignment="1" pivotButton="0" quotePrefix="0" xfId="0">
      <alignment horizontal="left" vertical="center" wrapText="1"/>
    </xf>
    <xf numFmtId="0" fontId="263" fillId="0" borderId="15" applyAlignment="1" pivotButton="0" quotePrefix="0" xfId="0">
      <alignment horizontal="left" vertical="center" wrapText="1"/>
    </xf>
    <xf numFmtId="0" fontId="347" fillId="0" borderId="15" applyAlignment="1" pivotButton="0" quotePrefix="0" xfId="0">
      <alignment horizontal="left" vertical="center" wrapText="1"/>
    </xf>
    <xf numFmtId="0" fontId="429" fillId="0" borderId="15" applyAlignment="1" pivotButton="0" quotePrefix="0" xfId="0">
      <alignment horizontal="left" vertical="center" wrapText="1"/>
    </xf>
    <xf numFmtId="0" fontId="173" fillId="0" borderId="15" applyAlignment="1" pivotButton="0" quotePrefix="0" xfId="0">
      <alignment horizontal="left" vertical="center" wrapText="1"/>
    </xf>
    <xf numFmtId="0" fontId="497" fillId="0" borderId="15" applyAlignment="1" pivotButton="0" quotePrefix="0" xfId="0">
      <alignment horizontal="left" vertical="center" wrapText="1"/>
    </xf>
    <xf numFmtId="0" fontId="433" fillId="0" borderId="15" applyAlignment="1" pivotButton="0" quotePrefix="0" xfId="0">
      <alignment horizontal="left" vertical="center" wrapText="1"/>
    </xf>
    <xf numFmtId="0" fontId="419" fillId="0" borderId="15" applyAlignment="1" pivotButton="0" quotePrefix="0" xfId="0">
      <alignment horizontal="left" vertical="center" wrapText="1"/>
    </xf>
    <xf numFmtId="0" fontId="501" fillId="0" borderId="15" applyAlignment="1" pivotButton="0" quotePrefix="0" xfId="0">
      <alignment horizontal="left" vertical="center" wrapText="1"/>
    </xf>
    <xf numFmtId="0" fontId="353" fillId="0" borderId="15" applyAlignment="1" pivotButton="0" quotePrefix="0" xfId="0">
      <alignment horizontal="left" vertical="center" wrapText="1"/>
    </xf>
    <xf numFmtId="0" fontId="285" fillId="0" borderId="15" applyAlignment="1" pivotButton="0" quotePrefix="0" xfId="0">
      <alignment horizontal="left" vertical="center" wrapText="1"/>
    </xf>
    <xf numFmtId="165" fontId="36" fillId="25" borderId="15" applyAlignment="1" applyProtection="1" pivotButton="0" quotePrefix="0" xfId="0">
      <alignment horizontal="center" vertical="center"/>
      <protection locked="0" hidden="0"/>
    </xf>
    <xf numFmtId="0" fontId="199" fillId="0" borderId="15" applyAlignment="1" pivotButton="0" quotePrefix="0" xfId="0">
      <alignment horizontal="left" vertical="center" wrapText="1"/>
    </xf>
    <xf numFmtId="0" fontId="461" fillId="0" borderId="15" applyAlignment="1" pivotButton="0" quotePrefix="0" xfId="0">
      <alignment horizontal="left" vertical="center" wrapText="1"/>
    </xf>
    <xf numFmtId="0" fontId="253" fillId="0" borderId="15" applyAlignment="1" pivotButton="0" quotePrefix="0" xfId="0">
      <alignment horizontal="left" vertical="center" wrapText="1"/>
    </xf>
    <xf numFmtId="165" fontId="36" fillId="25" borderId="24" applyAlignment="1" applyProtection="1" pivotButton="0" quotePrefix="0" xfId="0">
      <alignment horizontal="center" vertical="center"/>
      <protection locked="0" hidden="0"/>
    </xf>
    <xf numFmtId="0" fontId="203" fillId="0" borderId="15" applyAlignment="1" pivotButton="0" quotePrefix="0" xfId="0">
      <alignment horizontal="left" vertical="center" wrapText="1"/>
    </xf>
    <xf numFmtId="0" fontId="525" fillId="0" borderId="15" applyAlignment="1" pivotButton="0" quotePrefix="0" xfId="0">
      <alignment horizontal="left" vertical="center" wrapText="1"/>
    </xf>
    <xf numFmtId="0" fontId="255" fillId="0" borderId="15" applyAlignment="1" pivotButton="0" quotePrefix="0" xfId="0">
      <alignment horizontal="left" vertical="center" wrapText="1"/>
    </xf>
    <xf numFmtId="0" fontId="335" fillId="0" borderId="15" applyAlignment="1" pivotButton="0" quotePrefix="0" xfId="0">
      <alignment horizontal="left" vertical="center" wrapText="1"/>
    </xf>
    <xf numFmtId="0" fontId="383" fillId="0" borderId="15" applyAlignment="1" pivotButton="0" quotePrefix="0" xfId="0">
      <alignment horizontal="left" vertical="center" wrapText="1"/>
    </xf>
    <xf numFmtId="0" fontId="223" fillId="0" borderId="15" applyAlignment="1" pivotButton="0" quotePrefix="0" xfId="0">
      <alignment horizontal="left" vertical="center" wrapText="1"/>
    </xf>
    <xf numFmtId="0" fontId="321" fillId="0" borderId="15" applyAlignment="1" pivotButton="0" quotePrefix="0" xfId="0">
      <alignment horizontal="left" vertical="center" wrapText="1"/>
    </xf>
    <xf numFmtId="0" fontId="401" fillId="0" borderId="15" applyAlignment="1" pivotButton="0" quotePrefix="0" xfId="0">
      <alignment horizontal="left" vertical="center" wrapText="1"/>
    </xf>
    <xf numFmtId="0" fontId="97" fillId="0" borderId="15" applyAlignment="1" pivotButton="0" quotePrefix="0" xfId="0">
      <alignment horizontal="left" vertical="center" wrapText="1"/>
    </xf>
    <xf numFmtId="0" fontId="349" fillId="0" borderId="15" applyAlignment="1" pivotButton="0" quotePrefix="0" xfId="0">
      <alignment horizontal="left" vertical="center" wrapText="1"/>
    </xf>
    <xf numFmtId="0" fontId="269" fillId="0" borderId="15" applyAlignment="1" pivotButton="0" quotePrefix="0" xfId="0">
      <alignment horizontal="left" vertical="center" wrapText="1"/>
    </xf>
    <xf numFmtId="0" fontId="431" fillId="0" borderId="15" applyAlignment="1" pivotButton="0" quotePrefix="0" xfId="0">
      <alignment horizontal="left" vertical="center" wrapText="1"/>
    </xf>
    <xf numFmtId="0" fontId="101" fillId="0" borderId="15" applyAlignment="1" pivotButton="0" quotePrefix="0" xfId="0">
      <alignment horizontal="left" vertical="center" wrapText="1"/>
    </xf>
    <xf numFmtId="0" fontId="175" fillId="0" borderId="15" applyAlignment="1" pivotButton="0" quotePrefix="0" xfId="0">
      <alignment horizontal="left" vertical="center" wrapText="1"/>
    </xf>
    <xf numFmtId="0" fontId="83" fillId="0" borderId="15" applyAlignment="1" pivotButton="0" quotePrefix="0" xfId="0">
      <alignment horizontal="left" vertical="center" wrapText="1"/>
    </xf>
    <xf numFmtId="0" fontId="435" fillId="0" borderId="15" applyAlignment="1" pivotButton="0" quotePrefix="0" xfId="0">
      <alignment horizontal="left" vertical="center" wrapText="1"/>
    </xf>
    <xf numFmtId="0" fontId="99" fillId="0" borderId="15" applyAlignment="1" pivotButton="0" quotePrefix="0" xfId="0">
      <alignment horizontal="left" vertical="center" wrapText="1"/>
    </xf>
    <xf numFmtId="0" fontId="517" fillId="0" borderId="15" applyAlignment="1" pivotButton="0" quotePrefix="0" xfId="0">
      <alignment horizontal="left" vertical="center" wrapText="1"/>
    </xf>
    <xf numFmtId="0" fontId="369" fillId="0" borderId="15" applyAlignment="1" pivotButton="0" quotePrefix="0" xfId="0">
      <alignment horizontal="left" vertical="center" wrapText="1"/>
    </xf>
    <xf numFmtId="0" fontId="179" fillId="0" borderId="15" applyAlignment="1" pivotButton="0" quotePrefix="0" xfId="0">
      <alignment horizontal="left" vertical="center" wrapText="1"/>
    </xf>
    <xf numFmtId="0" fontId="103" fillId="0" borderId="15" applyAlignment="1" pivotButton="0" quotePrefix="0" xfId="0">
      <alignment horizontal="left" vertical="center" wrapText="1"/>
    </xf>
    <xf numFmtId="2" fontId="48" fillId="24" borderId="15" applyAlignment="1" applyProtection="1" pivotButton="0" quotePrefix="0" xfId="0">
      <alignment horizontal="center" vertical="center" wrapText="1"/>
      <protection locked="1" hidden="1"/>
    </xf>
    <xf numFmtId="0" fontId="437" fillId="0" borderId="15" applyAlignment="1" pivotButton="0" quotePrefix="0" xfId="0">
      <alignment horizontal="left" vertical="center" wrapText="1"/>
    </xf>
    <xf numFmtId="0" fontId="291" fillId="0" borderId="15" applyAlignment="1" pivotButton="0" quotePrefix="0" xfId="0">
      <alignment horizontal="left" vertical="center" wrapText="1"/>
    </xf>
    <xf numFmtId="165" fontId="36" fillId="25" borderId="11" applyAlignment="1" applyProtection="1" pivotButton="0" quotePrefix="0" xfId="0">
      <alignment horizontal="center" vertical="center"/>
      <protection locked="0" hidden="0"/>
    </xf>
    <xf numFmtId="0" fontId="0" fillId="0" borderId="13" applyProtection="1" pivotButton="0" quotePrefix="0" xfId="0">
      <protection locked="0" hidden="0"/>
    </xf>
    <xf numFmtId="0" fontId="295" fillId="0" borderId="15" applyAlignment="1" pivotButton="0" quotePrefix="0" xfId="0">
      <alignment horizontal="left" vertical="center" wrapText="1"/>
    </xf>
    <xf numFmtId="0" fontId="259" fillId="0" borderId="15" applyAlignment="1" pivotButton="0" quotePrefix="0" xfId="0">
      <alignment horizontal="left" vertical="center" wrapText="1"/>
    </xf>
    <xf numFmtId="0" fontId="359" fillId="0" borderId="15" applyAlignment="1" pivotButton="0" quotePrefix="0" xfId="0">
      <alignment horizontal="left" vertical="center" wrapText="1"/>
    </xf>
    <xf numFmtId="0" fontId="337" fillId="0" borderId="15" applyAlignment="1" pivotButton="0" quotePrefix="0" xfId="0">
      <alignment horizontal="left" vertical="center" wrapText="1"/>
    </xf>
    <xf numFmtId="0" fontId="423" fillId="0" borderId="15" applyAlignment="1" pivotButton="0" quotePrefix="0" xfId="0">
      <alignment horizontal="left" vertical="center" wrapText="1"/>
    </xf>
    <xf numFmtId="0" fontId="77" fillId="0" borderId="15" applyAlignment="1" pivotButton="0" quotePrefix="0" xfId="0">
      <alignment horizontal="left" vertical="center" wrapText="1"/>
    </xf>
    <xf numFmtId="14" fontId="34" fillId="24" borderId="0" applyAlignment="1" pivotButton="0" quotePrefix="0" xfId="0">
      <alignment vertical="center" wrapText="1"/>
    </xf>
    <xf numFmtId="0" fontId="261" fillId="0" borderId="15" applyAlignment="1" pivotButton="0" quotePrefix="0" xfId="0">
      <alignment horizontal="left" vertical="center" wrapText="1"/>
    </xf>
    <xf numFmtId="0" fontId="161" fillId="0" borderId="15" applyAlignment="1" pivotButton="0" quotePrefix="0" xfId="0">
      <alignment horizontal="left" vertical="center" wrapText="1"/>
    </xf>
    <xf numFmtId="0" fontId="41" fillId="0" borderId="27" applyAlignment="1" applyProtection="1" pivotButton="0" quotePrefix="0" xfId="0">
      <alignment horizontal="right" vertical="center" wrapText="1"/>
      <protection locked="1" hidden="1"/>
    </xf>
    <xf numFmtId="0" fontId="459" fillId="0" borderId="15" applyAlignment="1" pivotButton="0" quotePrefix="0" xfId="0">
      <alignment horizontal="left" vertical="center" wrapText="1"/>
    </xf>
    <xf numFmtId="0" fontId="507" fillId="0" borderId="15" applyAlignment="1" pivotButton="0" quotePrefix="0" xfId="0">
      <alignment horizontal="left" vertical="center" wrapText="1"/>
    </xf>
    <xf numFmtId="0" fontId="119" fillId="0" borderId="15" applyAlignment="1" pivotButton="0" quotePrefix="0" xfId="0">
      <alignment horizontal="left" vertical="center" wrapText="1"/>
    </xf>
    <xf numFmtId="0" fontId="283" fillId="0" borderId="15" applyAlignment="1" pivotButton="0" quotePrefix="0" xfId="0">
      <alignment horizontal="left" vertical="center" wrapText="1"/>
    </xf>
    <xf numFmtId="0" fontId="271" fillId="0" borderId="15" applyAlignment="1" pivotButton="0" quotePrefix="0" xfId="0">
      <alignment horizontal="left" vertical="center" wrapText="1"/>
    </xf>
    <xf numFmtId="0" fontId="45" fillId="24" borderId="15" applyAlignment="1" applyProtection="1" pivotButton="0" quotePrefix="0" xfId="0">
      <alignment horizontal="center" vertical="center" wrapText="1"/>
      <protection locked="1" hidden="1"/>
    </xf>
    <xf numFmtId="0" fontId="441" fillId="0" borderId="15" applyAlignment="1" pivotButton="0" quotePrefix="0" xfId="0">
      <alignment horizontal="left" vertical="center" wrapText="1"/>
    </xf>
    <xf numFmtId="0" fontId="511" fillId="0" borderId="15" applyAlignment="1" pivotButton="0" quotePrefix="0" xfId="0">
      <alignment horizontal="left" vertical="center" wrapText="1"/>
    </xf>
    <xf numFmtId="0" fontId="389" fillId="0" borderId="15" applyAlignment="1" pivotButton="0" quotePrefix="0" xfId="0">
      <alignment horizontal="left" vertical="center" wrapText="1"/>
    </xf>
    <xf numFmtId="0" fontId="193" fillId="0" borderId="15" applyAlignment="1" pivotButton="0" quotePrefix="0" xfId="0">
      <alignment horizontal="left" vertical="center" wrapText="1"/>
    </xf>
    <xf numFmtId="0" fontId="503" fillId="0" borderId="15" applyAlignment="1" pivotButton="0" quotePrefix="0" xfId="0">
      <alignment horizontal="left" vertical="center" wrapText="1"/>
    </xf>
    <xf numFmtId="0" fontId="109" fillId="0" borderId="15" applyAlignment="1" pivotButton="0" quotePrefix="0" xfId="0">
      <alignment horizontal="left" vertical="center" wrapText="1"/>
    </xf>
    <xf numFmtId="0" fontId="521" fillId="0" borderId="15" applyAlignment="1" pivotButton="0" quotePrefix="0" xfId="0">
      <alignment horizontal="left" vertical="center" wrapText="1"/>
    </xf>
    <xf numFmtId="0" fontId="365" fillId="0" borderId="15" applyAlignment="1" pivotButton="0" quotePrefix="0" xfId="0">
      <alignment horizontal="left" vertical="center" wrapText="1"/>
    </xf>
    <xf numFmtId="0" fontId="455" fillId="0" borderId="15" applyAlignment="1" pivotButton="0" quotePrefix="0" xfId="0">
      <alignment horizontal="left" vertical="center" wrapText="1"/>
    </xf>
    <xf numFmtId="0" fontId="379" fillId="0" borderId="15" applyAlignment="1" pivotButton="0" quotePrefix="0" xfId="0">
      <alignment horizontal="left" vertical="center" wrapText="1"/>
    </xf>
    <xf numFmtId="0" fontId="535" fillId="0" borderId="15" applyAlignment="1" pivotButton="0" quotePrefix="0" xfId="0">
      <alignment horizontal="left" vertical="center" wrapText="1"/>
    </xf>
    <xf numFmtId="0" fontId="345" fillId="0" borderId="15" applyAlignment="1" pivotButton="0" quotePrefix="0" xfId="0">
      <alignment horizontal="left" vertical="center" wrapText="1"/>
    </xf>
    <xf numFmtId="0" fontId="123" fillId="0" borderId="15" applyAlignment="1" pivotButton="0" quotePrefix="0" xfId="0">
      <alignment horizontal="left" vertical="center" wrapText="1"/>
    </xf>
    <xf numFmtId="0" fontId="301" fillId="0" borderId="15" applyAlignment="1" pivotButton="0" quotePrefix="0" xfId="0">
      <alignment horizontal="left" vertical="center" wrapText="1"/>
    </xf>
    <xf numFmtId="0" fontId="361" fillId="0" borderId="15" applyAlignment="1" pivotButton="0" quotePrefix="0" xfId="0">
      <alignment horizontal="left" vertical="center" wrapText="1"/>
    </xf>
    <xf numFmtId="0" fontId="213" fillId="0" borderId="15" applyAlignment="1" pivotButton="0" quotePrefix="0" xfId="0">
      <alignment horizontal="left" vertical="center" wrapText="1"/>
    </xf>
    <xf numFmtId="0" fontId="0" fillId="0" borderId="43" applyProtection="1" pivotButton="0" quotePrefix="0" xfId="0">
      <protection locked="1" hidden="1"/>
    </xf>
    <xf numFmtId="2" fontId="48" fillId="24" borderId="11" applyAlignment="1" applyProtection="1" pivotButton="0" quotePrefix="0" xfId="0">
      <alignment vertical="center" wrapText="1"/>
      <protection locked="1" hidden="1"/>
    </xf>
    <xf numFmtId="0" fontId="133" fillId="0" borderId="15" applyAlignment="1" pivotButton="0" quotePrefix="0" xfId="0">
      <alignment horizontal="left" vertical="center" wrapText="1"/>
    </xf>
    <xf numFmtId="0" fontId="467" fillId="0" borderId="15" applyAlignment="1" pivotButton="0" quotePrefix="0" xfId="0">
      <alignment horizontal="left" vertical="center" wrapText="1"/>
    </xf>
    <xf numFmtId="0" fontId="95" fillId="0" borderId="15" applyAlignment="1" pivotButton="0" quotePrefix="0" xfId="0">
      <alignment horizontal="left" vertical="center" wrapText="1"/>
    </xf>
    <xf numFmtId="0" fontId="247" fillId="0" borderId="15" applyAlignment="1" pivotButton="0" quotePrefix="0" xfId="0">
      <alignment horizontal="left" vertical="center" wrapText="1"/>
    </xf>
    <xf numFmtId="0" fontId="543" fillId="0" borderId="15" applyAlignment="1" pivotButton="0" quotePrefix="0" xfId="0">
      <alignment horizontal="left" vertical="center" wrapText="1"/>
    </xf>
    <xf numFmtId="0" fontId="52" fillId="24" borderId="18" applyAlignment="1" applyProtection="1" pivotButton="0" quotePrefix="0" xfId="39">
      <alignment horizontal="center" vertical="center" wrapText="1"/>
      <protection locked="0" hidden="1"/>
    </xf>
    <xf numFmtId="0" fontId="0" fillId="0" borderId="42" applyProtection="1" pivotButton="0" quotePrefix="0" xfId="0">
      <protection locked="0" hidden="1"/>
    </xf>
    <xf numFmtId="0" fontId="197" fillId="0" borderId="15" applyAlignment="1" pivotButton="0" quotePrefix="0" xfId="0">
      <alignment horizontal="left" vertical="center" wrapText="1"/>
    </xf>
    <xf numFmtId="0" fontId="287" fillId="0" borderId="15" applyAlignment="1" pivotButton="0" quotePrefix="0" xfId="0">
      <alignment horizontal="left" vertical="center" wrapText="1"/>
    </xf>
    <xf numFmtId="166" fontId="2" fillId="0" borderId="15" applyAlignment="1" applyProtection="1" pivotButton="0" quotePrefix="0" xfId="0">
      <alignment horizontal="center" vertical="center"/>
      <protection locked="1" hidden="1"/>
    </xf>
    <xf numFmtId="167" fontId="25" fillId="25" borderId="15" applyAlignment="1" applyProtection="1" pivotButton="0" quotePrefix="0" xfId="0">
      <alignment horizontal="right"/>
      <protection locked="0" hidden="0"/>
    </xf>
    <xf numFmtId="167" fontId="25" fillId="0" borderId="15" applyAlignment="1" pivotButton="0" quotePrefix="0" xfId="0">
      <alignment horizontal="right"/>
    </xf>
    <xf numFmtId="167" fontId="41" fillId="24" borderId="15" applyAlignment="1" pivotButton="0" quotePrefix="0" xfId="0">
      <alignment horizontal="right"/>
    </xf>
    <xf numFmtId="167" fontId="41" fillId="24" borderId="0" applyAlignment="1" pivotButton="0" quotePrefix="0" xfId="0">
      <alignment horizontal="right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477"/>
  <sheetViews>
    <sheetView showGridLines="0" tabSelected="1" topLeftCell="A446" zoomScaleNormal="100" zoomScaleSheetLayoutView="100" workbookViewId="0">
      <selection activeCell="Y469" sqref="Y469"/>
    </sheetView>
  </sheetViews>
  <sheetFormatPr baseColWidth="8" defaultColWidth="9.140625" defaultRowHeight="12.75"/>
  <cols>
    <col width="9.140625" customWidth="1" style="314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314" min="15" max="15"/>
    <col width="6.140625" customWidth="1" style="314" min="16" max="16"/>
    <col width="10.85546875" customWidth="1" style="334" min="17" max="17"/>
    <col width="10.42578125" customWidth="1" style="334" min="18" max="18"/>
    <col width="9.42578125" customWidth="1" style="334" min="19" max="19"/>
    <col width="8.42578125" customWidth="1" style="334" min="20" max="20"/>
    <col width="10" customWidth="1" style="314" min="21" max="21"/>
    <col width="11" customWidth="1" style="314" min="22" max="22"/>
    <col width="10" customWidth="1" style="314" min="23" max="23"/>
    <col width="11.5703125" customWidth="1" style="314" min="24" max="24"/>
    <col width="10.42578125" customWidth="1" style="314" min="25" max="25"/>
    <col width="11.42578125" bestFit="1" customWidth="1" style="53" min="26" max="26"/>
    <col width="9.140625" customWidth="1" style="53" min="27" max="27"/>
    <col width="8.85546875" customWidth="1" style="53" min="28" max="28"/>
    <col width="13.5703125" customWidth="1" style="314" min="29" max="29"/>
    <col width="9.140625" customWidth="1" style="314" min="30" max="30"/>
    <col width="9.140625" customWidth="1" style="314" min="31" max="16384"/>
  </cols>
  <sheetData>
    <row r="1" ht="45" customFormat="1" customHeight="1" s="336">
      <c r="A1" s="42" t="n"/>
      <c r="B1" s="42" t="n"/>
      <c r="C1" s="42" t="n"/>
      <c r="D1" s="335" t="inlineStr">
        <is>
          <t xml:space="preserve">  БЛАНК ЗАКАЗА </t>
        </is>
      </c>
      <c r="G1" s="13" t="inlineStr">
        <is>
          <t>КИ</t>
        </is>
      </c>
      <c r="H1" s="335" t="inlineStr">
        <is>
          <t>на отгрузку продукции с ООО Трейд-Сервис с</t>
        </is>
      </c>
      <c r="O1" s="608" t="inlineStr">
        <is>
          <t>16.10.2023</t>
        </is>
      </c>
      <c r="R1" s="14" t="n"/>
      <c r="S1" s="14" t="n"/>
      <c r="T1" s="14" t="n"/>
      <c r="U1" s="14" t="n"/>
      <c r="V1" s="14" t="n"/>
      <c r="W1" s="14" t="n"/>
      <c r="X1" s="14" t="n"/>
      <c r="Y1" s="54" t="n"/>
      <c r="Z1" s="54" t="n"/>
      <c r="AA1" s="54" t="n"/>
      <c r="AB1" s="54" t="n"/>
    </row>
    <row r="2" ht="16.5" customFormat="1" customHeight="1" s="336">
      <c r="A2" s="30" t="inlineStr">
        <is>
          <t>бланк создан</t>
        </is>
      </c>
      <c r="B2" s="31" t="inlineStr">
        <is>
          <t>11.10.2023</t>
        </is>
      </c>
      <c r="C2" s="12" t="n"/>
      <c r="D2" s="12" t="n"/>
      <c r="E2" s="16" t="n"/>
      <c r="F2" s="16" t="n"/>
      <c r="G2" s="16" t="n"/>
      <c r="H2" s="16" t="n"/>
      <c r="I2" s="16" t="n"/>
      <c r="J2" s="16" t="n"/>
      <c r="K2" s="16" t="n"/>
      <c r="L2" s="16" t="n"/>
      <c r="M2" s="48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4" t="n"/>
      <c r="O2" s="314" t="n"/>
      <c r="P2" s="314" t="n"/>
      <c r="Q2" s="314" t="n"/>
      <c r="R2" s="314" t="n"/>
      <c r="S2" s="314" t="n"/>
      <c r="T2" s="314" t="n"/>
      <c r="U2" s="17" t="n"/>
      <c r="V2" s="17" t="n"/>
      <c r="W2" s="17" t="n"/>
      <c r="X2" s="17" t="n"/>
      <c r="Y2" s="52" t="n"/>
      <c r="Z2" s="52" t="n"/>
      <c r="AA2" s="52" t="n"/>
    </row>
    <row r="3" ht="11.25" customFormat="1" customHeight="1" s="336">
      <c r="A3" s="28" t="n"/>
      <c r="B3" s="11" t="inlineStr">
        <is>
          <t>-поле, обязательное к заполнению</t>
        </is>
      </c>
      <c r="C3" s="15" t="n"/>
      <c r="D3" s="15" t="n"/>
      <c r="E3" s="18" t="n"/>
      <c r="F3" s="19" t="inlineStr">
        <is>
          <t>-поля, не обязательные к заполнению</t>
        </is>
      </c>
      <c r="G3" s="16" t="n"/>
      <c r="H3" s="16" t="n"/>
      <c r="I3" s="16" t="n"/>
      <c r="J3" s="19" t="n"/>
      <c r="K3" s="16" t="n"/>
      <c r="L3" s="16" t="n"/>
      <c r="M3" s="314" t="n"/>
      <c r="N3" s="314" t="n"/>
      <c r="O3" s="314" t="n"/>
      <c r="P3" s="314" t="n"/>
      <c r="Q3" s="314" t="n"/>
      <c r="R3" s="314" t="n"/>
      <c r="S3" s="314" t="n"/>
      <c r="T3" s="314" t="n"/>
      <c r="U3" s="17" t="n"/>
      <c r="V3" s="17" t="n"/>
      <c r="W3" s="17" t="n"/>
      <c r="X3" s="17" t="n"/>
      <c r="Y3" s="52" t="n"/>
      <c r="Z3" s="52" t="n"/>
      <c r="AA3" s="52" t="n"/>
    </row>
    <row r="4" ht="9" customFormat="1" customHeight="1" s="336">
      <c r="A4" s="20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1" t="n"/>
      <c r="O4" s="21" t="n"/>
      <c r="P4" s="21" t="n"/>
      <c r="Q4" s="21" t="n"/>
      <c r="R4" s="21" t="n"/>
      <c r="S4" s="22" t="n"/>
      <c r="T4" s="23" t="n"/>
      <c r="U4" s="23" t="n"/>
      <c r="V4" s="23" t="n"/>
      <c r="W4" s="23" t="n"/>
      <c r="X4" s="23" t="n"/>
      <c r="Y4" s="52" t="n"/>
      <c r="Z4" s="52" t="n"/>
      <c r="AA4" s="52" t="n"/>
    </row>
    <row r="5" ht="23.45" customFormat="1" customHeight="1" s="336">
      <c r="A5" s="448" t="inlineStr">
        <is>
          <t xml:space="preserve">Ваш контактный телефон и имя: </t>
        </is>
      </c>
      <c r="B5" s="323" t="n"/>
      <c r="C5" s="324" t="n"/>
      <c r="D5" s="384" t="n"/>
      <c r="E5" s="386" t="n"/>
      <c r="F5" s="597" t="inlineStr">
        <is>
          <t>Комментарий к заказу:</t>
        </is>
      </c>
      <c r="G5" s="324" t="n"/>
      <c r="H5" s="384" t="n"/>
      <c r="I5" s="385" t="n"/>
      <c r="J5" s="385" t="n"/>
      <c r="K5" s="386" t="n"/>
      <c r="M5" s="25" t="inlineStr">
        <is>
          <t>Дата загрузки</t>
        </is>
      </c>
      <c r="N5" s="443" t="n">
        <v>45215</v>
      </c>
      <c r="O5" s="398" t="n"/>
      <c r="Q5" s="611" t="inlineStr">
        <is>
          <t>Способ доставки (доставка/самовывоз)</t>
        </is>
      </c>
      <c r="R5" s="360" t="n"/>
      <c r="S5" s="516" t="inlineStr">
        <is>
          <t>Самовывоз</t>
        </is>
      </c>
      <c r="T5" s="398" t="n"/>
      <c r="Y5" s="52" t="n"/>
      <c r="Z5" s="52" t="n"/>
      <c r="AA5" s="52" t="n"/>
    </row>
    <row r="6" ht="24" customFormat="1" customHeight="1" s="336">
      <c r="A6" s="448" t="inlineStr">
        <is>
          <t>Адрес доставки:</t>
        </is>
      </c>
      <c r="B6" s="323" t="n"/>
      <c r="C6" s="324" t="n"/>
      <c r="D6" s="396" t="inlineStr">
        <is>
          <t>ЛП, ООО, Краснодарский край, Сочи г, Строительный пер, д. 10А,</t>
        </is>
      </c>
      <c r="E6" s="397" t="n"/>
      <c r="F6" s="397" t="n"/>
      <c r="G6" s="397" t="n"/>
      <c r="H6" s="397" t="n"/>
      <c r="I6" s="397" t="n"/>
      <c r="J6" s="397" t="n"/>
      <c r="K6" s="398" t="n"/>
      <c r="M6" s="25" t="inlineStr">
        <is>
          <t>День недели</t>
        </is>
      </c>
      <c r="N6" s="466">
        <f>IF(N5=0," ",CHOOSE(WEEKDAY(N5,2),"Понедельник","Вторник","Среда","Четверг","Пятница","Суббота","Воскресенье"))</f>
        <v/>
      </c>
      <c r="O6" s="317" t="n"/>
      <c r="Q6" s="359" t="inlineStr">
        <is>
          <t>Наименование клиента</t>
        </is>
      </c>
      <c r="R6" s="360" t="n"/>
      <c r="S6" s="361" t="inlineStr">
        <is>
          <t>ОБЩЕСТВО С ОГРАНИЧЕННОЙ ОТВЕТСТВЕННОСТЬЮ "ЛОГИСТИЧЕСКИЙ ПАРТНЕР"</t>
        </is>
      </c>
      <c r="T6" s="362" t="n"/>
      <c r="Y6" s="52" t="n"/>
      <c r="Z6" s="52" t="n"/>
      <c r="AA6" s="52" t="n"/>
    </row>
    <row r="7" hidden="1" ht="21.75" customFormat="1" customHeight="1" s="336">
      <c r="A7" s="56" t="n"/>
      <c r="B7" s="56" t="n"/>
      <c r="C7" s="56" t="n"/>
      <c r="D7" s="525">
        <f>IFERROR(VLOOKUP(DeliveryAddress,Table,3,0),1)</f>
        <v/>
      </c>
      <c r="E7" s="526" t="n"/>
      <c r="F7" s="526" t="n"/>
      <c r="G7" s="526" t="n"/>
      <c r="H7" s="526" t="n"/>
      <c r="I7" s="526" t="n"/>
      <c r="J7" s="526" t="n"/>
      <c r="K7" s="527" t="n"/>
      <c r="M7" s="25" t="n"/>
      <c r="N7" s="43" t="n"/>
      <c r="O7" s="43" t="n"/>
      <c r="Q7" s="314" t="n"/>
      <c r="R7" s="360" t="n"/>
      <c r="S7" s="363" t="n"/>
      <c r="T7" s="364" t="n"/>
      <c r="Y7" s="52" t="n"/>
      <c r="Z7" s="52" t="n"/>
      <c r="AA7" s="52" t="n"/>
    </row>
    <row r="8" ht="25.5" customFormat="1" customHeight="1" s="336">
      <c r="A8" s="635" t="inlineStr">
        <is>
          <t>Адрес сдачи груза:</t>
        </is>
      </c>
      <c r="B8" s="329" t="n"/>
      <c r="C8" s="330" t="n"/>
      <c r="D8" s="533" t="n"/>
      <c r="E8" s="534" t="n"/>
      <c r="F8" s="534" t="n"/>
      <c r="G8" s="534" t="n"/>
      <c r="H8" s="534" t="n"/>
      <c r="I8" s="534" t="n"/>
      <c r="J8" s="534" t="n"/>
      <c r="K8" s="535" t="n"/>
      <c r="M8" s="25" t="inlineStr">
        <is>
          <t>Время загрузки</t>
        </is>
      </c>
      <c r="N8" s="571" t="n">
        <v>0.4166666666666667</v>
      </c>
      <c r="O8" s="398" t="n"/>
      <c r="Q8" s="314" t="n"/>
      <c r="R8" s="360" t="n"/>
      <c r="S8" s="363" t="n"/>
      <c r="T8" s="364" t="n"/>
      <c r="Y8" s="52" t="n"/>
      <c r="Z8" s="52" t="n"/>
      <c r="AA8" s="52" t="n"/>
    </row>
    <row r="9" ht="39.95" customFormat="1" customHeight="1" s="336">
      <c r="A9" s="46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4" t="n"/>
      <c r="C9" s="314" t="n"/>
      <c r="D9" s="462" t="n"/>
      <c r="E9" s="334" t="n"/>
      <c r="F9" s="46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4" t="n"/>
      <c r="H9" s="333">
        <f>IF(AND($A$9="Тип доверенности/получателя при получении в адресе перегруза:",$D$9="Разовая доверенность"),"Введите ФИО","")</f>
        <v/>
      </c>
      <c r="I9" s="334" t="n"/>
      <c r="J9" s="333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4" t="n"/>
      <c r="M9" s="27" t="inlineStr">
        <is>
          <t>Дата доставки</t>
        </is>
      </c>
      <c r="N9" s="443" t="n"/>
      <c r="O9" s="398" t="n"/>
      <c r="Q9" s="314" t="n"/>
      <c r="R9" s="360" t="n"/>
      <c r="S9" s="365" t="n"/>
      <c r="T9" s="366" t="n"/>
      <c r="U9" s="44" t="n"/>
      <c r="V9" s="44" t="n"/>
      <c r="W9" s="44" t="n"/>
      <c r="X9" s="44" t="n"/>
      <c r="Y9" s="52" t="n"/>
      <c r="Z9" s="52" t="n"/>
      <c r="AA9" s="52" t="n"/>
    </row>
    <row r="10" ht="26.45" customFormat="1" customHeight="1" s="336">
      <c r="A10" s="46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4" t="n"/>
      <c r="C10" s="314" t="n"/>
      <c r="D10" s="462" t="n"/>
      <c r="E10" s="334" t="n"/>
      <c r="F10" s="46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4" t="n"/>
      <c r="H10" s="371">
        <f>IFERROR(VLOOKUP($D$10,Proxy,2,FALSE),"")</f>
        <v/>
      </c>
      <c r="I10" s="314" t="n"/>
      <c r="J10" s="314" t="n"/>
      <c r="K10" s="314" t="n"/>
      <c r="M10" s="27" t="inlineStr">
        <is>
          <t>Время доставки</t>
        </is>
      </c>
      <c r="N10" s="571" t="n"/>
      <c r="O10" s="398" t="n"/>
      <c r="R10" s="25" t="inlineStr">
        <is>
          <t>КОД Аксапты Клиента</t>
        </is>
      </c>
      <c r="S10" s="506" t="inlineStr">
        <is>
          <t>590704</t>
        </is>
      </c>
      <c r="T10" s="362" t="n"/>
      <c r="U10" s="45" t="n"/>
      <c r="V10" s="45" t="n"/>
      <c r="W10" s="45" t="n"/>
      <c r="X10" s="45" t="n"/>
      <c r="Y10" s="52" t="n"/>
      <c r="Z10" s="52" t="n"/>
      <c r="AA10" s="52" t="n"/>
    </row>
    <row r="11" ht="15.95" customFormat="1" customHeight="1" s="336">
      <c r="A11" s="29" t="inlineStr">
        <is>
          <t>Справочная информация:</t>
        </is>
      </c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M11" s="27" t="inlineStr">
        <is>
          <t>Время доставки 2 машины</t>
        </is>
      </c>
      <c r="N11" s="571" t="n"/>
      <c r="O11" s="398" t="n"/>
      <c r="R11" s="25" t="inlineStr">
        <is>
          <t>Тип заказа</t>
        </is>
      </c>
      <c r="S11" s="600" t="inlineStr">
        <is>
          <t>Основной заказ</t>
        </is>
      </c>
      <c r="T11" s="601" t="n"/>
      <c r="U11" s="46" t="n"/>
      <c r="V11" s="46" t="n"/>
      <c r="W11" s="46" t="n"/>
      <c r="X11" s="46" t="n"/>
      <c r="Y11" s="52" t="n"/>
      <c r="Z11" s="52" t="n"/>
      <c r="AA11" s="52" t="n"/>
    </row>
    <row r="12" ht="18.6" customFormat="1" customHeight="1" s="336">
      <c r="A12" s="530" t="inlineStr">
        <is>
          <t>Телефоны для заказов: 8(919)002-63-01  E-mail: kolbasa@abiproduct.ru  Телефон сотрудников склада: 8 (910) 775-52-91</t>
        </is>
      </c>
      <c r="B12" s="323" t="n"/>
      <c r="C12" s="323" t="n"/>
      <c r="D12" s="323" t="n"/>
      <c r="E12" s="323" t="n"/>
      <c r="F12" s="323" t="n"/>
      <c r="G12" s="323" t="n"/>
      <c r="H12" s="323" t="n"/>
      <c r="I12" s="323" t="n"/>
      <c r="J12" s="323" t="n"/>
      <c r="K12" s="324" t="n"/>
      <c r="M12" s="25" t="inlineStr">
        <is>
          <t>Время доставки 3 машины</t>
        </is>
      </c>
      <c r="N12" s="575" t="n"/>
      <c r="O12" s="527" t="n"/>
      <c r="P12" s="24" t="n"/>
      <c r="R12" s="25" t="n"/>
      <c r="S12" s="336" t="n"/>
      <c r="T12" s="314" t="n"/>
      <c r="Y12" s="52" t="n"/>
      <c r="Z12" s="52" t="n"/>
      <c r="AA12" s="52" t="n"/>
    </row>
    <row r="13" ht="23.25" customFormat="1" customHeight="1" s="336">
      <c r="A13" s="530" t="inlineStr">
        <is>
          <t>График приема заказов: Заказы принимаются за ДВА дня до отгрузки Пн-Пт: с 9:00 до 14:00, Суб., Вс. - до 12:00</t>
        </is>
      </c>
      <c r="B13" s="323" t="n"/>
      <c r="C13" s="323" t="n"/>
      <c r="D13" s="323" t="n"/>
      <c r="E13" s="323" t="n"/>
      <c r="F13" s="323" t="n"/>
      <c r="G13" s="323" t="n"/>
      <c r="H13" s="323" t="n"/>
      <c r="I13" s="323" t="n"/>
      <c r="J13" s="323" t="n"/>
      <c r="K13" s="324" t="n"/>
      <c r="L13" s="27" t="n"/>
      <c r="M13" s="27" t="inlineStr">
        <is>
          <t>Время доставки 4 машины</t>
        </is>
      </c>
      <c r="N13" s="600" t="n"/>
      <c r="O13" s="601" t="n"/>
      <c r="P13" s="24" t="n"/>
      <c r="U13" s="50" t="n"/>
      <c r="V13" s="50" t="n"/>
      <c r="W13" s="50" t="n"/>
      <c r="X13" s="50" t="n"/>
      <c r="Y13" s="52" t="n"/>
      <c r="Z13" s="52" t="n"/>
      <c r="AA13" s="52" t="n"/>
    </row>
    <row r="14" ht="18.6" customFormat="1" customHeight="1" s="336">
      <c r="A14" s="530" t="inlineStr">
        <is>
          <t>Телефон менеджера по логистике: 8 (919) 012-30-55 - по вопросам доставки продукции</t>
        </is>
      </c>
      <c r="B14" s="323" t="n"/>
      <c r="C14" s="323" t="n"/>
      <c r="D14" s="323" t="n"/>
      <c r="E14" s="323" t="n"/>
      <c r="F14" s="323" t="n"/>
      <c r="G14" s="323" t="n"/>
      <c r="H14" s="323" t="n"/>
      <c r="I14" s="323" t="n"/>
      <c r="J14" s="323" t="n"/>
      <c r="K14" s="324" t="n"/>
      <c r="U14" s="51" t="n"/>
      <c r="V14" s="51" t="n"/>
      <c r="W14" s="51" t="n"/>
      <c r="X14" s="51" t="n"/>
      <c r="Y14" s="52" t="n"/>
      <c r="Z14" s="52" t="n"/>
      <c r="AA14" s="52" t="n"/>
    </row>
    <row r="15" ht="22.5" customFormat="1" customHeight="1" s="336">
      <c r="A15" s="322" t="inlineStr">
        <is>
          <t>Телефон по работе с претензиями/жалобами (WhatSapp): 8 (980) 757-69-93       E-mail: Claims@abiproduct.ru</t>
        </is>
      </c>
      <c r="B15" s="323" t="n"/>
      <c r="C15" s="323" t="n"/>
      <c r="D15" s="323" t="n"/>
      <c r="E15" s="323" t="n"/>
      <c r="F15" s="323" t="n"/>
      <c r="G15" s="323" t="n"/>
      <c r="H15" s="323" t="n"/>
      <c r="I15" s="323" t="n"/>
      <c r="J15" s="323" t="n"/>
      <c r="K15" s="324" t="n"/>
      <c r="M15" s="484" t="inlineStr">
        <is>
          <t>Кликните на продукт, чтобы просмотреть изображение</t>
        </is>
      </c>
      <c r="Y15" s="52" t="n"/>
      <c r="Z15" s="52" t="n"/>
      <c r="AA15" s="52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485" t="n"/>
      <c r="N16" s="485" t="n"/>
      <c r="O16" s="485" t="n"/>
      <c r="P16" s="485" t="n"/>
      <c r="Q16" s="485" t="n"/>
      <c r="R16" s="8" t="n"/>
      <c r="S16" s="8" t="n"/>
      <c r="T16" s="9" t="n"/>
      <c r="U16" s="10" t="n"/>
      <c r="V16" s="10" t="n"/>
      <c r="W16" s="10" t="n"/>
      <c r="X16" s="10" t="n"/>
      <c r="Y16" s="10" t="n"/>
    </row>
    <row r="17" ht="27.75" customHeight="1">
      <c r="A17" s="354" t="inlineStr">
        <is>
          <t>Код единицы продаж</t>
        </is>
      </c>
      <c r="B17" s="354" t="inlineStr">
        <is>
          <t>Код продукта</t>
        </is>
      </c>
      <c r="C17" s="459" t="inlineStr">
        <is>
          <t>Номер варианта</t>
        </is>
      </c>
      <c r="D17" s="354" t="inlineStr">
        <is>
          <t xml:space="preserve">Штрих-код </t>
        </is>
      </c>
      <c r="E17" s="392" t="n"/>
      <c r="F17" s="354" t="inlineStr">
        <is>
          <t>Вес нетто штуки, кг</t>
        </is>
      </c>
      <c r="G17" s="354" t="inlineStr">
        <is>
          <t>Кол-во штук в коробе, шт</t>
        </is>
      </c>
      <c r="H17" s="354" t="inlineStr">
        <is>
          <t>Вес нетто короба, кг</t>
        </is>
      </c>
      <c r="I17" s="354" t="inlineStr">
        <is>
          <t>Вес брутто короба, кг</t>
        </is>
      </c>
      <c r="J17" s="354" t="inlineStr">
        <is>
          <t>Кол-во кор. на паллте, шт</t>
        </is>
      </c>
      <c r="K17" s="354" t="inlineStr">
        <is>
          <t>Завод</t>
        </is>
      </c>
      <c r="L17" s="354" t="inlineStr">
        <is>
          <t>Срок годности, сут.</t>
        </is>
      </c>
      <c r="M17" s="354" t="inlineStr">
        <is>
          <t>Наименование</t>
        </is>
      </c>
      <c r="N17" s="391" t="n"/>
      <c r="O17" s="391" t="n"/>
      <c r="P17" s="391" t="n"/>
      <c r="Q17" s="392" t="n"/>
      <c r="R17" s="617" t="inlineStr">
        <is>
          <t>Доступно к отгрузке</t>
        </is>
      </c>
      <c r="S17" s="324" t="n"/>
      <c r="T17" s="354" t="inlineStr">
        <is>
          <t>Ед. изм.</t>
        </is>
      </c>
      <c r="U17" s="354" t="inlineStr">
        <is>
          <t>Заказ</t>
        </is>
      </c>
      <c r="V17" s="641" t="inlineStr">
        <is>
          <t>Заказ с округлением до короба</t>
        </is>
      </c>
      <c r="W17" s="354" t="inlineStr">
        <is>
          <t>Объём заказа, м3</t>
        </is>
      </c>
      <c r="X17" s="405" t="inlineStr">
        <is>
          <t>Примечание по продуктку</t>
        </is>
      </c>
      <c r="Y17" s="405" t="inlineStr">
        <is>
          <t>Признак "НОВИНКА"</t>
        </is>
      </c>
      <c r="Z17" s="405" t="inlineStr">
        <is>
          <t>Для формул</t>
        </is>
      </c>
      <c r="AA17" s="406" t="n"/>
      <c r="AB17" s="407" t="n"/>
      <c r="AC17" s="536" t="n"/>
      <c r="AZ17" s="429" t="inlineStr">
        <is>
          <t>Вид продукции</t>
        </is>
      </c>
    </row>
    <row r="18" ht="14.25" customHeight="1">
      <c r="A18" s="355" t="n"/>
      <c r="B18" s="355" t="n"/>
      <c r="C18" s="355" t="n"/>
      <c r="D18" s="393" t="n"/>
      <c r="E18" s="395" t="n"/>
      <c r="F18" s="355" t="n"/>
      <c r="G18" s="355" t="n"/>
      <c r="H18" s="355" t="n"/>
      <c r="I18" s="355" t="n"/>
      <c r="J18" s="355" t="n"/>
      <c r="K18" s="355" t="n"/>
      <c r="L18" s="355" t="n"/>
      <c r="M18" s="393" t="n"/>
      <c r="N18" s="394" t="n"/>
      <c r="O18" s="394" t="n"/>
      <c r="P18" s="394" t="n"/>
      <c r="Q18" s="395" t="n"/>
      <c r="R18" s="617" t="inlineStr">
        <is>
          <t>начиная с</t>
        </is>
      </c>
      <c r="S18" s="617" t="inlineStr">
        <is>
          <t>до</t>
        </is>
      </c>
      <c r="T18" s="355" t="n"/>
      <c r="U18" s="355" t="n"/>
      <c r="V18" s="642" t="n"/>
      <c r="W18" s="355" t="n"/>
      <c r="X18" s="634" t="n"/>
      <c r="Y18" s="634" t="n"/>
      <c r="Z18" s="408" t="n"/>
      <c r="AA18" s="409" t="n"/>
      <c r="AB18" s="410" t="n"/>
      <c r="AC18" s="537" t="n"/>
      <c r="AZ18" s="314" t="n"/>
    </row>
    <row r="19" ht="27.75" customHeight="1">
      <c r="A19" s="357" t="inlineStr">
        <is>
          <t>Ядрена копоть</t>
        </is>
      </c>
      <c r="B19" s="358" t="n"/>
      <c r="C19" s="358" t="n"/>
      <c r="D19" s="358" t="n"/>
      <c r="E19" s="358" t="n"/>
      <c r="F19" s="358" t="n"/>
      <c r="G19" s="358" t="n"/>
      <c r="H19" s="358" t="n"/>
      <c r="I19" s="358" t="n"/>
      <c r="J19" s="358" t="n"/>
      <c r="K19" s="358" t="n"/>
      <c r="L19" s="358" t="n"/>
      <c r="M19" s="358" t="n"/>
      <c r="N19" s="358" t="n"/>
      <c r="O19" s="358" t="n"/>
      <c r="P19" s="358" t="n"/>
      <c r="Q19" s="358" t="n"/>
      <c r="R19" s="358" t="n"/>
      <c r="S19" s="358" t="n"/>
      <c r="T19" s="358" t="n"/>
      <c r="U19" s="358" t="n"/>
      <c r="V19" s="358" t="n"/>
      <c r="W19" s="358" t="n"/>
      <c r="X19" s="49" t="n"/>
      <c r="Y19" s="49" t="n"/>
    </row>
    <row r="20" ht="16.5" customHeight="1">
      <c r="A20" s="337" t="inlineStr">
        <is>
          <t>Ядрена копоть</t>
        </is>
      </c>
      <c r="B20" s="314" t="n"/>
      <c r="C20" s="314" t="n"/>
      <c r="D20" s="314" t="n"/>
      <c r="E20" s="314" t="n"/>
      <c r="F20" s="314" t="n"/>
      <c r="G20" s="314" t="n"/>
      <c r="H20" s="314" t="n"/>
      <c r="I20" s="314" t="n"/>
      <c r="J20" s="314" t="n"/>
      <c r="K20" s="314" t="n"/>
      <c r="L20" s="314" t="n"/>
      <c r="M20" s="314" t="n"/>
      <c r="N20" s="314" t="n"/>
      <c r="O20" s="314" t="n"/>
      <c r="P20" s="314" t="n"/>
      <c r="Q20" s="314" t="n"/>
      <c r="R20" s="314" t="n"/>
      <c r="S20" s="314" t="n"/>
      <c r="T20" s="314" t="n"/>
      <c r="U20" s="314" t="n"/>
      <c r="V20" s="314" t="n"/>
      <c r="W20" s="314" t="n"/>
      <c r="X20" s="337" t="n"/>
      <c r="Y20" s="337" t="n"/>
    </row>
    <row r="21" ht="14.25" customHeight="1">
      <c r="A21" s="326" t="inlineStr">
        <is>
          <t>Копченые колбасы</t>
        </is>
      </c>
      <c r="B21" s="314" t="n"/>
      <c r="C21" s="314" t="n"/>
      <c r="D21" s="314" t="n"/>
      <c r="E21" s="314" t="n"/>
      <c r="F21" s="314" t="n"/>
      <c r="G21" s="314" t="n"/>
      <c r="H21" s="314" t="n"/>
      <c r="I21" s="314" t="n"/>
      <c r="J21" s="314" t="n"/>
      <c r="K21" s="314" t="n"/>
      <c r="L21" s="314" t="n"/>
      <c r="M21" s="314" t="n"/>
      <c r="N21" s="314" t="n"/>
      <c r="O21" s="314" t="n"/>
      <c r="P21" s="314" t="n"/>
      <c r="Q21" s="314" t="n"/>
      <c r="R21" s="314" t="n"/>
      <c r="S21" s="314" t="n"/>
      <c r="T21" s="314" t="n"/>
      <c r="U21" s="314" t="n"/>
      <c r="V21" s="314" t="n"/>
      <c r="W21" s="314" t="n"/>
      <c r="X21" s="326" t="n"/>
      <c r="Y21" s="326" t="n"/>
    </row>
    <row r="22" ht="27" customHeight="1">
      <c r="A22" s="55" t="inlineStr">
        <is>
          <t>SU002447</t>
        </is>
      </c>
      <c r="B22" s="55" t="inlineStr">
        <is>
          <t>P002730</t>
        </is>
      </c>
      <c r="C22" s="32" t="n">
        <v>4301031106</v>
      </c>
      <c r="D22" s="316" t="n">
        <v>4607091389258</v>
      </c>
      <c r="E22" s="317" t="n"/>
      <c r="F22" s="645" t="n">
        <v>0.3</v>
      </c>
      <c r="G22" s="33" t="n">
        <v>6</v>
      </c>
      <c r="H22" s="645" t="n">
        <v>1.8</v>
      </c>
      <c r="I22" s="645" t="n">
        <v>2</v>
      </c>
      <c r="J22" s="33" t="n">
        <v>156</v>
      </c>
      <c r="K22" s="34" t="inlineStr">
        <is>
          <t>СК2</t>
        </is>
      </c>
      <c r="L22" s="33" t="n">
        <v>35</v>
      </c>
      <c r="M22" s="369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319" t="n"/>
      <c r="O22" s="319" t="n"/>
      <c r="P22" s="319" t="n"/>
      <c r="Q22" s="317" t="n"/>
      <c r="R22" s="35" t="n"/>
      <c r="S22" s="35" t="n"/>
      <c r="T22" s="36" t="inlineStr">
        <is>
          <t>кг</t>
        </is>
      </c>
      <c r="U22" s="646" t="n">
        <v>0</v>
      </c>
      <c r="V22" s="647">
        <f>IFERROR(IF(U22="",0,CEILING((U22/$H22),1)*$H22),"")</f>
        <v/>
      </c>
      <c r="W22" s="37">
        <f>IFERROR(IF(V22=0,"",ROUNDUP(V22/H22,0)*0.00753),"")</f>
        <v/>
      </c>
      <c r="X22" s="57" t="n"/>
      <c r="Y22" s="58" t="n"/>
      <c r="AC22" s="59" t="n"/>
      <c r="AZ22" s="60" t="inlineStr">
        <is>
          <t>КИ</t>
        </is>
      </c>
    </row>
    <row r="23">
      <c r="A23" s="313" t="n"/>
      <c r="B23" s="314" t="n"/>
      <c r="C23" s="314" t="n"/>
      <c r="D23" s="314" t="n"/>
      <c r="E23" s="314" t="n"/>
      <c r="F23" s="314" t="n"/>
      <c r="G23" s="314" t="n"/>
      <c r="H23" s="314" t="n"/>
      <c r="I23" s="314" t="n"/>
      <c r="J23" s="314" t="n"/>
      <c r="K23" s="314" t="n"/>
      <c r="L23" s="315" t="n"/>
      <c r="M23" s="328" t="inlineStr">
        <is>
          <t>Итого</t>
        </is>
      </c>
      <c r="N23" s="329" t="n"/>
      <c r="O23" s="329" t="n"/>
      <c r="P23" s="329" t="n"/>
      <c r="Q23" s="329" t="n"/>
      <c r="R23" s="329" t="n"/>
      <c r="S23" s="330" t="n"/>
      <c r="T23" s="38" t="inlineStr">
        <is>
          <t>кор</t>
        </is>
      </c>
      <c r="U23" s="648">
        <f>IFERROR(U22/H22,"0")</f>
        <v/>
      </c>
      <c r="V23" s="648">
        <f>IFERROR(V22/H22,"0")</f>
        <v/>
      </c>
      <c r="W23" s="648">
        <f>IFERROR(IF(W22="",0,W22),"0")</f>
        <v/>
      </c>
      <c r="X23" s="649" t="n"/>
      <c r="Y23" s="649" t="n"/>
    </row>
    <row r="24">
      <c r="A24" s="314" t="n"/>
      <c r="B24" s="314" t="n"/>
      <c r="C24" s="314" t="n"/>
      <c r="D24" s="314" t="n"/>
      <c r="E24" s="314" t="n"/>
      <c r="F24" s="314" t="n"/>
      <c r="G24" s="314" t="n"/>
      <c r="H24" s="314" t="n"/>
      <c r="I24" s="314" t="n"/>
      <c r="J24" s="314" t="n"/>
      <c r="K24" s="314" t="n"/>
      <c r="L24" s="315" t="n"/>
      <c r="M24" s="328" t="inlineStr">
        <is>
          <t>Итого</t>
        </is>
      </c>
      <c r="N24" s="329" t="n"/>
      <c r="O24" s="329" t="n"/>
      <c r="P24" s="329" t="n"/>
      <c r="Q24" s="329" t="n"/>
      <c r="R24" s="329" t="n"/>
      <c r="S24" s="330" t="n"/>
      <c r="T24" s="38" t="inlineStr">
        <is>
          <t>кг</t>
        </is>
      </c>
      <c r="U24" s="648">
        <f>IFERROR(SUM(U22:U22),"0")</f>
        <v/>
      </c>
      <c r="V24" s="648">
        <f>IFERROR(SUM(V22:V22),"0")</f>
        <v/>
      </c>
      <c r="W24" s="38" t="n"/>
      <c r="X24" s="649" t="n"/>
      <c r="Y24" s="649" t="n"/>
    </row>
    <row r="25" ht="14.25" customHeight="1">
      <c r="A25" s="326" t="inlineStr">
        <is>
          <t>Сосиски</t>
        </is>
      </c>
      <c r="B25" s="314" t="n"/>
      <c r="C25" s="314" t="n"/>
      <c r="D25" s="314" t="n"/>
      <c r="E25" s="314" t="n"/>
      <c r="F25" s="314" t="n"/>
      <c r="G25" s="314" t="n"/>
      <c r="H25" s="314" t="n"/>
      <c r="I25" s="314" t="n"/>
      <c r="J25" s="314" t="n"/>
      <c r="K25" s="314" t="n"/>
      <c r="L25" s="314" t="n"/>
      <c r="M25" s="314" t="n"/>
      <c r="N25" s="314" t="n"/>
      <c r="O25" s="314" t="n"/>
      <c r="P25" s="314" t="n"/>
      <c r="Q25" s="314" t="n"/>
      <c r="R25" s="314" t="n"/>
      <c r="S25" s="314" t="n"/>
      <c r="T25" s="314" t="n"/>
      <c r="U25" s="314" t="n"/>
      <c r="V25" s="314" t="n"/>
      <c r="W25" s="314" t="n"/>
      <c r="X25" s="326" t="n"/>
      <c r="Y25" s="326" t="n"/>
    </row>
    <row r="26" ht="27" customHeight="1">
      <c r="A26" s="55" t="inlineStr">
        <is>
          <t>SU002155</t>
        </is>
      </c>
      <c r="B26" s="55" t="inlineStr">
        <is>
          <t>P002325</t>
        </is>
      </c>
      <c r="C26" s="32" t="n">
        <v>4301051176</v>
      </c>
      <c r="D26" s="316" t="n">
        <v>4607091383881</v>
      </c>
      <c r="E26" s="317" t="n"/>
      <c r="F26" s="645" t="n">
        <v>0.33</v>
      </c>
      <c r="G26" s="33" t="n">
        <v>6</v>
      </c>
      <c r="H26" s="645" t="n">
        <v>1.98</v>
      </c>
      <c r="I26" s="645" t="n">
        <v>2.246</v>
      </c>
      <c r="J26" s="33" t="n">
        <v>156</v>
      </c>
      <c r="K26" s="34" t="inlineStr">
        <is>
          <t>СК2</t>
        </is>
      </c>
      <c r="L26" s="33" t="n">
        <v>35</v>
      </c>
      <c r="M26" s="531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319" t="n"/>
      <c r="O26" s="319" t="n"/>
      <c r="P26" s="319" t="n"/>
      <c r="Q26" s="317" t="n"/>
      <c r="R26" s="35" t="n"/>
      <c r="S26" s="35" t="n"/>
      <c r="T26" s="36" t="inlineStr">
        <is>
          <t>кг</t>
        </is>
      </c>
      <c r="U26" s="646" t="n">
        <v>0</v>
      </c>
      <c r="V26" s="647">
        <f>IFERROR(IF(U26="",0,CEILING((U26/$H26),1)*$H26),"")</f>
        <v/>
      </c>
      <c r="W26" s="37">
        <f>IFERROR(IF(V26=0,"",ROUNDUP(V26/H26,0)*0.00753),"")</f>
        <v/>
      </c>
      <c r="X26" s="57" t="n"/>
      <c r="Y26" s="58" t="n"/>
      <c r="AC26" s="59" t="n"/>
      <c r="AZ26" s="61" t="inlineStr">
        <is>
          <t>КИ</t>
        </is>
      </c>
    </row>
    <row r="27" ht="27" customHeight="1">
      <c r="A27" s="55" t="inlineStr">
        <is>
          <t>SU000341</t>
        </is>
      </c>
      <c r="B27" s="55" t="inlineStr">
        <is>
          <t>P002465</t>
        </is>
      </c>
      <c r="C27" s="32" t="n">
        <v>4301051172</v>
      </c>
      <c r="D27" s="316" t="n">
        <v>4607091388237</v>
      </c>
      <c r="E27" s="317" t="n"/>
      <c r="F27" s="645" t="n">
        <v>0.42</v>
      </c>
      <c r="G27" s="33" t="n">
        <v>6</v>
      </c>
      <c r="H27" s="645" t="n">
        <v>2.52</v>
      </c>
      <c r="I27" s="645" t="n">
        <v>2.786</v>
      </c>
      <c r="J27" s="33" t="n">
        <v>156</v>
      </c>
      <c r="K27" s="34" t="inlineStr">
        <is>
          <t>СК2</t>
        </is>
      </c>
      <c r="L27" s="33" t="n">
        <v>35</v>
      </c>
      <c r="M27" s="340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319" t="n"/>
      <c r="O27" s="319" t="n"/>
      <c r="P27" s="319" t="n"/>
      <c r="Q27" s="317" t="n"/>
      <c r="R27" s="35" t="n"/>
      <c r="S27" s="35" t="n"/>
      <c r="T27" s="36" t="inlineStr">
        <is>
          <t>кг</t>
        </is>
      </c>
      <c r="U27" s="646" t="n">
        <v>0</v>
      </c>
      <c r="V27" s="647">
        <f>IFERROR(IF(U27="",0,CEILING((U27/$H27),1)*$H27),"")</f>
        <v/>
      </c>
      <c r="W27" s="37">
        <f>IFERROR(IF(V27=0,"",ROUNDUP(V27/H27,0)*0.00753),"")</f>
        <v/>
      </c>
      <c r="X27" s="57" t="n"/>
      <c r="Y27" s="58" t="n"/>
      <c r="AC27" s="59" t="n"/>
      <c r="AZ27" s="62" t="inlineStr">
        <is>
          <t>КИ</t>
        </is>
      </c>
    </row>
    <row r="28" ht="27" customHeight="1">
      <c r="A28" s="55" t="inlineStr">
        <is>
          <t>SU002230</t>
        </is>
      </c>
      <c r="B28" s="55" t="inlineStr">
        <is>
          <t>P002425</t>
        </is>
      </c>
      <c r="C28" s="32" t="n">
        <v>4301051180</v>
      </c>
      <c r="D28" s="316" t="n">
        <v>4607091383935</v>
      </c>
      <c r="E28" s="317" t="n"/>
      <c r="F28" s="645" t="n">
        <v>0.33</v>
      </c>
      <c r="G28" s="33" t="n">
        <v>6</v>
      </c>
      <c r="H28" s="645" t="n">
        <v>1.98</v>
      </c>
      <c r="I28" s="645" t="n">
        <v>2.246</v>
      </c>
      <c r="J28" s="33" t="n">
        <v>156</v>
      </c>
      <c r="K28" s="34" t="inlineStr">
        <is>
          <t>СК2</t>
        </is>
      </c>
      <c r="L28" s="33" t="n">
        <v>30</v>
      </c>
      <c r="M28" s="547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319" t="n"/>
      <c r="O28" s="319" t="n"/>
      <c r="P28" s="319" t="n"/>
      <c r="Q28" s="317" t="n"/>
      <c r="R28" s="35" t="n"/>
      <c r="S28" s="35" t="n"/>
      <c r="T28" s="36" t="inlineStr">
        <is>
          <t>кг</t>
        </is>
      </c>
      <c r="U28" s="646" t="n">
        <v>0</v>
      </c>
      <c r="V28" s="647">
        <f>IFERROR(IF(U28="",0,CEILING((U28/$H28),1)*$H28),"")</f>
        <v/>
      </c>
      <c r="W28" s="37">
        <f>IFERROR(IF(V28=0,"",ROUNDUP(V28/H28,0)*0.00753),"")</f>
        <v/>
      </c>
      <c r="X28" s="57" t="n"/>
      <c r="Y28" s="58" t="n"/>
      <c r="AC28" s="59" t="n"/>
      <c r="AZ28" s="63" t="inlineStr">
        <is>
          <t>КИ</t>
        </is>
      </c>
    </row>
    <row r="29" ht="27" customHeight="1">
      <c r="A29" s="55" t="inlineStr">
        <is>
          <t>SU002893</t>
        </is>
      </c>
      <c r="B29" s="55" t="inlineStr">
        <is>
          <t>P003317</t>
        </is>
      </c>
      <c r="C29" s="32" t="n">
        <v>4301051426</v>
      </c>
      <c r="D29" s="316" t="n">
        <v>4680115881853</v>
      </c>
      <c r="E29" s="317" t="n"/>
      <c r="F29" s="645" t="n">
        <v>0.33</v>
      </c>
      <c r="G29" s="33" t="n">
        <v>6</v>
      </c>
      <c r="H29" s="645" t="n">
        <v>1.98</v>
      </c>
      <c r="I29" s="645" t="n">
        <v>2.246</v>
      </c>
      <c r="J29" s="33" t="n">
        <v>156</v>
      </c>
      <c r="K29" s="34" t="inlineStr">
        <is>
          <t>СК2</t>
        </is>
      </c>
      <c r="L29" s="33" t="n">
        <v>30</v>
      </c>
      <c r="M29" s="469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319" t="n"/>
      <c r="O29" s="319" t="n"/>
      <c r="P29" s="319" t="n"/>
      <c r="Q29" s="317" t="n"/>
      <c r="R29" s="35" t="n"/>
      <c r="S29" s="35" t="n"/>
      <c r="T29" s="36" t="inlineStr">
        <is>
          <t>кг</t>
        </is>
      </c>
      <c r="U29" s="646" t="n">
        <v>0</v>
      </c>
      <c r="V29" s="647">
        <f>IFERROR(IF(U29="",0,CEILING((U29/$H29),1)*$H29),"")</f>
        <v/>
      </c>
      <c r="W29" s="37">
        <f>IFERROR(IF(V29=0,"",ROUNDUP(V29/H29,0)*0.00753),"")</f>
        <v/>
      </c>
      <c r="X29" s="57" t="n"/>
      <c r="Y29" s="58" t="n"/>
      <c r="AC29" s="59" t="n"/>
      <c r="AZ29" s="64" t="inlineStr">
        <is>
          <t>КИ</t>
        </is>
      </c>
    </row>
    <row r="30" ht="27" customHeight="1">
      <c r="A30" s="55" t="inlineStr">
        <is>
          <t>SU002154</t>
        </is>
      </c>
      <c r="B30" s="55" t="inlineStr">
        <is>
          <t>P002326</t>
        </is>
      </c>
      <c r="C30" s="32" t="n">
        <v>4301051178</v>
      </c>
      <c r="D30" s="316" t="n">
        <v>4607091383911</v>
      </c>
      <c r="E30" s="317" t="n"/>
      <c r="F30" s="645" t="n">
        <v>0.33</v>
      </c>
      <c r="G30" s="33" t="n">
        <v>6</v>
      </c>
      <c r="H30" s="645" t="n">
        <v>1.98</v>
      </c>
      <c r="I30" s="645" t="n">
        <v>2.246</v>
      </c>
      <c r="J30" s="33" t="n">
        <v>156</v>
      </c>
      <c r="K30" s="34" t="inlineStr">
        <is>
          <t>СК2</t>
        </is>
      </c>
      <c r="L30" s="33" t="n">
        <v>35</v>
      </c>
      <c r="M30" s="401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319" t="n"/>
      <c r="O30" s="319" t="n"/>
      <c r="P30" s="319" t="n"/>
      <c r="Q30" s="317" t="n"/>
      <c r="R30" s="35" t="n"/>
      <c r="S30" s="35" t="n"/>
      <c r="T30" s="36" t="inlineStr">
        <is>
          <t>кг</t>
        </is>
      </c>
      <c r="U30" s="646" t="n">
        <v>0</v>
      </c>
      <c r="V30" s="647">
        <f>IFERROR(IF(U30="",0,CEILING((U30/$H30),1)*$H30),"")</f>
        <v/>
      </c>
      <c r="W30" s="37">
        <f>IFERROR(IF(V30=0,"",ROUNDUP(V30/H30,0)*0.00753),"")</f>
        <v/>
      </c>
      <c r="X30" s="57" t="n"/>
      <c r="Y30" s="58" t="n"/>
      <c r="AC30" s="59" t="n"/>
      <c r="AZ30" s="65" t="inlineStr">
        <is>
          <t>КИ</t>
        </is>
      </c>
    </row>
    <row r="31" ht="27" customHeight="1">
      <c r="A31" s="55" t="inlineStr">
        <is>
          <t>SU000152</t>
        </is>
      </c>
      <c r="B31" s="55" t="inlineStr">
        <is>
          <t>P002466</t>
        </is>
      </c>
      <c r="C31" s="32" t="n">
        <v>4301051174</v>
      </c>
      <c r="D31" s="316" t="n">
        <v>4607091388244</v>
      </c>
      <c r="E31" s="317" t="n"/>
      <c r="F31" s="645" t="n">
        <v>0.42</v>
      </c>
      <c r="G31" s="33" t="n">
        <v>6</v>
      </c>
      <c r="H31" s="645" t="n">
        <v>2.52</v>
      </c>
      <c r="I31" s="645" t="n">
        <v>2.786</v>
      </c>
      <c r="J31" s="33" t="n">
        <v>156</v>
      </c>
      <c r="K31" s="34" t="inlineStr">
        <is>
          <t>СК2</t>
        </is>
      </c>
      <c r="L31" s="33" t="n">
        <v>35</v>
      </c>
      <c r="M31" s="523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319" t="n"/>
      <c r="O31" s="319" t="n"/>
      <c r="P31" s="319" t="n"/>
      <c r="Q31" s="317" t="n"/>
      <c r="R31" s="35" t="n"/>
      <c r="S31" s="35" t="n"/>
      <c r="T31" s="36" t="inlineStr">
        <is>
          <t>кг</t>
        </is>
      </c>
      <c r="U31" s="646" t="n">
        <v>0</v>
      </c>
      <c r="V31" s="647">
        <f>IFERROR(IF(U31="",0,CEILING((U31/$H31),1)*$H31),"")</f>
        <v/>
      </c>
      <c r="W31" s="37">
        <f>IFERROR(IF(V31=0,"",ROUNDUP(V31/H31,0)*0.00753),"")</f>
        <v/>
      </c>
      <c r="X31" s="57" t="n"/>
      <c r="Y31" s="58" t="n"/>
      <c r="AC31" s="59" t="n"/>
      <c r="AZ31" s="66" t="inlineStr">
        <is>
          <t>КИ</t>
        </is>
      </c>
    </row>
    <row r="32">
      <c r="A32" s="313" t="n"/>
      <c r="B32" s="314" t="n"/>
      <c r="C32" s="314" t="n"/>
      <c r="D32" s="314" t="n"/>
      <c r="E32" s="314" t="n"/>
      <c r="F32" s="314" t="n"/>
      <c r="G32" s="314" t="n"/>
      <c r="H32" s="314" t="n"/>
      <c r="I32" s="314" t="n"/>
      <c r="J32" s="314" t="n"/>
      <c r="K32" s="314" t="n"/>
      <c r="L32" s="315" t="n"/>
      <c r="M32" s="328" t="inlineStr">
        <is>
          <t>Итого</t>
        </is>
      </c>
      <c r="N32" s="329" t="n"/>
      <c r="O32" s="329" t="n"/>
      <c r="P32" s="329" t="n"/>
      <c r="Q32" s="329" t="n"/>
      <c r="R32" s="329" t="n"/>
      <c r="S32" s="330" t="n"/>
      <c r="T32" s="38" t="inlineStr">
        <is>
          <t>кор</t>
        </is>
      </c>
      <c r="U32" s="648">
        <f>IFERROR(U26/H26,"0")+IFERROR(U27/H27,"0")+IFERROR(U28/H28,"0")+IFERROR(U29/H29,"0")+IFERROR(U30/H30,"0")+IFERROR(U31/H31,"0")</f>
        <v/>
      </c>
      <c r="V32" s="648">
        <f>IFERROR(V26/H26,"0")+IFERROR(V27/H27,"0")+IFERROR(V28/H28,"0")+IFERROR(V29/H29,"0")+IFERROR(V30/H30,"0")+IFERROR(V31/H31,"0")</f>
        <v/>
      </c>
      <c r="W32" s="648">
        <f>IFERROR(IF(W26="",0,W26),"0")+IFERROR(IF(W27="",0,W27),"0")+IFERROR(IF(W28="",0,W28),"0")+IFERROR(IF(W29="",0,W29),"0")+IFERROR(IF(W30="",0,W30),"0")+IFERROR(IF(W31="",0,W31),"0")</f>
        <v/>
      </c>
      <c r="X32" s="649" t="n"/>
      <c r="Y32" s="649" t="n"/>
    </row>
    <row r="33">
      <c r="A33" s="314" t="n"/>
      <c r="B33" s="314" t="n"/>
      <c r="C33" s="314" t="n"/>
      <c r="D33" s="314" t="n"/>
      <c r="E33" s="314" t="n"/>
      <c r="F33" s="314" t="n"/>
      <c r="G33" s="314" t="n"/>
      <c r="H33" s="314" t="n"/>
      <c r="I33" s="314" t="n"/>
      <c r="J33" s="314" t="n"/>
      <c r="K33" s="314" t="n"/>
      <c r="L33" s="315" t="n"/>
      <c r="M33" s="328" t="inlineStr">
        <is>
          <t>Итого</t>
        </is>
      </c>
      <c r="N33" s="329" t="n"/>
      <c r="O33" s="329" t="n"/>
      <c r="P33" s="329" t="n"/>
      <c r="Q33" s="329" t="n"/>
      <c r="R33" s="329" t="n"/>
      <c r="S33" s="330" t="n"/>
      <c r="T33" s="38" t="inlineStr">
        <is>
          <t>кг</t>
        </is>
      </c>
      <c r="U33" s="648">
        <f>IFERROR(SUM(U26:U31),"0")</f>
        <v/>
      </c>
      <c r="V33" s="648">
        <f>IFERROR(SUM(V26:V31),"0")</f>
        <v/>
      </c>
      <c r="W33" s="38" t="n"/>
      <c r="X33" s="649" t="n"/>
      <c r="Y33" s="649" t="n"/>
    </row>
    <row r="34" ht="14.25" customHeight="1">
      <c r="A34" s="326" t="inlineStr">
        <is>
          <t>Сырокопченые колбасы</t>
        </is>
      </c>
      <c r="B34" s="314" t="n"/>
      <c r="C34" s="314" t="n"/>
      <c r="D34" s="314" t="n"/>
      <c r="E34" s="314" t="n"/>
      <c r="F34" s="314" t="n"/>
      <c r="G34" s="314" t="n"/>
      <c r="H34" s="314" t="n"/>
      <c r="I34" s="314" t="n"/>
      <c r="J34" s="314" t="n"/>
      <c r="K34" s="314" t="n"/>
      <c r="L34" s="314" t="n"/>
      <c r="M34" s="314" t="n"/>
      <c r="N34" s="314" t="n"/>
      <c r="O34" s="314" t="n"/>
      <c r="P34" s="314" t="n"/>
      <c r="Q34" s="314" t="n"/>
      <c r="R34" s="314" t="n"/>
      <c r="S34" s="314" t="n"/>
      <c r="T34" s="314" t="n"/>
      <c r="U34" s="314" t="n"/>
      <c r="V34" s="314" t="n"/>
      <c r="W34" s="314" t="n"/>
      <c r="X34" s="326" t="n"/>
      <c r="Y34" s="326" t="n"/>
    </row>
    <row r="35" ht="27" customHeight="1">
      <c r="A35" s="55" t="inlineStr">
        <is>
          <t>SU002050</t>
        </is>
      </c>
      <c r="B35" s="55" t="inlineStr">
        <is>
          <t>P002188</t>
        </is>
      </c>
      <c r="C35" s="32" t="n">
        <v>4301032013</v>
      </c>
      <c r="D35" s="316" t="n">
        <v>4607091388503</v>
      </c>
      <c r="E35" s="317" t="n"/>
      <c r="F35" s="645" t="n">
        <v>0.05</v>
      </c>
      <c r="G35" s="33" t="n">
        <v>12</v>
      </c>
      <c r="H35" s="645" t="n">
        <v>0.6</v>
      </c>
      <c r="I35" s="645" t="n">
        <v>0.842</v>
      </c>
      <c r="J35" s="33" t="n">
        <v>156</v>
      </c>
      <c r="K35" s="34" t="inlineStr">
        <is>
          <t>АК</t>
        </is>
      </c>
      <c r="L35" s="33" t="n">
        <v>120</v>
      </c>
      <c r="M35" s="388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319" t="n"/>
      <c r="O35" s="319" t="n"/>
      <c r="P35" s="319" t="n"/>
      <c r="Q35" s="317" t="n"/>
      <c r="R35" s="35" t="n"/>
      <c r="S35" s="35" t="n"/>
      <c r="T35" s="36" t="inlineStr">
        <is>
          <t>кг</t>
        </is>
      </c>
      <c r="U35" s="646" t="n">
        <v>0</v>
      </c>
      <c r="V35" s="647">
        <f>IFERROR(IF(U35="",0,CEILING((U35/$H35),1)*$H35),"")</f>
        <v/>
      </c>
      <c r="W35" s="37">
        <f>IFERROR(IF(V35=0,"",ROUNDUP(V35/H35,0)*0.00753),"")</f>
        <v/>
      </c>
      <c r="X35" s="57" t="n"/>
      <c r="Y35" s="58" t="n"/>
      <c r="AC35" s="59" t="n"/>
      <c r="AZ35" s="67" t="inlineStr">
        <is>
          <t>СНК</t>
        </is>
      </c>
    </row>
    <row r="36">
      <c r="A36" s="313" t="n"/>
      <c r="B36" s="314" t="n"/>
      <c r="C36" s="314" t="n"/>
      <c r="D36" s="314" t="n"/>
      <c r="E36" s="314" t="n"/>
      <c r="F36" s="314" t="n"/>
      <c r="G36" s="314" t="n"/>
      <c r="H36" s="314" t="n"/>
      <c r="I36" s="314" t="n"/>
      <c r="J36" s="314" t="n"/>
      <c r="K36" s="314" t="n"/>
      <c r="L36" s="315" t="n"/>
      <c r="M36" s="328" t="inlineStr">
        <is>
          <t>Итого</t>
        </is>
      </c>
      <c r="N36" s="329" t="n"/>
      <c r="O36" s="329" t="n"/>
      <c r="P36" s="329" t="n"/>
      <c r="Q36" s="329" t="n"/>
      <c r="R36" s="329" t="n"/>
      <c r="S36" s="330" t="n"/>
      <c r="T36" s="38" t="inlineStr">
        <is>
          <t>кор</t>
        </is>
      </c>
      <c r="U36" s="648">
        <f>IFERROR(U35/H35,"0")</f>
        <v/>
      </c>
      <c r="V36" s="648">
        <f>IFERROR(V35/H35,"0")</f>
        <v/>
      </c>
      <c r="W36" s="648">
        <f>IFERROR(IF(W35="",0,W35),"0")</f>
        <v/>
      </c>
      <c r="X36" s="649" t="n"/>
      <c r="Y36" s="649" t="n"/>
    </row>
    <row r="37">
      <c r="A37" s="314" t="n"/>
      <c r="B37" s="314" t="n"/>
      <c r="C37" s="314" t="n"/>
      <c r="D37" s="314" t="n"/>
      <c r="E37" s="314" t="n"/>
      <c r="F37" s="314" t="n"/>
      <c r="G37" s="314" t="n"/>
      <c r="H37" s="314" t="n"/>
      <c r="I37" s="314" t="n"/>
      <c r="J37" s="314" t="n"/>
      <c r="K37" s="314" t="n"/>
      <c r="L37" s="315" t="n"/>
      <c r="M37" s="328" t="inlineStr">
        <is>
          <t>Итого</t>
        </is>
      </c>
      <c r="N37" s="329" t="n"/>
      <c r="O37" s="329" t="n"/>
      <c r="P37" s="329" t="n"/>
      <c r="Q37" s="329" t="n"/>
      <c r="R37" s="329" t="n"/>
      <c r="S37" s="330" t="n"/>
      <c r="T37" s="38" t="inlineStr">
        <is>
          <t>кг</t>
        </is>
      </c>
      <c r="U37" s="648">
        <f>IFERROR(SUM(U35:U35),"0")</f>
        <v/>
      </c>
      <c r="V37" s="648">
        <f>IFERROR(SUM(V35:V35),"0")</f>
        <v/>
      </c>
      <c r="W37" s="38" t="n"/>
      <c r="X37" s="649" t="n"/>
      <c r="Y37" s="649" t="n"/>
    </row>
    <row r="38" ht="14.25" customHeight="1">
      <c r="A38" s="326" t="inlineStr">
        <is>
          <t>Продукты из мяса птицы копчено-вареные</t>
        </is>
      </c>
      <c r="B38" s="314" t="n"/>
      <c r="C38" s="314" t="n"/>
      <c r="D38" s="314" t="n"/>
      <c r="E38" s="314" t="n"/>
      <c r="F38" s="314" t="n"/>
      <c r="G38" s="314" t="n"/>
      <c r="H38" s="314" t="n"/>
      <c r="I38" s="314" t="n"/>
      <c r="J38" s="314" t="n"/>
      <c r="K38" s="314" t="n"/>
      <c r="L38" s="314" t="n"/>
      <c r="M38" s="314" t="n"/>
      <c r="N38" s="314" t="n"/>
      <c r="O38" s="314" t="n"/>
      <c r="P38" s="314" t="n"/>
      <c r="Q38" s="314" t="n"/>
      <c r="R38" s="314" t="n"/>
      <c r="S38" s="314" t="n"/>
      <c r="T38" s="314" t="n"/>
      <c r="U38" s="314" t="n"/>
      <c r="V38" s="314" t="n"/>
      <c r="W38" s="314" t="n"/>
      <c r="X38" s="326" t="n"/>
      <c r="Y38" s="326" t="n"/>
    </row>
    <row r="39" ht="80.25" customHeight="1">
      <c r="A39" s="55" t="inlineStr">
        <is>
          <t>SU001872</t>
        </is>
      </c>
      <c r="B39" s="55" t="inlineStr">
        <is>
          <t>P001933</t>
        </is>
      </c>
      <c r="C39" s="32" t="n">
        <v>4301160001</v>
      </c>
      <c r="D39" s="316" t="n">
        <v>4607091388282</v>
      </c>
      <c r="E39" s="317" t="n"/>
      <c r="F39" s="645" t="n">
        <v>0.3</v>
      </c>
      <c r="G39" s="33" t="n">
        <v>6</v>
      </c>
      <c r="H39" s="645" t="n">
        <v>1.8</v>
      </c>
      <c r="I39" s="645" t="n">
        <v>2.084</v>
      </c>
      <c r="J39" s="33" t="n">
        <v>156</v>
      </c>
      <c r="K39" s="34" t="inlineStr">
        <is>
          <t>АК</t>
        </is>
      </c>
      <c r="L39" s="33" t="n">
        <v>30</v>
      </c>
      <c r="M39" s="452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39" s="319" t="n"/>
      <c r="O39" s="319" t="n"/>
      <c r="P39" s="319" t="n"/>
      <c r="Q39" s="317" t="n"/>
      <c r="R39" s="35" t="n"/>
      <c r="S39" s="35" t="n"/>
      <c r="T39" s="36" t="inlineStr">
        <is>
          <t>кг</t>
        </is>
      </c>
      <c r="U39" s="646" t="n">
        <v>0</v>
      </c>
      <c r="V39" s="647">
        <f>IFERROR(IF(U39="",0,CEILING((U39/$H39),1)*$H39),"")</f>
        <v/>
      </c>
      <c r="W39" s="37">
        <f>IFERROR(IF(V39=0,"",ROUNDUP(V39/H39,0)*0.00753),"")</f>
        <v/>
      </c>
      <c r="X39" s="57" t="inlineStr">
        <is>
          <t>Предзаказ по четвергам до 12:00 на отгрузку со вторника следующей недели</t>
        </is>
      </c>
      <c r="Y39" s="58" t="n"/>
      <c r="AC39" s="59" t="n"/>
      <c r="AZ39" s="68" t="inlineStr">
        <is>
          <t>КИ</t>
        </is>
      </c>
    </row>
    <row r="40">
      <c r="A40" s="313" t="n"/>
      <c r="B40" s="314" t="n"/>
      <c r="C40" s="314" t="n"/>
      <c r="D40" s="314" t="n"/>
      <c r="E40" s="314" t="n"/>
      <c r="F40" s="314" t="n"/>
      <c r="G40" s="314" t="n"/>
      <c r="H40" s="314" t="n"/>
      <c r="I40" s="314" t="n"/>
      <c r="J40" s="314" t="n"/>
      <c r="K40" s="314" t="n"/>
      <c r="L40" s="315" t="n"/>
      <c r="M40" s="328" t="inlineStr">
        <is>
          <t>Итого</t>
        </is>
      </c>
      <c r="N40" s="329" t="n"/>
      <c r="O40" s="329" t="n"/>
      <c r="P40" s="329" t="n"/>
      <c r="Q40" s="329" t="n"/>
      <c r="R40" s="329" t="n"/>
      <c r="S40" s="330" t="n"/>
      <c r="T40" s="38" t="inlineStr">
        <is>
          <t>кор</t>
        </is>
      </c>
      <c r="U40" s="648">
        <f>IFERROR(U39/H39,"0")</f>
        <v/>
      </c>
      <c r="V40" s="648">
        <f>IFERROR(V39/H39,"0")</f>
        <v/>
      </c>
      <c r="W40" s="648">
        <f>IFERROR(IF(W39="",0,W39),"0")</f>
        <v/>
      </c>
      <c r="X40" s="649" t="n"/>
      <c r="Y40" s="649" t="n"/>
    </row>
    <row r="41">
      <c r="A41" s="314" t="n"/>
      <c r="B41" s="314" t="n"/>
      <c r="C41" s="314" t="n"/>
      <c r="D41" s="314" t="n"/>
      <c r="E41" s="314" t="n"/>
      <c r="F41" s="314" t="n"/>
      <c r="G41" s="314" t="n"/>
      <c r="H41" s="314" t="n"/>
      <c r="I41" s="314" t="n"/>
      <c r="J41" s="314" t="n"/>
      <c r="K41" s="314" t="n"/>
      <c r="L41" s="315" t="n"/>
      <c r="M41" s="328" t="inlineStr">
        <is>
          <t>Итого</t>
        </is>
      </c>
      <c r="N41" s="329" t="n"/>
      <c r="O41" s="329" t="n"/>
      <c r="P41" s="329" t="n"/>
      <c r="Q41" s="329" t="n"/>
      <c r="R41" s="329" t="n"/>
      <c r="S41" s="330" t="n"/>
      <c r="T41" s="38" t="inlineStr">
        <is>
          <t>кг</t>
        </is>
      </c>
      <c r="U41" s="648">
        <f>IFERROR(SUM(U39:U39),"0")</f>
        <v/>
      </c>
      <c r="V41" s="648">
        <f>IFERROR(SUM(V39:V39),"0")</f>
        <v/>
      </c>
      <c r="W41" s="38" t="n"/>
      <c r="X41" s="649" t="n"/>
      <c r="Y41" s="649" t="n"/>
    </row>
    <row r="42" ht="14.25" customHeight="1">
      <c r="A42" s="326" t="inlineStr">
        <is>
          <t>Сыровяленые колбасы</t>
        </is>
      </c>
      <c r="B42" s="314" t="n"/>
      <c r="C42" s="314" t="n"/>
      <c r="D42" s="314" t="n"/>
      <c r="E42" s="314" t="n"/>
      <c r="F42" s="314" t="n"/>
      <c r="G42" s="314" t="n"/>
      <c r="H42" s="314" t="n"/>
      <c r="I42" s="314" t="n"/>
      <c r="J42" s="314" t="n"/>
      <c r="K42" s="314" t="n"/>
      <c r="L42" s="314" t="n"/>
      <c r="M42" s="314" t="n"/>
      <c r="N42" s="314" t="n"/>
      <c r="O42" s="314" t="n"/>
      <c r="P42" s="314" t="n"/>
      <c r="Q42" s="314" t="n"/>
      <c r="R42" s="314" t="n"/>
      <c r="S42" s="314" t="n"/>
      <c r="T42" s="314" t="n"/>
      <c r="U42" s="314" t="n"/>
      <c r="V42" s="314" t="n"/>
      <c r="W42" s="314" t="n"/>
      <c r="X42" s="326" t="n"/>
      <c r="Y42" s="326" t="n"/>
    </row>
    <row r="43" ht="27" customHeight="1">
      <c r="A43" s="55" t="inlineStr">
        <is>
          <t>SU002049</t>
        </is>
      </c>
      <c r="B43" s="55" t="inlineStr">
        <is>
          <t>P002191</t>
        </is>
      </c>
      <c r="C43" s="32" t="n">
        <v>4301170002</v>
      </c>
      <c r="D43" s="316" t="n">
        <v>4607091389111</v>
      </c>
      <c r="E43" s="317" t="n"/>
      <c r="F43" s="645" t="n">
        <v>0.025</v>
      </c>
      <c r="G43" s="33" t="n">
        <v>10</v>
      </c>
      <c r="H43" s="645" t="n">
        <v>0.25</v>
      </c>
      <c r="I43" s="645" t="n">
        <v>0.492</v>
      </c>
      <c r="J43" s="33" t="n">
        <v>156</v>
      </c>
      <c r="K43" s="34" t="inlineStr">
        <is>
          <t>АК</t>
        </is>
      </c>
      <c r="L43" s="33" t="n">
        <v>120</v>
      </c>
      <c r="M43" s="607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3" s="319" t="n"/>
      <c r="O43" s="319" t="n"/>
      <c r="P43" s="319" t="n"/>
      <c r="Q43" s="317" t="n"/>
      <c r="R43" s="35" t="n"/>
      <c r="S43" s="35" t="n"/>
      <c r="T43" s="36" t="inlineStr">
        <is>
          <t>кг</t>
        </is>
      </c>
      <c r="U43" s="646" t="n">
        <v>0</v>
      </c>
      <c r="V43" s="647">
        <f>IFERROR(IF(U43="",0,CEILING((U43/$H43),1)*$H43),"")</f>
        <v/>
      </c>
      <c r="W43" s="37">
        <f>IFERROR(IF(V43=0,"",ROUNDUP(V43/H43,0)*0.00753),"")</f>
        <v/>
      </c>
      <c r="X43" s="57" t="n"/>
      <c r="Y43" s="58" t="n"/>
      <c r="AC43" s="59" t="n"/>
      <c r="AZ43" s="69" t="inlineStr">
        <is>
          <t>СНК</t>
        </is>
      </c>
    </row>
    <row r="44">
      <c r="A44" s="313" t="n"/>
      <c r="B44" s="314" t="n"/>
      <c r="C44" s="314" t="n"/>
      <c r="D44" s="314" t="n"/>
      <c r="E44" s="314" t="n"/>
      <c r="F44" s="314" t="n"/>
      <c r="G44" s="314" t="n"/>
      <c r="H44" s="314" t="n"/>
      <c r="I44" s="314" t="n"/>
      <c r="J44" s="314" t="n"/>
      <c r="K44" s="314" t="n"/>
      <c r="L44" s="315" t="n"/>
      <c r="M44" s="328" t="inlineStr">
        <is>
          <t>Итого</t>
        </is>
      </c>
      <c r="N44" s="329" t="n"/>
      <c r="O44" s="329" t="n"/>
      <c r="P44" s="329" t="n"/>
      <c r="Q44" s="329" t="n"/>
      <c r="R44" s="329" t="n"/>
      <c r="S44" s="330" t="n"/>
      <c r="T44" s="38" t="inlineStr">
        <is>
          <t>кор</t>
        </is>
      </c>
      <c r="U44" s="648">
        <f>IFERROR(U43/H43,"0")</f>
        <v/>
      </c>
      <c r="V44" s="648">
        <f>IFERROR(V43/H43,"0")</f>
        <v/>
      </c>
      <c r="W44" s="648">
        <f>IFERROR(IF(W43="",0,W43),"0")</f>
        <v/>
      </c>
      <c r="X44" s="649" t="n"/>
      <c r="Y44" s="649" t="n"/>
    </row>
    <row r="45">
      <c r="A45" s="314" t="n"/>
      <c r="B45" s="314" t="n"/>
      <c r="C45" s="314" t="n"/>
      <c r="D45" s="314" t="n"/>
      <c r="E45" s="314" t="n"/>
      <c r="F45" s="314" t="n"/>
      <c r="G45" s="314" t="n"/>
      <c r="H45" s="314" t="n"/>
      <c r="I45" s="314" t="n"/>
      <c r="J45" s="314" t="n"/>
      <c r="K45" s="314" t="n"/>
      <c r="L45" s="315" t="n"/>
      <c r="M45" s="328" t="inlineStr">
        <is>
          <t>Итого</t>
        </is>
      </c>
      <c r="N45" s="329" t="n"/>
      <c r="O45" s="329" t="n"/>
      <c r="P45" s="329" t="n"/>
      <c r="Q45" s="329" t="n"/>
      <c r="R45" s="329" t="n"/>
      <c r="S45" s="330" t="n"/>
      <c r="T45" s="38" t="inlineStr">
        <is>
          <t>кг</t>
        </is>
      </c>
      <c r="U45" s="648">
        <f>IFERROR(SUM(U43:U43),"0")</f>
        <v/>
      </c>
      <c r="V45" s="648">
        <f>IFERROR(SUM(V43:V43),"0")</f>
        <v/>
      </c>
      <c r="W45" s="38" t="n"/>
      <c r="X45" s="649" t="n"/>
      <c r="Y45" s="649" t="n"/>
    </row>
    <row r="46" ht="27.75" customHeight="1">
      <c r="A46" s="357" t="inlineStr">
        <is>
          <t>Вязанка</t>
        </is>
      </c>
      <c r="B46" s="358" t="n"/>
      <c r="C46" s="358" t="n"/>
      <c r="D46" s="358" t="n"/>
      <c r="E46" s="358" t="n"/>
      <c r="F46" s="358" t="n"/>
      <c r="G46" s="358" t="n"/>
      <c r="H46" s="358" t="n"/>
      <c r="I46" s="358" t="n"/>
      <c r="J46" s="358" t="n"/>
      <c r="K46" s="358" t="n"/>
      <c r="L46" s="358" t="n"/>
      <c r="M46" s="358" t="n"/>
      <c r="N46" s="358" t="n"/>
      <c r="O46" s="358" t="n"/>
      <c r="P46" s="358" t="n"/>
      <c r="Q46" s="358" t="n"/>
      <c r="R46" s="358" t="n"/>
      <c r="S46" s="358" t="n"/>
      <c r="T46" s="358" t="n"/>
      <c r="U46" s="358" t="n"/>
      <c r="V46" s="358" t="n"/>
      <c r="W46" s="358" t="n"/>
      <c r="X46" s="49" t="n"/>
      <c r="Y46" s="49" t="n"/>
    </row>
    <row r="47" ht="16.5" customHeight="1">
      <c r="A47" s="337" t="inlineStr">
        <is>
          <t>Столичная</t>
        </is>
      </c>
      <c r="B47" s="314" t="n"/>
      <c r="C47" s="314" t="n"/>
      <c r="D47" s="314" t="n"/>
      <c r="E47" s="314" t="n"/>
      <c r="F47" s="314" t="n"/>
      <c r="G47" s="314" t="n"/>
      <c r="H47" s="314" t="n"/>
      <c r="I47" s="314" t="n"/>
      <c r="J47" s="314" t="n"/>
      <c r="K47" s="314" t="n"/>
      <c r="L47" s="314" t="n"/>
      <c r="M47" s="314" t="n"/>
      <c r="N47" s="314" t="n"/>
      <c r="O47" s="314" t="n"/>
      <c r="P47" s="314" t="n"/>
      <c r="Q47" s="314" t="n"/>
      <c r="R47" s="314" t="n"/>
      <c r="S47" s="314" t="n"/>
      <c r="T47" s="314" t="n"/>
      <c r="U47" s="314" t="n"/>
      <c r="V47" s="314" t="n"/>
      <c r="W47" s="314" t="n"/>
      <c r="X47" s="337" t="n"/>
      <c r="Y47" s="337" t="n"/>
    </row>
    <row r="48" ht="14.25" customHeight="1">
      <c r="A48" s="326" t="inlineStr">
        <is>
          <t>Ветчины</t>
        </is>
      </c>
      <c r="B48" s="314" t="n"/>
      <c r="C48" s="314" t="n"/>
      <c r="D48" s="314" t="n"/>
      <c r="E48" s="314" t="n"/>
      <c r="F48" s="314" t="n"/>
      <c r="G48" s="314" t="n"/>
      <c r="H48" s="314" t="n"/>
      <c r="I48" s="314" t="n"/>
      <c r="J48" s="314" t="n"/>
      <c r="K48" s="314" t="n"/>
      <c r="L48" s="314" t="n"/>
      <c r="M48" s="314" t="n"/>
      <c r="N48" s="314" t="n"/>
      <c r="O48" s="314" t="n"/>
      <c r="P48" s="314" t="n"/>
      <c r="Q48" s="314" t="n"/>
      <c r="R48" s="314" t="n"/>
      <c r="S48" s="314" t="n"/>
      <c r="T48" s="314" t="n"/>
      <c r="U48" s="314" t="n"/>
      <c r="V48" s="314" t="n"/>
      <c r="W48" s="314" t="n"/>
      <c r="X48" s="326" t="n"/>
      <c r="Y48" s="326" t="n"/>
    </row>
    <row r="49" ht="27" customHeight="1">
      <c r="A49" s="55" t="inlineStr">
        <is>
          <t>SU002828</t>
        </is>
      </c>
      <c r="B49" s="55" t="inlineStr">
        <is>
          <t>P003234</t>
        </is>
      </c>
      <c r="C49" s="32" t="n">
        <v>4301020234</v>
      </c>
      <c r="D49" s="316" t="n">
        <v>4680115881440</v>
      </c>
      <c r="E49" s="317" t="n"/>
      <c r="F49" s="645" t="n">
        <v>1.35</v>
      </c>
      <c r="G49" s="33" t="n">
        <v>8</v>
      </c>
      <c r="H49" s="645" t="n">
        <v>10.8</v>
      </c>
      <c r="I49" s="645" t="n">
        <v>11.28</v>
      </c>
      <c r="J49" s="33" t="n">
        <v>56</v>
      </c>
      <c r="K49" s="34" t="inlineStr">
        <is>
          <t>СК1</t>
        </is>
      </c>
      <c r="L49" s="33" t="n">
        <v>50</v>
      </c>
      <c r="M49" s="327">
        <f>HYPERLINK("https://abi.ru/products/Охлажденные/Вязанка/Столичная/Ветчины/P003234/","Ветчины «Филейская» Весовые Вектор ТМ «Вязанка»")</f>
        <v/>
      </c>
      <c r="N49" s="319" t="n"/>
      <c r="O49" s="319" t="n"/>
      <c r="P49" s="319" t="n"/>
      <c r="Q49" s="317" t="n"/>
      <c r="R49" s="35" t="n"/>
      <c r="S49" s="35" t="n"/>
      <c r="T49" s="36" t="inlineStr">
        <is>
          <t>кг</t>
        </is>
      </c>
      <c r="U49" s="646" t="n">
        <v>0</v>
      </c>
      <c r="V49" s="647">
        <f>IFERROR(IF(U49="",0,CEILING((U49/$H49),1)*$H49),"")</f>
        <v/>
      </c>
      <c r="W49" s="37">
        <f>IFERROR(IF(V49=0,"",ROUNDUP(V49/H49,0)*0.02175),"")</f>
        <v/>
      </c>
      <c r="X49" s="57" t="n"/>
      <c r="Y49" s="58" t="n"/>
      <c r="AC49" s="59" t="n"/>
      <c r="AZ49" s="70" t="inlineStr">
        <is>
          <t>КИ</t>
        </is>
      </c>
    </row>
    <row r="50" ht="27" customHeight="1">
      <c r="A50" s="55" t="inlineStr">
        <is>
          <t>SU002814</t>
        </is>
      </c>
      <c r="B50" s="55" t="inlineStr">
        <is>
          <t>P003226</t>
        </is>
      </c>
      <c r="C50" s="32" t="n">
        <v>4301020232</v>
      </c>
      <c r="D50" s="316" t="n">
        <v>4680115881433</v>
      </c>
      <c r="E50" s="317" t="n"/>
      <c r="F50" s="645" t="n">
        <v>0.45</v>
      </c>
      <c r="G50" s="33" t="n">
        <v>6</v>
      </c>
      <c r="H50" s="645" t="n">
        <v>2.7</v>
      </c>
      <c r="I50" s="645" t="n">
        <v>2.9</v>
      </c>
      <c r="J50" s="33" t="n">
        <v>156</v>
      </c>
      <c r="K50" s="34" t="inlineStr">
        <is>
          <t>СК1</t>
        </is>
      </c>
      <c r="L50" s="33" t="n">
        <v>50</v>
      </c>
      <c r="M50" s="500">
        <f>HYPERLINK("https://abi.ru/products/Охлажденные/Вязанка/Столичная/Ветчины/P003226/","Ветчины «Филейская» Фикс.вес 0,45 Вектор ТМ «Вязанка»")</f>
        <v/>
      </c>
      <c r="N50" s="319" t="n"/>
      <c r="O50" s="319" t="n"/>
      <c r="P50" s="319" t="n"/>
      <c r="Q50" s="317" t="n"/>
      <c r="R50" s="35" t="n"/>
      <c r="S50" s="35" t="n"/>
      <c r="T50" s="36" t="inlineStr">
        <is>
          <t>кг</t>
        </is>
      </c>
      <c r="U50" s="646" t="n">
        <v>0</v>
      </c>
      <c r="V50" s="647">
        <f>IFERROR(IF(U50="",0,CEILING((U50/$H50),1)*$H50),"")</f>
        <v/>
      </c>
      <c r="W50" s="37">
        <f>IFERROR(IF(V50=0,"",ROUNDUP(V50/H50,0)*0.00753),"")</f>
        <v/>
      </c>
      <c r="X50" s="57" t="n"/>
      <c r="Y50" s="58" t="n"/>
      <c r="AC50" s="59" t="n"/>
      <c r="AZ50" s="71" t="inlineStr">
        <is>
          <t>КИ</t>
        </is>
      </c>
    </row>
    <row r="51">
      <c r="A51" s="313" t="n"/>
      <c r="B51" s="314" t="n"/>
      <c r="C51" s="314" t="n"/>
      <c r="D51" s="314" t="n"/>
      <c r="E51" s="314" t="n"/>
      <c r="F51" s="314" t="n"/>
      <c r="G51" s="314" t="n"/>
      <c r="H51" s="314" t="n"/>
      <c r="I51" s="314" t="n"/>
      <c r="J51" s="314" t="n"/>
      <c r="K51" s="314" t="n"/>
      <c r="L51" s="315" t="n"/>
      <c r="M51" s="328" t="inlineStr">
        <is>
          <t>Итого</t>
        </is>
      </c>
      <c r="N51" s="329" t="n"/>
      <c r="O51" s="329" t="n"/>
      <c r="P51" s="329" t="n"/>
      <c r="Q51" s="329" t="n"/>
      <c r="R51" s="329" t="n"/>
      <c r="S51" s="330" t="n"/>
      <c r="T51" s="38" t="inlineStr">
        <is>
          <t>кор</t>
        </is>
      </c>
      <c r="U51" s="648">
        <f>IFERROR(U49/H49,"0")+IFERROR(U50/H50,"0")</f>
        <v/>
      </c>
      <c r="V51" s="648">
        <f>IFERROR(V49/H49,"0")+IFERROR(V50/H50,"0")</f>
        <v/>
      </c>
      <c r="W51" s="648">
        <f>IFERROR(IF(W49="",0,W49),"0")+IFERROR(IF(W50="",0,W50),"0")</f>
        <v/>
      </c>
      <c r="X51" s="649" t="n"/>
      <c r="Y51" s="649" t="n"/>
    </row>
    <row r="52">
      <c r="A52" s="314" t="n"/>
      <c r="B52" s="314" t="n"/>
      <c r="C52" s="314" t="n"/>
      <c r="D52" s="314" t="n"/>
      <c r="E52" s="314" t="n"/>
      <c r="F52" s="314" t="n"/>
      <c r="G52" s="314" t="n"/>
      <c r="H52" s="314" t="n"/>
      <c r="I52" s="314" t="n"/>
      <c r="J52" s="314" t="n"/>
      <c r="K52" s="314" t="n"/>
      <c r="L52" s="315" t="n"/>
      <c r="M52" s="328" t="inlineStr">
        <is>
          <t>Итого</t>
        </is>
      </c>
      <c r="N52" s="329" t="n"/>
      <c r="O52" s="329" t="n"/>
      <c r="P52" s="329" t="n"/>
      <c r="Q52" s="329" t="n"/>
      <c r="R52" s="329" t="n"/>
      <c r="S52" s="330" t="n"/>
      <c r="T52" s="38" t="inlineStr">
        <is>
          <t>кг</t>
        </is>
      </c>
      <c r="U52" s="648">
        <f>IFERROR(SUM(U49:U50),"0")</f>
        <v/>
      </c>
      <c r="V52" s="648">
        <f>IFERROR(SUM(V49:V50),"0")</f>
        <v/>
      </c>
      <c r="W52" s="38" t="n"/>
      <c r="X52" s="649" t="n"/>
      <c r="Y52" s="649" t="n"/>
    </row>
    <row r="53" ht="16.5" customHeight="1">
      <c r="A53" s="337" t="inlineStr">
        <is>
          <t>Классическая</t>
        </is>
      </c>
      <c r="B53" s="314" t="n"/>
      <c r="C53" s="314" t="n"/>
      <c r="D53" s="314" t="n"/>
      <c r="E53" s="314" t="n"/>
      <c r="F53" s="314" t="n"/>
      <c r="G53" s="314" t="n"/>
      <c r="H53" s="314" t="n"/>
      <c r="I53" s="314" t="n"/>
      <c r="J53" s="314" t="n"/>
      <c r="K53" s="314" t="n"/>
      <c r="L53" s="314" t="n"/>
      <c r="M53" s="314" t="n"/>
      <c r="N53" s="314" t="n"/>
      <c r="O53" s="314" t="n"/>
      <c r="P53" s="314" t="n"/>
      <c r="Q53" s="314" t="n"/>
      <c r="R53" s="314" t="n"/>
      <c r="S53" s="314" t="n"/>
      <c r="T53" s="314" t="n"/>
      <c r="U53" s="314" t="n"/>
      <c r="V53" s="314" t="n"/>
      <c r="W53" s="314" t="n"/>
      <c r="X53" s="337" t="n"/>
      <c r="Y53" s="337" t="n"/>
    </row>
    <row r="54" ht="14.25" customHeight="1">
      <c r="A54" s="326" t="inlineStr">
        <is>
          <t>Вареные колбасы</t>
        </is>
      </c>
      <c r="B54" s="314" t="n"/>
      <c r="C54" s="314" t="n"/>
      <c r="D54" s="314" t="n"/>
      <c r="E54" s="314" t="n"/>
      <c r="F54" s="314" t="n"/>
      <c r="G54" s="314" t="n"/>
      <c r="H54" s="314" t="n"/>
      <c r="I54" s="314" t="n"/>
      <c r="J54" s="314" t="n"/>
      <c r="K54" s="314" t="n"/>
      <c r="L54" s="314" t="n"/>
      <c r="M54" s="314" t="n"/>
      <c r="N54" s="314" t="n"/>
      <c r="O54" s="314" t="n"/>
      <c r="P54" s="314" t="n"/>
      <c r="Q54" s="314" t="n"/>
      <c r="R54" s="314" t="n"/>
      <c r="S54" s="314" t="n"/>
      <c r="T54" s="314" t="n"/>
      <c r="U54" s="314" t="n"/>
      <c r="V54" s="314" t="n"/>
      <c r="W54" s="314" t="n"/>
      <c r="X54" s="326" t="n"/>
      <c r="Y54" s="326" t="n"/>
    </row>
    <row r="55" ht="27" customHeight="1">
      <c r="A55" s="55" t="inlineStr">
        <is>
          <t>SU002829</t>
        </is>
      </c>
      <c r="B55" s="55" t="inlineStr">
        <is>
          <t>P003298</t>
        </is>
      </c>
      <c r="C55" s="32" t="n">
        <v>4301011481</v>
      </c>
      <c r="D55" s="316" t="n">
        <v>4680115881426</v>
      </c>
      <c r="E55" s="317" t="n"/>
      <c r="F55" s="645" t="n">
        <v>1.35</v>
      </c>
      <c r="G55" s="33" t="n">
        <v>8</v>
      </c>
      <c r="H55" s="645" t="n">
        <v>10.8</v>
      </c>
      <c r="I55" s="645" t="n">
        <v>11.28</v>
      </c>
      <c r="J55" s="33" t="n">
        <v>48</v>
      </c>
      <c r="K55" s="34" t="inlineStr">
        <is>
          <t>ВЗ</t>
        </is>
      </c>
      <c r="L55" s="33" t="n">
        <v>55</v>
      </c>
      <c r="M55" s="590" t="inlineStr">
        <is>
          <t>Вареные колбасы «Филейская» Весовые Вектор ТМ «Вязанка»</t>
        </is>
      </c>
      <c r="N55" s="319" t="n"/>
      <c r="O55" s="319" t="n"/>
      <c r="P55" s="319" t="n"/>
      <c r="Q55" s="317" t="n"/>
      <c r="R55" s="35" t="n"/>
      <c r="S55" s="35" t="n"/>
      <c r="T55" s="36" t="inlineStr">
        <is>
          <t>кг</t>
        </is>
      </c>
      <c r="U55" s="646" t="n">
        <v>0</v>
      </c>
      <c r="V55" s="647">
        <f>IFERROR(IF(U55="",0,CEILING((U55/$H55),1)*$H55),"")</f>
        <v/>
      </c>
      <c r="W55" s="37">
        <f>IFERROR(IF(V55=0,"",ROUNDUP(V55/H55,0)*0.02039),"")</f>
        <v/>
      </c>
      <c r="X55" s="57" t="n"/>
      <c r="Y55" s="58" t="n"/>
      <c r="AC55" s="59" t="n"/>
      <c r="AZ55" s="72" t="inlineStr">
        <is>
          <t>КИ</t>
        </is>
      </c>
    </row>
    <row r="56" ht="27" customHeight="1">
      <c r="A56" s="55" t="inlineStr">
        <is>
          <t>SU002829</t>
        </is>
      </c>
      <c r="B56" s="55" t="inlineStr">
        <is>
          <t>P003235</t>
        </is>
      </c>
      <c r="C56" s="32" t="n">
        <v>4301011452</v>
      </c>
      <c r="D56" s="316" t="n">
        <v>4680115881426</v>
      </c>
      <c r="E56" s="317" t="n"/>
      <c r="F56" s="645" t="n">
        <v>1.35</v>
      </c>
      <c r="G56" s="33" t="n">
        <v>8</v>
      </c>
      <c r="H56" s="645" t="n">
        <v>10.8</v>
      </c>
      <c r="I56" s="645" t="n">
        <v>11.28</v>
      </c>
      <c r="J56" s="33" t="n">
        <v>56</v>
      </c>
      <c r="K56" s="34" t="inlineStr">
        <is>
          <t>СК1</t>
        </is>
      </c>
      <c r="L56" s="33" t="n">
        <v>50</v>
      </c>
      <c r="M56" s="419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319" t="n"/>
      <c r="O56" s="319" t="n"/>
      <c r="P56" s="319" t="n"/>
      <c r="Q56" s="317" t="n"/>
      <c r="R56" s="35" t="n"/>
      <c r="S56" s="35" t="n"/>
      <c r="T56" s="36" t="inlineStr">
        <is>
          <t>кг</t>
        </is>
      </c>
      <c r="U56" s="646" t="n">
        <v>0</v>
      </c>
      <c r="V56" s="647">
        <f>IFERROR(IF(U56="",0,CEILING((U56/$H56),1)*$H56),"")</f>
        <v/>
      </c>
      <c r="W56" s="37">
        <f>IFERROR(IF(V56=0,"",ROUNDUP(V56/H56,0)*0.02175),"")</f>
        <v/>
      </c>
      <c r="X56" s="57" t="n"/>
      <c r="Y56" s="58" t="n"/>
      <c r="AC56" s="59" t="n"/>
      <c r="AZ56" s="73" t="inlineStr">
        <is>
          <t>КИ</t>
        </is>
      </c>
    </row>
    <row r="57" ht="27" customHeight="1">
      <c r="A57" s="55" t="inlineStr">
        <is>
          <t>SU002815</t>
        </is>
      </c>
      <c r="B57" s="55" t="inlineStr">
        <is>
          <t>P003227</t>
        </is>
      </c>
      <c r="C57" s="32" t="n">
        <v>4301011437</v>
      </c>
      <c r="D57" s="316" t="n">
        <v>4680115881419</v>
      </c>
      <c r="E57" s="317" t="n"/>
      <c r="F57" s="645" t="n">
        <v>0.45</v>
      </c>
      <c r="G57" s="33" t="n">
        <v>10</v>
      </c>
      <c r="H57" s="645" t="n">
        <v>4.5</v>
      </c>
      <c r="I57" s="645" t="n">
        <v>4.74</v>
      </c>
      <c r="J57" s="33" t="n">
        <v>120</v>
      </c>
      <c r="K57" s="34" t="inlineStr">
        <is>
          <t>СК1</t>
        </is>
      </c>
      <c r="L57" s="33" t="n">
        <v>50</v>
      </c>
      <c r="M57" s="464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319" t="n"/>
      <c r="O57" s="319" t="n"/>
      <c r="P57" s="319" t="n"/>
      <c r="Q57" s="317" t="n"/>
      <c r="R57" s="35" t="n"/>
      <c r="S57" s="35" t="n"/>
      <c r="T57" s="36" t="inlineStr">
        <is>
          <t>кг</t>
        </is>
      </c>
      <c r="U57" s="646" t="n">
        <v>0</v>
      </c>
      <c r="V57" s="647">
        <f>IFERROR(IF(U57="",0,CEILING((U57/$H57),1)*$H57),"")</f>
        <v/>
      </c>
      <c r="W57" s="37">
        <f>IFERROR(IF(V57=0,"",ROUNDUP(V57/H57,0)*0.00937),"")</f>
        <v/>
      </c>
      <c r="X57" s="57" t="n"/>
      <c r="Y57" s="58" t="n"/>
      <c r="AC57" s="59" t="n"/>
      <c r="AZ57" s="74" t="inlineStr">
        <is>
          <t>КИ</t>
        </is>
      </c>
    </row>
    <row r="58" ht="27" customHeight="1">
      <c r="A58" s="55" t="inlineStr">
        <is>
          <t>SU002831</t>
        </is>
      </c>
      <c r="B58" s="55" t="inlineStr">
        <is>
          <t>P003243</t>
        </is>
      </c>
      <c r="C58" s="32" t="n">
        <v>4301011458</v>
      </c>
      <c r="D58" s="316" t="n">
        <v>4680115881525</v>
      </c>
      <c r="E58" s="317" t="n"/>
      <c r="F58" s="645" t="n">
        <v>0.4</v>
      </c>
      <c r="G58" s="33" t="n">
        <v>10</v>
      </c>
      <c r="H58" s="645" t="n">
        <v>4</v>
      </c>
      <c r="I58" s="645" t="n">
        <v>4.24</v>
      </c>
      <c r="J58" s="33" t="n">
        <v>120</v>
      </c>
      <c r="K58" s="34" t="inlineStr">
        <is>
          <t>СК1</t>
        </is>
      </c>
      <c r="L58" s="33" t="n">
        <v>50</v>
      </c>
      <c r="M58" s="474" t="inlineStr">
        <is>
          <t>Колбаса вареная Филейская ТМ Вязанка ТС Классическая полиамид ф/в 0,4 кг</t>
        </is>
      </c>
      <c r="N58" s="319" t="n"/>
      <c r="O58" s="319" t="n"/>
      <c r="P58" s="319" t="n"/>
      <c r="Q58" s="317" t="n"/>
      <c r="R58" s="35" t="n"/>
      <c r="S58" s="35" t="n"/>
      <c r="T58" s="36" t="inlineStr">
        <is>
          <t>кг</t>
        </is>
      </c>
      <c r="U58" s="646" t="n">
        <v>0</v>
      </c>
      <c r="V58" s="647">
        <f>IFERROR(IF(U58="",0,CEILING((U58/$H58),1)*$H58),"")</f>
        <v/>
      </c>
      <c r="W58" s="37">
        <f>IFERROR(IF(V58=0,"",ROUNDUP(V58/H58,0)*0.00937),"")</f>
        <v/>
      </c>
      <c r="X58" s="57" t="n"/>
      <c r="Y58" s="58" t="n"/>
      <c r="AC58" s="59" t="n"/>
      <c r="AZ58" s="75" t="inlineStr">
        <is>
          <t>КИ</t>
        </is>
      </c>
    </row>
    <row r="59">
      <c r="A59" s="313" t="n"/>
      <c r="B59" s="314" t="n"/>
      <c r="C59" s="314" t="n"/>
      <c r="D59" s="314" t="n"/>
      <c r="E59" s="314" t="n"/>
      <c r="F59" s="314" t="n"/>
      <c r="G59" s="314" t="n"/>
      <c r="H59" s="314" t="n"/>
      <c r="I59" s="314" t="n"/>
      <c r="J59" s="314" t="n"/>
      <c r="K59" s="314" t="n"/>
      <c r="L59" s="315" t="n"/>
      <c r="M59" s="328" t="inlineStr">
        <is>
          <t>Итого</t>
        </is>
      </c>
      <c r="N59" s="329" t="n"/>
      <c r="O59" s="329" t="n"/>
      <c r="P59" s="329" t="n"/>
      <c r="Q59" s="329" t="n"/>
      <c r="R59" s="329" t="n"/>
      <c r="S59" s="330" t="n"/>
      <c r="T59" s="38" t="inlineStr">
        <is>
          <t>кор</t>
        </is>
      </c>
      <c r="U59" s="648">
        <f>IFERROR(U55/H55,"0")+IFERROR(U56/H56,"0")+IFERROR(U57/H57,"0")+IFERROR(U58/H58,"0")</f>
        <v/>
      </c>
      <c r="V59" s="648">
        <f>IFERROR(V55/H55,"0")+IFERROR(V56/H56,"0")+IFERROR(V57/H57,"0")+IFERROR(V58/H58,"0")</f>
        <v/>
      </c>
      <c r="W59" s="648">
        <f>IFERROR(IF(W55="",0,W55),"0")+IFERROR(IF(W56="",0,W56),"0")+IFERROR(IF(W57="",0,W57),"0")+IFERROR(IF(W58="",0,W58),"0")</f>
        <v/>
      </c>
      <c r="X59" s="649" t="n"/>
      <c r="Y59" s="649" t="n"/>
    </row>
    <row r="60">
      <c r="A60" s="314" t="n"/>
      <c r="B60" s="314" t="n"/>
      <c r="C60" s="314" t="n"/>
      <c r="D60" s="314" t="n"/>
      <c r="E60" s="314" t="n"/>
      <c r="F60" s="314" t="n"/>
      <c r="G60" s="314" t="n"/>
      <c r="H60" s="314" t="n"/>
      <c r="I60" s="314" t="n"/>
      <c r="J60" s="314" t="n"/>
      <c r="K60" s="314" t="n"/>
      <c r="L60" s="315" t="n"/>
      <c r="M60" s="328" t="inlineStr">
        <is>
          <t>Итого</t>
        </is>
      </c>
      <c r="N60" s="329" t="n"/>
      <c r="O60" s="329" t="n"/>
      <c r="P60" s="329" t="n"/>
      <c r="Q60" s="329" t="n"/>
      <c r="R60" s="329" t="n"/>
      <c r="S60" s="330" t="n"/>
      <c r="T60" s="38" t="inlineStr">
        <is>
          <t>кг</t>
        </is>
      </c>
      <c r="U60" s="648">
        <f>IFERROR(SUM(U55:U58),"0")</f>
        <v/>
      </c>
      <c r="V60" s="648">
        <f>IFERROR(SUM(V55:V58),"0")</f>
        <v/>
      </c>
      <c r="W60" s="38" t="n"/>
      <c r="X60" s="649" t="n"/>
      <c r="Y60" s="649" t="n"/>
    </row>
    <row r="61" ht="16.5" customHeight="1">
      <c r="A61" s="337" t="inlineStr">
        <is>
          <t>Вязанка</t>
        </is>
      </c>
      <c r="B61" s="314" t="n"/>
      <c r="C61" s="314" t="n"/>
      <c r="D61" s="314" t="n"/>
      <c r="E61" s="314" t="n"/>
      <c r="F61" s="314" t="n"/>
      <c r="G61" s="314" t="n"/>
      <c r="H61" s="314" t="n"/>
      <c r="I61" s="314" t="n"/>
      <c r="J61" s="314" t="n"/>
      <c r="K61" s="314" t="n"/>
      <c r="L61" s="314" t="n"/>
      <c r="M61" s="314" t="n"/>
      <c r="N61" s="314" t="n"/>
      <c r="O61" s="314" t="n"/>
      <c r="P61" s="314" t="n"/>
      <c r="Q61" s="314" t="n"/>
      <c r="R61" s="314" t="n"/>
      <c r="S61" s="314" t="n"/>
      <c r="T61" s="314" t="n"/>
      <c r="U61" s="314" t="n"/>
      <c r="V61" s="314" t="n"/>
      <c r="W61" s="314" t="n"/>
      <c r="X61" s="337" t="n"/>
      <c r="Y61" s="337" t="n"/>
    </row>
    <row r="62" ht="14.25" customHeight="1">
      <c r="A62" s="326" t="inlineStr">
        <is>
          <t>Вареные колбасы</t>
        </is>
      </c>
      <c r="B62" s="314" t="n"/>
      <c r="C62" s="314" t="n"/>
      <c r="D62" s="314" t="n"/>
      <c r="E62" s="314" t="n"/>
      <c r="F62" s="314" t="n"/>
      <c r="G62" s="314" t="n"/>
      <c r="H62" s="314" t="n"/>
      <c r="I62" s="314" t="n"/>
      <c r="J62" s="314" t="n"/>
      <c r="K62" s="314" t="n"/>
      <c r="L62" s="314" t="n"/>
      <c r="M62" s="314" t="n"/>
      <c r="N62" s="314" t="n"/>
      <c r="O62" s="314" t="n"/>
      <c r="P62" s="314" t="n"/>
      <c r="Q62" s="314" t="n"/>
      <c r="R62" s="314" t="n"/>
      <c r="S62" s="314" t="n"/>
      <c r="T62" s="314" t="n"/>
      <c r="U62" s="314" t="n"/>
      <c r="V62" s="314" t="n"/>
      <c r="W62" s="314" t="n"/>
      <c r="X62" s="326" t="n"/>
      <c r="Y62" s="326" t="n"/>
    </row>
    <row r="63" ht="27" customHeight="1">
      <c r="A63" s="55" t="inlineStr">
        <is>
          <t>SU000124</t>
        </is>
      </c>
      <c r="B63" s="55" t="inlineStr">
        <is>
          <t>P003690</t>
        </is>
      </c>
      <c r="C63" s="32" t="n">
        <v>4301011623</v>
      </c>
      <c r="D63" s="316" t="n">
        <v>4607091382945</v>
      </c>
      <c r="E63" s="317" t="n"/>
      <c r="F63" s="645" t="n">
        <v>1.4</v>
      </c>
      <c r="G63" s="33" t="n">
        <v>8</v>
      </c>
      <c r="H63" s="645" t="n">
        <v>11.2</v>
      </c>
      <c r="I63" s="645" t="n">
        <v>11.68</v>
      </c>
      <c r="J63" s="33" t="n">
        <v>56</v>
      </c>
      <c r="K63" s="34" t="inlineStr">
        <is>
          <t>СК1</t>
        </is>
      </c>
      <c r="L63" s="33" t="n">
        <v>50</v>
      </c>
      <c r="M63" s="496" t="inlineStr">
        <is>
          <t>Вареные колбасы «Вязанка со шпиком» Весовые Вектор УВВ ТМ «Вязанка»</t>
        </is>
      </c>
      <c r="N63" s="319" t="n"/>
      <c r="O63" s="319" t="n"/>
      <c r="P63" s="319" t="n"/>
      <c r="Q63" s="317" t="n"/>
      <c r="R63" s="35" t="n"/>
      <c r="S63" s="35" t="n"/>
      <c r="T63" s="36" t="inlineStr">
        <is>
          <t>кг</t>
        </is>
      </c>
      <c r="U63" s="646" t="n">
        <v>0</v>
      </c>
      <c r="V63" s="647">
        <f>IFERROR(IF(U63="",0,CEILING((U63/$H63),1)*$H63),"")</f>
        <v/>
      </c>
      <c r="W63" s="37">
        <f>IFERROR(IF(V63=0,"",ROUNDUP(V63/H63,0)*0.02175),"")</f>
        <v/>
      </c>
      <c r="X63" s="57" t="n"/>
      <c r="Y63" s="58" t="n"/>
      <c r="AC63" s="59" t="n"/>
      <c r="AZ63" s="76" t="inlineStr">
        <is>
          <t>КИ</t>
        </is>
      </c>
    </row>
    <row r="64" ht="27" customHeight="1">
      <c r="A64" s="55" t="inlineStr">
        <is>
          <t>SU000722</t>
        </is>
      </c>
      <c r="B64" s="55" t="inlineStr">
        <is>
          <t>P003011</t>
        </is>
      </c>
      <c r="C64" s="32" t="n">
        <v>4301011380</v>
      </c>
      <c r="D64" s="316" t="n">
        <v>4607091385670</v>
      </c>
      <c r="E64" s="317" t="n"/>
      <c r="F64" s="645" t="n">
        <v>1.35</v>
      </c>
      <c r="G64" s="33" t="n">
        <v>8</v>
      </c>
      <c r="H64" s="645" t="n">
        <v>10.8</v>
      </c>
      <c r="I64" s="645" t="n">
        <v>11.28</v>
      </c>
      <c r="J64" s="33" t="n">
        <v>56</v>
      </c>
      <c r="K64" s="34" t="inlineStr">
        <is>
          <t>СК1</t>
        </is>
      </c>
      <c r="L64" s="33" t="n">
        <v>50</v>
      </c>
      <c r="M64" s="433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319" t="n"/>
      <c r="O64" s="319" t="n"/>
      <c r="P64" s="319" t="n"/>
      <c r="Q64" s="317" t="n"/>
      <c r="R64" s="35" t="n"/>
      <c r="S64" s="35" t="n"/>
      <c r="T64" s="36" t="inlineStr">
        <is>
          <t>кг</t>
        </is>
      </c>
      <c r="U64" s="646" t="n">
        <v>200</v>
      </c>
      <c r="V64" s="647">
        <f>IFERROR(IF(U64="",0,CEILING((U64/$H64),1)*$H64),"")</f>
        <v/>
      </c>
      <c r="W64" s="37">
        <f>IFERROR(IF(V64=0,"",ROUNDUP(V64/H64,0)*0.02175),"")</f>
        <v/>
      </c>
      <c r="X64" s="57" t="n"/>
      <c r="Y64" s="58" t="n"/>
      <c r="AC64" s="59" t="n"/>
      <c r="AZ64" s="77" t="inlineStr">
        <is>
          <t>КИ</t>
        </is>
      </c>
    </row>
    <row r="65" ht="27" customHeight="1">
      <c r="A65" s="55" t="inlineStr">
        <is>
          <t>SU002830</t>
        </is>
      </c>
      <c r="B65" s="55" t="inlineStr">
        <is>
          <t>P003239</t>
        </is>
      </c>
      <c r="C65" s="32" t="n">
        <v>4301011468</v>
      </c>
      <c r="D65" s="316" t="n">
        <v>4680115881327</v>
      </c>
      <c r="E65" s="317" t="n"/>
      <c r="F65" s="645" t="n">
        <v>1.35</v>
      </c>
      <c r="G65" s="33" t="n">
        <v>8</v>
      </c>
      <c r="H65" s="645" t="n">
        <v>10.8</v>
      </c>
      <c r="I65" s="645" t="n">
        <v>11.28</v>
      </c>
      <c r="J65" s="33" t="n">
        <v>56</v>
      </c>
      <c r="K65" s="34" t="inlineStr">
        <is>
          <t>СК4</t>
        </is>
      </c>
      <c r="L65" s="33" t="n">
        <v>50</v>
      </c>
      <c r="M65" s="638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319" t="n"/>
      <c r="O65" s="319" t="n"/>
      <c r="P65" s="319" t="n"/>
      <c r="Q65" s="317" t="n"/>
      <c r="R65" s="35" t="n"/>
      <c r="S65" s="35" t="n"/>
      <c r="T65" s="36" t="inlineStr">
        <is>
          <t>кг</t>
        </is>
      </c>
      <c r="U65" s="646" t="n">
        <v>0</v>
      </c>
      <c r="V65" s="647">
        <f>IFERROR(IF(U65="",0,CEILING((U65/$H65),1)*$H65),"")</f>
        <v/>
      </c>
      <c r="W65" s="37">
        <f>IFERROR(IF(V65=0,"",ROUNDUP(V65/H65,0)*0.02175),"")</f>
        <v/>
      </c>
      <c r="X65" s="57" t="n"/>
      <c r="Y65" s="58" t="n"/>
      <c r="AC65" s="59" t="n"/>
      <c r="AZ65" s="78" t="inlineStr">
        <is>
          <t>КИ</t>
        </is>
      </c>
    </row>
    <row r="66" ht="16.5" customHeight="1">
      <c r="A66" s="55" t="inlineStr">
        <is>
          <t>SU002928</t>
        </is>
      </c>
      <c r="B66" s="55" t="inlineStr">
        <is>
          <t>P003357</t>
        </is>
      </c>
      <c r="C66" s="32" t="n">
        <v>4301011514</v>
      </c>
      <c r="D66" s="316" t="n">
        <v>4680115882133</v>
      </c>
      <c r="E66" s="317" t="n"/>
      <c r="F66" s="645" t="n">
        <v>1.35</v>
      </c>
      <c r="G66" s="33" t="n">
        <v>8</v>
      </c>
      <c r="H66" s="645" t="n">
        <v>10.8</v>
      </c>
      <c r="I66" s="645" t="n">
        <v>11.28</v>
      </c>
      <c r="J66" s="33" t="n">
        <v>56</v>
      </c>
      <c r="K66" s="34" t="inlineStr">
        <is>
          <t>СК1</t>
        </is>
      </c>
      <c r="L66" s="33" t="n">
        <v>50</v>
      </c>
      <c r="M66" s="584">
        <f>HYPERLINK("https://abi.ru/products/Охлажденные/Вязанка/Вязанка/Вареные колбасы/P003357/","Вареные колбасы «Сливушка» Вес П/а ТМ «Вязанка»")</f>
        <v/>
      </c>
      <c r="N66" s="319" t="n"/>
      <c r="O66" s="319" t="n"/>
      <c r="P66" s="319" t="n"/>
      <c r="Q66" s="317" t="n"/>
      <c r="R66" s="35" t="n"/>
      <c r="S66" s="35" t="n"/>
      <c r="T66" s="36" t="inlineStr">
        <is>
          <t>кг</t>
        </is>
      </c>
      <c r="U66" s="646" t="n">
        <v>0</v>
      </c>
      <c r="V66" s="647">
        <f>IFERROR(IF(U66="",0,CEILING((U66/$H66),1)*$H66),"")</f>
        <v/>
      </c>
      <c r="W66" s="37">
        <f>IFERROR(IF(V66=0,"",ROUNDUP(V66/H66,0)*0.02175),"")</f>
        <v/>
      </c>
      <c r="X66" s="57" t="n"/>
      <c r="Y66" s="58" t="n"/>
      <c r="AC66" s="59" t="n"/>
      <c r="AZ66" s="79" t="inlineStr">
        <is>
          <t>КИ</t>
        </is>
      </c>
    </row>
    <row r="67" ht="27" customHeight="1">
      <c r="A67" s="55" t="inlineStr">
        <is>
          <t>SU000125</t>
        </is>
      </c>
      <c r="B67" s="55" t="inlineStr">
        <is>
          <t>P002479</t>
        </is>
      </c>
      <c r="C67" s="32" t="n">
        <v>4301011192</v>
      </c>
      <c r="D67" s="316" t="n">
        <v>4607091382952</v>
      </c>
      <c r="E67" s="317" t="n"/>
      <c r="F67" s="645" t="n">
        <v>0.5</v>
      </c>
      <c r="G67" s="33" t="n">
        <v>6</v>
      </c>
      <c r="H67" s="645" t="n">
        <v>3</v>
      </c>
      <c r="I67" s="645" t="n">
        <v>3.2</v>
      </c>
      <c r="J67" s="33" t="n">
        <v>156</v>
      </c>
      <c r="K67" s="34" t="inlineStr">
        <is>
          <t>СК1</t>
        </is>
      </c>
      <c r="L67" s="33" t="n">
        <v>50</v>
      </c>
      <c r="M67" s="592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7" s="319" t="n"/>
      <c r="O67" s="319" t="n"/>
      <c r="P67" s="319" t="n"/>
      <c r="Q67" s="317" t="n"/>
      <c r="R67" s="35" t="n"/>
      <c r="S67" s="35" t="n"/>
      <c r="T67" s="36" t="inlineStr">
        <is>
          <t>кг</t>
        </is>
      </c>
      <c r="U67" s="646" t="n">
        <v>0</v>
      </c>
      <c r="V67" s="647">
        <f>IFERROR(IF(U67="",0,CEILING((U67/$H67),1)*$H67),"")</f>
        <v/>
      </c>
      <c r="W67" s="37">
        <f>IFERROR(IF(V67=0,"",ROUNDUP(V67/H67,0)*0.00753),"")</f>
        <v/>
      </c>
      <c r="X67" s="57" t="n"/>
      <c r="Y67" s="58" t="n"/>
      <c r="AC67" s="59" t="n"/>
      <c r="AZ67" s="80" t="inlineStr">
        <is>
          <t>КИ</t>
        </is>
      </c>
    </row>
    <row r="68" ht="27" customHeight="1">
      <c r="A68" s="55" t="inlineStr">
        <is>
          <t>SU002986</t>
        </is>
      </c>
      <c r="B68" s="55" t="inlineStr">
        <is>
          <t>P003429</t>
        </is>
      </c>
      <c r="C68" s="32" t="n">
        <v>4301011565</v>
      </c>
      <c r="D68" s="316" t="n">
        <v>4680115882539</v>
      </c>
      <c r="E68" s="317" t="n"/>
      <c r="F68" s="645" t="n">
        <v>0.37</v>
      </c>
      <c r="G68" s="33" t="n">
        <v>10</v>
      </c>
      <c r="H68" s="645" t="n">
        <v>3.7</v>
      </c>
      <c r="I68" s="645" t="n">
        <v>3.94</v>
      </c>
      <c r="J68" s="33" t="n">
        <v>120</v>
      </c>
      <c r="K68" s="34" t="inlineStr">
        <is>
          <t>СК3</t>
        </is>
      </c>
      <c r="L68" s="33" t="n">
        <v>50</v>
      </c>
      <c r="M68" s="588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N68" s="319" t="n"/>
      <c r="O68" s="319" t="n"/>
      <c r="P68" s="319" t="n"/>
      <c r="Q68" s="317" t="n"/>
      <c r="R68" s="35" t="n"/>
      <c r="S68" s="35" t="n"/>
      <c r="T68" s="36" t="inlineStr">
        <is>
          <t>кг</t>
        </is>
      </c>
      <c r="U68" s="646" t="n">
        <v>0</v>
      </c>
      <c r="V68" s="647">
        <f>IFERROR(IF(U68="",0,CEILING((U68/$H68),1)*$H68),"")</f>
        <v/>
      </c>
      <c r="W68" s="37">
        <f>IFERROR(IF(V68=0,"",ROUNDUP(V68/H68,0)*0.00937),"")</f>
        <v/>
      </c>
      <c r="X68" s="57" t="n"/>
      <c r="Y68" s="58" t="n"/>
      <c r="AC68" s="59" t="n"/>
      <c r="AZ68" s="81" t="inlineStr">
        <is>
          <t>КИ</t>
        </is>
      </c>
    </row>
    <row r="69" ht="27" customHeight="1">
      <c r="A69" s="55" t="inlineStr">
        <is>
          <t>SU001485</t>
        </is>
      </c>
      <c r="B69" s="55" t="inlineStr">
        <is>
          <t>P003008</t>
        </is>
      </c>
      <c r="C69" s="32" t="n">
        <v>4301011382</v>
      </c>
      <c r="D69" s="316" t="n">
        <v>4607091385687</v>
      </c>
      <c r="E69" s="317" t="n"/>
      <c r="F69" s="645" t="n">
        <v>0.4</v>
      </c>
      <c r="G69" s="33" t="n">
        <v>10</v>
      </c>
      <c r="H69" s="645" t="n">
        <v>4</v>
      </c>
      <c r="I69" s="645" t="n">
        <v>4.24</v>
      </c>
      <c r="J69" s="33" t="n">
        <v>120</v>
      </c>
      <c r="K69" s="34" t="inlineStr">
        <is>
          <t>СК3</t>
        </is>
      </c>
      <c r="L69" s="33" t="n">
        <v>50</v>
      </c>
      <c r="M69" s="596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9" s="319" t="n"/>
      <c r="O69" s="319" t="n"/>
      <c r="P69" s="319" t="n"/>
      <c r="Q69" s="317" t="n"/>
      <c r="R69" s="35" t="n"/>
      <c r="S69" s="35" t="n"/>
      <c r="T69" s="36" t="inlineStr">
        <is>
          <t>кг</t>
        </is>
      </c>
      <c r="U69" s="646" t="n">
        <v>0</v>
      </c>
      <c r="V69" s="647">
        <f>IFERROR(IF(U69="",0,CEILING((U69/$H69),1)*$H69),"")</f>
        <v/>
      </c>
      <c r="W69" s="37">
        <f>IFERROR(IF(V69=0,"",ROUNDUP(V69/H69,0)*0.00937),"")</f>
        <v/>
      </c>
      <c r="X69" s="57" t="n"/>
      <c r="Y69" s="58" t="n"/>
      <c r="AC69" s="59" t="n"/>
      <c r="AZ69" s="82" t="inlineStr">
        <is>
          <t>КИ</t>
        </is>
      </c>
    </row>
    <row r="70" ht="27" customHeight="1">
      <c r="A70" s="55" t="inlineStr">
        <is>
          <t>SU002312</t>
        </is>
      </c>
      <c r="B70" s="55" t="inlineStr">
        <is>
          <t>P002577</t>
        </is>
      </c>
      <c r="C70" s="32" t="n">
        <v>4301011344</v>
      </c>
      <c r="D70" s="316" t="n">
        <v>4607091384604</v>
      </c>
      <c r="E70" s="317" t="n"/>
      <c r="F70" s="645" t="n">
        <v>0.4</v>
      </c>
      <c r="G70" s="33" t="n">
        <v>10</v>
      </c>
      <c r="H70" s="645" t="n">
        <v>4</v>
      </c>
      <c r="I70" s="645" t="n">
        <v>4.24</v>
      </c>
      <c r="J70" s="33" t="n">
        <v>120</v>
      </c>
      <c r="K70" s="34" t="inlineStr">
        <is>
          <t>СК1</t>
        </is>
      </c>
      <c r="L70" s="33" t="n">
        <v>50</v>
      </c>
      <c r="M70" s="490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0" s="319" t="n"/>
      <c r="O70" s="319" t="n"/>
      <c r="P70" s="319" t="n"/>
      <c r="Q70" s="317" t="n"/>
      <c r="R70" s="35" t="n"/>
      <c r="S70" s="35" t="n"/>
      <c r="T70" s="36" t="inlineStr">
        <is>
          <t>кг</t>
        </is>
      </c>
      <c r="U70" s="646" t="n">
        <v>0</v>
      </c>
      <c r="V70" s="647">
        <f>IFERROR(IF(U70="",0,CEILING((U70/$H70),1)*$H70),"")</f>
        <v/>
      </c>
      <c r="W70" s="37">
        <f>IFERROR(IF(V70=0,"",ROUNDUP(V70/H70,0)*0.00937),"")</f>
        <v/>
      </c>
      <c r="X70" s="57" t="n"/>
      <c r="Y70" s="58" t="n"/>
      <c r="AC70" s="59" t="n"/>
      <c r="AZ70" s="83" t="inlineStr">
        <is>
          <t>КИ</t>
        </is>
      </c>
    </row>
    <row r="71" ht="27" customHeight="1">
      <c r="A71" s="55" t="inlineStr">
        <is>
          <t>SU002674</t>
        </is>
      </c>
      <c r="B71" s="55" t="inlineStr">
        <is>
          <t>P003045</t>
        </is>
      </c>
      <c r="C71" s="32" t="n">
        <v>4301011386</v>
      </c>
      <c r="D71" s="316" t="n">
        <v>4680115880283</v>
      </c>
      <c r="E71" s="317" t="n"/>
      <c r="F71" s="645" t="n">
        <v>0.6</v>
      </c>
      <c r="G71" s="33" t="n">
        <v>8</v>
      </c>
      <c r="H71" s="645" t="n">
        <v>4.8</v>
      </c>
      <c r="I71" s="645" t="n">
        <v>5.04</v>
      </c>
      <c r="J71" s="33" t="n">
        <v>120</v>
      </c>
      <c r="K71" s="34" t="inlineStr">
        <is>
          <t>СК1</t>
        </is>
      </c>
      <c r="L71" s="33" t="n">
        <v>45</v>
      </c>
      <c r="M71" s="472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1" s="319" t="n"/>
      <c r="O71" s="319" t="n"/>
      <c r="P71" s="319" t="n"/>
      <c r="Q71" s="317" t="n"/>
      <c r="R71" s="35" t="n"/>
      <c r="S71" s="35" t="n"/>
      <c r="T71" s="36" t="inlineStr">
        <is>
          <t>кг</t>
        </is>
      </c>
      <c r="U71" s="646" t="n">
        <v>0</v>
      </c>
      <c r="V71" s="647">
        <f>IFERROR(IF(U71="",0,CEILING((U71/$H71),1)*$H71),"")</f>
        <v/>
      </c>
      <c r="W71" s="37">
        <f>IFERROR(IF(V71=0,"",ROUNDUP(V71/H71,0)*0.00937),"")</f>
        <v/>
      </c>
      <c r="X71" s="57" t="n"/>
      <c r="Y71" s="58" t="n"/>
      <c r="AC71" s="59" t="n"/>
      <c r="AZ71" s="84" t="inlineStr">
        <is>
          <t>КИ</t>
        </is>
      </c>
    </row>
    <row r="72" ht="16.5" customHeight="1">
      <c r="A72" s="55" t="inlineStr">
        <is>
          <t>SU002832</t>
        </is>
      </c>
      <c r="B72" s="55" t="inlineStr">
        <is>
          <t>P003245</t>
        </is>
      </c>
      <c r="C72" s="32" t="n">
        <v>4301011476</v>
      </c>
      <c r="D72" s="316" t="n">
        <v>4680115881518</v>
      </c>
      <c r="E72" s="317" t="n"/>
      <c r="F72" s="645" t="n">
        <v>0.4</v>
      </c>
      <c r="G72" s="33" t="n">
        <v>10</v>
      </c>
      <c r="H72" s="645" t="n">
        <v>4</v>
      </c>
      <c r="I72" s="645" t="n">
        <v>4.24</v>
      </c>
      <c r="J72" s="33" t="n">
        <v>120</v>
      </c>
      <c r="K72" s="34" t="inlineStr">
        <is>
          <t>СК3</t>
        </is>
      </c>
      <c r="L72" s="33" t="n">
        <v>50</v>
      </c>
      <c r="M72" s="623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2" s="319" t="n"/>
      <c r="O72" s="319" t="n"/>
      <c r="P72" s="319" t="n"/>
      <c r="Q72" s="317" t="n"/>
      <c r="R72" s="35" t="n"/>
      <c r="S72" s="35" t="n"/>
      <c r="T72" s="36" t="inlineStr">
        <is>
          <t>кг</t>
        </is>
      </c>
      <c r="U72" s="646" t="n">
        <v>0</v>
      </c>
      <c r="V72" s="647">
        <f>IFERROR(IF(U72="",0,CEILING((U72/$H72),1)*$H72),"")</f>
        <v/>
      </c>
      <c r="W72" s="37">
        <f>IFERROR(IF(V72=0,"",ROUNDUP(V72/H72,0)*0.00937),"")</f>
        <v/>
      </c>
      <c r="X72" s="57" t="n"/>
      <c r="Y72" s="58" t="n"/>
      <c r="AC72" s="59" t="n"/>
      <c r="AZ72" s="85" t="inlineStr">
        <is>
          <t>КИ</t>
        </is>
      </c>
    </row>
    <row r="73" ht="27" customHeight="1">
      <c r="A73" s="55" t="inlineStr">
        <is>
          <t>SU002816</t>
        </is>
      </c>
      <c r="B73" s="55" t="inlineStr">
        <is>
          <t>P003228</t>
        </is>
      </c>
      <c r="C73" s="32" t="n">
        <v>4301011443</v>
      </c>
      <c r="D73" s="316" t="n">
        <v>4680115881303</v>
      </c>
      <c r="E73" s="317" t="n"/>
      <c r="F73" s="645" t="n">
        <v>0.45</v>
      </c>
      <c r="G73" s="33" t="n">
        <v>10</v>
      </c>
      <c r="H73" s="645" t="n">
        <v>4.5</v>
      </c>
      <c r="I73" s="645" t="n">
        <v>4.71</v>
      </c>
      <c r="J73" s="33" t="n">
        <v>120</v>
      </c>
      <c r="K73" s="34" t="inlineStr">
        <is>
          <t>СК4</t>
        </is>
      </c>
      <c r="L73" s="33" t="n">
        <v>50</v>
      </c>
      <c r="M73" s="488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3" s="319" t="n"/>
      <c r="O73" s="319" t="n"/>
      <c r="P73" s="319" t="n"/>
      <c r="Q73" s="317" t="n"/>
      <c r="R73" s="35" t="n"/>
      <c r="S73" s="35" t="n"/>
      <c r="T73" s="36" t="inlineStr">
        <is>
          <t>кг</t>
        </is>
      </c>
      <c r="U73" s="646" t="n">
        <v>0</v>
      </c>
      <c r="V73" s="647">
        <f>IFERROR(IF(U73="",0,CEILING((U73/$H73),1)*$H73),"")</f>
        <v/>
      </c>
      <c r="W73" s="37">
        <f>IFERROR(IF(V73=0,"",ROUNDUP(V73/H73,0)*0.00937),"")</f>
        <v/>
      </c>
      <c r="X73" s="57" t="n"/>
      <c r="Y73" s="58" t="n"/>
      <c r="AC73" s="59" t="n"/>
      <c r="AZ73" s="86" t="inlineStr">
        <is>
          <t>КИ</t>
        </is>
      </c>
    </row>
    <row r="74" ht="27" customHeight="1">
      <c r="A74" s="55" t="inlineStr">
        <is>
          <t>SU001905</t>
        </is>
      </c>
      <c r="B74" s="55" t="inlineStr">
        <is>
          <t>P001685</t>
        </is>
      </c>
      <c r="C74" s="32" t="n">
        <v>4301011352</v>
      </c>
      <c r="D74" s="316" t="n">
        <v>4607091388466</v>
      </c>
      <c r="E74" s="317" t="n"/>
      <c r="F74" s="645" t="n">
        <v>0.45</v>
      </c>
      <c r="G74" s="33" t="n">
        <v>6</v>
      </c>
      <c r="H74" s="645" t="n">
        <v>2.7</v>
      </c>
      <c r="I74" s="645" t="n">
        <v>2.9</v>
      </c>
      <c r="J74" s="33" t="n">
        <v>156</v>
      </c>
      <c r="K74" s="34" t="inlineStr">
        <is>
          <t>СК3</t>
        </is>
      </c>
      <c r="L74" s="33" t="n">
        <v>45</v>
      </c>
      <c r="M74" s="492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4" s="319" t="n"/>
      <c r="O74" s="319" t="n"/>
      <c r="P74" s="319" t="n"/>
      <c r="Q74" s="317" t="n"/>
      <c r="R74" s="35" t="n"/>
      <c r="S74" s="35" t="n"/>
      <c r="T74" s="36" t="inlineStr">
        <is>
          <t>кг</t>
        </is>
      </c>
      <c r="U74" s="646" t="n">
        <v>0</v>
      </c>
      <c r="V74" s="647">
        <f>IFERROR(IF(U74="",0,CEILING((U74/$H74),1)*$H74),"")</f>
        <v/>
      </c>
      <c r="W74" s="37">
        <f>IFERROR(IF(V74=0,"",ROUNDUP(V74/H74,0)*0.00753),"")</f>
        <v/>
      </c>
      <c r="X74" s="57" t="n"/>
      <c r="Y74" s="58" t="n"/>
      <c r="AC74" s="59" t="n"/>
      <c r="AZ74" s="87" t="inlineStr">
        <is>
          <t>КИ</t>
        </is>
      </c>
    </row>
    <row r="75" ht="27" customHeight="1">
      <c r="A75" s="55" t="inlineStr">
        <is>
          <t>SU002733</t>
        </is>
      </c>
      <c r="B75" s="55" t="inlineStr">
        <is>
          <t>P003102</t>
        </is>
      </c>
      <c r="C75" s="32" t="n">
        <v>4301011417</v>
      </c>
      <c r="D75" s="316" t="n">
        <v>4680115880269</v>
      </c>
      <c r="E75" s="317" t="n"/>
      <c r="F75" s="645" t="n">
        <v>0.375</v>
      </c>
      <c r="G75" s="33" t="n">
        <v>10</v>
      </c>
      <c r="H75" s="645" t="n">
        <v>3.75</v>
      </c>
      <c r="I75" s="645" t="n">
        <v>3.99</v>
      </c>
      <c r="J75" s="33" t="n">
        <v>120</v>
      </c>
      <c r="K75" s="34" t="inlineStr">
        <is>
          <t>СК3</t>
        </is>
      </c>
      <c r="L75" s="33" t="n">
        <v>50</v>
      </c>
      <c r="M75" s="370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5" s="319" t="n"/>
      <c r="O75" s="319" t="n"/>
      <c r="P75" s="319" t="n"/>
      <c r="Q75" s="317" t="n"/>
      <c r="R75" s="35" t="n"/>
      <c r="S75" s="35" t="n"/>
      <c r="T75" s="36" t="inlineStr">
        <is>
          <t>кг</t>
        </is>
      </c>
      <c r="U75" s="646" t="n">
        <v>0</v>
      </c>
      <c r="V75" s="647">
        <f>IFERROR(IF(U75="",0,CEILING((U75/$H75),1)*$H75),"")</f>
        <v/>
      </c>
      <c r="W75" s="37">
        <f>IFERROR(IF(V75=0,"",ROUNDUP(V75/H75,0)*0.00937),"")</f>
        <v/>
      </c>
      <c r="X75" s="57" t="n"/>
      <c r="Y75" s="58" t="n"/>
      <c r="AC75" s="59" t="n"/>
      <c r="AZ75" s="88" t="inlineStr">
        <is>
          <t>КИ</t>
        </is>
      </c>
    </row>
    <row r="76" ht="16.5" customHeight="1">
      <c r="A76" s="55" t="inlineStr">
        <is>
          <t>SU002734</t>
        </is>
      </c>
      <c r="B76" s="55" t="inlineStr">
        <is>
          <t>P003103</t>
        </is>
      </c>
      <c r="C76" s="32" t="n">
        <v>4301011415</v>
      </c>
      <c r="D76" s="316" t="n">
        <v>4680115880429</v>
      </c>
      <c r="E76" s="317" t="n"/>
      <c r="F76" s="645" t="n">
        <v>0.45</v>
      </c>
      <c r="G76" s="33" t="n">
        <v>10</v>
      </c>
      <c r="H76" s="645" t="n">
        <v>4.5</v>
      </c>
      <c r="I76" s="645" t="n">
        <v>4.74</v>
      </c>
      <c r="J76" s="33" t="n">
        <v>120</v>
      </c>
      <c r="K76" s="34" t="inlineStr">
        <is>
          <t>СК3</t>
        </is>
      </c>
      <c r="L76" s="33" t="n">
        <v>50</v>
      </c>
      <c r="M76" s="514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6" s="319" t="n"/>
      <c r="O76" s="319" t="n"/>
      <c r="P76" s="319" t="n"/>
      <c r="Q76" s="317" t="n"/>
      <c r="R76" s="35" t="n"/>
      <c r="S76" s="35" t="n"/>
      <c r="T76" s="36" t="inlineStr">
        <is>
          <t>кг</t>
        </is>
      </c>
      <c r="U76" s="646" t="n">
        <v>0</v>
      </c>
      <c r="V76" s="647">
        <f>IFERROR(IF(U76="",0,CEILING((U76/$H76),1)*$H76),"")</f>
        <v/>
      </c>
      <c r="W76" s="37">
        <f>IFERROR(IF(V76=0,"",ROUNDUP(V76/H76,0)*0.00937),"")</f>
        <v/>
      </c>
      <c r="X76" s="57" t="n"/>
      <c r="Y76" s="58" t="n"/>
      <c r="AC76" s="59" t="n"/>
      <c r="AZ76" s="89" t="inlineStr">
        <is>
          <t>КИ</t>
        </is>
      </c>
    </row>
    <row r="77" ht="16.5" customHeight="1">
      <c r="A77" s="55" t="inlineStr">
        <is>
          <t>SU002827</t>
        </is>
      </c>
      <c r="B77" s="55" t="inlineStr">
        <is>
          <t>P003233</t>
        </is>
      </c>
      <c r="C77" s="32" t="n">
        <v>4301011462</v>
      </c>
      <c r="D77" s="316" t="n">
        <v>4680115881457</v>
      </c>
      <c r="E77" s="317" t="n"/>
      <c r="F77" s="645" t="n">
        <v>0.75</v>
      </c>
      <c r="G77" s="33" t="n">
        <v>6</v>
      </c>
      <c r="H77" s="645" t="n">
        <v>4.5</v>
      </c>
      <c r="I77" s="645" t="n">
        <v>4.74</v>
      </c>
      <c r="J77" s="33" t="n">
        <v>120</v>
      </c>
      <c r="K77" s="34" t="inlineStr">
        <is>
          <t>СК3</t>
        </is>
      </c>
      <c r="L77" s="33" t="n">
        <v>50</v>
      </c>
      <c r="M77" s="614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7" s="319" t="n"/>
      <c r="O77" s="319" t="n"/>
      <c r="P77" s="319" t="n"/>
      <c r="Q77" s="317" t="n"/>
      <c r="R77" s="35" t="n"/>
      <c r="S77" s="35" t="n"/>
      <c r="T77" s="36" t="inlineStr">
        <is>
          <t>кг</t>
        </is>
      </c>
      <c r="U77" s="646" t="n">
        <v>0</v>
      </c>
      <c r="V77" s="647">
        <f>IFERROR(IF(U77="",0,CEILING((U77/$H77),1)*$H77),"")</f>
        <v/>
      </c>
      <c r="W77" s="37">
        <f>IFERROR(IF(V77=0,"",ROUNDUP(V77/H77,0)*0.00937),"")</f>
        <v/>
      </c>
      <c r="X77" s="57" t="n"/>
      <c r="Y77" s="58" t="n"/>
      <c r="AC77" s="59" t="n"/>
      <c r="AZ77" s="90" t="inlineStr">
        <is>
          <t>КИ</t>
        </is>
      </c>
    </row>
    <row r="78">
      <c r="A78" s="313" t="n"/>
      <c r="B78" s="314" t="n"/>
      <c r="C78" s="314" t="n"/>
      <c r="D78" s="314" t="n"/>
      <c r="E78" s="314" t="n"/>
      <c r="F78" s="314" t="n"/>
      <c r="G78" s="314" t="n"/>
      <c r="H78" s="314" t="n"/>
      <c r="I78" s="314" t="n"/>
      <c r="J78" s="314" t="n"/>
      <c r="K78" s="314" t="n"/>
      <c r="L78" s="315" t="n"/>
      <c r="M78" s="328" t="inlineStr">
        <is>
          <t>Итого</t>
        </is>
      </c>
      <c r="N78" s="329" t="n"/>
      <c r="O78" s="329" t="n"/>
      <c r="P78" s="329" t="n"/>
      <c r="Q78" s="329" t="n"/>
      <c r="R78" s="329" t="n"/>
      <c r="S78" s="330" t="n"/>
      <c r="T78" s="38" t="inlineStr">
        <is>
          <t>кор</t>
        </is>
      </c>
      <c r="U78" s="648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</f>
        <v/>
      </c>
      <c r="V78" s="648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</f>
        <v/>
      </c>
      <c r="W78" s="648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</f>
        <v/>
      </c>
      <c r="X78" s="649" t="n"/>
      <c r="Y78" s="649" t="n"/>
    </row>
    <row r="79">
      <c r="A79" s="314" t="n"/>
      <c r="B79" s="314" t="n"/>
      <c r="C79" s="314" t="n"/>
      <c r="D79" s="314" t="n"/>
      <c r="E79" s="314" t="n"/>
      <c r="F79" s="314" t="n"/>
      <c r="G79" s="314" t="n"/>
      <c r="H79" s="314" t="n"/>
      <c r="I79" s="314" t="n"/>
      <c r="J79" s="314" t="n"/>
      <c r="K79" s="314" t="n"/>
      <c r="L79" s="315" t="n"/>
      <c r="M79" s="328" t="inlineStr">
        <is>
          <t>Итого</t>
        </is>
      </c>
      <c r="N79" s="329" t="n"/>
      <c r="O79" s="329" t="n"/>
      <c r="P79" s="329" t="n"/>
      <c r="Q79" s="329" t="n"/>
      <c r="R79" s="329" t="n"/>
      <c r="S79" s="330" t="n"/>
      <c r="T79" s="38" t="inlineStr">
        <is>
          <t>кг</t>
        </is>
      </c>
      <c r="U79" s="648">
        <f>IFERROR(SUM(U63:U77),"0")</f>
        <v/>
      </c>
      <c r="V79" s="648">
        <f>IFERROR(SUM(V63:V77),"0")</f>
        <v/>
      </c>
      <c r="W79" s="38" t="n"/>
      <c r="X79" s="649" t="n"/>
      <c r="Y79" s="649" t="n"/>
    </row>
    <row r="80" ht="14.25" customHeight="1">
      <c r="A80" s="326" t="inlineStr">
        <is>
          <t>Ветчины</t>
        </is>
      </c>
      <c r="B80" s="314" t="n"/>
      <c r="C80" s="314" t="n"/>
      <c r="D80" s="314" t="n"/>
      <c r="E80" s="314" t="n"/>
      <c r="F80" s="314" t="n"/>
      <c r="G80" s="314" t="n"/>
      <c r="H80" s="314" t="n"/>
      <c r="I80" s="314" t="n"/>
      <c r="J80" s="314" t="n"/>
      <c r="K80" s="314" t="n"/>
      <c r="L80" s="314" t="n"/>
      <c r="M80" s="314" t="n"/>
      <c r="N80" s="314" t="n"/>
      <c r="O80" s="314" t="n"/>
      <c r="P80" s="314" t="n"/>
      <c r="Q80" s="314" t="n"/>
      <c r="R80" s="314" t="n"/>
      <c r="S80" s="314" t="n"/>
      <c r="T80" s="314" t="n"/>
      <c r="U80" s="314" t="n"/>
      <c r="V80" s="314" t="n"/>
      <c r="W80" s="314" t="n"/>
      <c r="X80" s="326" t="n"/>
      <c r="Y80" s="326" t="n"/>
    </row>
    <row r="81" ht="27" customHeight="1">
      <c r="A81" s="55" t="inlineStr">
        <is>
          <t>SU002488</t>
        </is>
      </c>
      <c r="B81" s="55" t="inlineStr">
        <is>
          <t>P002800</t>
        </is>
      </c>
      <c r="C81" s="32" t="n">
        <v>4301020189</v>
      </c>
      <c r="D81" s="316" t="n">
        <v>4607091384789</v>
      </c>
      <c r="E81" s="317" t="n"/>
      <c r="F81" s="645" t="n">
        <v>1</v>
      </c>
      <c r="G81" s="33" t="n">
        <v>6</v>
      </c>
      <c r="H81" s="645" t="n">
        <v>6</v>
      </c>
      <c r="I81" s="645" t="n">
        <v>6.36</v>
      </c>
      <c r="J81" s="33" t="n">
        <v>104</v>
      </c>
      <c r="K81" s="34" t="inlineStr">
        <is>
          <t>СК1</t>
        </is>
      </c>
      <c r="L81" s="33" t="n">
        <v>45</v>
      </c>
      <c r="M81" s="505" t="inlineStr">
        <is>
          <t>Ветчины Запекуша с сочным окороком Вязанка Весовые П/а Вязанка</t>
        </is>
      </c>
      <c r="N81" s="319" t="n"/>
      <c r="O81" s="319" t="n"/>
      <c r="P81" s="319" t="n"/>
      <c r="Q81" s="317" t="n"/>
      <c r="R81" s="35" t="n"/>
      <c r="S81" s="35" t="n"/>
      <c r="T81" s="36" t="inlineStr">
        <is>
          <t>кг</t>
        </is>
      </c>
      <c r="U81" s="646" t="n">
        <v>0</v>
      </c>
      <c r="V81" s="647">
        <f>IFERROR(IF(U81="",0,CEILING((U81/$H81),1)*$H81),"")</f>
        <v/>
      </c>
      <c r="W81" s="37">
        <f>IFERROR(IF(V81=0,"",ROUNDUP(V81/H81,0)*0.01196),"")</f>
        <v/>
      </c>
      <c r="X81" s="57" t="n"/>
      <c r="Y81" s="58" t="n"/>
      <c r="AC81" s="59" t="n"/>
      <c r="AZ81" s="91" t="inlineStr">
        <is>
          <t>КИ</t>
        </is>
      </c>
    </row>
    <row r="82" ht="16.5" customHeight="1">
      <c r="A82" s="55" t="inlineStr">
        <is>
          <t>SU002833</t>
        </is>
      </c>
      <c r="B82" s="55" t="inlineStr">
        <is>
          <t>P003236</t>
        </is>
      </c>
      <c r="C82" s="32" t="n">
        <v>4301020235</v>
      </c>
      <c r="D82" s="316" t="n">
        <v>4680115881488</v>
      </c>
      <c r="E82" s="317" t="n"/>
      <c r="F82" s="645" t="n">
        <v>1.35</v>
      </c>
      <c r="G82" s="33" t="n">
        <v>8</v>
      </c>
      <c r="H82" s="645" t="n">
        <v>10.8</v>
      </c>
      <c r="I82" s="645" t="n">
        <v>11.28</v>
      </c>
      <c r="J82" s="33" t="n">
        <v>48</v>
      </c>
      <c r="K82" s="34" t="inlineStr">
        <is>
          <t>СК1</t>
        </is>
      </c>
      <c r="L82" s="33" t="n">
        <v>50</v>
      </c>
      <c r="M82" s="630">
        <f>HYPERLINK("https://abi.ru/products/Охлажденные/Вязанка/Вязанка/Ветчины/P003236/","Ветчины Сливушка с индейкой Вязанка вес П/а Вязанка")</f>
        <v/>
      </c>
      <c r="N82" s="319" t="n"/>
      <c r="O82" s="319" t="n"/>
      <c r="P82" s="319" t="n"/>
      <c r="Q82" s="317" t="n"/>
      <c r="R82" s="35" t="n"/>
      <c r="S82" s="35" t="n"/>
      <c r="T82" s="36" t="inlineStr">
        <is>
          <t>кг</t>
        </is>
      </c>
      <c r="U82" s="646" t="n">
        <v>0</v>
      </c>
      <c r="V82" s="647">
        <f>IFERROR(IF(U82="",0,CEILING((U82/$H82),1)*$H82),"")</f>
        <v/>
      </c>
      <c r="W82" s="37">
        <f>IFERROR(IF(V82=0,"",ROUNDUP(V82/H82,0)*0.02175),"")</f>
        <v/>
      </c>
      <c r="X82" s="57" t="n"/>
      <c r="Y82" s="58" t="n"/>
      <c r="AC82" s="59" t="n"/>
      <c r="AZ82" s="92" t="inlineStr">
        <is>
          <t>КИ</t>
        </is>
      </c>
    </row>
    <row r="83" ht="27" customHeight="1">
      <c r="A83" s="55" t="inlineStr">
        <is>
          <t>SU002313</t>
        </is>
      </c>
      <c r="B83" s="55" t="inlineStr">
        <is>
          <t>P002583</t>
        </is>
      </c>
      <c r="C83" s="32" t="n">
        <v>4301020183</v>
      </c>
      <c r="D83" s="316" t="n">
        <v>4607091384765</v>
      </c>
      <c r="E83" s="317" t="n"/>
      <c r="F83" s="645" t="n">
        <v>0.42</v>
      </c>
      <c r="G83" s="33" t="n">
        <v>6</v>
      </c>
      <c r="H83" s="645" t="n">
        <v>2.52</v>
      </c>
      <c r="I83" s="645" t="n">
        <v>2.72</v>
      </c>
      <c r="J83" s="33" t="n">
        <v>156</v>
      </c>
      <c r="K83" s="34" t="inlineStr">
        <is>
          <t>СК1</t>
        </is>
      </c>
      <c r="L83" s="33" t="n">
        <v>45</v>
      </c>
      <c r="M83" s="451" t="inlineStr">
        <is>
          <t>Ветчины Запекуша с сочным окороком Вязанка Фикс.вес 0,42 п/а Вязанка</t>
        </is>
      </c>
      <c r="N83" s="319" t="n"/>
      <c r="O83" s="319" t="n"/>
      <c r="P83" s="319" t="n"/>
      <c r="Q83" s="317" t="n"/>
      <c r="R83" s="35" t="n"/>
      <c r="S83" s="35" t="n"/>
      <c r="T83" s="36" t="inlineStr">
        <is>
          <t>кг</t>
        </is>
      </c>
      <c r="U83" s="646" t="n">
        <v>0</v>
      </c>
      <c r="V83" s="647">
        <f>IFERROR(IF(U83="",0,CEILING((U83/$H83),1)*$H83),"")</f>
        <v/>
      </c>
      <c r="W83" s="37">
        <f>IFERROR(IF(V83=0,"",ROUNDUP(V83/H83,0)*0.00753),"")</f>
        <v/>
      </c>
      <c r="X83" s="57" t="n"/>
      <c r="Y83" s="58" t="n"/>
      <c r="AC83" s="59" t="n"/>
      <c r="AZ83" s="93" t="inlineStr">
        <is>
          <t>КИ</t>
        </is>
      </c>
    </row>
    <row r="84" ht="27" customHeight="1">
      <c r="A84" s="55" t="inlineStr">
        <is>
          <t>SU003037</t>
        </is>
      </c>
      <c r="B84" s="55" t="inlineStr">
        <is>
          <t>P003575</t>
        </is>
      </c>
      <c r="C84" s="32" t="n">
        <v>4301020258</v>
      </c>
      <c r="D84" s="316" t="n">
        <v>4680115882775</v>
      </c>
      <c r="E84" s="317" t="n"/>
      <c r="F84" s="645" t="n">
        <v>0.3</v>
      </c>
      <c r="G84" s="33" t="n">
        <v>8</v>
      </c>
      <c r="H84" s="645" t="n">
        <v>2.4</v>
      </c>
      <c r="I84" s="645" t="n">
        <v>2.5</v>
      </c>
      <c r="J84" s="33" t="n">
        <v>234</v>
      </c>
      <c r="K84" s="34" t="inlineStr">
        <is>
          <t>СК3</t>
        </is>
      </c>
      <c r="L84" s="33" t="n">
        <v>50</v>
      </c>
      <c r="M84" s="368" t="inlineStr">
        <is>
          <t>Ветчины «Сливушка с индейкой» Фикс.вес 0,3 П/а ТМ «Вязанка»</t>
        </is>
      </c>
      <c r="N84" s="319" t="n"/>
      <c r="O84" s="319" t="n"/>
      <c r="P84" s="319" t="n"/>
      <c r="Q84" s="317" t="n"/>
      <c r="R84" s="35" t="n"/>
      <c r="S84" s="35" t="n"/>
      <c r="T84" s="36" t="inlineStr">
        <is>
          <t>кг</t>
        </is>
      </c>
      <c r="U84" s="646" t="n">
        <v>0</v>
      </c>
      <c r="V84" s="647">
        <f>IFERROR(IF(U84="",0,CEILING((U84/$H84),1)*$H84),"")</f>
        <v/>
      </c>
      <c r="W84" s="37">
        <f>IFERROR(IF(V84=0,"",ROUNDUP(V84/H84,0)*0.00502),"")</f>
        <v/>
      </c>
      <c r="X84" s="57" t="n"/>
      <c r="Y84" s="58" t="n"/>
      <c r="AC84" s="59" t="n"/>
      <c r="AZ84" s="94" t="inlineStr">
        <is>
          <t>КИ</t>
        </is>
      </c>
    </row>
    <row r="85" ht="27" customHeight="1">
      <c r="A85" s="55" t="inlineStr">
        <is>
          <t>SU002735</t>
        </is>
      </c>
      <c r="B85" s="55" t="inlineStr">
        <is>
          <t>P003107</t>
        </is>
      </c>
      <c r="C85" s="32" t="n">
        <v>4301020217</v>
      </c>
      <c r="D85" s="316" t="n">
        <v>4680115880658</v>
      </c>
      <c r="E85" s="317" t="n"/>
      <c r="F85" s="645" t="n">
        <v>0.4</v>
      </c>
      <c r="G85" s="33" t="n">
        <v>6</v>
      </c>
      <c r="H85" s="645" t="n">
        <v>2.4</v>
      </c>
      <c r="I85" s="645" t="n">
        <v>2.6</v>
      </c>
      <c r="J85" s="33" t="n">
        <v>156</v>
      </c>
      <c r="K85" s="34" t="inlineStr">
        <is>
          <t>СК1</t>
        </is>
      </c>
      <c r="L85" s="33" t="n">
        <v>50</v>
      </c>
      <c r="M85" s="548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5" s="319" t="n"/>
      <c r="O85" s="319" t="n"/>
      <c r="P85" s="319" t="n"/>
      <c r="Q85" s="317" t="n"/>
      <c r="R85" s="35" t="n"/>
      <c r="S85" s="35" t="n"/>
      <c r="T85" s="36" t="inlineStr">
        <is>
          <t>кг</t>
        </is>
      </c>
      <c r="U85" s="646" t="n">
        <v>0</v>
      </c>
      <c r="V85" s="647">
        <f>IFERROR(IF(U85="",0,CEILING((U85/$H85),1)*$H85),"")</f>
        <v/>
      </c>
      <c r="W85" s="37">
        <f>IFERROR(IF(V85=0,"",ROUNDUP(V85/H85,0)*0.00753),"")</f>
        <v/>
      </c>
      <c r="X85" s="57" t="n"/>
      <c r="Y85" s="58" t="n"/>
      <c r="AC85" s="59" t="n"/>
      <c r="AZ85" s="95" t="inlineStr">
        <is>
          <t>КИ</t>
        </is>
      </c>
    </row>
    <row r="86" ht="27" customHeight="1">
      <c r="A86" s="55" t="inlineStr">
        <is>
          <t>SU000082</t>
        </is>
      </c>
      <c r="B86" s="55" t="inlineStr">
        <is>
          <t>P003164</t>
        </is>
      </c>
      <c r="C86" s="32" t="n">
        <v>4301020223</v>
      </c>
      <c r="D86" s="316" t="n">
        <v>4607091381962</v>
      </c>
      <c r="E86" s="317" t="n"/>
      <c r="F86" s="645" t="n">
        <v>0.5</v>
      </c>
      <c r="G86" s="33" t="n">
        <v>6</v>
      </c>
      <c r="H86" s="645" t="n">
        <v>3</v>
      </c>
      <c r="I86" s="645" t="n">
        <v>3.2</v>
      </c>
      <c r="J86" s="33" t="n">
        <v>156</v>
      </c>
      <c r="K86" s="34" t="inlineStr">
        <is>
          <t>СК1</t>
        </is>
      </c>
      <c r="L86" s="33" t="n">
        <v>50</v>
      </c>
      <c r="M86" s="373">
        <f>HYPERLINK("https://abi.ru/products/Охлажденные/Вязанка/Вязанка/Ветчины/P003164/","Ветчины Столичная Вязанка Фикс.вес 0,5 Вектор Вязанка")</f>
        <v/>
      </c>
      <c r="N86" s="319" t="n"/>
      <c r="O86" s="319" t="n"/>
      <c r="P86" s="319" t="n"/>
      <c r="Q86" s="317" t="n"/>
      <c r="R86" s="35" t="n"/>
      <c r="S86" s="35" t="n"/>
      <c r="T86" s="36" t="inlineStr">
        <is>
          <t>кг</t>
        </is>
      </c>
      <c r="U86" s="646" t="n">
        <v>0</v>
      </c>
      <c r="V86" s="647">
        <f>IFERROR(IF(U86="",0,CEILING((U86/$H86),1)*$H86),"")</f>
        <v/>
      </c>
      <c r="W86" s="37">
        <f>IFERROR(IF(V86=0,"",ROUNDUP(V86/H86,0)*0.00753),"")</f>
        <v/>
      </c>
      <c r="X86" s="57" t="n"/>
      <c r="Y86" s="58" t="n"/>
      <c r="AC86" s="59" t="n"/>
      <c r="AZ86" s="96" t="inlineStr">
        <is>
          <t>КИ</t>
        </is>
      </c>
    </row>
    <row r="87">
      <c r="A87" s="313" t="n"/>
      <c r="B87" s="314" t="n"/>
      <c r="C87" s="314" t="n"/>
      <c r="D87" s="314" t="n"/>
      <c r="E87" s="314" t="n"/>
      <c r="F87" s="314" t="n"/>
      <c r="G87" s="314" t="n"/>
      <c r="H87" s="314" t="n"/>
      <c r="I87" s="314" t="n"/>
      <c r="J87" s="314" t="n"/>
      <c r="K87" s="314" t="n"/>
      <c r="L87" s="315" t="n"/>
      <c r="M87" s="328" t="inlineStr">
        <is>
          <t>Итого</t>
        </is>
      </c>
      <c r="N87" s="329" t="n"/>
      <c r="O87" s="329" t="n"/>
      <c r="P87" s="329" t="n"/>
      <c r="Q87" s="329" t="n"/>
      <c r="R87" s="329" t="n"/>
      <c r="S87" s="330" t="n"/>
      <c r="T87" s="38" t="inlineStr">
        <is>
          <t>кор</t>
        </is>
      </c>
      <c r="U87" s="648">
        <f>IFERROR(U81/H81,"0")+IFERROR(U82/H82,"0")+IFERROR(U83/H83,"0")+IFERROR(U84/H84,"0")+IFERROR(U85/H85,"0")+IFERROR(U86/H86,"0")</f>
        <v/>
      </c>
      <c r="V87" s="648">
        <f>IFERROR(V81/H81,"0")+IFERROR(V82/H82,"0")+IFERROR(V83/H83,"0")+IFERROR(V84/H84,"0")+IFERROR(V85/H85,"0")+IFERROR(V86/H86,"0")</f>
        <v/>
      </c>
      <c r="W87" s="648">
        <f>IFERROR(IF(W81="",0,W81),"0")+IFERROR(IF(W82="",0,W82),"0")+IFERROR(IF(W83="",0,W83),"0")+IFERROR(IF(W84="",0,W84),"0")+IFERROR(IF(W85="",0,W85),"0")+IFERROR(IF(W86="",0,W86),"0")</f>
        <v/>
      </c>
      <c r="X87" s="649" t="n"/>
      <c r="Y87" s="649" t="n"/>
    </row>
    <row r="88">
      <c r="A88" s="314" t="n"/>
      <c r="B88" s="314" t="n"/>
      <c r="C88" s="314" t="n"/>
      <c r="D88" s="314" t="n"/>
      <c r="E88" s="314" t="n"/>
      <c r="F88" s="314" t="n"/>
      <c r="G88" s="314" t="n"/>
      <c r="H88" s="314" t="n"/>
      <c r="I88" s="314" t="n"/>
      <c r="J88" s="314" t="n"/>
      <c r="K88" s="314" t="n"/>
      <c r="L88" s="315" t="n"/>
      <c r="M88" s="328" t="inlineStr">
        <is>
          <t>Итого</t>
        </is>
      </c>
      <c r="N88" s="329" t="n"/>
      <c r="O88" s="329" t="n"/>
      <c r="P88" s="329" t="n"/>
      <c r="Q88" s="329" t="n"/>
      <c r="R88" s="329" t="n"/>
      <c r="S88" s="330" t="n"/>
      <c r="T88" s="38" t="inlineStr">
        <is>
          <t>кг</t>
        </is>
      </c>
      <c r="U88" s="648">
        <f>IFERROR(SUM(U81:U86),"0")</f>
        <v/>
      </c>
      <c r="V88" s="648">
        <f>IFERROR(SUM(V81:V86),"0")</f>
        <v/>
      </c>
      <c r="W88" s="38" t="n"/>
      <c r="X88" s="649" t="n"/>
      <c r="Y88" s="649" t="n"/>
    </row>
    <row r="89" ht="14.25" customHeight="1">
      <c r="A89" s="326" t="inlineStr">
        <is>
          <t>Копченые колбасы</t>
        </is>
      </c>
      <c r="B89" s="314" t="n"/>
      <c r="C89" s="314" t="n"/>
      <c r="D89" s="314" t="n"/>
      <c r="E89" s="314" t="n"/>
      <c r="F89" s="314" t="n"/>
      <c r="G89" s="314" t="n"/>
      <c r="H89" s="314" t="n"/>
      <c r="I89" s="314" t="n"/>
      <c r="J89" s="314" t="n"/>
      <c r="K89" s="314" t="n"/>
      <c r="L89" s="314" t="n"/>
      <c r="M89" s="314" t="n"/>
      <c r="N89" s="314" t="n"/>
      <c r="O89" s="314" t="n"/>
      <c r="P89" s="314" t="n"/>
      <c r="Q89" s="314" t="n"/>
      <c r="R89" s="314" t="n"/>
      <c r="S89" s="314" t="n"/>
      <c r="T89" s="314" t="n"/>
      <c r="U89" s="314" t="n"/>
      <c r="V89" s="314" t="n"/>
      <c r="W89" s="314" t="n"/>
      <c r="X89" s="326" t="n"/>
      <c r="Y89" s="326" t="n"/>
    </row>
    <row r="90" ht="27" customHeight="1">
      <c r="A90" s="55" t="inlineStr">
        <is>
          <t>SU002985</t>
        </is>
      </c>
      <c r="B90" s="55" t="inlineStr">
        <is>
          <t>P003439</t>
        </is>
      </c>
      <c r="C90" s="32" t="n">
        <v>4301031234</v>
      </c>
      <c r="D90" s="316" t="n">
        <v>4680115883444</v>
      </c>
      <c r="E90" s="317" t="n"/>
      <c r="F90" s="645" t="n">
        <v>0.35</v>
      </c>
      <c r="G90" s="33" t="n">
        <v>8</v>
      </c>
      <c r="H90" s="645" t="n">
        <v>2.8</v>
      </c>
      <c r="I90" s="645" t="n">
        <v>3.088</v>
      </c>
      <c r="J90" s="33" t="n">
        <v>156</v>
      </c>
      <c r="K90" s="34" t="inlineStr">
        <is>
          <t>АК</t>
        </is>
      </c>
      <c r="L90" s="33" t="n">
        <v>90</v>
      </c>
      <c r="M90" s="636" t="inlineStr">
        <is>
          <t>П/к колбасы «Аль-Ислами халяль» ф/в 0,35 фиброуз ТМ «Вязанка»</t>
        </is>
      </c>
      <c r="N90" s="319" t="n"/>
      <c r="O90" s="319" t="n"/>
      <c r="P90" s="319" t="n"/>
      <c r="Q90" s="317" t="n"/>
      <c r="R90" s="35" t="n"/>
      <c r="S90" s="35" t="n"/>
      <c r="T90" s="36" t="inlineStr">
        <is>
          <t>кг</t>
        </is>
      </c>
      <c r="U90" s="646" t="n">
        <v>0</v>
      </c>
      <c r="V90" s="647">
        <f>IFERROR(IF(U90="",0,CEILING((U90/$H90),1)*$H90),"")</f>
        <v/>
      </c>
      <c r="W90" s="37">
        <f>IFERROR(IF(V90=0,"",ROUNDUP(V90/H90,0)*0.00753),"")</f>
        <v/>
      </c>
      <c r="X90" s="57" t="n"/>
      <c r="Y90" s="58" t="inlineStr">
        <is>
          <t>Новинка</t>
        </is>
      </c>
      <c r="AC90" s="59" t="n"/>
      <c r="AZ90" s="97" t="inlineStr">
        <is>
          <t>КИ</t>
        </is>
      </c>
    </row>
    <row r="91" ht="27" customHeight="1">
      <c r="A91" s="55" t="inlineStr">
        <is>
          <t>SU002985</t>
        </is>
      </c>
      <c r="B91" s="55" t="inlineStr">
        <is>
          <t>P003442</t>
        </is>
      </c>
      <c r="C91" s="32" t="n">
        <v>4301031235</v>
      </c>
      <c r="D91" s="316" t="n">
        <v>4680115883444</v>
      </c>
      <c r="E91" s="317" t="n"/>
      <c r="F91" s="645" t="n">
        <v>0.35</v>
      </c>
      <c r="G91" s="33" t="n">
        <v>8</v>
      </c>
      <c r="H91" s="645" t="n">
        <v>2.8</v>
      </c>
      <c r="I91" s="645" t="n">
        <v>3.088</v>
      </c>
      <c r="J91" s="33" t="n">
        <v>156</v>
      </c>
      <c r="K91" s="34" t="inlineStr">
        <is>
          <t>АК</t>
        </is>
      </c>
      <c r="L91" s="33" t="n">
        <v>90</v>
      </c>
      <c r="M91" s="345" t="inlineStr">
        <is>
          <t>П/к колбасы «Аль-Ислами халяль» ф/в 0,35 фиброуз ТМ «Вязанка»</t>
        </is>
      </c>
      <c r="N91" s="319" t="n"/>
      <c r="O91" s="319" t="n"/>
      <c r="P91" s="319" t="n"/>
      <c r="Q91" s="317" t="n"/>
      <c r="R91" s="35" t="n"/>
      <c r="S91" s="35" t="n"/>
      <c r="T91" s="36" t="inlineStr">
        <is>
          <t>кг</t>
        </is>
      </c>
      <c r="U91" s="646" t="n">
        <v>0</v>
      </c>
      <c r="V91" s="647">
        <f>IFERROR(IF(U91="",0,CEILING((U91/$H91),1)*$H91),"")</f>
        <v/>
      </c>
      <c r="W91" s="37">
        <f>IFERROR(IF(V91=0,"",ROUNDUP(V91/H91,0)*0.00753),"")</f>
        <v/>
      </c>
      <c r="X91" s="57" t="n"/>
      <c r="Y91" s="58" t="inlineStr">
        <is>
          <t>Новинка</t>
        </is>
      </c>
      <c r="AC91" s="59" t="n"/>
      <c r="AZ91" s="98" t="inlineStr">
        <is>
          <t>КИ</t>
        </is>
      </c>
    </row>
    <row r="92" ht="16.5" customHeight="1">
      <c r="A92" s="55" t="inlineStr">
        <is>
          <t>SU000064</t>
        </is>
      </c>
      <c r="B92" s="55" t="inlineStr">
        <is>
          <t>P001841</t>
        </is>
      </c>
      <c r="C92" s="32" t="n">
        <v>4301030895</v>
      </c>
      <c r="D92" s="316" t="n">
        <v>4607091387667</v>
      </c>
      <c r="E92" s="317" t="n"/>
      <c r="F92" s="645" t="n">
        <v>0.9</v>
      </c>
      <c r="G92" s="33" t="n">
        <v>10</v>
      </c>
      <c r="H92" s="645" t="n">
        <v>9</v>
      </c>
      <c r="I92" s="645" t="n">
        <v>9.630000000000001</v>
      </c>
      <c r="J92" s="33" t="n">
        <v>56</v>
      </c>
      <c r="K92" s="34" t="inlineStr">
        <is>
          <t>СК1</t>
        </is>
      </c>
      <c r="L92" s="33" t="n">
        <v>40</v>
      </c>
      <c r="M92" s="501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2" s="319" t="n"/>
      <c r="O92" s="319" t="n"/>
      <c r="P92" s="319" t="n"/>
      <c r="Q92" s="317" t="n"/>
      <c r="R92" s="35" t="n"/>
      <c r="S92" s="35" t="n"/>
      <c r="T92" s="36" t="inlineStr">
        <is>
          <t>кг</t>
        </is>
      </c>
      <c r="U92" s="646" t="n">
        <v>0</v>
      </c>
      <c r="V92" s="647">
        <f>IFERROR(IF(U92="",0,CEILING((U92/$H92),1)*$H92),"")</f>
        <v/>
      </c>
      <c r="W92" s="37">
        <f>IFERROR(IF(V92=0,"",ROUNDUP(V92/H92,0)*0.02175),"")</f>
        <v/>
      </c>
      <c r="X92" s="57" t="n"/>
      <c r="Y92" s="58" t="n"/>
      <c r="AC92" s="59" t="n"/>
      <c r="AZ92" s="99" t="inlineStr">
        <is>
          <t>КИ</t>
        </is>
      </c>
    </row>
    <row r="93" ht="27" customHeight="1">
      <c r="A93" s="55" t="inlineStr">
        <is>
          <t>SU000664</t>
        </is>
      </c>
      <c r="B93" s="55" t="inlineStr">
        <is>
          <t>P002177</t>
        </is>
      </c>
      <c r="C93" s="32" t="n">
        <v>4301030961</v>
      </c>
      <c r="D93" s="316" t="n">
        <v>4607091387636</v>
      </c>
      <c r="E93" s="317" t="n"/>
      <c r="F93" s="645" t="n">
        <v>0.7</v>
      </c>
      <c r="G93" s="33" t="n">
        <v>6</v>
      </c>
      <c r="H93" s="645" t="n">
        <v>4.2</v>
      </c>
      <c r="I93" s="645" t="n">
        <v>4.5</v>
      </c>
      <c r="J93" s="33" t="n">
        <v>120</v>
      </c>
      <c r="K93" s="34" t="inlineStr">
        <is>
          <t>СК2</t>
        </is>
      </c>
      <c r="L93" s="33" t="n">
        <v>40</v>
      </c>
      <c r="M93" s="351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3" s="319" t="n"/>
      <c r="O93" s="319" t="n"/>
      <c r="P93" s="319" t="n"/>
      <c r="Q93" s="317" t="n"/>
      <c r="R93" s="35" t="n"/>
      <c r="S93" s="35" t="n"/>
      <c r="T93" s="36" t="inlineStr">
        <is>
          <t>кг</t>
        </is>
      </c>
      <c r="U93" s="646" t="n">
        <v>0</v>
      </c>
      <c r="V93" s="647">
        <f>IFERROR(IF(U93="",0,CEILING((U93/$H93),1)*$H93),"")</f>
        <v/>
      </c>
      <c r="W93" s="37">
        <f>IFERROR(IF(V93=0,"",ROUNDUP(V93/H93,0)*0.00937),"")</f>
        <v/>
      </c>
      <c r="X93" s="57" t="n"/>
      <c r="Y93" s="58" t="n"/>
      <c r="AC93" s="59" t="n"/>
      <c r="AZ93" s="100" t="inlineStr">
        <is>
          <t>КИ</t>
        </is>
      </c>
    </row>
    <row r="94" ht="27" customHeight="1">
      <c r="A94" s="55" t="inlineStr">
        <is>
          <t>SU002308</t>
        </is>
      </c>
      <c r="B94" s="55" t="inlineStr">
        <is>
          <t>P002572</t>
        </is>
      </c>
      <c r="C94" s="32" t="n">
        <v>4301031078</v>
      </c>
      <c r="D94" s="316" t="n">
        <v>4607091384727</v>
      </c>
      <c r="E94" s="317" t="n"/>
      <c r="F94" s="645" t="n">
        <v>0.8</v>
      </c>
      <c r="G94" s="33" t="n">
        <v>6</v>
      </c>
      <c r="H94" s="645" t="n">
        <v>4.8</v>
      </c>
      <c r="I94" s="645" t="n">
        <v>5.16</v>
      </c>
      <c r="J94" s="33" t="n">
        <v>104</v>
      </c>
      <c r="K94" s="34" t="inlineStr">
        <is>
          <t>СК2</t>
        </is>
      </c>
      <c r="L94" s="33" t="n">
        <v>45</v>
      </c>
      <c r="M94" s="520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4" s="319" t="n"/>
      <c r="O94" s="319" t="n"/>
      <c r="P94" s="319" t="n"/>
      <c r="Q94" s="317" t="n"/>
      <c r="R94" s="35" t="n"/>
      <c r="S94" s="35" t="n"/>
      <c r="T94" s="36" t="inlineStr">
        <is>
          <t>кг</t>
        </is>
      </c>
      <c r="U94" s="646" t="n">
        <v>0</v>
      </c>
      <c r="V94" s="647">
        <f>IFERROR(IF(U94="",0,CEILING((U94/$H94),1)*$H94),"")</f>
        <v/>
      </c>
      <c r="W94" s="37">
        <f>IFERROR(IF(V94=0,"",ROUNDUP(V94/H94,0)*0.01196),"")</f>
        <v/>
      </c>
      <c r="X94" s="57" t="n"/>
      <c r="Y94" s="58" t="n"/>
      <c r="AC94" s="59" t="n"/>
      <c r="AZ94" s="101" t="inlineStr">
        <is>
          <t>КИ</t>
        </is>
      </c>
    </row>
    <row r="95" ht="27" customHeight="1">
      <c r="A95" s="55" t="inlineStr">
        <is>
          <t>SU002310</t>
        </is>
      </c>
      <c r="B95" s="55" t="inlineStr">
        <is>
          <t>P002574</t>
        </is>
      </c>
      <c r="C95" s="32" t="n">
        <v>4301031080</v>
      </c>
      <c r="D95" s="316" t="n">
        <v>4607091386745</v>
      </c>
      <c r="E95" s="317" t="n"/>
      <c r="F95" s="645" t="n">
        <v>0.8</v>
      </c>
      <c r="G95" s="33" t="n">
        <v>6</v>
      </c>
      <c r="H95" s="645" t="n">
        <v>4.8</v>
      </c>
      <c r="I95" s="645" t="n">
        <v>5.16</v>
      </c>
      <c r="J95" s="33" t="n">
        <v>104</v>
      </c>
      <c r="K95" s="34" t="inlineStr">
        <is>
          <t>СК2</t>
        </is>
      </c>
      <c r="L95" s="33" t="n">
        <v>45</v>
      </c>
      <c r="M95" s="528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5" s="319" t="n"/>
      <c r="O95" s="319" t="n"/>
      <c r="P95" s="319" t="n"/>
      <c r="Q95" s="317" t="n"/>
      <c r="R95" s="35" t="n"/>
      <c r="S95" s="35" t="n"/>
      <c r="T95" s="36" t="inlineStr">
        <is>
          <t>кг</t>
        </is>
      </c>
      <c r="U95" s="646" t="n">
        <v>0</v>
      </c>
      <c r="V95" s="647">
        <f>IFERROR(IF(U95="",0,CEILING((U95/$H95),1)*$H95),"")</f>
        <v/>
      </c>
      <c r="W95" s="37">
        <f>IFERROR(IF(V95=0,"",ROUNDUP(V95/H95,0)*0.01196),"")</f>
        <v/>
      </c>
      <c r="X95" s="57" t="n"/>
      <c r="Y95" s="58" t="n"/>
      <c r="AC95" s="59" t="n"/>
      <c r="AZ95" s="102" t="inlineStr">
        <is>
          <t>КИ</t>
        </is>
      </c>
    </row>
    <row r="96" ht="16.5" customHeight="1">
      <c r="A96" s="55" t="inlineStr">
        <is>
          <t>SU000097</t>
        </is>
      </c>
      <c r="B96" s="55" t="inlineStr">
        <is>
          <t>P002179</t>
        </is>
      </c>
      <c r="C96" s="32" t="n">
        <v>4301030963</v>
      </c>
      <c r="D96" s="316" t="n">
        <v>4607091382426</v>
      </c>
      <c r="E96" s="317" t="n"/>
      <c r="F96" s="645" t="n">
        <v>0.9</v>
      </c>
      <c r="G96" s="33" t="n">
        <v>10</v>
      </c>
      <c r="H96" s="645" t="n">
        <v>9</v>
      </c>
      <c r="I96" s="645" t="n">
        <v>9.630000000000001</v>
      </c>
      <c r="J96" s="33" t="n">
        <v>56</v>
      </c>
      <c r="K96" s="34" t="inlineStr">
        <is>
          <t>СК2</t>
        </is>
      </c>
      <c r="L96" s="33" t="n">
        <v>40</v>
      </c>
      <c r="M96" s="557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6" s="319" t="n"/>
      <c r="O96" s="319" t="n"/>
      <c r="P96" s="319" t="n"/>
      <c r="Q96" s="317" t="n"/>
      <c r="R96" s="35" t="n"/>
      <c r="S96" s="35" t="n"/>
      <c r="T96" s="36" t="inlineStr">
        <is>
          <t>кг</t>
        </is>
      </c>
      <c r="U96" s="646" t="n">
        <v>0</v>
      </c>
      <c r="V96" s="647">
        <f>IFERROR(IF(U96="",0,CEILING((U96/$H96),1)*$H96),"")</f>
        <v/>
      </c>
      <c r="W96" s="37">
        <f>IFERROR(IF(V96=0,"",ROUNDUP(V96/H96,0)*0.02175),"")</f>
        <v/>
      </c>
      <c r="X96" s="57" t="n"/>
      <c r="Y96" s="58" t="n"/>
      <c r="AC96" s="59" t="n"/>
      <c r="AZ96" s="103" t="inlineStr">
        <is>
          <t>КИ</t>
        </is>
      </c>
    </row>
    <row r="97" ht="27" customHeight="1">
      <c r="A97" s="55" t="inlineStr">
        <is>
          <t>SU000665</t>
        </is>
      </c>
      <c r="B97" s="55" t="inlineStr">
        <is>
          <t>P002178</t>
        </is>
      </c>
      <c r="C97" s="32" t="n">
        <v>4301030962</v>
      </c>
      <c r="D97" s="316" t="n">
        <v>4607091386547</v>
      </c>
      <c r="E97" s="317" t="n"/>
      <c r="F97" s="645" t="n">
        <v>0.35</v>
      </c>
      <c r="G97" s="33" t="n">
        <v>8</v>
      </c>
      <c r="H97" s="645" t="n">
        <v>2.8</v>
      </c>
      <c r="I97" s="645" t="n">
        <v>2.94</v>
      </c>
      <c r="J97" s="33" t="n">
        <v>234</v>
      </c>
      <c r="K97" s="34" t="inlineStr">
        <is>
          <t>СК2</t>
        </is>
      </c>
      <c r="L97" s="33" t="n">
        <v>40</v>
      </c>
      <c r="M97" s="532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7" s="319" t="n"/>
      <c r="O97" s="319" t="n"/>
      <c r="P97" s="319" t="n"/>
      <c r="Q97" s="317" t="n"/>
      <c r="R97" s="35" t="n"/>
      <c r="S97" s="35" t="n"/>
      <c r="T97" s="36" t="inlineStr">
        <is>
          <t>кг</t>
        </is>
      </c>
      <c r="U97" s="646" t="n">
        <v>0</v>
      </c>
      <c r="V97" s="647">
        <f>IFERROR(IF(U97="",0,CEILING((U97/$H97),1)*$H97),"")</f>
        <v/>
      </c>
      <c r="W97" s="37">
        <f>IFERROR(IF(V97=0,"",ROUNDUP(V97/H97,0)*0.00502),"")</f>
        <v/>
      </c>
      <c r="X97" s="57" t="n"/>
      <c r="Y97" s="58" t="n"/>
      <c r="AC97" s="59" t="n"/>
      <c r="AZ97" s="104" t="inlineStr">
        <is>
          <t>КИ</t>
        </is>
      </c>
    </row>
    <row r="98" ht="27" customHeight="1">
      <c r="A98" s="55" t="inlineStr">
        <is>
          <t>SU002307</t>
        </is>
      </c>
      <c r="B98" s="55" t="inlineStr">
        <is>
          <t>P002571</t>
        </is>
      </c>
      <c r="C98" s="32" t="n">
        <v>4301031077</v>
      </c>
      <c r="D98" s="316" t="n">
        <v>4607091384703</v>
      </c>
      <c r="E98" s="317" t="n"/>
      <c r="F98" s="645" t="n">
        <v>0.35</v>
      </c>
      <c r="G98" s="33" t="n">
        <v>6</v>
      </c>
      <c r="H98" s="645" t="n">
        <v>2.1</v>
      </c>
      <c r="I98" s="645" t="n">
        <v>2.2</v>
      </c>
      <c r="J98" s="33" t="n">
        <v>234</v>
      </c>
      <c r="K98" s="34" t="inlineStr">
        <is>
          <t>СК2</t>
        </is>
      </c>
      <c r="L98" s="33" t="n">
        <v>45</v>
      </c>
      <c r="M98" s="559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8" s="319" t="n"/>
      <c r="O98" s="319" t="n"/>
      <c r="P98" s="319" t="n"/>
      <c r="Q98" s="317" t="n"/>
      <c r="R98" s="35" t="n"/>
      <c r="S98" s="35" t="n"/>
      <c r="T98" s="36" t="inlineStr">
        <is>
          <t>кг</t>
        </is>
      </c>
      <c r="U98" s="646" t="n">
        <v>0</v>
      </c>
      <c r="V98" s="647">
        <f>IFERROR(IF(U98="",0,CEILING((U98/$H98),1)*$H98),"")</f>
        <v/>
      </c>
      <c r="W98" s="37">
        <f>IFERROR(IF(V98=0,"",ROUNDUP(V98/H98,0)*0.00502),"")</f>
        <v/>
      </c>
      <c r="X98" s="57" t="n"/>
      <c r="Y98" s="58" t="n"/>
      <c r="AC98" s="59" t="n"/>
      <c r="AZ98" s="105" t="inlineStr">
        <is>
          <t>КИ</t>
        </is>
      </c>
    </row>
    <row r="99" ht="27" customHeight="1">
      <c r="A99" s="55" t="inlineStr">
        <is>
          <t>SU002309</t>
        </is>
      </c>
      <c r="B99" s="55" t="inlineStr">
        <is>
          <t>P002573</t>
        </is>
      </c>
      <c r="C99" s="32" t="n">
        <v>4301031079</v>
      </c>
      <c r="D99" s="316" t="n">
        <v>4607091384734</v>
      </c>
      <c r="E99" s="317" t="n"/>
      <c r="F99" s="645" t="n">
        <v>0.35</v>
      </c>
      <c r="G99" s="33" t="n">
        <v>6</v>
      </c>
      <c r="H99" s="645" t="n">
        <v>2.1</v>
      </c>
      <c r="I99" s="645" t="n">
        <v>2.2</v>
      </c>
      <c r="J99" s="33" t="n">
        <v>234</v>
      </c>
      <c r="K99" s="34" t="inlineStr">
        <is>
          <t>СК2</t>
        </is>
      </c>
      <c r="L99" s="33" t="n">
        <v>45</v>
      </c>
      <c r="M99" s="400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9" s="319" t="n"/>
      <c r="O99" s="319" t="n"/>
      <c r="P99" s="319" t="n"/>
      <c r="Q99" s="317" t="n"/>
      <c r="R99" s="35" t="n"/>
      <c r="S99" s="35" t="n"/>
      <c r="T99" s="36" t="inlineStr">
        <is>
          <t>кг</t>
        </is>
      </c>
      <c r="U99" s="646" t="n">
        <v>0</v>
      </c>
      <c r="V99" s="647">
        <f>IFERROR(IF(U99="",0,CEILING((U99/$H99),1)*$H99),"")</f>
        <v/>
      </c>
      <c r="W99" s="37">
        <f>IFERROR(IF(V99=0,"",ROUNDUP(V99/H99,0)*0.00502),"")</f>
        <v/>
      </c>
      <c r="X99" s="57" t="n"/>
      <c r="Y99" s="58" t="n"/>
      <c r="AC99" s="59" t="n"/>
      <c r="AZ99" s="106" t="inlineStr">
        <is>
          <t>КИ</t>
        </is>
      </c>
    </row>
    <row r="100" ht="27" customHeight="1">
      <c r="A100" s="55" t="inlineStr">
        <is>
          <t>SU001605</t>
        </is>
      </c>
      <c r="B100" s="55" t="inlineStr">
        <is>
          <t>P002180</t>
        </is>
      </c>
      <c r="C100" s="32" t="n">
        <v>4301030964</v>
      </c>
      <c r="D100" s="316" t="n">
        <v>4607091382464</v>
      </c>
      <c r="E100" s="317" t="n"/>
      <c r="F100" s="645" t="n">
        <v>0.35</v>
      </c>
      <c r="G100" s="33" t="n">
        <v>8</v>
      </c>
      <c r="H100" s="645" t="n">
        <v>2.8</v>
      </c>
      <c r="I100" s="645" t="n">
        <v>2.964</v>
      </c>
      <c r="J100" s="33" t="n">
        <v>234</v>
      </c>
      <c r="K100" s="34" t="inlineStr">
        <is>
          <t>СК2</t>
        </is>
      </c>
      <c r="L100" s="33" t="n">
        <v>40</v>
      </c>
      <c r="M100" s="430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100" s="319" t="n"/>
      <c r="O100" s="319" t="n"/>
      <c r="P100" s="319" t="n"/>
      <c r="Q100" s="317" t="n"/>
      <c r="R100" s="35" t="n"/>
      <c r="S100" s="35" t="n"/>
      <c r="T100" s="36" t="inlineStr">
        <is>
          <t>кг</t>
        </is>
      </c>
      <c r="U100" s="646" t="n">
        <v>0</v>
      </c>
      <c r="V100" s="647">
        <f>IFERROR(IF(U100="",0,CEILING((U100/$H100),1)*$H100),"")</f>
        <v/>
      </c>
      <c r="W100" s="37">
        <f>IFERROR(IF(V100=0,"",ROUNDUP(V100/H100,0)*0.00502),"")</f>
        <v/>
      </c>
      <c r="X100" s="57" t="n"/>
      <c r="Y100" s="58" t="n"/>
      <c r="AC100" s="59" t="n"/>
      <c r="AZ100" s="107" t="inlineStr">
        <is>
          <t>КИ</t>
        </is>
      </c>
    </row>
    <row r="101">
      <c r="A101" s="313" t="n"/>
      <c r="B101" s="314" t="n"/>
      <c r="C101" s="314" t="n"/>
      <c r="D101" s="314" t="n"/>
      <c r="E101" s="314" t="n"/>
      <c r="F101" s="314" t="n"/>
      <c r="G101" s="314" t="n"/>
      <c r="H101" s="314" t="n"/>
      <c r="I101" s="314" t="n"/>
      <c r="J101" s="314" t="n"/>
      <c r="K101" s="314" t="n"/>
      <c r="L101" s="315" t="n"/>
      <c r="M101" s="328" t="inlineStr">
        <is>
          <t>Итого</t>
        </is>
      </c>
      <c r="N101" s="329" t="n"/>
      <c r="O101" s="329" t="n"/>
      <c r="P101" s="329" t="n"/>
      <c r="Q101" s="329" t="n"/>
      <c r="R101" s="329" t="n"/>
      <c r="S101" s="330" t="n"/>
      <c r="T101" s="38" t="inlineStr">
        <is>
          <t>кор</t>
        </is>
      </c>
      <c r="U101" s="648">
        <f>IFERROR(U90/H90,"0")+IFERROR(U91/H91,"0")+IFERROR(U92/H92,"0")+IFERROR(U93/H93,"0")+IFERROR(U94/H94,"0")+IFERROR(U95/H95,"0")+IFERROR(U96/H96,"0")+IFERROR(U97/H97,"0")+IFERROR(U98/H98,"0")+IFERROR(U99/H99,"0")+IFERROR(U100/H100,"0")</f>
        <v/>
      </c>
      <c r="V101" s="648">
        <f>IFERROR(V90/H90,"0")+IFERROR(V91/H91,"0")+IFERROR(V92/H92,"0")+IFERROR(V93/H93,"0")+IFERROR(V94/H94,"0")+IFERROR(V95/H95,"0")+IFERROR(V96/H96,"0")+IFERROR(V97/H97,"0")+IFERROR(V98/H98,"0")+IFERROR(V99/H99,"0")+IFERROR(V100/H100,"0")</f>
        <v/>
      </c>
      <c r="W101" s="648">
        <f>IFERROR(IF(W90="",0,W90),"0")+IFERROR(IF(W91="",0,W91),"0")+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/>
      </c>
      <c r="X101" s="649" t="n"/>
      <c r="Y101" s="649" t="n"/>
    </row>
    <row r="102">
      <c r="A102" s="314" t="n"/>
      <c r="B102" s="314" t="n"/>
      <c r="C102" s="314" t="n"/>
      <c r="D102" s="314" t="n"/>
      <c r="E102" s="314" t="n"/>
      <c r="F102" s="314" t="n"/>
      <c r="G102" s="314" t="n"/>
      <c r="H102" s="314" t="n"/>
      <c r="I102" s="314" t="n"/>
      <c r="J102" s="314" t="n"/>
      <c r="K102" s="314" t="n"/>
      <c r="L102" s="315" t="n"/>
      <c r="M102" s="328" t="inlineStr">
        <is>
          <t>Итого</t>
        </is>
      </c>
      <c r="N102" s="329" t="n"/>
      <c r="O102" s="329" t="n"/>
      <c r="P102" s="329" t="n"/>
      <c r="Q102" s="329" t="n"/>
      <c r="R102" s="329" t="n"/>
      <c r="S102" s="330" t="n"/>
      <c r="T102" s="38" t="inlineStr">
        <is>
          <t>кг</t>
        </is>
      </c>
      <c r="U102" s="648">
        <f>IFERROR(SUM(U90:U100),"0")</f>
        <v/>
      </c>
      <c r="V102" s="648">
        <f>IFERROR(SUM(V90:V100),"0")</f>
        <v/>
      </c>
      <c r="W102" s="38" t="n"/>
      <c r="X102" s="649" t="n"/>
      <c r="Y102" s="649" t="n"/>
    </row>
    <row r="103" ht="14.25" customHeight="1">
      <c r="A103" s="326" t="inlineStr">
        <is>
          <t>Сосиски</t>
        </is>
      </c>
      <c r="B103" s="314" t="n"/>
      <c r="C103" s="314" t="n"/>
      <c r="D103" s="314" t="n"/>
      <c r="E103" s="314" t="n"/>
      <c r="F103" s="314" t="n"/>
      <c r="G103" s="314" t="n"/>
      <c r="H103" s="314" t="n"/>
      <c r="I103" s="314" t="n"/>
      <c r="J103" s="314" t="n"/>
      <c r="K103" s="314" t="n"/>
      <c r="L103" s="314" t="n"/>
      <c r="M103" s="314" t="n"/>
      <c r="N103" s="314" t="n"/>
      <c r="O103" s="314" t="n"/>
      <c r="P103" s="314" t="n"/>
      <c r="Q103" s="314" t="n"/>
      <c r="R103" s="314" t="n"/>
      <c r="S103" s="314" t="n"/>
      <c r="T103" s="314" t="n"/>
      <c r="U103" s="314" t="n"/>
      <c r="V103" s="314" t="n"/>
      <c r="W103" s="314" t="n"/>
      <c r="X103" s="326" t="n"/>
      <c r="Y103" s="326" t="n"/>
    </row>
    <row r="104" ht="27" customHeight="1">
      <c r="A104" s="55" t="inlineStr">
        <is>
          <t>SU001523</t>
        </is>
      </c>
      <c r="B104" s="55" t="inlineStr">
        <is>
          <t>P003328</t>
        </is>
      </c>
      <c r="C104" s="32" t="n">
        <v>4301051437</v>
      </c>
      <c r="D104" s="316" t="n">
        <v>4607091386967</v>
      </c>
      <c r="E104" s="317" t="n"/>
      <c r="F104" s="645" t="n">
        <v>1.35</v>
      </c>
      <c r="G104" s="33" t="n">
        <v>6</v>
      </c>
      <c r="H104" s="645" t="n">
        <v>8.1</v>
      </c>
      <c r="I104" s="645" t="n">
        <v>8.664</v>
      </c>
      <c r="J104" s="33" t="n">
        <v>56</v>
      </c>
      <c r="K104" s="34" t="inlineStr">
        <is>
          <t>СК3</t>
        </is>
      </c>
      <c r="L104" s="33" t="n">
        <v>45</v>
      </c>
      <c r="M104" s="375" t="inlineStr">
        <is>
          <t>Сосиски Молокуши (Вязанка Молочные) Вязанка Весовые П/а мгс Вязанка</t>
        </is>
      </c>
      <c r="N104" s="319" t="n"/>
      <c r="O104" s="319" t="n"/>
      <c r="P104" s="319" t="n"/>
      <c r="Q104" s="317" t="n"/>
      <c r="R104" s="35" t="n"/>
      <c r="S104" s="35" t="n"/>
      <c r="T104" s="36" t="inlineStr">
        <is>
          <t>кг</t>
        </is>
      </c>
      <c r="U104" s="646" t="n">
        <v>0</v>
      </c>
      <c r="V104" s="647">
        <f>IFERROR(IF(U104="",0,CEILING((U104/$H104),1)*$H104),"")</f>
        <v/>
      </c>
      <c r="W104" s="37">
        <f>IFERROR(IF(V104=0,"",ROUNDUP(V104/H104,0)*0.02175),"")</f>
        <v/>
      </c>
      <c r="X104" s="57" t="n"/>
      <c r="Y104" s="58" t="n"/>
      <c r="AC104" s="59" t="n"/>
      <c r="AZ104" s="108" t="inlineStr">
        <is>
          <t>КИ</t>
        </is>
      </c>
    </row>
    <row r="105" ht="27" customHeight="1">
      <c r="A105" s="55" t="inlineStr">
        <is>
          <t>SU001523</t>
        </is>
      </c>
      <c r="B105" s="55" t="inlineStr">
        <is>
          <t>P003691</t>
        </is>
      </c>
      <c r="C105" s="32" t="n">
        <v>4301051543</v>
      </c>
      <c r="D105" s="316" t="n">
        <v>4607091386967</v>
      </c>
      <c r="E105" s="317" t="n"/>
      <c r="F105" s="645" t="n">
        <v>1.4</v>
      </c>
      <c r="G105" s="33" t="n">
        <v>6</v>
      </c>
      <c r="H105" s="645" t="n">
        <v>8.4</v>
      </c>
      <c r="I105" s="645" t="n">
        <v>8.964</v>
      </c>
      <c r="J105" s="33" t="n">
        <v>56</v>
      </c>
      <c r="K105" s="34" t="inlineStr">
        <is>
          <t>СК2</t>
        </is>
      </c>
      <c r="L105" s="33" t="n">
        <v>45</v>
      </c>
      <c r="M105" s="507" t="inlineStr">
        <is>
          <t>Сосиски «Молокуши (Вязанка Молочные)» Весовые П/а мгс УВВ ТМ «Вязанка»</t>
        </is>
      </c>
      <c r="N105" s="319" t="n"/>
      <c r="O105" s="319" t="n"/>
      <c r="P105" s="319" t="n"/>
      <c r="Q105" s="317" t="n"/>
      <c r="R105" s="35" t="n"/>
      <c r="S105" s="35" t="n"/>
      <c r="T105" s="36" t="inlineStr">
        <is>
          <t>кг</t>
        </is>
      </c>
      <c r="U105" s="646" t="n">
        <v>0</v>
      </c>
      <c r="V105" s="647">
        <f>IFERROR(IF(U105="",0,CEILING((U105/$H105),1)*$H105),"")</f>
        <v/>
      </c>
      <c r="W105" s="37">
        <f>IFERROR(IF(V105=0,"",ROUNDUP(V105/H105,0)*0.02175),"")</f>
        <v/>
      </c>
      <c r="X105" s="57" t="n"/>
      <c r="Y105" s="58" t="n"/>
      <c r="AC105" s="59" t="n"/>
      <c r="AZ105" s="109" t="inlineStr">
        <is>
          <t>КИ</t>
        </is>
      </c>
    </row>
    <row r="106" ht="16.5" customHeight="1">
      <c r="A106" s="55" t="inlineStr">
        <is>
          <t>SU001351</t>
        </is>
      </c>
      <c r="B106" s="55" t="inlineStr">
        <is>
          <t>P003025</t>
        </is>
      </c>
      <c r="C106" s="32" t="n">
        <v>4301051311</v>
      </c>
      <c r="D106" s="316" t="n">
        <v>4607091385304</v>
      </c>
      <c r="E106" s="317" t="n"/>
      <c r="F106" s="645" t="n">
        <v>1.35</v>
      </c>
      <c r="G106" s="33" t="n">
        <v>6</v>
      </c>
      <c r="H106" s="645" t="n">
        <v>8.1</v>
      </c>
      <c r="I106" s="645" t="n">
        <v>8.664</v>
      </c>
      <c r="J106" s="33" t="n">
        <v>56</v>
      </c>
      <c r="K106" s="34" t="inlineStr">
        <is>
          <t>СК2</t>
        </is>
      </c>
      <c r="L106" s="33" t="n">
        <v>40</v>
      </c>
      <c r="M106" s="378">
        <f>HYPERLINK("https://abi.ru/products/Охлажденные/Вязанка/Вязанка/Сосиски/P003025/","Сосиски Рубленые Вязанка Весовые п/а мгс Вязанка")</f>
        <v/>
      </c>
      <c r="N106" s="319" t="n"/>
      <c r="O106" s="319" t="n"/>
      <c r="P106" s="319" t="n"/>
      <c r="Q106" s="317" t="n"/>
      <c r="R106" s="35" t="n"/>
      <c r="S106" s="35" t="n"/>
      <c r="T106" s="36" t="inlineStr">
        <is>
          <t>кг</t>
        </is>
      </c>
      <c r="U106" s="646" t="n">
        <v>0</v>
      </c>
      <c r="V106" s="647">
        <f>IFERROR(IF(U106="",0,CEILING((U106/$H106),1)*$H106),"")</f>
        <v/>
      </c>
      <c r="W106" s="37">
        <f>IFERROR(IF(V106=0,"",ROUNDUP(V106/H106,0)*0.02175),"")</f>
        <v/>
      </c>
      <c r="X106" s="57" t="n"/>
      <c r="Y106" s="58" t="n"/>
      <c r="AC106" s="59" t="n"/>
      <c r="AZ106" s="110" t="inlineStr">
        <is>
          <t>КИ</t>
        </is>
      </c>
    </row>
    <row r="107" ht="16.5" customHeight="1">
      <c r="A107" s="55" t="inlineStr">
        <is>
          <t>SU001527</t>
        </is>
      </c>
      <c r="B107" s="55" t="inlineStr">
        <is>
          <t>P002217</t>
        </is>
      </c>
      <c r="C107" s="32" t="n">
        <v>4301051306</v>
      </c>
      <c r="D107" s="316" t="n">
        <v>4607091386264</v>
      </c>
      <c r="E107" s="317" t="n"/>
      <c r="F107" s="645" t="n">
        <v>0.5</v>
      </c>
      <c r="G107" s="33" t="n">
        <v>6</v>
      </c>
      <c r="H107" s="645" t="n">
        <v>3</v>
      </c>
      <c r="I107" s="645" t="n">
        <v>3.278</v>
      </c>
      <c r="J107" s="33" t="n">
        <v>156</v>
      </c>
      <c r="K107" s="34" t="inlineStr">
        <is>
          <t>СК2</t>
        </is>
      </c>
      <c r="L107" s="33" t="n">
        <v>31</v>
      </c>
      <c r="M107" s="610">
        <f>HYPERLINK("https://abi.ru/products/Охлажденные/Вязанка/Вязанка/Сосиски/P002217/","Сосиски Венские Вязанка Фикс.вес 0,5 NDX мгс Вязанка")</f>
        <v/>
      </c>
      <c r="N107" s="319" t="n"/>
      <c r="O107" s="319" t="n"/>
      <c r="P107" s="319" t="n"/>
      <c r="Q107" s="317" t="n"/>
      <c r="R107" s="35" t="n"/>
      <c r="S107" s="35" t="n"/>
      <c r="T107" s="36" t="inlineStr">
        <is>
          <t>кг</t>
        </is>
      </c>
      <c r="U107" s="646" t="n">
        <v>0</v>
      </c>
      <c r="V107" s="647">
        <f>IFERROR(IF(U107="",0,CEILING((U107/$H107),1)*$H107),"")</f>
        <v/>
      </c>
      <c r="W107" s="37">
        <f>IFERROR(IF(V107=0,"",ROUNDUP(V107/H107,0)*0.00753),"")</f>
        <v/>
      </c>
      <c r="X107" s="57" t="n"/>
      <c r="Y107" s="58" t="n"/>
      <c r="AC107" s="59" t="n"/>
      <c r="AZ107" s="111" t="inlineStr">
        <is>
          <t>КИ</t>
        </is>
      </c>
    </row>
    <row r="108" ht="27" customHeight="1">
      <c r="A108" s="55" t="inlineStr">
        <is>
          <t>SU001718</t>
        </is>
      </c>
      <c r="B108" s="55" t="inlineStr">
        <is>
          <t>P003327</t>
        </is>
      </c>
      <c r="C108" s="32" t="n">
        <v>4301051436</v>
      </c>
      <c r="D108" s="316" t="n">
        <v>4607091385731</v>
      </c>
      <c r="E108" s="317" t="n"/>
      <c r="F108" s="645" t="n">
        <v>0.45</v>
      </c>
      <c r="G108" s="33" t="n">
        <v>6</v>
      </c>
      <c r="H108" s="645" t="n">
        <v>2.7</v>
      </c>
      <c r="I108" s="645" t="n">
        <v>2.972</v>
      </c>
      <c r="J108" s="33" t="n">
        <v>156</v>
      </c>
      <c r="K108" s="34" t="inlineStr">
        <is>
          <t>СК3</t>
        </is>
      </c>
      <c r="L108" s="33" t="n">
        <v>45</v>
      </c>
      <c r="M108" s="545" t="inlineStr">
        <is>
          <t>Сосиски Молокуши (Вязанка Молочные) Вязанка Фикс.вес 0,45 П/а мгс Вязанка</t>
        </is>
      </c>
      <c r="N108" s="319" t="n"/>
      <c r="O108" s="319" t="n"/>
      <c r="P108" s="319" t="n"/>
      <c r="Q108" s="317" t="n"/>
      <c r="R108" s="35" t="n"/>
      <c r="S108" s="35" t="n"/>
      <c r="T108" s="36" t="inlineStr">
        <is>
          <t>кг</t>
        </is>
      </c>
      <c r="U108" s="646" t="n">
        <v>0</v>
      </c>
      <c r="V108" s="647">
        <f>IFERROR(IF(U108="",0,CEILING((U108/$H108),1)*$H108),"")</f>
        <v/>
      </c>
      <c r="W108" s="37">
        <f>IFERROR(IF(V108=0,"",ROUNDUP(V108/H108,0)*0.00753),"")</f>
        <v/>
      </c>
      <c r="X108" s="57" t="n"/>
      <c r="Y108" s="58" t="n"/>
      <c r="AC108" s="59" t="n"/>
      <c r="AZ108" s="112" t="inlineStr">
        <is>
          <t>КИ</t>
        </is>
      </c>
    </row>
    <row r="109" ht="27" customHeight="1">
      <c r="A109" s="55" t="inlineStr">
        <is>
          <t>SU002658</t>
        </is>
      </c>
      <c r="B109" s="55" t="inlineStr">
        <is>
          <t>P003326</t>
        </is>
      </c>
      <c r="C109" s="32" t="n">
        <v>4301051439</v>
      </c>
      <c r="D109" s="316" t="n">
        <v>4680115880214</v>
      </c>
      <c r="E109" s="317" t="n"/>
      <c r="F109" s="645" t="n">
        <v>0.45</v>
      </c>
      <c r="G109" s="33" t="n">
        <v>6</v>
      </c>
      <c r="H109" s="645" t="n">
        <v>2.7</v>
      </c>
      <c r="I109" s="645" t="n">
        <v>2.988</v>
      </c>
      <c r="J109" s="33" t="n">
        <v>120</v>
      </c>
      <c r="K109" s="34" t="inlineStr">
        <is>
          <t>СК3</t>
        </is>
      </c>
      <c r="L109" s="33" t="n">
        <v>45</v>
      </c>
      <c r="M109" s="367" t="inlineStr">
        <is>
          <t>Сосиски Молокуши миникушай Вязанка Ф/в 0,45 амилюкс мгс Вязанка</t>
        </is>
      </c>
      <c r="N109" s="319" t="n"/>
      <c r="O109" s="319" t="n"/>
      <c r="P109" s="319" t="n"/>
      <c r="Q109" s="317" t="n"/>
      <c r="R109" s="35" t="n"/>
      <c r="S109" s="35" t="n"/>
      <c r="T109" s="36" t="inlineStr">
        <is>
          <t>кг</t>
        </is>
      </c>
      <c r="U109" s="646" t="n">
        <v>90</v>
      </c>
      <c r="V109" s="647">
        <f>IFERROR(IF(U109="",0,CEILING((U109/$H109),1)*$H109),"")</f>
        <v/>
      </c>
      <c r="W109" s="37">
        <f>IFERROR(IF(V109=0,"",ROUNDUP(V109/H109,0)*0.00937),"")</f>
        <v/>
      </c>
      <c r="X109" s="57" t="n"/>
      <c r="Y109" s="58" t="n"/>
      <c r="AC109" s="59" t="n"/>
      <c r="AZ109" s="113" t="inlineStr">
        <is>
          <t>КИ</t>
        </is>
      </c>
    </row>
    <row r="110" ht="27" customHeight="1">
      <c r="A110" s="55" t="inlineStr">
        <is>
          <t>SU002769</t>
        </is>
      </c>
      <c r="B110" s="55" t="inlineStr">
        <is>
          <t>P003324</t>
        </is>
      </c>
      <c r="C110" s="32" t="n">
        <v>4301051438</v>
      </c>
      <c r="D110" s="316" t="n">
        <v>4680115880894</v>
      </c>
      <c r="E110" s="317" t="n"/>
      <c r="F110" s="645" t="n">
        <v>0.33</v>
      </c>
      <c r="G110" s="33" t="n">
        <v>6</v>
      </c>
      <c r="H110" s="645" t="n">
        <v>1.98</v>
      </c>
      <c r="I110" s="645" t="n">
        <v>2.258</v>
      </c>
      <c r="J110" s="33" t="n">
        <v>156</v>
      </c>
      <c r="K110" s="34" t="inlineStr">
        <is>
          <t>СК3</t>
        </is>
      </c>
      <c r="L110" s="33" t="n">
        <v>45</v>
      </c>
      <c r="M110" s="453" t="inlineStr">
        <is>
          <t>Сосиски Молокуши Миникушай Вязанка фикс.вес 0,33 п/а Вязанка</t>
        </is>
      </c>
      <c r="N110" s="319" t="n"/>
      <c r="O110" s="319" t="n"/>
      <c r="P110" s="319" t="n"/>
      <c r="Q110" s="317" t="n"/>
      <c r="R110" s="35" t="n"/>
      <c r="S110" s="35" t="n"/>
      <c r="T110" s="36" t="inlineStr">
        <is>
          <t>кг</t>
        </is>
      </c>
      <c r="U110" s="646" t="n">
        <v>0</v>
      </c>
      <c r="V110" s="647">
        <f>IFERROR(IF(U110="",0,CEILING((U110/$H110),1)*$H110),"")</f>
        <v/>
      </c>
      <c r="W110" s="37">
        <f>IFERROR(IF(V110=0,"",ROUNDUP(V110/H110,0)*0.00753),"")</f>
        <v/>
      </c>
      <c r="X110" s="57" t="n"/>
      <c r="Y110" s="58" t="n"/>
      <c r="AC110" s="59" t="n"/>
      <c r="AZ110" s="114" t="inlineStr">
        <is>
          <t>КИ</t>
        </is>
      </c>
    </row>
    <row r="111" ht="16.5" customHeight="1">
      <c r="A111" s="55" t="inlineStr">
        <is>
          <t>SU001354</t>
        </is>
      </c>
      <c r="B111" s="55" t="inlineStr">
        <is>
          <t>P003030</t>
        </is>
      </c>
      <c r="C111" s="32" t="n">
        <v>4301051313</v>
      </c>
      <c r="D111" s="316" t="n">
        <v>4607091385427</v>
      </c>
      <c r="E111" s="317" t="n"/>
      <c r="F111" s="645" t="n">
        <v>0.5</v>
      </c>
      <c r="G111" s="33" t="n">
        <v>6</v>
      </c>
      <c r="H111" s="645" t="n">
        <v>3</v>
      </c>
      <c r="I111" s="645" t="n">
        <v>3.272</v>
      </c>
      <c r="J111" s="33" t="n">
        <v>156</v>
      </c>
      <c r="K111" s="34" t="inlineStr">
        <is>
          <t>СК2</t>
        </is>
      </c>
      <c r="L111" s="33" t="n">
        <v>40</v>
      </c>
      <c r="M111" s="558">
        <f>HYPERLINK("https://abi.ru/products/Охлажденные/Вязанка/Вязанка/Сосиски/P003030/","Сосиски Рубленые Вязанка Фикс.вес 0,5 п/а мгс Вязанка")</f>
        <v/>
      </c>
      <c r="N111" s="319" t="n"/>
      <c r="O111" s="319" t="n"/>
      <c r="P111" s="319" t="n"/>
      <c r="Q111" s="317" t="n"/>
      <c r="R111" s="35" t="n"/>
      <c r="S111" s="35" t="n"/>
      <c r="T111" s="36" t="inlineStr">
        <is>
          <t>кг</t>
        </is>
      </c>
      <c r="U111" s="646" t="n">
        <v>0</v>
      </c>
      <c r="V111" s="647">
        <f>IFERROR(IF(U111="",0,CEILING((U111/$H111),1)*$H111),"")</f>
        <v/>
      </c>
      <c r="W111" s="37">
        <f>IFERROR(IF(V111=0,"",ROUNDUP(V111/H111,0)*0.00753),"")</f>
        <v/>
      </c>
      <c r="X111" s="57" t="n"/>
      <c r="Y111" s="58" t="n"/>
      <c r="AC111" s="59" t="n"/>
      <c r="AZ111" s="115" t="inlineStr">
        <is>
          <t>КИ</t>
        </is>
      </c>
    </row>
    <row r="112" ht="16.5" customHeight="1">
      <c r="A112" s="55" t="inlineStr">
        <is>
          <t>SU002996</t>
        </is>
      </c>
      <c r="B112" s="55" t="inlineStr">
        <is>
          <t>P003464</t>
        </is>
      </c>
      <c r="C112" s="32" t="n">
        <v>4301051480</v>
      </c>
      <c r="D112" s="316" t="n">
        <v>4680115882645</v>
      </c>
      <c r="E112" s="317" t="n"/>
      <c r="F112" s="645" t="n">
        <v>0.3</v>
      </c>
      <c r="G112" s="33" t="n">
        <v>6</v>
      </c>
      <c r="H112" s="645" t="n">
        <v>1.8</v>
      </c>
      <c r="I112" s="645" t="n">
        <v>2.66</v>
      </c>
      <c r="J112" s="33" t="n">
        <v>156</v>
      </c>
      <c r="K112" s="34" t="inlineStr">
        <is>
          <t>СК2</t>
        </is>
      </c>
      <c r="L112" s="33" t="n">
        <v>40</v>
      </c>
      <c r="M112" s="417" t="inlineStr">
        <is>
          <t>Сосиски «Сливушки с сыром» ф/в 0,3 п/а ТМ «Вязанка»</t>
        </is>
      </c>
      <c r="N112" s="319" t="n"/>
      <c r="O112" s="319" t="n"/>
      <c r="P112" s="319" t="n"/>
      <c r="Q112" s="317" t="n"/>
      <c r="R112" s="35" t="n"/>
      <c r="S112" s="35" t="n"/>
      <c r="T112" s="36" t="inlineStr">
        <is>
          <t>кг</t>
        </is>
      </c>
      <c r="U112" s="646" t="n">
        <v>0</v>
      </c>
      <c r="V112" s="647">
        <f>IFERROR(IF(U112="",0,CEILING((U112/$H112),1)*$H112),"")</f>
        <v/>
      </c>
      <c r="W112" s="37">
        <f>IFERROR(IF(V112=0,"",ROUNDUP(V112/H112,0)*0.00753),"")</f>
        <v/>
      </c>
      <c r="X112" s="57" t="n"/>
      <c r="Y112" s="58" t="n"/>
      <c r="AC112" s="59" t="n"/>
      <c r="AZ112" s="116" t="inlineStr">
        <is>
          <t>КИ</t>
        </is>
      </c>
    </row>
    <row r="113">
      <c r="A113" s="313" t="n"/>
      <c r="B113" s="314" t="n"/>
      <c r="C113" s="314" t="n"/>
      <c r="D113" s="314" t="n"/>
      <c r="E113" s="314" t="n"/>
      <c r="F113" s="314" t="n"/>
      <c r="G113" s="314" t="n"/>
      <c r="H113" s="314" t="n"/>
      <c r="I113" s="314" t="n"/>
      <c r="J113" s="314" t="n"/>
      <c r="K113" s="314" t="n"/>
      <c r="L113" s="315" t="n"/>
      <c r="M113" s="328" t="inlineStr">
        <is>
          <t>Итого</t>
        </is>
      </c>
      <c r="N113" s="329" t="n"/>
      <c r="O113" s="329" t="n"/>
      <c r="P113" s="329" t="n"/>
      <c r="Q113" s="329" t="n"/>
      <c r="R113" s="329" t="n"/>
      <c r="S113" s="330" t="n"/>
      <c r="T113" s="38" t="inlineStr">
        <is>
          <t>кор</t>
        </is>
      </c>
      <c r="U113" s="648">
        <f>IFERROR(U104/H104,"0")+IFERROR(U105/H105,"0")+IFERROR(U106/H106,"0")+IFERROR(U107/H107,"0")+IFERROR(U108/H108,"0")+IFERROR(U109/H109,"0")+IFERROR(U110/H110,"0")+IFERROR(U111/H111,"0")+IFERROR(U112/H112,"0")</f>
        <v/>
      </c>
      <c r="V113" s="648">
        <f>IFERROR(V104/H104,"0")+IFERROR(V105/H105,"0")+IFERROR(V106/H106,"0")+IFERROR(V107/H107,"0")+IFERROR(V108/H108,"0")+IFERROR(V109/H109,"0")+IFERROR(V110/H110,"0")+IFERROR(V111/H111,"0")+IFERROR(V112/H112,"0")</f>
        <v/>
      </c>
      <c r="W113" s="648">
        <f>IFERROR(IF(W104="",0,W104),"0")+IFERROR(IF(W105="",0,W105),"0")+IFERROR(IF(W106="",0,W106),"0")+IFERROR(IF(W107="",0,W107),"0")+IFERROR(IF(W108="",0,W108),"0")+IFERROR(IF(W109="",0,W109),"0")+IFERROR(IF(W110="",0,W110),"0")+IFERROR(IF(W111="",0,W111),"0")+IFERROR(IF(W112="",0,W112),"0")</f>
        <v/>
      </c>
      <c r="X113" s="649" t="n"/>
      <c r="Y113" s="649" t="n"/>
    </row>
    <row r="114">
      <c r="A114" s="314" t="n"/>
      <c r="B114" s="314" t="n"/>
      <c r="C114" s="314" t="n"/>
      <c r="D114" s="314" t="n"/>
      <c r="E114" s="314" t="n"/>
      <c r="F114" s="314" t="n"/>
      <c r="G114" s="314" t="n"/>
      <c r="H114" s="314" t="n"/>
      <c r="I114" s="314" t="n"/>
      <c r="J114" s="314" t="n"/>
      <c r="K114" s="314" t="n"/>
      <c r="L114" s="315" t="n"/>
      <c r="M114" s="328" t="inlineStr">
        <is>
          <t>Итого</t>
        </is>
      </c>
      <c r="N114" s="329" t="n"/>
      <c r="O114" s="329" t="n"/>
      <c r="P114" s="329" t="n"/>
      <c r="Q114" s="329" t="n"/>
      <c r="R114" s="329" t="n"/>
      <c r="S114" s="330" t="n"/>
      <c r="T114" s="38" t="inlineStr">
        <is>
          <t>кг</t>
        </is>
      </c>
      <c r="U114" s="648">
        <f>IFERROR(SUM(U104:U112),"0")</f>
        <v/>
      </c>
      <c r="V114" s="648">
        <f>IFERROR(SUM(V104:V112),"0")</f>
        <v/>
      </c>
      <c r="W114" s="38" t="n"/>
      <c r="X114" s="649" t="n"/>
      <c r="Y114" s="649" t="n"/>
    </row>
    <row r="115" ht="14.25" customHeight="1">
      <c r="A115" s="326" t="inlineStr">
        <is>
          <t>Сардельки</t>
        </is>
      </c>
      <c r="B115" s="314" t="n"/>
      <c r="C115" s="314" t="n"/>
      <c r="D115" s="314" t="n"/>
      <c r="E115" s="314" t="n"/>
      <c r="F115" s="314" t="n"/>
      <c r="G115" s="314" t="n"/>
      <c r="H115" s="314" t="n"/>
      <c r="I115" s="314" t="n"/>
      <c r="J115" s="314" t="n"/>
      <c r="K115" s="314" t="n"/>
      <c r="L115" s="314" t="n"/>
      <c r="M115" s="314" t="n"/>
      <c r="N115" s="314" t="n"/>
      <c r="O115" s="314" t="n"/>
      <c r="P115" s="314" t="n"/>
      <c r="Q115" s="314" t="n"/>
      <c r="R115" s="314" t="n"/>
      <c r="S115" s="314" t="n"/>
      <c r="T115" s="314" t="n"/>
      <c r="U115" s="314" t="n"/>
      <c r="V115" s="314" t="n"/>
      <c r="W115" s="314" t="n"/>
      <c r="X115" s="326" t="n"/>
      <c r="Y115" s="326" t="n"/>
    </row>
    <row r="116" ht="27" customHeight="1">
      <c r="A116" s="55" t="inlineStr">
        <is>
          <t>SU002071</t>
        </is>
      </c>
      <c r="B116" s="55" t="inlineStr">
        <is>
          <t>P002233</t>
        </is>
      </c>
      <c r="C116" s="32" t="n">
        <v>4301060296</v>
      </c>
      <c r="D116" s="316" t="n">
        <v>4607091383065</v>
      </c>
      <c r="E116" s="317" t="n"/>
      <c r="F116" s="645" t="n">
        <v>0.83</v>
      </c>
      <c r="G116" s="33" t="n">
        <v>4</v>
      </c>
      <c r="H116" s="645" t="n">
        <v>3.32</v>
      </c>
      <c r="I116" s="645" t="n">
        <v>3.582</v>
      </c>
      <c r="J116" s="33" t="n">
        <v>120</v>
      </c>
      <c r="K116" s="34" t="inlineStr">
        <is>
          <t>СК2</t>
        </is>
      </c>
      <c r="L116" s="33" t="n">
        <v>30</v>
      </c>
      <c r="M116" s="564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6" s="319" t="n"/>
      <c r="O116" s="319" t="n"/>
      <c r="P116" s="319" t="n"/>
      <c r="Q116" s="317" t="n"/>
      <c r="R116" s="35" t="n"/>
      <c r="S116" s="35" t="n"/>
      <c r="T116" s="36" t="inlineStr">
        <is>
          <t>кг</t>
        </is>
      </c>
      <c r="U116" s="646" t="n">
        <v>0</v>
      </c>
      <c r="V116" s="647">
        <f>IFERROR(IF(U116="",0,CEILING((U116/$H116),1)*$H116),"")</f>
        <v/>
      </c>
      <c r="W116" s="37">
        <f>IFERROR(IF(V116=0,"",ROUNDUP(V116/H116,0)*0.00937),"")</f>
        <v/>
      </c>
      <c r="X116" s="57" t="n"/>
      <c r="Y116" s="58" t="n"/>
      <c r="AC116" s="59" t="n"/>
      <c r="AZ116" s="117" t="inlineStr">
        <is>
          <t>КИ</t>
        </is>
      </c>
    </row>
    <row r="117" ht="27" customHeight="1">
      <c r="A117" s="55" t="inlineStr">
        <is>
          <t>SU002835</t>
        </is>
      </c>
      <c r="B117" s="55" t="inlineStr">
        <is>
          <t>P003237</t>
        </is>
      </c>
      <c r="C117" s="32" t="n">
        <v>4301060350</v>
      </c>
      <c r="D117" s="316" t="n">
        <v>4680115881532</v>
      </c>
      <c r="E117" s="317" t="n"/>
      <c r="F117" s="645" t="n">
        <v>1.35</v>
      </c>
      <c r="G117" s="33" t="n">
        <v>6</v>
      </c>
      <c r="H117" s="645" t="n">
        <v>8.1</v>
      </c>
      <c r="I117" s="645" t="n">
        <v>8.58</v>
      </c>
      <c r="J117" s="33" t="n">
        <v>56</v>
      </c>
      <c r="K117" s="34" t="inlineStr">
        <is>
          <t>СК3</t>
        </is>
      </c>
      <c r="L117" s="33" t="n">
        <v>30</v>
      </c>
      <c r="M117" s="589">
        <f>HYPERLINK("https://abi.ru/products/Охлажденные/Вязанка/Вязанка/Сардельки/P003237/","Сардельки «Филейские» Весовые NDX мгс ТМ «Вязанка»")</f>
        <v/>
      </c>
      <c r="N117" s="319" t="n"/>
      <c r="O117" s="319" t="n"/>
      <c r="P117" s="319" t="n"/>
      <c r="Q117" s="317" t="n"/>
      <c r="R117" s="35" t="n"/>
      <c r="S117" s="35" t="n"/>
      <c r="T117" s="36" t="inlineStr">
        <is>
          <t>кг</t>
        </is>
      </c>
      <c r="U117" s="646" t="n">
        <v>0</v>
      </c>
      <c r="V117" s="647">
        <f>IFERROR(IF(U117="",0,CEILING((U117/$H117),1)*$H117),"")</f>
        <v/>
      </c>
      <c r="W117" s="37">
        <f>IFERROR(IF(V117=0,"",ROUNDUP(V117/H117,0)*0.02175),"")</f>
        <v/>
      </c>
      <c r="X117" s="57" t="n"/>
      <c r="Y117" s="58" t="n"/>
      <c r="AC117" s="59" t="n"/>
      <c r="AZ117" s="118" t="inlineStr">
        <is>
          <t>КИ</t>
        </is>
      </c>
    </row>
    <row r="118" ht="27" customHeight="1">
      <c r="A118" s="55" t="inlineStr">
        <is>
          <t>SU002997</t>
        </is>
      </c>
      <c r="B118" s="55" t="inlineStr">
        <is>
          <t>P003465</t>
        </is>
      </c>
      <c r="C118" s="32" t="n">
        <v>4301060356</v>
      </c>
      <c r="D118" s="316" t="n">
        <v>4680115882652</v>
      </c>
      <c r="E118" s="317" t="n"/>
      <c r="F118" s="645" t="n">
        <v>0.33</v>
      </c>
      <c r="G118" s="33" t="n">
        <v>6</v>
      </c>
      <c r="H118" s="645" t="n">
        <v>1.98</v>
      </c>
      <c r="I118" s="645" t="n">
        <v>2.84</v>
      </c>
      <c r="J118" s="33" t="n">
        <v>156</v>
      </c>
      <c r="K118" s="34" t="inlineStr">
        <is>
          <t>СК2</t>
        </is>
      </c>
      <c r="L118" s="33" t="n">
        <v>40</v>
      </c>
      <c r="M118" s="556" t="inlineStr">
        <is>
          <t>Сардельки «Сливушки с сыром #минидельки» ф/в 0,33 айпил ТМ «Вязанка»</t>
        </is>
      </c>
      <c r="N118" s="319" t="n"/>
      <c r="O118" s="319" t="n"/>
      <c r="P118" s="319" t="n"/>
      <c r="Q118" s="317" t="n"/>
      <c r="R118" s="35" t="n"/>
      <c r="S118" s="35" t="n"/>
      <c r="T118" s="36" t="inlineStr">
        <is>
          <t>кг</t>
        </is>
      </c>
      <c r="U118" s="646" t="n">
        <v>0</v>
      </c>
      <c r="V118" s="647">
        <f>IFERROR(IF(U118="",0,CEILING((U118/$H118),1)*$H118),"")</f>
        <v/>
      </c>
      <c r="W118" s="37">
        <f>IFERROR(IF(V118=0,"",ROUNDUP(V118/H118,0)*0.00753),"")</f>
        <v/>
      </c>
      <c r="X118" s="57" t="n"/>
      <c r="Y118" s="58" t="n"/>
      <c r="AC118" s="59" t="n"/>
      <c r="AZ118" s="119" t="inlineStr">
        <is>
          <t>КИ</t>
        </is>
      </c>
    </row>
    <row r="119" ht="16.5" customHeight="1">
      <c r="A119" s="55" t="inlineStr">
        <is>
          <t>SU002367</t>
        </is>
      </c>
      <c r="B119" s="55" t="inlineStr">
        <is>
          <t>P002644</t>
        </is>
      </c>
      <c r="C119" s="32" t="n">
        <v>4301060309</v>
      </c>
      <c r="D119" s="316" t="n">
        <v>4680115880238</v>
      </c>
      <c r="E119" s="317" t="n"/>
      <c r="F119" s="645" t="n">
        <v>0.33</v>
      </c>
      <c r="G119" s="33" t="n">
        <v>6</v>
      </c>
      <c r="H119" s="645" t="n">
        <v>1.98</v>
      </c>
      <c r="I119" s="645" t="n">
        <v>2.258</v>
      </c>
      <c r="J119" s="33" t="n">
        <v>156</v>
      </c>
      <c r="K119" s="34" t="inlineStr">
        <is>
          <t>СК2</t>
        </is>
      </c>
      <c r="L119" s="33" t="n">
        <v>40</v>
      </c>
      <c r="M119" s="595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N119" s="319" t="n"/>
      <c r="O119" s="319" t="n"/>
      <c r="P119" s="319" t="n"/>
      <c r="Q119" s="317" t="n"/>
      <c r="R119" s="35" t="n"/>
      <c r="S119" s="35" t="n"/>
      <c r="T119" s="36" t="inlineStr">
        <is>
          <t>кг</t>
        </is>
      </c>
      <c r="U119" s="646" t="n">
        <v>0</v>
      </c>
      <c r="V119" s="647">
        <f>IFERROR(IF(U119="",0,CEILING((U119/$H119),1)*$H119),"")</f>
        <v/>
      </c>
      <c r="W119" s="37">
        <f>IFERROR(IF(V119=0,"",ROUNDUP(V119/H119,0)*0.00753),"")</f>
        <v/>
      </c>
      <c r="X119" s="57" t="n"/>
      <c r="Y119" s="58" t="n"/>
      <c r="AC119" s="59" t="n"/>
      <c r="AZ119" s="120" t="inlineStr">
        <is>
          <t>КИ</t>
        </is>
      </c>
    </row>
    <row r="120" ht="27" customHeight="1">
      <c r="A120" s="55" t="inlineStr">
        <is>
          <t>SU002834</t>
        </is>
      </c>
      <c r="B120" s="55" t="inlineStr">
        <is>
          <t>P003238</t>
        </is>
      </c>
      <c r="C120" s="32" t="n">
        <v>4301060351</v>
      </c>
      <c r="D120" s="316" t="n">
        <v>4680115881464</v>
      </c>
      <c r="E120" s="317" t="n"/>
      <c r="F120" s="645" t="n">
        <v>0.4</v>
      </c>
      <c r="G120" s="33" t="n">
        <v>6</v>
      </c>
      <c r="H120" s="645" t="n">
        <v>2.4</v>
      </c>
      <c r="I120" s="645" t="n">
        <v>2.6</v>
      </c>
      <c r="J120" s="33" t="n">
        <v>156</v>
      </c>
      <c r="K120" s="34" t="inlineStr">
        <is>
          <t>СК3</t>
        </is>
      </c>
      <c r="L120" s="33" t="n">
        <v>30</v>
      </c>
      <c r="M120" s="511" t="inlineStr">
        <is>
          <t>Сардельки «Филейские» Фикс.вес 0,4 NDX мгс ТМ «Вязанка»</t>
        </is>
      </c>
      <c r="N120" s="319" t="n"/>
      <c r="O120" s="319" t="n"/>
      <c r="P120" s="319" t="n"/>
      <c r="Q120" s="317" t="n"/>
      <c r="R120" s="35" t="n"/>
      <c r="S120" s="35" t="n"/>
      <c r="T120" s="36" t="inlineStr">
        <is>
          <t>кг</t>
        </is>
      </c>
      <c r="U120" s="646" t="n">
        <v>0</v>
      </c>
      <c r="V120" s="647">
        <f>IFERROR(IF(U120="",0,CEILING((U120/$H120),1)*$H120),"")</f>
        <v/>
      </c>
      <c r="W120" s="37">
        <f>IFERROR(IF(V120=0,"",ROUNDUP(V120/H120,0)*0.00753),"")</f>
        <v/>
      </c>
      <c r="X120" s="57" t="n"/>
      <c r="Y120" s="58" t="n"/>
      <c r="AC120" s="59" t="n"/>
      <c r="AZ120" s="121" t="inlineStr">
        <is>
          <t>КИ</t>
        </is>
      </c>
    </row>
    <row r="121">
      <c r="A121" s="313" t="n"/>
      <c r="B121" s="314" t="n"/>
      <c r="C121" s="314" t="n"/>
      <c r="D121" s="314" t="n"/>
      <c r="E121" s="314" t="n"/>
      <c r="F121" s="314" t="n"/>
      <c r="G121" s="314" t="n"/>
      <c r="H121" s="314" t="n"/>
      <c r="I121" s="314" t="n"/>
      <c r="J121" s="314" t="n"/>
      <c r="K121" s="314" t="n"/>
      <c r="L121" s="315" t="n"/>
      <c r="M121" s="328" t="inlineStr">
        <is>
          <t>Итого</t>
        </is>
      </c>
      <c r="N121" s="329" t="n"/>
      <c r="O121" s="329" t="n"/>
      <c r="P121" s="329" t="n"/>
      <c r="Q121" s="329" t="n"/>
      <c r="R121" s="329" t="n"/>
      <c r="S121" s="330" t="n"/>
      <c r="T121" s="38" t="inlineStr">
        <is>
          <t>кор</t>
        </is>
      </c>
      <c r="U121" s="648">
        <f>IFERROR(U116/H116,"0")+IFERROR(U117/H117,"0")+IFERROR(U118/H118,"0")+IFERROR(U119/H119,"0")+IFERROR(U120/H120,"0")</f>
        <v/>
      </c>
      <c r="V121" s="648">
        <f>IFERROR(V116/H116,"0")+IFERROR(V117/H117,"0")+IFERROR(V118/H118,"0")+IFERROR(V119/H119,"0")+IFERROR(V120/H120,"0")</f>
        <v/>
      </c>
      <c r="W121" s="648">
        <f>IFERROR(IF(W116="",0,W116),"0")+IFERROR(IF(W117="",0,W117),"0")+IFERROR(IF(W118="",0,W118),"0")+IFERROR(IF(W119="",0,W119),"0")+IFERROR(IF(W120="",0,W120),"0")</f>
        <v/>
      </c>
      <c r="X121" s="649" t="n"/>
      <c r="Y121" s="649" t="n"/>
    </row>
    <row r="122">
      <c r="A122" s="314" t="n"/>
      <c r="B122" s="314" t="n"/>
      <c r="C122" s="314" t="n"/>
      <c r="D122" s="314" t="n"/>
      <c r="E122" s="314" t="n"/>
      <c r="F122" s="314" t="n"/>
      <c r="G122" s="314" t="n"/>
      <c r="H122" s="314" t="n"/>
      <c r="I122" s="314" t="n"/>
      <c r="J122" s="314" t="n"/>
      <c r="K122" s="314" t="n"/>
      <c r="L122" s="315" t="n"/>
      <c r="M122" s="328" t="inlineStr">
        <is>
          <t>Итого</t>
        </is>
      </c>
      <c r="N122" s="329" t="n"/>
      <c r="O122" s="329" t="n"/>
      <c r="P122" s="329" t="n"/>
      <c r="Q122" s="329" t="n"/>
      <c r="R122" s="329" t="n"/>
      <c r="S122" s="330" t="n"/>
      <c r="T122" s="38" t="inlineStr">
        <is>
          <t>кг</t>
        </is>
      </c>
      <c r="U122" s="648">
        <f>IFERROR(SUM(U116:U120),"0")</f>
        <v/>
      </c>
      <c r="V122" s="648">
        <f>IFERROR(SUM(V116:V120),"0")</f>
        <v/>
      </c>
      <c r="W122" s="38" t="n"/>
      <c r="X122" s="649" t="n"/>
      <c r="Y122" s="649" t="n"/>
    </row>
    <row r="123" ht="16.5" customHeight="1">
      <c r="A123" s="337" t="inlineStr">
        <is>
          <t>Сливушки</t>
        </is>
      </c>
      <c r="B123" s="314" t="n"/>
      <c r="C123" s="314" t="n"/>
      <c r="D123" s="314" t="n"/>
      <c r="E123" s="314" t="n"/>
      <c r="F123" s="314" t="n"/>
      <c r="G123" s="314" t="n"/>
      <c r="H123" s="314" t="n"/>
      <c r="I123" s="314" t="n"/>
      <c r="J123" s="314" t="n"/>
      <c r="K123" s="314" t="n"/>
      <c r="L123" s="314" t="n"/>
      <c r="M123" s="314" t="n"/>
      <c r="N123" s="314" t="n"/>
      <c r="O123" s="314" t="n"/>
      <c r="P123" s="314" t="n"/>
      <c r="Q123" s="314" t="n"/>
      <c r="R123" s="314" t="n"/>
      <c r="S123" s="314" t="n"/>
      <c r="T123" s="314" t="n"/>
      <c r="U123" s="314" t="n"/>
      <c r="V123" s="314" t="n"/>
      <c r="W123" s="314" t="n"/>
      <c r="X123" s="337" t="n"/>
      <c r="Y123" s="337" t="n"/>
    </row>
    <row r="124" ht="14.25" customHeight="1">
      <c r="A124" s="326" t="inlineStr">
        <is>
          <t>Сосиски</t>
        </is>
      </c>
      <c r="B124" s="314" t="n"/>
      <c r="C124" s="314" t="n"/>
      <c r="D124" s="314" t="n"/>
      <c r="E124" s="314" t="n"/>
      <c r="F124" s="314" t="n"/>
      <c r="G124" s="314" t="n"/>
      <c r="H124" s="314" t="n"/>
      <c r="I124" s="314" t="n"/>
      <c r="J124" s="314" t="n"/>
      <c r="K124" s="314" t="n"/>
      <c r="L124" s="314" t="n"/>
      <c r="M124" s="314" t="n"/>
      <c r="N124" s="314" t="n"/>
      <c r="O124" s="314" t="n"/>
      <c r="P124" s="314" t="n"/>
      <c r="Q124" s="314" t="n"/>
      <c r="R124" s="314" t="n"/>
      <c r="S124" s="314" t="n"/>
      <c r="T124" s="314" t="n"/>
      <c r="U124" s="314" t="n"/>
      <c r="V124" s="314" t="n"/>
      <c r="W124" s="314" t="n"/>
      <c r="X124" s="326" t="n"/>
      <c r="Y124" s="326" t="n"/>
    </row>
    <row r="125" ht="27" customHeight="1">
      <c r="A125" s="55" t="inlineStr">
        <is>
          <t>SU001721</t>
        </is>
      </c>
      <c r="B125" s="55" t="inlineStr">
        <is>
          <t>P003161</t>
        </is>
      </c>
      <c r="C125" s="32" t="n">
        <v>4301051360</v>
      </c>
      <c r="D125" s="316" t="n">
        <v>4607091385168</v>
      </c>
      <c r="E125" s="317" t="n"/>
      <c r="F125" s="645" t="n">
        <v>1.35</v>
      </c>
      <c r="G125" s="33" t="n">
        <v>6</v>
      </c>
      <c r="H125" s="645" t="n">
        <v>8.1</v>
      </c>
      <c r="I125" s="645" t="n">
        <v>8.657999999999999</v>
      </c>
      <c r="J125" s="33" t="n">
        <v>56</v>
      </c>
      <c r="K125" s="34" t="inlineStr">
        <is>
          <t>СК3</t>
        </is>
      </c>
      <c r="L125" s="33" t="n">
        <v>45</v>
      </c>
      <c r="M125" s="414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5" s="319" t="n"/>
      <c r="O125" s="319" t="n"/>
      <c r="P125" s="319" t="n"/>
      <c r="Q125" s="317" t="n"/>
      <c r="R125" s="35" t="n"/>
      <c r="S125" s="35" t="n"/>
      <c r="T125" s="36" t="inlineStr">
        <is>
          <t>кг</t>
        </is>
      </c>
      <c r="U125" s="646" t="n">
        <v>0</v>
      </c>
      <c r="V125" s="647">
        <f>IFERROR(IF(U125="",0,CEILING((U125/$H125),1)*$H125),"")</f>
        <v/>
      </c>
      <c r="W125" s="37">
        <f>IFERROR(IF(V125=0,"",ROUNDUP(V125/H125,0)*0.02175),"")</f>
        <v/>
      </c>
      <c r="X125" s="57" t="n"/>
      <c r="Y125" s="58" t="n"/>
      <c r="AC125" s="59" t="n"/>
      <c r="AZ125" s="122" t="inlineStr">
        <is>
          <t>КИ</t>
        </is>
      </c>
    </row>
    <row r="126" ht="16.5" customHeight="1">
      <c r="A126" s="55" t="inlineStr">
        <is>
          <t>SU002139</t>
        </is>
      </c>
      <c r="B126" s="55" t="inlineStr">
        <is>
          <t>P003162</t>
        </is>
      </c>
      <c r="C126" s="32" t="n">
        <v>4301051362</v>
      </c>
      <c r="D126" s="316" t="n">
        <v>4607091383256</v>
      </c>
      <c r="E126" s="317" t="n"/>
      <c r="F126" s="645" t="n">
        <v>0.33</v>
      </c>
      <c r="G126" s="33" t="n">
        <v>6</v>
      </c>
      <c r="H126" s="645" t="n">
        <v>1.98</v>
      </c>
      <c r="I126" s="645" t="n">
        <v>2.246</v>
      </c>
      <c r="J126" s="33" t="n">
        <v>156</v>
      </c>
      <c r="K126" s="34" t="inlineStr">
        <is>
          <t>СК3</t>
        </is>
      </c>
      <c r="L126" s="33" t="n">
        <v>45</v>
      </c>
      <c r="M126" s="481">
        <f>HYPERLINK("https://abi.ru/products/Охлажденные/Вязанка/Сливушки/Сосиски/P003162/","Сосиски Сливочные Сливушки Фикс.вес 0,33 П/а мгс Вязанка")</f>
        <v/>
      </c>
      <c r="N126" s="319" t="n"/>
      <c r="O126" s="319" t="n"/>
      <c r="P126" s="319" t="n"/>
      <c r="Q126" s="317" t="n"/>
      <c r="R126" s="35" t="n"/>
      <c r="S126" s="35" t="n"/>
      <c r="T126" s="36" t="inlineStr">
        <is>
          <t>кг</t>
        </is>
      </c>
      <c r="U126" s="646" t="n">
        <v>0</v>
      </c>
      <c r="V126" s="647">
        <f>IFERROR(IF(U126="",0,CEILING((U126/$H126),1)*$H126),"")</f>
        <v/>
      </c>
      <c r="W126" s="37">
        <f>IFERROR(IF(V126=0,"",ROUNDUP(V126/H126,0)*0.00753),"")</f>
        <v/>
      </c>
      <c r="X126" s="57" t="n"/>
      <c r="Y126" s="58" t="n"/>
      <c r="AC126" s="59" t="n"/>
      <c r="AZ126" s="123" t="inlineStr">
        <is>
          <t>КИ</t>
        </is>
      </c>
    </row>
    <row r="127" ht="16.5" customHeight="1">
      <c r="A127" s="55" t="inlineStr">
        <is>
          <t>SU001720</t>
        </is>
      </c>
      <c r="B127" s="55" t="inlineStr">
        <is>
          <t>P003160</t>
        </is>
      </c>
      <c r="C127" s="32" t="n">
        <v>4301051358</v>
      </c>
      <c r="D127" s="316" t="n">
        <v>4607091385748</v>
      </c>
      <c r="E127" s="317" t="n"/>
      <c r="F127" s="645" t="n">
        <v>0.45</v>
      </c>
      <c r="G127" s="33" t="n">
        <v>6</v>
      </c>
      <c r="H127" s="645" t="n">
        <v>2.7</v>
      </c>
      <c r="I127" s="645" t="n">
        <v>2.972</v>
      </c>
      <c r="J127" s="33" t="n">
        <v>156</v>
      </c>
      <c r="K127" s="34" t="inlineStr">
        <is>
          <t>СК3</t>
        </is>
      </c>
      <c r="L127" s="33" t="n">
        <v>45</v>
      </c>
      <c r="M127" s="421">
        <f>HYPERLINK("https://abi.ru/products/Охлажденные/Вязанка/Сливушки/Сосиски/P003160/","Сосиски Сливочные Сливушки Фикс.вес 0,45 П/а мгс Вязанка")</f>
        <v/>
      </c>
      <c r="N127" s="319" t="n"/>
      <c r="O127" s="319" t="n"/>
      <c r="P127" s="319" t="n"/>
      <c r="Q127" s="317" t="n"/>
      <c r="R127" s="35" t="n"/>
      <c r="S127" s="35" t="n"/>
      <c r="T127" s="36" t="inlineStr">
        <is>
          <t>кг</t>
        </is>
      </c>
      <c r="U127" s="646" t="n">
        <v>112.5</v>
      </c>
      <c r="V127" s="647">
        <f>IFERROR(IF(U127="",0,CEILING((U127/$H127),1)*$H127),"")</f>
        <v/>
      </c>
      <c r="W127" s="37">
        <f>IFERROR(IF(V127=0,"",ROUNDUP(V127/H127,0)*0.00753),"")</f>
        <v/>
      </c>
      <c r="X127" s="57" t="n"/>
      <c r="Y127" s="58" t="n"/>
      <c r="AC127" s="59" t="n"/>
      <c r="AZ127" s="124" t="inlineStr">
        <is>
          <t>КИ</t>
        </is>
      </c>
    </row>
    <row r="128" ht="16.5" customHeight="1">
      <c r="A128" s="55" t="inlineStr">
        <is>
          <t>SU002438</t>
        </is>
      </c>
      <c r="B128" s="55" t="inlineStr">
        <is>
          <t>P003163</t>
        </is>
      </c>
      <c r="C128" s="32" t="n">
        <v>4301051364</v>
      </c>
      <c r="D128" s="316" t="n">
        <v>4607091384581</v>
      </c>
      <c r="E128" s="317" t="n"/>
      <c r="F128" s="645" t="n">
        <v>0.67</v>
      </c>
      <c r="G128" s="33" t="n">
        <v>4</v>
      </c>
      <c r="H128" s="645" t="n">
        <v>2.68</v>
      </c>
      <c r="I128" s="645" t="n">
        <v>2.942</v>
      </c>
      <c r="J128" s="33" t="n">
        <v>120</v>
      </c>
      <c r="K128" s="34" t="inlineStr">
        <is>
          <t>СК3</t>
        </is>
      </c>
      <c r="L128" s="33" t="n">
        <v>45</v>
      </c>
      <c r="M128" s="438">
        <f>HYPERLINK("https://abi.ru/products/Охлажденные/Вязанка/Сливушки/Сосиски/P003163/","Сосиски Сливочные Сливушки Фикс.вес 0,67 П/а мгс Вязанка")</f>
        <v/>
      </c>
      <c r="N128" s="319" t="n"/>
      <c r="O128" s="319" t="n"/>
      <c r="P128" s="319" t="n"/>
      <c r="Q128" s="317" t="n"/>
      <c r="R128" s="35" t="n"/>
      <c r="S128" s="35" t="n"/>
      <c r="T128" s="36" t="inlineStr">
        <is>
          <t>кг</t>
        </is>
      </c>
      <c r="U128" s="646" t="n">
        <v>0</v>
      </c>
      <c r="V128" s="647">
        <f>IFERROR(IF(U128="",0,CEILING((U128/$H128),1)*$H128),"")</f>
        <v/>
      </c>
      <c r="W128" s="37">
        <f>IFERROR(IF(V128=0,"",ROUNDUP(V128/H128,0)*0.00937),"")</f>
        <v/>
      </c>
      <c r="X128" s="57" t="n"/>
      <c r="Y128" s="58" t="n"/>
      <c r="AC128" s="59" t="n"/>
      <c r="AZ128" s="125" t="inlineStr">
        <is>
          <t>КИ</t>
        </is>
      </c>
    </row>
    <row r="129">
      <c r="A129" s="313" t="n"/>
      <c r="B129" s="314" t="n"/>
      <c r="C129" s="314" t="n"/>
      <c r="D129" s="314" t="n"/>
      <c r="E129" s="314" t="n"/>
      <c r="F129" s="314" t="n"/>
      <c r="G129" s="314" t="n"/>
      <c r="H129" s="314" t="n"/>
      <c r="I129" s="314" t="n"/>
      <c r="J129" s="314" t="n"/>
      <c r="K129" s="314" t="n"/>
      <c r="L129" s="315" t="n"/>
      <c r="M129" s="328" t="inlineStr">
        <is>
          <t>Итого</t>
        </is>
      </c>
      <c r="N129" s="329" t="n"/>
      <c r="O129" s="329" t="n"/>
      <c r="P129" s="329" t="n"/>
      <c r="Q129" s="329" t="n"/>
      <c r="R129" s="329" t="n"/>
      <c r="S129" s="330" t="n"/>
      <c r="T129" s="38" t="inlineStr">
        <is>
          <t>кор</t>
        </is>
      </c>
      <c r="U129" s="648">
        <f>IFERROR(U125/H125,"0")+IFERROR(U126/H126,"0")+IFERROR(U127/H127,"0")+IFERROR(U128/H128,"0")</f>
        <v/>
      </c>
      <c r="V129" s="648">
        <f>IFERROR(V125/H125,"0")+IFERROR(V126/H126,"0")+IFERROR(V127/H127,"0")+IFERROR(V128/H128,"0")</f>
        <v/>
      </c>
      <c r="W129" s="648">
        <f>IFERROR(IF(W125="",0,W125),"0")+IFERROR(IF(W126="",0,W126),"0")+IFERROR(IF(W127="",0,W127),"0")+IFERROR(IF(W128="",0,W128),"0")</f>
        <v/>
      </c>
      <c r="X129" s="649" t="n"/>
      <c r="Y129" s="649" t="n"/>
    </row>
    <row r="130">
      <c r="A130" s="314" t="n"/>
      <c r="B130" s="314" t="n"/>
      <c r="C130" s="314" t="n"/>
      <c r="D130" s="314" t="n"/>
      <c r="E130" s="314" t="n"/>
      <c r="F130" s="314" t="n"/>
      <c r="G130" s="314" t="n"/>
      <c r="H130" s="314" t="n"/>
      <c r="I130" s="314" t="n"/>
      <c r="J130" s="314" t="n"/>
      <c r="K130" s="314" t="n"/>
      <c r="L130" s="315" t="n"/>
      <c r="M130" s="328" t="inlineStr">
        <is>
          <t>Итого</t>
        </is>
      </c>
      <c r="N130" s="329" t="n"/>
      <c r="O130" s="329" t="n"/>
      <c r="P130" s="329" t="n"/>
      <c r="Q130" s="329" t="n"/>
      <c r="R130" s="329" t="n"/>
      <c r="S130" s="330" t="n"/>
      <c r="T130" s="38" t="inlineStr">
        <is>
          <t>кг</t>
        </is>
      </c>
      <c r="U130" s="648">
        <f>IFERROR(SUM(U125:U128),"0")</f>
        <v/>
      </c>
      <c r="V130" s="648">
        <f>IFERROR(SUM(V125:V128),"0")</f>
        <v/>
      </c>
      <c r="W130" s="38" t="n"/>
      <c r="X130" s="649" t="n"/>
      <c r="Y130" s="649" t="n"/>
    </row>
    <row r="131" ht="27.75" customHeight="1">
      <c r="A131" s="357" t="inlineStr">
        <is>
          <t>Стародворье</t>
        </is>
      </c>
      <c r="B131" s="358" t="n"/>
      <c r="C131" s="358" t="n"/>
      <c r="D131" s="358" t="n"/>
      <c r="E131" s="358" t="n"/>
      <c r="F131" s="358" t="n"/>
      <c r="G131" s="358" t="n"/>
      <c r="H131" s="358" t="n"/>
      <c r="I131" s="358" t="n"/>
      <c r="J131" s="358" t="n"/>
      <c r="K131" s="358" t="n"/>
      <c r="L131" s="358" t="n"/>
      <c r="M131" s="358" t="n"/>
      <c r="N131" s="358" t="n"/>
      <c r="O131" s="358" t="n"/>
      <c r="P131" s="358" t="n"/>
      <c r="Q131" s="358" t="n"/>
      <c r="R131" s="358" t="n"/>
      <c r="S131" s="358" t="n"/>
      <c r="T131" s="358" t="n"/>
      <c r="U131" s="358" t="n"/>
      <c r="V131" s="358" t="n"/>
      <c r="W131" s="358" t="n"/>
      <c r="X131" s="49" t="n"/>
      <c r="Y131" s="49" t="n"/>
    </row>
    <row r="132" ht="16.5" customHeight="1">
      <c r="A132" s="337" t="inlineStr">
        <is>
          <t>Золоченная в печи</t>
        </is>
      </c>
      <c r="B132" s="314" t="n"/>
      <c r="C132" s="314" t="n"/>
      <c r="D132" s="314" t="n"/>
      <c r="E132" s="314" t="n"/>
      <c r="F132" s="314" t="n"/>
      <c r="G132" s="314" t="n"/>
      <c r="H132" s="314" t="n"/>
      <c r="I132" s="314" t="n"/>
      <c r="J132" s="314" t="n"/>
      <c r="K132" s="314" t="n"/>
      <c r="L132" s="314" t="n"/>
      <c r="M132" s="314" t="n"/>
      <c r="N132" s="314" t="n"/>
      <c r="O132" s="314" t="n"/>
      <c r="P132" s="314" t="n"/>
      <c r="Q132" s="314" t="n"/>
      <c r="R132" s="314" t="n"/>
      <c r="S132" s="314" t="n"/>
      <c r="T132" s="314" t="n"/>
      <c r="U132" s="314" t="n"/>
      <c r="V132" s="314" t="n"/>
      <c r="W132" s="314" t="n"/>
      <c r="X132" s="337" t="n"/>
      <c r="Y132" s="337" t="n"/>
    </row>
    <row r="133" ht="14.25" customHeight="1">
      <c r="A133" s="326" t="inlineStr">
        <is>
          <t>Вареные колбасы</t>
        </is>
      </c>
      <c r="B133" s="314" t="n"/>
      <c r="C133" s="314" t="n"/>
      <c r="D133" s="314" t="n"/>
      <c r="E133" s="314" t="n"/>
      <c r="F133" s="314" t="n"/>
      <c r="G133" s="314" t="n"/>
      <c r="H133" s="314" t="n"/>
      <c r="I133" s="314" t="n"/>
      <c r="J133" s="314" t="n"/>
      <c r="K133" s="314" t="n"/>
      <c r="L133" s="314" t="n"/>
      <c r="M133" s="314" t="n"/>
      <c r="N133" s="314" t="n"/>
      <c r="O133" s="314" t="n"/>
      <c r="P133" s="314" t="n"/>
      <c r="Q133" s="314" t="n"/>
      <c r="R133" s="314" t="n"/>
      <c r="S133" s="314" t="n"/>
      <c r="T133" s="314" t="n"/>
      <c r="U133" s="314" t="n"/>
      <c r="V133" s="314" t="n"/>
      <c r="W133" s="314" t="n"/>
      <c r="X133" s="326" t="n"/>
      <c r="Y133" s="326" t="n"/>
    </row>
    <row r="134" ht="27" customHeight="1">
      <c r="A134" s="55" t="inlineStr">
        <is>
          <t>SU002201</t>
        </is>
      </c>
      <c r="B134" s="55" t="inlineStr">
        <is>
          <t>P002567</t>
        </is>
      </c>
      <c r="C134" s="32" t="n">
        <v>4301011223</v>
      </c>
      <c r="D134" s="316" t="n">
        <v>4607091383423</v>
      </c>
      <c r="E134" s="317" t="n"/>
      <c r="F134" s="645" t="n">
        <v>1.35</v>
      </c>
      <c r="G134" s="33" t="n">
        <v>8</v>
      </c>
      <c r="H134" s="645" t="n">
        <v>10.8</v>
      </c>
      <c r="I134" s="645" t="n">
        <v>11.376</v>
      </c>
      <c r="J134" s="33" t="n">
        <v>56</v>
      </c>
      <c r="K134" s="34" t="inlineStr">
        <is>
          <t>СК3</t>
        </is>
      </c>
      <c r="L134" s="33" t="n">
        <v>35</v>
      </c>
      <c r="M134" s="468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4" s="319" t="n"/>
      <c r="O134" s="319" t="n"/>
      <c r="P134" s="319" t="n"/>
      <c r="Q134" s="317" t="n"/>
      <c r="R134" s="35" t="n"/>
      <c r="S134" s="35" t="n"/>
      <c r="T134" s="36" t="inlineStr">
        <is>
          <t>кг</t>
        </is>
      </c>
      <c r="U134" s="646" t="n">
        <v>0</v>
      </c>
      <c r="V134" s="647">
        <f>IFERROR(IF(U134="",0,CEILING((U134/$H134),1)*$H134),"")</f>
        <v/>
      </c>
      <c r="W134" s="37">
        <f>IFERROR(IF(V134=0,"",ROUNDUP(V134/H134,0)*0.02175),"")</f>
        <v/>
      </c>
      <c r="X134" s="57" t="n"/>
      <c r="Y134" s="58" t="n"/>
      <c r="AC134" s="59" t="n"/>
      <c r="AZ134" s="126" t="inlineStr">
        <is>
          <t>КИ</t>
        </is>
      </c>
    </row>
    <row r="135" ht="27" customHeight="1">
      <c r="A135" s="55" t="inlineStr">
        <is>
          <t>SU002203</t>
        </is>
      </c>
      <c r="B135" s="55" t="inlineStr">
        <is>
          <t>P002568</t>
        </is>
      </c>
      <c r="C135" s="32" t="n">
        <v>4301011338</v>
      </c>
      <c r="D135" s="316" t="n">
        <v>4607091381405</v>
      </c>
      <c r="E135" s="317" t="n"/>
      <c r="F135" s="645" t="n">
        <v>1.35</v>
      </c>
      <c r="G135" s="33" t="n">
        <v>8</v>
      </c>
      <c r="H135" s="645" t="n">
        <v>10.8</v>
      </c>
      <c r="I135" s="645" t="n">
        <v>11.376</v>
      </c>
      <c r="J135" s="33" t="n">
        <v>56</v>
      </c>
      <c r="K135" s="34" t="inlineStr">
        <is>
          <t>СК2</t>
        </is>
      </c>
      <c r="L135" s="33" t="n">
        <v>35</v>
      </c>
      <c r="M135" s="621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5" s="319" t="n"/>
      <c r="O135" s="319" t="n"/>
      <c r="P135" s="319" t="n"/>
      <c r="Q135" s="317" t="n"/>
      <c r="R135" s="35" t="n"/>
      <c r="S135" s="35" t="n"/>
      <c r="T135" s="36" t="inlineStr">
        <is>
          <t>кг</t>
        </is>
      </c>
      <c r="U135" s="646" t="n">
        <v>0</v>
      </c>
      <c r="V135" s="647">
        <f>IFERROR(IF(U135="",0,CEILING((U135/$H135),1)*$H135),"")</f>
        <v/>
      </c>
      <c r="W135" s="37">
        <f>IFERROR(IF(V135=0,"",ROUNDUP(V135/H135,0)*0.02175),"")</f>
        <v/>
      </c>
      <c r="X135" s="57" t="n"/>
      <c r="Y135" s="58" t="n"/>
      <c r="AC135" s="59" t="n"/>
      <c r="AZ135" s="127" t="inlineStr">
        <is>
          <t>КИ</t>
        </is>
      </c>
    </row>
    <row r="136" ht="27" customHeight="1">
      <c r="A136" s="55" t="inlineStr">
        <is>
          <t>SU002216</t>
        </is>
      </c>
      <c r="B136" s="55" t="inlineStr">
        <is>
          <t>P002400</t>
        </is>
      </c>
      <c r="C136" s="32" t="n">
        <v>4301011333</v>
      </c>
      <c r="D136" s="316" t="n">
        <v>4607091386516</v>
      </c>
      <c r="E136" s="317" t="n"/>
      <c r="F136" s="645" t="n">
        <v>1.4</v>
      </c>
      <c r="G136" s="33" t="n">
        <v>8</v>
      </c>
      <c r="H136" s="645" t="n">
        <v>11.2</v>
      </c>
      <c r="I136" s="645" t="n">
        <v>11.776</v>
      </c>
      <c r="J136" s="33" t="n">
        <v>56</v>
      </c>
      <c r="K136" s="34" t="inlineStr">
        <is>
          <t>СК2</t>
        </is>
      </c>
      <c r="L136" s="33" t="n">
        <v>30</v>
      </c>
      <c r="M136" s="460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6" s="319" t="n"/>
      <c r="O136" s="319" t="n"/>
      <c r="P136" s="319" t="n"/>
      <c r="Q136" s="317" t="n"/>
      <c r="R136" s="35" t="n"/>
      <c r="S136" s="35" t="n"/>
      <c r="T136" s="36" t="inlineStr">
        <is>
          <t>кг</t>
        </is>
      </c>
      <c r="U136" s="646" t="n">
        <v>0</v>
      </c>
      <c r="V136" s="647">
        <f>IFERROR(IF(U136="",0,CEILING((U136/$H136),1)*$H136),"")</f>
        <v/>
      </c>
      <c r="W136" s="37">
        <f>IFERROR(IF(V136=0,"",ROUNDUP(V136/H136,0)*0.02175),"")</f>
        <v/>
      </c>
      <c r="X136" s="57" t="n"/>
      <c r="Y136" s="58" t="n"/>
      <c r="AC136" s="59" t="n"/>
      <c r="AZ136" s="128" t="inlineStr">
        <is>
          <t>КИ</t>
        </is>
      </c>
    </row>
    <row r="137">
      <c r="A137" s="313" t="n"/>
      <c r="B137" s="314" t="n"/>
      <c r="C137" s="314" t="n"/>
      <c r="D137" s="314" t="n"/>
      <c r="E137" s="314" t="n"/>
      <c r="F137" s="314" t="n"/>
      <c r="G137" s="314" t="n"/>
      <c r="H137" s="314" t="n"/>
      <c r="I137" s="314" t="n"/>
      <c r="J137" s="314" t="n"/>
      <c r="K137" s="314" t="n"/>
      <c r="L137" s="315" t="n"/>
      <c r="M137" s="328" t="inlineStr">
        <is>
          <t>Итого</t>
        </is>
      </c>
      <c r="N137" s="329" t="n"/>
      <c r="O137" s="329" t="n"/>
      <c r="P137" s="329" t="n"/>
      <c r="Q137" s="329" t="n"/>
      <c r="R137" s="329" t="n"/>
      <c r="S137" s="330" t="n"/>
      <c r="T137" s="38" t="inlineStr">
        <is>
          <t>кор</t>
        </is>
      </c>
      <c r="U137" s="648">
        <f>IFERROR(U134/H134,"0")+IFERROR(U135/H135,"0")+IFERROR(U136/H136,"0")</f>
        <v/>
      </c>
      <c r="V137" s="648">
        <f>IFERROR(V134/H134,"0")+IFERROR(V135/H135,"0")+IFERROR(V136/H136,"0")</f>
        <v/>
      </c>
      <c r="W137" s="648">
        <f>IFERROR(IF(W134="",0,W134),"0")+IFERROR(IF(W135="",0,W135),"0")+IFERROR(IF(W136="",0,W136),"0")</f>
        <v/>
      </c>
      <c r="X137" s="649" t="n"/>
      <c r="Y137" s="649" t="n"/>
    </row>
    <row r="138">
      <c r="A138" s="314" t="n"/>
      <c r="B138" s="314" t="n"/>
      <c r="C138" s="314" t="n"/>
      <c r="D138" s="314" t="n"/>
      <c r="E138" s="314" t="n"/>
      <c r="F138" s="314" t="n"/>
      <c r="G138" s="314" t="n"/>
      <c r="H138" s="314" t="n"/>
      <c r="I138" s="314" t="n"/>
      <c r="J138" s="314" t="n"/>
      <c r="K138" s="314" t="n"/>
      <c r="L138" s="315" t="n"/>
      <c r="M138" s="328" t="inlineStr">
        <is>
          <t>Итого</t>
        </is>
      </c>
      <c r="N138" s="329" t="n"/>
      <c r="O138" s="329" t="n"/>
      <c r="P138" s="329" t="n"/>
      <c r="Q138" s="329" t="n"/>
      <c r="R138" s="329" t="n"/>
      <c r="S138" s="330" t="n"/>
      <c r="T138" s="38" t="inlineStr">
        <is>
          <t>кг</t>
        </is>
      </c>
      <c r="U138" s="648">
        <f>IFERROR(SUM(U134:U136),"0")</f>
        <v/>
      </c>
      <c r="V138" s="648">
        <f>IFERROR(SUM(V134:V136),"0")</f>
        <v/>
      </c>
      <c r="W138" s="38" t="n"/>
      <c r="X138" s="649" t="n"/>
      <c r="Y138" s="649" t="n"/>
    </row>
    <row r="139" ht="16.5" customHeight="1">
      <c r="A139" s="337" t="inlineStr">
        <is>
          <t>Мясорубская</t>
        </is>
      </c>
      <c r="B139" s="314" t="n"/>
      <c r="C139" s="314" t="n"/>
      <c r="D139" s="314" t="n"/>
      <c r="E139" s="314" t="n"/>
      <c r="F139" s="314" t="n"/>
      <c r="G139" s="314" t="n"/>
      <c r="H139" s="314" t="n"/>
      <c r="I139" s="314" t="n"/>
      <c r="J139" s="314" t="n"/>
      <c r="K139" s="314" t="n"/>
      <c r="L139" s="314" t="n"/>
      <c r="M139" s="314" t="n"/>
      <c r="N139" s="314" t="n"/>
      <c r="O139" s="314" t="n"/>
      <c r="P139" s="314" t="n"/>
      <c r="Q139" s="314" t="n"/>
      <c r="R139" s="314" t="n"/>
      <c r="S139" s="314" t="n"/>
      <c r="T139" s="314" t="n"/>
      <c r="U139" s="314" t="n"/>
      <c r="V139" s="314" t="n"/>
      <c r="W139" s="314" t="n"/>
      <c r="X139" s="337" t="n"/>
      <c r="Y139" s="337" t="n"/>
    </row>
    <row r="140" ht="14.25" customHeight="1">
      <c r="A140" s="326" t="inlineStr">
        <is>
          <t>Копченые колбасы</t>
        </is>
      </c>
      <c r="B140" s="314" t="n"/>
      <c r="C140" s="314" t="n"/>
      <c r="D140" s="314" t="n"/>
      <c r="E140" s="314" t="n"/>
      <c r="F140" s="314" t="n"/>
      <c r="G140" s="314" t="n"/>
      <c r="H140" s="314" t="n"/>
      <c r="I140" s="314" t="n"/>
      <c r="J140" s="314" t="n"/>
      <c r="K140" s="314" t="n"/>
      <c r="L140" s="314" t="n"/>
      <c r="M140" s="314" t="n"/>
      <c r="N140" s="314" t="n"/>
      <c r="O140" s="314" t="n"/>
      <c r="P140" s="314" t="n"/>
      <c r="Q140" s="314" t="n"/>
      <c r="R140" s="314" t="n"/>
      <c r="S140" s="314" t="n"/>
      <c r="T140" s="314" t="n"/>
      <c r="U140" s="314" t="n"/>
      <c r="V140" s="314" t="n"/>
      <c r="W140" s="314" t="n"/>
      <c r="X140" s="326" t="n"/>
      <c r="Y140" s="326" t="n"/>
    </row>
    <row r="141" ht="27" customHeight="1">
      <c r="A141" s="55" t="inlineStr">
        <is>
          <t>SU002756</t>
        </is>
      </c>
      <c r="B141" s="55" t="inlineStr">
        <is>
          <t>P003179</t>
        </is>
      </c>
      <c r="C141" s="32" t="n">
        <v>4301031191</v>
      </c>
      <c r="D141" s="316" t="n">
        <v>4680115880993</v>
      </c>
      <c r="E141" s="317" t="n"/>
      <c r="F141" s="645" t="n">
        <v>0.7</v>
      </c>
      <c r="G141" s="33" t="n">
        <v>6</v>
      </c>
      <c r="H141" s="645" t="n">
        <v>4.2</v>
      </c>
      <c r="I141" s="645" t="n">
        <v>4.46</v>
      </c>
      <c r="J141" s="33" t="n">
        <v>156</v>
      </c>
      <c r="K141" s="34" t="inlineStr">
        <is>
          <t>СК2</t>
        </is>
      </c>
      <c r="L141" s="33" t="n">
        <v>40</v>
      </c>
      <c r="M141" s="643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41" s="319" t="n"/>
      <c r="O141" s="319" t="n"/>
      <c r="P141" s="319" t="n"/>
      <c r="Q141" s="317" t="n"/>
      <c r="R141" s="35" t="n"/>
      <c r="S141" s="35" t="n"/>
      <c r="T141" s="36" t="inlineStr">
        <is>
          <t>кг</t>
        </is>
      </c>
      <c r="U141" s="646" t="n">
        <v>0</v>
      </c>
      <c r="V141" s="647">
        <f>IFERROR(IF(U141="",0,CEILING((U141/$H141),1)*$H141),"")</f>
        <v/>
      </c>
      <c r="W141" s="37">
        <f>IFERROR(IF(V141=0,"",ROUNDUP(V141/H141,0)*0.00753),"")</f>
        <v/>
      </c>
      <c r="X141" s="57" t="n"/>
      <c r="Y141" s="58" t="n"/>
      <c r="AC141" s="59" t="n"/>
      <c r="AZ141" s="129" t="inlineStr">
        <is>
          <t>КИ</t>
        </is>
      </c>
    </row>
    <row r="142" ht="27" customHeight="1">
      <c r="A142" s="55" t="inlineStr">
        <is>
          <t>SU002876</t>
        </is>
      </c>
      <c r="B142" s="55" t="inlineStr">
        <is>
          <t>P003276</t>
        </is>
      </c>
      <c r="C142" s="32" t="n">
        <v>4301031204</v>
      </c>
      <c r="D142" s="316" t="n">
        <v>4680115881761</v>
      </c>
      <c r="E142" s="317" t="n"/>
      <c r="F142" s="645" t="n">
        <v>0.7</v>
      </c>
      <c r="G142" s="33" t="n">
        <v>6</v>
      </c>
      <c r="H142" s="645" t="n">
        <v>4.2</v>
      </c>
      <c r="I142" s="645" t="n">
        <v>4.46</v>
      </c>
      <c r="J142" s="33" t="n">
        <v>156</v>
      </c>
      <c r="K142" s="34" t="inlineStr">
        <is>
          <t>СК2</t>
        </is>
      </c>
      <c r="L142" s="33" t="n">
        <v>40</v>
      </c>
      <c r="M142" s="572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N142" s="319" t="n"/>
      <c r="O142" s="319" t="n"/>
      <c r="P142" s="319" t="n"/>
      <c r="Q142" s="317" t="n"/>
      <c r="R142" s="35" t="n"/>
      <c r="S142" s="35" t="n"/>
      <c r="T142" s="36" t="inlineStr">
        <is>
          <t>кг</t>
        </is>
      </c>
      <c r="U142" s="646" t="n">
        <v>0</v>
      </c>
      <c r="V142" s="647">
        <f>IFERROR(IF(U142="",0,CEILING((U142/$H142),1)*$H142),"")</f>
        <v/>
      </c>
      <c r="W142" s="37">
        <f>IFERROR(IF(V142=0,"",ROUNDUP(V142/H142,0)*0.00753),"")</f>
        <v/>
      </c>
      <c r="X142" s="57" t="n"/>
      <c r="Y142" s="58" t="n"/>
      <c r="AC142" s="59" t="n"/>
      <c r="AZ142" s="130" t="inlineStr">
        <is>
          <t>КИ</t>
        </is>
      </c>
    </row>
    <row r="143" ht="27" customHeight="1">
      <c r="A143" s="55" t="inlineStr">
        <is>
          <t>SU002847</t>
        </is>
      </c>
      <c r="B143" s="55" t="inlineStr">
        <is>
          <t>P003259</t>
        </is>
      </c>
      <c r="C143" s="32" t="n">
        <v>4301031201</v>
      </c>
      <c r="D143" s="316" t="n">
        <v>4680115881563</v>
      </c>
      <c r="E143" s="317" t="n"/>
      <c r="F143" s="645" t="n">
        <v>0.7</v>
      </c>
      <c r="G143" s="33" t="n">
        <v>6</v>
      </c>
      <c r="H143" s="645" t="n">
        <v>4.2</v>
      </c>
      <c r="I143" s="645" t="n">
        <v>4.4</v>
      </c>
      <c r="J143" s="33" t="n">
        <v>156</v>
      </c>
      <c r="K143" s="34" t="inlineStr">
        <is>
          <t>СК2</t>
        </is>
      </c>
      <c r="L143" s="33" t="n">
        <v>40</v>
      </c>
      <c r="M143" s="318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43" s="319" t="n"/>
      <c r="O143" s="319" t="n"/>
      <c r="P143" s="319" t="n"/>
      <c r="Q143" s="317" t="n"/>
      <c r="R143" s="35" t="n"/>
      <c r="S143" s="35" t="n"/>
      <c r="T143" s="36" t="inlineStr">
        <is>
          <t>кг</t>
        </is>
      </c>
      <c r="U143" s="646" t="n">
        <v>0</v>
      </c>
      <c r="V143" s="647">
        <f>IFERROR(IF(U143="",0,CEILING((U143/$H143),1)*$H143),"")</f>
        <v/>
      </c>
      <c r="W143" s="37">
        <f>IFERROR(IF(V143=0,"",ROUNDUP(V143/H143,0)*0.00753),"")</f>
        <v/>
      </c>
      <c r="X143" s="57" t="n"/>
      <c r="Y143" s="58" t="n"/>
      <c r="AC143" s="59" t="n"/>
      <c r="AZ143" s="131" t="inlineStr">
        <is>
          <t>КИ</t>
        </is>
      </c>
    </row>
    <row r="144" ht="27" customHeight="1">
      <c r="A144" s="55" t="inlineStr">
        <is>
          <t>SU002660</t>
        </is>
      </c>
      <c r="B144" s="55" t="inlineStr">
        <is>
          <t>P003256</t>
        </is>
      </c>
      <c r="C144" s="32" t="n">
        <v>4301031199</v>
      </c>
      <c r="D144" s="316" t="n">
        <v>4680115880986</v>
      </c>
      <c r="E144" s="317" t="n"/>
      <c r="F144" s="645" t="n">
        <v>0.35</v>
      </c>
      <c r="G144" s="33" t="n">
        <v>6</v>
      </c>
      <c r="H144" s="645" t="n">
        <v>2.1</v>
      </c>
      <c r="I144" s="645" t="n">
        <v>2.23</v>
      </c>
      <c r="J144" s="33" t="n">
        <v>234</v>
      </c>
      <c r="K144" s="34" t="inlineStr">
        <is>
          <t>СК2</t>
        </is>
      </c>
      <c r="L144" s="33" t="n">
        <v>40</v>
      </c>
      <c r="M144" s="576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44" s="319" t="n"/>
      <c r="O144" s="319" t="n"/>
      <c r="P144" s="319" t="n"/>
      <c r="Q144" s="317" t="n"/>
      <c r="R144" s="35" t="n"/>
      <c r="S144" s="35" t="n"/>
      <c r="T144" s="36" t="inlineStr">
        <is>
          <t>кг</t>
        </is>
      </c>
      <c r="U144" s="646" t="n">
        <v>0</v>
      </c>
      <c r="V144" s="647">
        <f>IFERROR(IF(U144="",0,CEILING((U144/$H144),1)*$H144),"")</f>
        <v/>
      </c>
      <c r="W144" s="37">
        <f>IFERROR(IF(V144=0,"",ROUNDUP(V144/H144,0)*0.00502),"")</f>
        <v/>
      </c>
      <c r="X144" s="57" t="n"/>
      <c r="Y144" s="58" t="n"/>
      <c r="AC144" s="59" t="n"/>
      <c r="AZ144" s="132" t="inlineStr">
        <is>
          <t>КИ</t>
        </is>
      </c>
    </row>
    <row r="145" ht="27" customHeight="1">
      <c r="A145" s="55" t="inlineStr">
        <is>
          <t>SU002826</t>
        </is>
      </c>
      <c r="B145" s="55" t="inlineStr">
        <is>
          <t>P003178</t>
        </is>
      </c>
      <c r="C145" s="32" t="n">
        <v>4301031190</v>
      </c>
      <c r="D145" s="316" t="n">
        <v>4680115880207</v>
      </c>
      <c r="E145" s="317" t="n"/>
      <c r="F145" s="645" t="n">
        <v>0.4</v>
      </c>
      <c r="G145" s="33" t="n">
        <v>6</v>
      </c>
      <c r="H145" s="645" t="n">
        <v>2.4</v>
      </c>
      <c r="I145" s="645" t="n">
        <v>2.63</v>
      </c>
      <c r="J145" s="33" t="n">
        <v>156</v>
      </c>
      <c r="K145" s="34" t="inlineStr">
        <is>
          <t>СК2</t>
        </is>
      </c>
      <c r="L145" s="33" t="n">
        <v>40</v>
      </c>
      <c r="M145" s="510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45" s="319" t="n"/>
      <c r="O145" s="319" t="n"/>
      <c r="P145" s="319" t="n"/>
      <c r="Q145" s="317" t="n"/>
      <c r="R145" s="35" t="n"/>
      <c r="S145" s="35" t="n"/>
      <c r="T145" s="36" t="inlineStr">
        <is>
          <t>кг</t>
        </is>
      </c>
      <c r="U145" s="646" t="n">
        <v>0</v>
      </c>
      <c r="V145" s="647">
        <f>IFERROR(IF(U145="",0,CEILING((U145/$H145),1)*$H145),"")</f>
        <v/>
      </c>
      <c r="W145" s="37">
        <f>IFERROR(IF(V145=0,"",ROUNDUP(V145/H145,0)*0.00753),"")</f>
        <v/>
      </c>
      <c r="X145" s="57" t="n"/>
      <c r="Y145" s="58" t="n"/>
      <c r="AC145" s="59" t="n"/>
      <c r="AZ145" s="133" t="inlineStr">
        <is>
          <t>КИ</t>
        </is>
      </c>
    </row>
    <row r="146" ht="27" customHeight="1">
      <c r="A146" s="55" t="inlineStr">
        <is>
          <t>SU002877</t>
        </is>
      </c>
      <c r="B146" s="55" t="inlineStr">
        <is>
          <t>P003277</t>
        </is>
      </c>
      <c r="C146" s="32" t="n">
        <v>4301031205</v>
      </c>
      <c r="D146" s="316" t="n">
        <v>4680115881785</v>
      </c>
      <c r="E146" s="317" t="n"/>
      <c r="F146" s="645" t="n">
        <v>0.35</v>
      </c>
      <c r="G146" s="33" t="n">
        <v>6</v>
      </c>
      <c r="H146" s="645" t="n">
        <v>2.1</v>
      </c>
      <c r="I146" s="645" t="n">
        <v>2.23</v>
      </c>
      <c r="J146" s="33" t="n">
        <v>234</v>
      </c>
      <c r="K146" s="34" t="inlineStr">
        <is>
          <t>СК2</t>
        </is>
      </c>
      <c r="L146" s="33" t="n">
        <v>40</v>
      </c>
      <c r="M146" s="449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N146" s="319" t="n"/>
      <c r="O146" s="319" t="n"/>
      <c r="P146" s="319" t="n"/>
      <c r="Q146" s="317" t="n"/>
      <c r="R146" s="35" t="n"/>
      <c r="S146" s="35" t="n"/>
      <c r="T146" s="36" t="inlineStr">
        <is>
          <t>кг</t>
        </is>
      </c>
      <c r="U146" s="646" t="n">
        <v>0</v>
      </c>
      <c r="V146" s="647">
        <f>IFERROR(IF(U146="",0,CEILING((U146/$H146),1)*$H146),"")</f>
        <v/>
      </c>
      <c r="W146" s="37">
        <f>IFERROR(IF(V146=0,"",ROUNDUP(V146/H146,0)*0.00502),"")</f>
        <v/>
      </c>
      <c r="X146" s="57" t="n"/>
      <c r="Y146" s="58" t="n"/>
      <c r="AC146" s="59" t="n"/>
      <c r="AZ146" s="134" t="inlineStr">
        <is>
          <t>КИ</t>
        </is>
      </c>
    </row>
    <row r="147" ht="27" customHeight="1">
      <c r="A147" s="55" t="inlineStr">
        <is>
          <t>SU002848</t>
        </is>
      </c>
      <c r="B147" s="55" t="inlineStr">
        <is>
          <t>P003260</t>
        </is>
      </c>
      <c r="C147" s="32" t="n">
        <v>4301031202</v>
      </c>
      <c r="D147" s="316" t="n">
        <v>4680115881679</v>
      </c>
      <c r="E147" s="317" t="n"/>
      <c r="F147" s="645" t="n">
        <v>0.35</v>
      </c>
      <c r="G147" s="33" t="n">
        <v>6</v>
      </c>
      <c r="H147" s="645" t="n">
        <v>2.1</v>
      </c>
      <c r="I147" s="645" t="n">
        <v>2.2</v>
      </c>
      <c r="J147" s="33" t="n">
        <v>234</v>
      </c>
      <c r="K147" s="34" t="inlineStr">
        <is>
          <t>СК2</t>
        </is>
      </c>
      <c r="L147" s="33" t="n">
        <v>40</v>
      </c>
      <c r="M147" s="515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7" s="319" t="n"/>
      <c r="O147" s="319" t="n"/>
      <c r="P147" s="319" t="n"/>
      <c r="Q147" s="317" t="n"/>
      <c r="R147" s="35" t="n"/>
      <c r="S147" s="35" t="n"/>
      <c r="T147" s="36" t="inlineStr">
        <is>
          <t>кг</t>
        </is>
      </c>
      <c r="U147" s="646" t="n">
        <v>0</v>
      </c>
      <c r="V147" s="647">
        <f>IFERROR(IF(U147="",0,CEILING((U147/$H147),1)*$H147),"")</f>
        <v/>
      </c>
      <c r="W147" s="37">
        <f>IFERROR(IF(V147=0,"",ROUNDUP(V147/H147,0)*0.00502),"")</f>
        <v/>
      </c>
      <c r="X147" s="57" t="n"/>
      <c r="Y147" s="58" t="n"/>
      <c r="AC147" s="59" t="n"/>
      <c r="AZ147" s="135" t="inlineStr">
        <is>
          <t>КИ</t>
        </is>
      </c>
    </row>
    <row r="148" ht="27" customHeight="1">
      <c r="A148" s="55" t="inlineStr">
        <is>
          <t>SU002659</t>
        </is>
      </c>
      <c r="B148" s="55" t="inlineStr">
        <is>
          <t>P003034</t>
        </is>
      </c>
      <c r="C148" s="32" t="n">
        <v>4301031158</v>
      </c>
      <c r="D148" s="316" t="n">
        <v>4680115880191</v>
      </c>
      <c r="E148" s="317" t="n"/>
      <c r="F148" s="645" t="n">
        <v>0.4</v>
      </c>
      <c r="G148" s="33" t="n">
        <v>6</v>
      </c>
      <c r="H148" s="645" t="n">
        <v>2.4</v>
      </c>
      <c r="I148" s="645" t="n">
        <v>2.6</v>
      </c>
      <c r="J148" s="33" t="n">
        <v>156</v>
      </c>
      <c r="K148" s="34" t="inlineStr">
        <is>
          <t>СК2</t>
        </is>
      </c>
      <c r="L148" s="33" t="n">
        <v>40</v>
      </c>
      <c r="M148" s="541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48" s="319" t="n"/>
      <c r="O148" s="319" t="n"/>
      <c r="P148" s="319" t="n"/>
      <c r="Q148" s="317" t="n"/>
      <c r="R148" s="35" t="n"/>
      <c r="S148" s="35" t="n"/>
      <c r="T148" s="36" t="inlineStr">
        <is>
          <t>кг</t>
        </is>
      </c>
      <c r="U148" s="646" t="n">
        <v>0</v>
      </c>
      <c r="V148" s="647">
        <f>IFERROR(IF(U148="",0,CEILING((U148/$H148),1)*$H148),"")</f>
        <v/>
      </c>
      <c r="W148" s="37">
        <f>IFERROR(IF(V148=0,"",ROUNDUP(V148/H148,0)*0.00753),"")</f>
        <v/>
      </c>
      <c r="X148" s="57" t="n"/>
      <c r="Y148" s="58" t="n"/>
      <c r="AC148" s="59" t="n"/>
      <c r="AZ148" s="136" t="inlineStr">
        <is>
          <t>КИ</t>
        </is>
      </c>
    </row>
    <row r="149">
      <c r="A149" s="313" t="n"/>
      <c r="B149" s="314" t="n"/>
      <c r="C149" s="314" t="n"/>
      <c r="D149" s="314" t="n"/>
      <c r="E149" s="314" t="n"/>
      <c r="F149" s="314" t="n"/>
      <c r="G149" s="314" t="n"/>
      <c r="H149" s="314" t="n"/>
      <c r="I149" s="314" t="n"/>
      <c r="J149" s="314" t="n"/>
      <c r="K149" s="314" t="n"/>
      <c r="L149" s="315" t="n"/>
      <c r="M149" s="328" t="inlineStr">
        <is>
          <t>Итого</t>
        </is>
      </c>
      <c r="N149" s="329" t="n"/>
      <c r="O149" s="329" t="n"/>
      <c r="P149" s="329" t="n"/>
      <c r="Q149" s="329" t="n"/>
      <c r="R149" s="329" t="n"/>
      <c r="S149" s="330" t="n"/>
      <c r="T149" s="38" t="inlineStr">
        <is>
          <t>кор</t>
        </is>
      </c>
      <c r="U149" s="648">
        <f>IFERROR(U141/H141,"0")+IFERROR(U142/H142,"0")+IFERROR(U143/H143,"0")+IFERROR(U144/H144,"0")+IFERROR(U145/H145,"0")+IFERROR(U146/H146,"0")+IFERROR(U147/H147,"0")+IFERROR(U148/H148,"0")</f>
        <v/>
      </c>
      <c r="V149" s="648">
        <f>IFERROR(V141/H141,"0")+IFERROR(V142/H142,"0")+IFERROR(V143/H143,"0")+IFERROR(V144/H144,"0")+IFERROR(V145/H145,"0")+IFERROR(V146/H146,"0")+IFERROR(V147/H147,"0")+IFERROR(V148/H148,"0")</f>
        <v/>
      </c>
      <c r="W149" s="648">
        <f>IFERROR(IF(W141="",0,W141),"0")+IFERROR(IF(W142="",0,W142),"0")+IFERROR(IF(W143="",0,W143),"0")+IFERROR(IF(W144="",0,W144),"0")+IFERROR(IF(W145="",0,W145),"0")+IFERROR(IF(W146="",0,W146),"0")+IFERROR(IF(W147="",0,W147),"0")+IFERROR(IF(W148="",0,W148),"0")</f>
        <v/>
      </c>
      <c r="X149" s="649" t="n"/>
      <c r="Y149" s="649" t="n"/>
    </row>
    <row r="150">
      <c r="A150" s="314" t="n"/>
      <c r="B150" s="314" t="n"/>
      <c r="C150" s="314" t="n"/>
      <c r="D150" s="314" t="n"/>
      <c r="E150" s="314" t="n"/>
      <c r="F150" s="314" t="n"/>
      <c r="G150" s="314" t="n"/>
      <c r="H150" s="314" t="n"/>
      <c r="I150" s="314" t="n"/>
      <c r="J150" s="314" t="n"/>
      <c r="K150" s="314" t="n"/>
      <c r="L150" s="315" t="n"/>
      <c r="M150" s="328" t="inlineStr">
        <is>
          <t>Итого</t>
        </is>
      </c>
      <c r="N150" s="329" t="n"/>
      <c r="O150" s="329" t="n"/>
      <c r="P150" s="329" t="n"/>
      <c r="Q150" s="329" t="n"/>
      <c r="R150" s="329" t="n"/>
      <c r="S150" s="330" t="n"/>
      <c r="T150" s="38" t="inlineStr">
        <is>
          <t>кг</t>
        </is>
      </c>
      <c r="U150" s="648">
        <f>IFERROR(SUM(U141:U148),"0")</f>
        <v/>
      </c>
      <c r="V150" s="648">
        <f>IFERROR(SUM(V141:V148),"0")</f>
        <v/>
      </c>
      <c r="W150" s="38" t="n"/>
      <c r="X150" s="649" t="n"/>
      <c r="Y150" s="649" t="n"/>
    </row>
    <row r="151" ht="16.5" customHeight="1">
      <c r="A151" s="337" t="inlineStr">
        <is>
          <t>Сочинка</t>
        </is>
      </c>
      <c r="B151" s="314" t="n"/>
      <c r="C151" s="314" t="n"/>
      <c r="D151" s="314" t="n"/>
      <c r="E151" s="314" t="n"/>
      <c r="F151" s="314" t="n"/>
      <c r="G151" s="314" t="n"/>
      <c r="H151" s="314" t="n"/>
      <c r="I151" s="314" t="n"/>
      <c r="J151" s="314" t="n"/>
      <c r="K151" s="314" t="n"/>
      <c r="L151" s="314" t="n"/>
      <c r="M151" s="314" t="n"/>
      <c r="N151" s="314" t="n"/>
      <c r="O151" s="314" t="n"/>
      <c r="P151" s="314" t="n"/>
      <c r="Q151" s="314" t="n"/>
      <c r="R151" s="314" t="n"/>
      <c r="S151" s="314" t="n"/>
      <c r="T151" s="314" t="n"/>
      <c r="U151" s="314" t="n"/>
      <c r="V151" s="314" t="n"/>
      <c r="W151" s="314" t="n"/>
      <c r="X151" s="337" t="n"/>
      <c r="Y151" s="337" t="n"/>
    </row>
    <row r="152" ht="14.25" customHeight="1">
      <c r="A152" s="326" t="inlineStr">
        <is>
          <t>Вареные колбасы</t>
        </is>
      </c>
      <c r="B152" s="314" t="n"/>
      <c r="C152" s="314" t="n"/>
      <c r="D152" s="314" t="n"/>
      <c r="E152" s="314" t="n"/>
      <c r="F152" s="314" t="n"/>
      <c r="G152" s="314" t="n"/>
      <c r="H152" s="314" t="n"/>
      <c r="I152" s="314" t="n"/>
      <c r="J152" s="314" t="n"/>
      <c r="K152" s="314" t="n"/>
      <c r="L152" s="314" t="n"/>
      <c r="M152" s="314" t="n"/>
      <c r="N152" s="314" t="n"/>
      <c r="O152" s="314" t="n"/>
      <c r="P152" s="314" t="n"/>
      <c r="Q152" s="314" t="n"/>
      <c r="R152" s="314" t="n"/>
      <c r="S152" s="314" t="n"/>
      <c r="T152" s="314" t="n"/>
      <c r="U152" s="314" t="n"/>
      <c r="V152" s="314" t="n"/>
      <c r="W152" s="314" t="n"/>
      <c r="X152" s="326" t="n"/>
      <c r="Y152" s="326" t="n"/>
    </row>
    <row r="153" ht="16.5" customHeight="1">
      <c r="A153" s="55" t="inlineStr">
        <is>
          <t>SU002824</t>
        </is>
      </c>
      <c r="B153" s="55" t="inlineStr">
        <is>
          <t>P003231</t>
        </is>
      </c>
      <c r="C153" s="32" t="n">
        <v>4301011450</v>
      </c>
      <c r="D153" s="316" t="n">
        <v>4680115881402</v>
      </c>
      <c r="E153" s="317" t="n"/>
      <c r="F153" s="645" t="n">
        <v>1.35</v>
      </c>
      <c r="G153" s="33" t="n">
        <v>8</v>
      </c>
      <c r="H153" s="645" t="n">
        <v>10.8</v>
      </c>
      <c r="I153" s="645" t="n">
        <v>11.28</v>
      </c>
      <c r="J153" s="33" t="n">
        <v>56</v>
      </c>
      <c r="K153" s="34" t="inlineStr">
        <is>
          <t>СК1</t>
        </is>
      </c>
      <c r="L153" s="33" t="n">
        <v>55</v>
      </c>
      <c r="M153" s="633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N153" s="319" t="n"/>
      <c r="O153" s="319" t="n"/>
      <c r="P153" s="319" t="n"/>
      <c r="Q153" s="317" t="n"/>
      <c r="R153" s="35" t="n"/>
      <c r="S153" s="35" t="n"/>
      <c r="T153" s="36" t="inlineStr">
        <is>
          <t>кг</t>
        </is>
      </c>
      <c r="U153" s="646" t="n">
        <v>0</v>
      </c>
      <c r="V153" s="647">
        <f>IFERROR(IF(U153="",0,CEILING((U153/$H153),1)*$H153),"")</f>
        <v/>
      </c>
      <c r="W153" s="37">
        <f>IFERROR(IF(V153=0,"",ROUNDUP(V153/H153,0)*0.02175),"")</f>
        <v/>
      </c>
      <c r="X153" s="57" t="n"/>
      <c r="Y153" s="58" t="n"/>
      <c r="AC153" s="59" t="n"/>
      <c r="AZ153" s="137" t="inlineStr">
        <is>
          <t>КИ</t>
        </is>
      </c>
    </row>
    <row r="154" ht="27" customHeight="1">
      <c r="A154" s="55" t="inlineStr">
        <is>
          <t>SU002823</t>
        </is>
      </c>
      <c r="B154" s="55" t="inlineStr">
        <is>
          <t>P003230</t>
        </is>
      </c>
      <c r="C154" s="32" t="n">
        <v>4301011454</v>
      </c>
      <c r="D154" s="316" t="n">
        <v>4680115881396</v>
      </c>
      <c r="E154" s="317" t="n"/>
      <c r="F154" s="645" t="n">
        <v>0.45</v>
      </c>
      <c r="G154" s="33" t="n">
        <v>6</v>
      </c>
      <c r="H154" s="645" t="n">
        <v>2.7</v>
      </c>
      <c r="I154" s="645" t="n">
        <v>2.9</v>
      </c>
      <c r="J154" s="33" t="n">
        <v>156</v>
      </c>
      <c r="K154" s="34" t="inlineStr">
        <is>
          <t>СК2</t>
        </is>
      </c>
      <c r="L154" s="33" t="n">
        <v>55</v>
      </c>
      <c r="M154" s="341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N154" s="319" t="n"/>
      <c r="O154" s="319" t="n"/>
      <c r="P154" s="319" t="n"/>
      <c r="Q154" s="317" t="n"/>
      <c r="R154" s="35" t="n"/>
      <c r="S154" s="35" t="n"/>
      <c r="T154" s="36" t="inlineStr">
        <is>
          <t>кг</t>
        </is>
      </c>
      <c r="U154" s="646" t="n">
        <v>0</v>
      </c>
      <c r="V154" s="647">
        <f>IFERROR(IF(U154="",0,CEILING((U154/$H154),1)*$H154),"")</f>
        <v/>
      </c>
      <c r="W154" s="37">
        <f>IFERROR(IF(V154=0,"",ROUNDUP(V154/H154,0)*0.00753),"")</f>
        <v/>
      </c>
      <c r="X154" s="57" t="n"/>
      <c r="Y154" s="58" t="n"/>
      <c r="AC154" s="59" t="n"/>
      <c r="AZ154" s="138" t="inlineStr">
        <is>
          <t>КИ</t>
        </is>
      </c>
    </row>
    <row r="155">
      <c r="A155" s="313" t="n"/>
      <c r="B155" s="314" t="n"/>
      <c r="C155" s="314" t="n"/>
      <c r="D155" s="314" t="n"/>
      <c r="E155" s="314" t="n"/>
      <c r="F155" s="314" t="n"/>
      <c r="G155" s="314" t="n"/>
      <c r="H155" s="314" t="n"/>
      <c r="I155" s="314" t="n"/>
      <c r="J155" s="314" t="n"/>
      <c r="K155" s="314" t="n"/>
      <c r="L155" s="315" t="n"/>
      <c r="M155" s="328" t="inlineStr">
        <is>
          <t>Итого</t>
        </is>
      </c>
      <c r="N155" s="329" t="n"/>
      <c r="O155" s="329" t="n"/>
      <c r="P155" s="329" t="n"/>
      <c r="Q155" s="329" t="n"/>
      <c r="R155" s="329" t="n"/>
      <c r="S155" s="330" t="n"/>
      <c r="T155" s="38" t="inlineStr">
        <is>
          <t>кор</t>
        </is>
      </c>
      <c r="U155" s="648">
        <f>IFERROR(U153/H153,"0")+IFERROR(U154/H154,"0")</f>
        <v/>
      </c>
      <c r="V155" s="648">
        <f>IFERROR(V153/H153,"0")+IFERROR(V154/H154,"0")</f>
        <v/>
      </c>
      <c r="W155" s="648">
        <f>IFERROR(IF(W153="",0,W153),"0")+IFERROR(IF(W154="",0,W154),"0")</f>
        <v/>
      </c>
      <c r="X155" s="649" t="n"/>
      <c r="Y155" s="649" t="n"/>
    </row>
    <row r="156">
      <c r="A156" s="314" t="n"/>
      <c r="B156" s="314" t="n"/>
      <c r="C156" s="314" t="n"/>
      <c r="D156" s="314" t="n"/>
      <c r="E156" s="314" t="n"/>
      <c r="F156" s="314" t="n"/>
      <c r="G156" s="314" t="n"/>
      <c r="H156" s="314" t="n"/>
      <c r="I156" s="314" t="n"/>
      <c r="J156" s="314" t="n"/>
      <c r="K156" s="314" t="n"/>
      <c r="L156" s="315" t="n"/>
      <c r="M156" s="328" t="inlineStr">
        <is>
          <t>Итого</t>
        </is>
      </c>
      <c r="N156" s="329" t="n"/>
      <c r="O156" s="329" t="n"/>
      <c r="P156" s="329" t="n"/>
      <c r="Q156" s="329" t="n"/>
      <c r="R156" s="329" t="n"/>
      <c r="S156" s="330" t="n"/>
      <c r="T156" s="38" t="inlineStr">
        <is>
          <t>кг</t>
        </is>
      </c>
      <c r="U156" s="648">
        <f>IFERROR(SUM(U153:U154),"0")</f>
        <v/>
      </c>
      <c r="V156" s="648">
        <f>IFERROR(SUM(V153:V154),"0")</f>
        <v/>
      </c>
      <c r="W156" s="38" t="n"/>
      <c r="X156" s="649" t="n"/>
      <c r="Y156" s="649" t="n"/>
    </row>
    <row r="157" ht="14.25" customHeight="1">
      <c r="A157" s="326" t="inlineStr">
        <is>
          <t>Ветчины</t>
        </is>
      </c>
      <c r="B157" s="314" t="n"/>
      <c r="C157" s="314" t="n"/>
      <c r="D157" s="314" t="n"/>
      <c r="E157" s="314" t="n"/>
      <c r="F157" s="314" t="n"/>
      <c r="G157" s="314" t="n"/>
      <c r="H157" s="314" t="n"/>
      <c r="I157" s="314" t="n"/>
      <c r="J157" s="314" t="n"/>
      <c r="K157" s="314" t="n"/>
      <c r="L157" s="314" t="n"/>
      <c r="M157" s="314" t="n"/>
      <c r="N157" s="314" t="n"/>
      <c r="O157" s="314" t="n"/>
      <c r="P157" s="314" t="n"/>
      <c r="Q157" s="314" t="n"/>
      <c r="R157" s="314" t="n"/>
      <c r="S157" s="314" t="n"/>
      <c r="T157" s="314" t="n"/>
      <c r="U157" s="314" t="n"/>
      <c r="V157" s="314" t="n"/>
      <c r="W157" s="314" t="n"/>
      <c r="X157" s="326" t="n"/>
      <c r="Y157" s="326" t="n"/>
    </row>
    <row r="158" ht="16.5" customHeight="1">
      <c r="A158" s="55" t="inlineStr">
        <is>
          <t>SU003068</t>
        </is>
      </c>
      <c r="B158" s="55" t="inlineStr">
        <is>
          <t>P003611</t>
        </is>
      </c>
      <c r="C158" s="32" t="n">
        <v>4301020262</v>
      </c>
      <c r="D158" s="316" t="n">
        <v>4680115882935</v>
      </c>
      <c r="E158" s="317" t="n"/>
      <c r="F158" s="645" t="n">
        <v>1.35</v>
      </c>
      <c r="G158" s="33" t="n">
        <v>8</v>
      </c>
      <c r="H158" s="645" t="n">
        <v>10.8</v>
      </c>
      <c r="I158" s="645" t="n">
        <v>11.28</v>
      </c>
      <c r="J158" s="33" t="n">
        <v>56</v>
      </c>
      <c r="K158" s="34" t="inlineStr">
        <is>
          <t>СК3</t>
        </is>
      </c>
      <c r="L158" s="33" t="n">
        <v>50</v>
      </c>
      <c r="M158" s="524" t="inlineStr">
        <is>
          <t>Ветчина «Сочинка с сочным окороком» Весовой п/а ТМ «Стародворье»</t>
        </is>
      </c>
      <c r="N158" s="319" t="n"/>
      <c r="O158" s="319" t="n"/>
      <c r="P158" s="319" t="n"/>
      <c r="Q158" s="317" t="n"/>
      <c r="R158" s="35" t="n"/>
      <c r="S158" s="35" t="n"/>
      <c r="T158" s="36" t="inlineStr">
        <is>
          <t>кг</t>
        </is>
      </c>
      <c r="U158" s="646" t="n">
        <v>0</v>
      </c>
      <c r="V158" s="647">
        <f>IFERROR(IF(U158="",0,CEILING((U158/$H158),1)*$H158),"")</f>
        <v/>
      </c>
      <c r="W158" s="37">
        <f>IFERROR(IF(V158=0,"",ROUNDUP(V158/H158,0)*0.02175),"")</f>
        <v/>
      </c>
      <c r="X158" s="57" t="n"/>
      <c r="Y158" s="58" t="n"/>
      <c r="AC158" s="59" t="n"/>
      <c r="AZ158" s="139" t="inlineStr">
        <is>
          <t>КИ</t>
        </is>
      </c>
    </row>
    <row r="159" ht="16.5" customHeight="1">
      <c r="A159" s="55" t="inlineStr">
        <is>
          <t>SU002757</t>
        </is>
      </c>
      <c r="B159" s="55" t="inlineStr">
        <is>
          <t>P003128</t>
        </is>
      </c>
      <c r="C159" s="32" t="n">
        <v>4301020220</v>
      </c>
      <c r="D159" s="316" t="n">
        <v>4680115880764</v>
      </c>
      <c r="E159" s="317" t="n"/>
      <c r="F159" s="645" t="n">
        <v>0.35</v>
      </c>
      <c r="G159" s="33" t="n">
        <v>6</v>
      </c>
      <c r="H159" s="645" t="n">
        <v>2.1</v>
      </c>
      <c r="I159" s="645" t="n">
        <v>2.3</v>
      </c>
      <c r="J159" s="33" t="n">
        <v>156</v>
      </c>
      <c r="K159" s="34" t="inlineStr">
        <is>
          <t>СК1</t>
        </is>
      </c>
      <c r="L159" s="33" t="n">
        <v>50</v>
      </c>
      <c r="M159" s="555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N159" s="319" t="n"/>
      <c r="O159" s="319" t="n"/>
      <c r="P159" s="319" t="n"/>
      <c r="Q159" s="317" t="n"/>
      <c r="R159" s="35" t="n"/>
      <c r="S159" s="35" t="n"/>
      <c r="T159" s="36" t="inlineStr">
        <is>
          <t>кг</t>
        </is>
      </c>
      <c r="U159" s="646" t="n">
        <v>0</v>
      </c>
      <c r="V159" s="647">
        <f>IFERROR(IF(U159="",0,CEILING((U159/$H159),1)*$H159),"")</f>
        <v/>
      </c>
      <c r="W159" s="37">
        <f>IFERROR(IF(V159=0,"",ROUNDUP(V159/H159,0)*0.00753),"")</f>
        <v/>
      </c>
      <c r="X159" s="57" t="n"/>
      <c r="Y159" s="58" t="n"/>
      <c r="AC159" s="59" t="n"/>
      <c r="AZ159" s="140" t="inlineStr">
        <is>
          <t>КИ</t>
        </is>
      </c>
    </row>
    <row r="160">
      <c r="A160" s="313" t="n"/>
      <c r="B160" s="314" t="n"/>
      <c r="C160" s="314" t="n"/>
      <c r="D160" s="314" t="n"/>
      <c r="E160" s="314" t="n"/>
      <c r="F160" s="314" t="n"/>
      <c r="G160" s="314" t="n"/>
      <c r="H160" s="314" t="n"/>
      <c r="I160" s="314" t="n"/>
      <c r="J160" s="314" t="n"/>
      <c r="K160" s="314" t="n"/>
      <c r="L160" s="315" t="n"/>
      <c r="M160" s="328" t="inlineStr">
        <is>
          <t>Итого</t>
        </is>
      </c>
      <c r="N160" s="329" t="n"/>
      <c r="O160" s="329" t="n"/>
      <c r="P160" s="329" t="n"/>
      <c r="Q160" s="329" t="n"/>
      <c r="R160" s="329" t="n"/>
      <c r="S160" s="330" t="n"/>
      <c r="T160" s="38" t="inlineStr">
        <is>
          <t>кор</t>
        </is>
      </c>
      <c r="U160" s="648">
        <f>IFERROR(U158/H158,"0")+IFERROR(U159/H159,"0")</f>
        <v/>
      </c>
      <c r="V160" s="648">
        <f>IFERROR(V158/H158,"0")+IFERROR(V159/H159,"0")</f>
        <v/>
      </c>
      <c r="W160" s="648">
        <f>IFERROR(IF(W158="",0,W158),"0")+IFERROR(IF(W159="",0,W159),"0")</f>
        <v/>
      </c>
      <c r="X160" s="649" t="n"/>
      <c r="Y160" s="649" t="n"/>
    </row>
    <row r="161">
      <c r="A161" s="314" t="n"/>
      <c r="B161" s="314" t="n"/>
      <c r="C161" s="314" t="n"/>
      <c r="D161" s="314" t="n"/>
      <c r="E161" s="314" t="n"/>
      <c r="F161" s="314" t="n"/>
      <c r="G161" s="314" t="n"/>
      <c r="H161" s="314" t="n"/>
      <c r="I161" s="314" t="n"/>
      <c r="J161" s="314" t="n"/>
      <c r="K161" s="314" t="n"/>
      <c r="L161" s="315" t="n"/>
      <c r="M161" s="328" t="inlineStr">
        <is>
          <t>Итого</t>
        </is>
      </c>
      <c r="N161" s="329" t="n"/>
      <c r="O161" s="329" t="n"/>
      <c r="P161" s="329" t="n"/>
      <c r="Q161" s="329" t="n"/>
      <c r="R161" s="329" t="n"/>
      <c r="S161" s="330" t="n"/>
      <c r="T161" s="38" t="inlineStr">
        <is>
          <t>кг</t>
        </is>
      </c>
      <c r="U161" s="648">
        <f>IFERROR(SUM(U158:U159),"0")</f>
        <v/>
      </c>
      <c r="V161" s="648">
        <f>IFERROR(SUM(V158:V159),"0")</f>
        <v/>
      </c>
      <c r="W161" s="38" t="n"/>
      <c r="X161" s="649" t="n"/>
      <c r="Y161" s="649" t="n"/>
    </row>
    <row r="162" ht="14.25" customHeight="1">
      <c r="A162" s="326" t="inlineStr">
        <is>
          <t>Копченые колбасы</t>
        </is>
      </c>
      <c r="B162" s="314" t="n"/>
      <c r="C162" s="314" t="n"/>
      <c r="D162" s="314" t="n"/>
      <c r="E162" s="314" t="n"/>
      <c r="F162" s="314" t="n"/>
      <c r="G162" s="314" t="n"/>
      <c r="H162" s="314" t="n"/>
      <c r="I162" s="314" t="n"/>
      <c r="J162" s="314" t="n"/>
      <c r="K162" s="314" t="n"/>
      <c r="L162" s="314" t="n"/>
      <c r="M162" s="314" t="n"/>
      <c r="N162" s="314" t="n"/>
      <c r="O162" s="314" t="n"/>
      <c r="P162" s="314" t="n"/>
      <c r="Q162" s="314" t="n"/>
      <c r="R162" s="314" t="n"/>
      <c r="S162" s="314" t="n"/>
      <c r="T162" s="314" t="n"/>
      <c r="U162" s="314" t="n"/>
      <c r="V162" s="314" t="n"/>
      <c r="W162" s="314" t="n"/>
      <c r="X162" s="326" t="n"/>
      <c r="Y162" s="326" t="n"/>
    </row>
    <row r="163" ht="27" customHeight="1">
      <c r="A163" s="55" t="inlineStr">
        <is>
          <t>SU002941</t>
        </is>
      </c>
      <c r="B163" s="55" t="inlineStr">
        <is>
          <t>P003387</t>
        </is>
      </c>
      <c r="C163" s="32" t="n">
        <v>4301031224</v>
      </c>
      <c r="D163" s="316" t="n">
        <v>4680115882683</v>
      </c>
      <c r="E163" s="317" t="n"/>
      <c r="F163" s="645" t="n">
        <v>0.9</v>
      </c>
      <c r="G163" s="33" t="n">
        <v>6</v>
      </c>
      <c r="H163" s="645" t="n">
        <v>5.4</v>
      </c>
      <c r="I163" s="645" t="n">
        <v>5.61</v>
      </c>
      <c r="J163" s="33" t="n">
        <v>120</v>
      </c>
      <c r="K163" s="34" t="inlineStr">
        <is>
          <t>СК2</t>
        </is>
      </c>
      <c r="L163" s="33" t="n">
        <v>40</v>
      </c>
      <c r="M163" s="512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N163" s="319" t="n"/>
      <c r="O163" s="319" t="n"/>
      <c r="P163" s="319" t="n"/>
      <c r="Q163" s="317" t="n"/>
      <c r="R163" s="35" t="n"/>
      <c r="S163" s="35" t="n"/>
      <c r="T163" s="36" t="inlineStr">
        <is>
          <t>кг</t>
        </is>
      </c>
      <c r="U163" s="646" t="n">
        <v>0</v>
      </c>
      <c r="V163" s="647">
        <f>IFERROR(IF(U163="",0,CEILING((U163/$H163),1)*$H163),"")</f>
        <v/>
      </c>
      <c r="W163" s="37">
        <f>IFERROR(IF(V163=0,"",ROUNDUP(V163/H163,0)*0.00937),"")</f>
        <v/>
      </c>
      <c r="X163" s="57" t="n"/>
      <c r="Y163" s="58" t="n"/>
      <c r="AC163" s="59" t="n"/>
      <c r="AZ163" s="141" t="inlineStr">
        <is>
          <t>КИ</t>
        </is>
      </c>
    </row>
    <row r="164" ht="27" customHeight="1">
      <c r="A164" s="55" t="inlineStr">
        <is>
          <t>SU002943</t>
        </is>
      </c>
      <c r="B164" s="55" t="inlineStr">
        <is>
          <t>P003401</t>
        </is>
      </c>
      <c r="C164" s="32" t="n">
        <v>4301031230</v>
      </c>
      <c r="D164" s="316" t="n">
        <v>4680115882690</v>
      </c>
      <c r="E164" s="317" t="n"/>
      <c r="F164" s="645" t="n">
        <v>0.9</v>
      </c>
      <c r="G164" s="33" t="n">
        <v>6</v>
      </c>
      <c r="H164" s="645" t="n">
        <v>5.4</v>
      </c>
      <c r="I164" s="645" t="n">
        <v>5.61</v>
      </c>
      <c r="J164" s="33" t="n">
        <v>120</v>
      </c>
      <c r="K164" s="34" t="inlineStr">
        <is>
          <t>СК2</t>
        </is>
      </c>
      <c r="L164" s="33" t="n">
        <v>40</v>
      </c>
      <c r="M164" s="581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N164" s="319" t="n"/>
      <c r="O164" s="319" t="n"/>
      <c r="P164" s="319" t="n"/>
      <c r="Q164" s="317" t="n"/>
      <c r="R164" s="35" t="n"/>
      <c r="S164" s="35" t="n"/>
      <c r="T164" s="36" t="inlineStr">
        <is>
          <t>кг</t>
        </is>
      </c>
      <c r="U164" s="646" t="n">
        <v>0</v>
      </c>
      <c r="V164" s="647">
        <f>IFERROR(IF(U164="",0,CEILING((U164/$H164),1)*$H164),"")</f>
        <v/>
      </c>
      <c r="W164" s="37">
        <f>IFERROR(IF(V164=0,"",ROUNDUP(V164/H164,0)*0.00937),"")</f>
        <v/>
      </c>
      <c r="X164" s="57" t="n"/>
      <c r="Y164" s="58" t="n"/>
      <c r="AC164" s="59" t="n"/>
      <c r="AZ164" s="142" t="inlineStr">
        <is>
          <t>КИ</t>
        </is>
      </c>
    </row>
    <row r="165" ht="27" customHeight="1">
      <c r="A165" s="55" t="inlineStr">
        <is>
          <t>SU002945</t>
        </is>
      </c>
      <c r="B165" s="55" t="inlineStr">
        <is>
          <t>P003383</t>
        </is>
      </c>
      <c r="C165" s="32" t="n">
        <v>4301031220</v>
      </c>
      <c r="D165" s="316" t="n">
        <v>4680115882669</v>
      </c>
      <c r="E165" s="317" t="n"/>
      <c r="F165" s="645" t="n">
        <v>0.9</v>
      </c>
      <c r="G165" s="33" t="n">
        <v>6</v>
      </c>
      <c r="H165" s="645" t="n">
        <v>5.4</v>
      </c>
      <c r="I165" s="645" t="n">
        <v>5.61</v>
      </c>
      <c r="J165" s="33" t="n">
        <v>120</v>
      </c>
      <c r="K165" s="34" t="inlineStr">
        <is>
          <t>СК2</t>
        </is>
      </c>
      <c r="L165" s="33" t="n">
        <v>40</v>
      </c>
      <c r="M165" s="517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65" s="319" t="n"/>
      <c r="O165" s="319" t="n"/>
      <c r="P165" s="319" t="n"/>
      <c r="Q165" s="317" t="n"/>
      <c r="R165" s="35" t="n"/>
      <c r="S165" s="35" t="n"/>
      <c r="T165" s="36" t="inlineStr">
        <is>
          <t>кг</t>
        </is>
      </c>
      <c r="U165" s="646" t="n">
        <v>0</v>
      </c>
      <c r="V165" s="647">
        <f>IFERROR(IF(U165="",0,CEILING((U165/$H165),1)*$H165),"")</f>
        <v/>
      </c>
      <c r="W165" s="37">
        <f>IFERROR(IF(V165=0,"",ROUNDUP(V165/H165,0)*0.00937),"")</f>
        <v/>
      </c>
      <c r="X165" s="57" t="n"/>
      <c r="Y165" s="58" t="n"/>
      <c r="AC165" s="59" t="n"/>
      <c r="AZ165" s="143" t="inlineStr">
        <is>
          <t>КИ</t>
        </is>
      </c>
    </row>
    <row r="166" ht="27" customHeight="1">
      <c r="A166" s="55" t="inlineStr">
        <is>
          <t>SU002947</t>
        </is>
      </c>
      <c r="B166" s="55" t="inlineStr">
        <is>
          <t>P003384</t>
        </is>
      </c>
      <c r="C166" s="32" t="n">
        <v>4301031221</v>
      </c>
      <c r="D166" s="316" t="n">
        <v>4680115882676</v>
      </c>
      <c r="E166" s="317" t="n"/>
      <c r="F166" s="645" t="n">
        <v>0.9</v>
      </c>
      <c r="G166" s="33" t="n">
        <v>6</v>
      </c>
      <c r="H166" s="645" t="n">
        <v>5.4</v>
      </c>
      <c r="I166" s="645" t="n">
        <v>5.61</v>
      </c>
      <c r="J166" s="33" t="n">
        <v>120</v>
      </c>
      <c r="K166" s="34" t="inlineStr">
        <is>
          <t>СК2</t>
        </is>
      </c>
      <c r="L166" s="33" t="n">
        <v>40</v>
      </c>
      <c r="M166" s="552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N166" s="319" t="n"/>
      <c r="O166" s="319" t="n"/>
      <c r="P166" s="319" t="n"/>
      <c r="Q166" s="317" t="n"/>
      <c r="R166" s="35" t="n"/>
      <c r="S166" s="35" t="n"/>
      <c r="T166" s="36" t="inlineStr">
        <is>
          <t>кг</t>
        </is>
      </c>
      <c r="U166" s="646" t="n">
        <v>0</v>
      </c>
      <c r="V166" s="647">
        <f>IFERROR(IF(U166="",0,CEILING((U166/$H166),1)*$H166),"")</f>
        <v/>
      </c>
      <c r="W166" s="37">
        <f>IFERROR(IF(V166=0,"",ROUNDUP(V166/H166,0)*0.00937),"")</f>
        <v/>
      </c>
      <c r="X166" s="57" t="n"/>
      <c r="Y166" s="58" t="n"/>
      <c r="AC166" s="59" t="n"/>
      <c r="AZ166" s="144" t="inlineStr">
        <is>
          <t>КИ</t>
        </is>
      </c>
    </row>
    <row r="167">
      <c r="A167" s="313" t="n"/>
      <c r="B167" s="314" t="n"/>
      <c r="C167" s="314" t="n"/>
      <c r="D167" s="314" t="n"/>
      <c r="E167" s="314" t="n"/>
      <c r="F167" s="314" t="n"/>
      <c r="G167" s="314" t="n"/>
      <c r="H167" s="314" t="n"/>
      <c r="I167" s="314" t="n"/>
      <c r="J167" s="314" t="n"/>
      <c r="K167" s="314" t="n"/>
      <c r="L167" s="315" t="n"/>
      <c r="M167" s="328" t="inlineStr">
        <is>
          <t>Итого</t>
        </is>
      </c>
      <c r="N167" s="329" t="n"/>
      <c r="O167" s="329" t="n"/>
      <c r="P167" s="329" t="n"/>
      <c r="Q167" s="329" t="n"/>
      <c r="R167" s="329" t="n"/>
      <c r="S167" s="330" t="n"/>
      <c r="T167" s="38" t="inlineStr">
        <is>
          <t>кор</t>
        </is>
      </c>
      <c r="U167" s="648">
        <f>IFERROR(U163/H163,"0")+IFERROR(U164/H164,"0")+IFERROR(U165/H165,"0")+IFERROR(U166/H166,"0")</f>
        <v/>
      </c>
      <c r="V167" s="648">
        <f>IFERROR(V163/H163,"0")+IFERROR(V164/H164,"0")+IFERROR(V165/H165,"0")+IFERROR(V166/H166,"0")</f>
        <v/>
      </c>
      <c r="W167" s="648">
        <f>IFERROR(IF(W163="",0,W163),"0")+IFERROR(IF(W164="",0,W164),"0")+IFERROR(IF(W165="",0,W165),"0")+IFERROR(IF(W166="",0,W166),"0")</f>
        <v/>
      </c>
      <c r="X167" s="649" t="n"/>
      <c r="Y167" s="649" t="n"/>
    </row>
    <row r="168">
      <c r="A168" s="314" t="n"/>
      <c r="B168" s="314" t="n"/>
      <c r="C168" s="314" t="n"/>
      <c r="D168" s="314" t="n"/>
      <c r="E168" s="314" t="n"/>
      <c r="F168" s="314" t="n"/>
      <c r="G168" s="314" t="n"/>
      <c r="H168" s="314" t="n"/>
      <c r="I168" s="314" t="n"/>
      <c r="J168" s="314" t="n"/>
      <c r="K168" s="314" t="n"/>
      <c r="L168" s="315" t="n"/>
      <c r="M168" s="328" t="inlineStr">
        <is>
          <t>Итого</t>
        </is>
      </c>
      <c r="N168" s="329" t="n"/>
      <c r="O168" s="329" t="n"/>
      <c r="P168" s="329" t="n"/>
      <c r="Q168" s="329" t="n"/>
      <c r="R168" s="329" t="n"/>
      <c r="S168" s="330" t="n"/>
      <c r="T168" s="38" t="inlineStr">
        <is>
          <t>кг</t>
        </is>
      </c>
      <c r="U168" s="648">
        <f>IFERROR(SUM(U163:U166),"0")</f>
        <v/>
      </c>
      <c r="V168" s="648">
        <f>IFERROR(SUM(V163:V166),"0")</f>
        <v/>
      </c>
      <c r="W168" s="38" t="n"/>
      <c r="X168" s="649" t="n"/>
      <c r="Y168" s="649" t="n"/>
    </row>
    <row r="169" ht="14.25" customHeight="1">
      <c r="A169" s="326" t="inlineStr">
        <is>
          <t>Сосиски</t>
        </is>
      </c>
      <c r="B169" s="314" t="n"/>
      <c r="C169" s="314" t="n"/>
      <c r="D169" s="314" t="n"/>
      <c r="E169" s="314" t="n"/>
      <c r="F169" s="314" t="n"/>
      <c r="G169" s="314" t="n"/>
      <c r="H169" s="314" t="n"/>
      <c r="I169" s="314" t="n"/>
      <c r="J169" s="314" t="n"/>
      <c r="K169" s="314" t="n"/>
      <c r="L169" s="314" t="n"/>
      <c r="M169" s="314" t="n"/>
      <c r="N169" s="314" t="n"/>
      <c r="O169" s="314" t="n"/>
      <c r="P169" s="314" t="n"/>
      <c r="Q169" s="314" t="n"/>
      <c r="R169" s="314" t="n"/>
      <c r="S169" s="314" t="n"/>
      <c r="T169" s="314" t="n"/>
      <c r="U169" s="314" t="n"/>
      <c r="V169" s="314" t="n"/>
      <c r="W169" s="314" t="n"/>
      <c r="X169" s="326" t="n"/>
      <c r="Y169" s="326" t="n"/>
    </row>
    <row r="170" ht="27" customHeight="1">
      <c r="A170" s="55" t="inlineStr">
        <is>
          <t>SU002857</t>
        </is>
      </c>
      <c r="B170" s="55" t="inlineStr">
        <is>
          <t>P003264</t>
        </is>
      </c>
      <c r="C170" s="32" t="n">
        <v>4301051409</v>
      </c>
      <c r="D170" s="316" t="n">
        <v>4680115881556</v>
      </c>
      <c r="E170" s="317" t="n"/>
      <c r="F170" s="645" t="n">
        <v>1</v>
      </c>
      <c r="G170" s="33" t="n">
        <v>4</v>
      </c>
      <c r="H170" s="645" t="n">
        <v>4</v>
      </c>
      <c r="I170" s="645" t="n">
        <v>4.408</v>
      </c>
      <c r="J170" s="33" t="n">
        <v>104</v>
      </c>
      <c r="K170" s="34" t="inlineStr">
        <is>
          <t>СК3</t>
        </is>
      </c>
      <c r="L170" s="33" t="n">
        <v>45</v>
      </c>
      <c r="M170" s="382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N170" s="319" t="n"/>
      <c r="O170" s="319" t="n"/>
      <c r="P170" s="319" t="n"/>
      <c r="Q170" s="317" t="n"/>
      <c r="R170" s="35" t="n"/>
      <c r="S170" s="35" t="n"/>
      <c r="T170" s="36" t="inlineStr">
        <is>
          <t>кг</t>
        </is>
      </c>
      <c r="U170" s="646" t="n">
        <v>0</v>
      </c>
      <c r="V170" s="647">
        <f>IFERROR(IF(U170="",0,CEILING((U170/$H170),1)*$H170),"")</f>
        <v/>
      </c>
      <c r="W170" s="37">
        <f>IFERROR(IF(V170=0,"",ROUNDUP(V170/H170,0)*0.01196),"")</f>
        <v/>
      </c>
      <c r="X170" s="57" t="n"/>
      <c r="Y170" s="58" t="n"/>
      <c r="AC170" s="59" t="n"/>
      <c r="AZ170" s="145" t="inlineStr">
        <is>
          <t>КИ</t>
        </is>
      </c>
    </row>
    <row r="171" ht="16.5" customHeight="1">
      <c r="A171" s="55" t="inlineStr">
        <is>
          <t>SU002725</t>
        </is>
      </c>
      <c r="B171" s="55" t="inlineStr">
        <is>
          <t>P003672</t>
        </is>
      </c>
      <c r="C171" s="32" t="n">
        <v>4301051538</v>
      </c>
      <c r="D171" s="316" t="n">
        <v>4680115880573</v>
      </c>
      <c r="E171" s="317" t="n"/>
      <c r="F171" s="645" t="n">
        <v>1.45</v>
      </c>
      <c r="G171" s="33" t="n">
        <v>6</v>
      </c>
      <c r="H171" s="645" t="n">
        <v>8.699999999999999</v>
      </c>
      <c r="I171" s="645" t="n">
        <v>9.263999999999999</v>
      </c>
      <c r="J171" s="33" t="n">
        <v>56</v>
      </c>
      <c r="K171" s="34" t="inlineStr">
        <is>
          <t>СК2</t>
        </is>
      </c>
      <c r="L171" s="33" t="n">
        <v>45</v>
      </c>
      <c r="M171" s="539" t="inlineStr">
        <is>
          <t>Сосиски «Сочинки» Весовой п/а ТМ «Стародворье»</t>
        </is>
      </c>
      <c r="N171" s="319" t="n"/>
      <c r="O171" s="319" t="n"/>
      <c r="P171" s="319" t="n"/>
      <c r="Q171" s="317" t="n"/>
      <c r="R171" s="35" t="n"/>
      <c r="S171" s="35" t="n"/>
      <c r="T171" s="36" t="inlineStr">
        <is>
          <t>кг</t>
        </is>
      </c>
      <c r="U171" s="646" t="n">
        <v>150</v>
      </c>
      <c r="V171" s="647">
        <f>IFERROR(IF(U171="",0,CEILING((U171/$H171),1)*$H171),"")</f>
        <v/>
      </c>
      <c r="W171" s="37">
        <f>IFERROR(IF(V171=0,"",ROUNDUP(V171/H171,0)*0.02175),"")</f>
        <v/>
      </c>
      <c r="X171" s="57" t="n"/>
      <c r="Y171" s="58" t="n"/>
      <c r="AC171" s="59" t="n"/>
      <c r="AZ171" s="146" t="inlineStr">
        <is>
          <t>КИ</t>
        </is>
      </c>
    </row>
    <row r="172" ht="27" customHeight="1">
      <c r="A172" s="55" t="inlineStr">
        <is>
          <t>SU002843</t>
        </is>
      </c>
      <c r="B172" s="55" t="inlineStr">
        <is>
          <t>P003263</t>
        </is>
      </c>
      <c r="C172" s="32" t="n">
        <v>4301051408</v>
      </c>
      <c r="D172" s="316" t="n">
        <v>4680115881594</v>
      </c>
      <c r="E172" s="317" t="n"/>
      <c r="F172" s="645" t="n">
        <v>1.35</v>
      </c>
      <c r="G172" s="33" t="n">
        <v>6</v>
      </c>
      <c r="H172" s="645" t="n">
        <v>8.1</v>
      </c>
      <c r="I172" s="645" t="n">
        <v>8.664</v>
      </c>
      <c r="J172" s="33" t="n">
        <v>56</v>
      </c>
      <c r="K172" s="34" t="inlineStr">
        <is>
          <t>СК3</t>
        </is>
      </c>
      <c r="L172" s="33" t="n">
        <v>40</v>
      </c>
      <c r="M172" s="399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N172" s="319" t="n"/>
      <c r="O172" s="319" t="n"/>
      <c r="P172" s="319" t="n"/>
      <c r="Q172" s="317" t="n"/>
      <c r="R172" s="35" t="n"/>
      <c r="S172" s="35" t="n"/>
      <c r="T172" s="36" t="inlineStr">
        <is>
          <t>кг</t>
        </is>
      </c>
      <c r="U172" s="646" t="n">
        <v>0</v>
      </c>
      <c r="V172" s="647">
        <f>IFERROR(IF(U172="",0,CEILING((U172/$H172),1)*$H172),"")</f>
        <v/>
      </c>
      <c r="W172" s="37">
        <f>IFERROR(IF(V172=0,"",ROUNDUP(V172/H172,0)*0.02175),"")</f>
        <v/>
      </c>
      <c r="X172" s="57" t="n"/>
      <c r="Y172" s="58" t="n"/>
      <c r="AC172" s="59" t="n"/>
      <c r="AZ172" s="147" t="inlineStr">
        <is>
          <t>КИ</t>
        </is>
      </c>
    </row>
    <row r="173" ht="27" customHeight="1">
      <c r="A173" s="55" t="inlineStr">
        <is>
          <t>SU002858</t>
        </is>
      </c>
      <c r="B173" s="55" t="inlineStr">
        <is>
          <t>P003581</t>
        </is>
      </c>
      <c r="C173" s="32" t="n">
        <v>4301051505</v>
      </c>
      <c r="D173" s="316" t="n">
        <v>4680115881587</v>
      </c>
      <c r="E173" s="317" t="n"/>
      <c r="F173" s="645" t="n">
        <v>1</v>
      </c>
      <c r="G173" s="33" t="n">
        <v>4</v>
      </c>
      <c r="H173" s="645" t="n">
        <v>4</v>
      </c>
      <c r="I173" s="645" t="n">
        <v>4.408</v>
      </c>
      <c r="J173" s="33" t="n">
        <v>104</v>
      </c>
      <c r="K173" s="34" t="inlineStr">
        <is>
          <t>СК2</t>
        </is>
      </c>
      <c r="L173" s="33" t="n">
        <v>40</v>
      </c>
      <c r="M173" s="540" t="inlineStr">
        <is>
          <t>Сосиски «Сочинки по-баварски с сыром» вес п/а ТМ «Стародворье» 1,0 кг</t>
        </is>
      </c>
      <c r="N173" s="319" t="n"/>
      <c r="O173" s="319" t="n"/>
      <c r="P173" s="319" t="n"/>
      <c r="Q173" s="317" t="n"/>
      <c r="R173" s="35" t="n"/>
      <c r="S173" s="35" t="n"/>
      <c r="T173" s="36" t="inlineStr">
        <is>
          <t>кг</t>
        </is>
      </c>
      <c r="U173" s="646" t="n">
        <v>0</v>
      </c>
      <c r="V173" s="647">
        <f>IFERROR(IF(U173="",0,CEILING((U173/$H173),1)*$H173),"")</f>
        <v/>
      </c>
      <c r="W173" s="37">
        <f>IFERROR(IF(V173=0,"",ROUNDUP(V173/H173,0)*0.01196),"")</f>
        <v/>
      </c>
      <c r="X173" s="57" t="n"/>
      <c r="Y173" s="58" t="n"/>
      <c r="AC173" s="59" t="n"/>
      <c r="AZ173" s="148" t="inlineStr">
        <is>
          <t>КИ</t>
        </is>
      </c>
    </row>
    <row r="174" ht="27" customHeight="1">
      <c r="A174" s="55" t="inlineStr">
        <is>
          <t>SU002858</t>
        </is>
      </c>
      <c r="B174" s="55" t="inlineStr">
        <is>
          <t>P003322</t>
        </is>
      </c>
      <c r="C174" s="32" t="n">
        <v>4301051433</v>
      </c>
      <c r="D174" s="316" t="n">
        <v>4680115881587</v>
      </c>
      <c r="E174" s="317" t="n"/>
      <c r="F174" s="645" t="n">
        <v>1</v>
      </c>
      <c r="G174" s="33" t="n">
        <v>4</v>
      </c>
      <c r="H174" s="645" t="n">
        <v>4</v>
      </c>
      <c r="I174" s="645" t="n">
        <v>4.408</v>
      </c>
      <c r="J174" s="33" t="n">
        <v>104</v>
      </c>
      <c r="K174" s="34" t="inlineStr">
        <is>
          <t>СК2</t>
        </is>
      </c>
      <c r="L174" s="33" t="n">
        <v>35</v>
      </c>
      <c r="M174" s="456">
        <f>HYPERLINK("https://abi.ru/products/Охлажденные/Стародворье/Сочинка/Сосиски/P003322/","Сосиски Сочинки по-баварски с сыром Бордо Весовой п/а Стародворье")</f>
        <v/>
      </c>
      <c r="N174" s="319" t="n"/>
      <c r="O174" s="319" t="n"/>
      <c r="P174" s="319" t="n"/>
      <c r="Q174" s="317" t="n"/>
      <c r="R174" s="35" t="n"/>
      <c r="S174" s="35" t="n"/>
      <c r="T174" s="36" t="inlineStr">
        <is>
          <t>кг</t>
        </is>
      </c>
      <c r="U174" s="646" t="n">
        <v>0</v>
      </c>
      <c r="V174" s="647">
        <f>IFERROR(IF(U174="",0,CEILING((U174/$H174),1)*$H174),"")</f>
        <v/>
      </c>
      <c r="W174" s="37">
        <f>IFERROR(IF(V174=0,"",ROUNDUP(V174/H174,0)*0.01196),"")</f>
        <v/>
      </c>
      <c r="X174" s="57" t="n"/>
      <c r="Y174" s="58" t="n"/>
      <c r="AC174" s="59" t="n"/>
      <c r="AZ174" s="149" t="inlineStr">
        <is>
          <t>КИ</t>
        </is>
      </c>
    </row>
    <row r="175" ht="16.5" customHeight="1">
      <c r="A175" s="55" t="inlineStr">
        <is>
          <t>SU002795</t>
        </is>
      </c>
      <c r="B175" s="55" t="inlineStr">
        <is>
          <t>P003203</t>
        </is>
      </c>
      <c r="C175" s="32" t="n">
        <v>4301051380</v>
      </c>
      <c r="D175" s="316" t="n">
        <v>4680115880962</v>
      </c>
      <c r="E175" s="317" t="n"/>
      <c r="F175" s="645" t="n">
        <v>1.3</v>
      </c>
      <c r="G175" s="33" t="n">
        <v>6</v>
      </c>
      <c r="H175" s="645" t="n">
        <v>7.8</v>
      </c>
      <c r="I175" s="645" t="n">
        <v>8.364000000000001</v>
      </c>
      <c r="J175" s="33" t="n">
        <v>56</v>
      </c>
      <c r="K175" s="34" t="inlineStr">
        <is>
          <t>СК2</t>
        </is>
      </c>
      <c r="L175" s="33" t="n">
        <v>40</v>
      </c>
      <c r="M175" s="413">
        <f>HYPERLINK("https://abi.ru/products/Охлажденные/Стародворье/Сочинка/Сосиски/P003203/","Сосиски Сочинки с сыром Бордо Весовой п/а Стародворье")</f>
        <v/>
      </c>
      <c r="N175" s="319" t="n"/>
      <c r="O175" s="319" t="n"/>
      <c r="P175" s="319" t="n"/>
      <c r="Q175" s="317" t="n"/>
      <c r="R175" s="35" t="n"/>
      <c r="S175" s="35" t="n"/>
      <c r="T175" s="36" t="inlineStr">
        <is>
          <t>кг</t>
        </is>
      </c>
      <c r="U175" s="646" t="n">
        <v>0</v>
      </c>
      <c r="V175" s="647">
        <f>IFERROR(IF(U175="",0,CEILING((U175/$H175),1)*$H175),"")</f>
        <v/>
      </c>
      <c r="W175" s="37">
        <f>IFERROR(IF(V175=0,"",ROUNDUP(V175/H175,0)*0.02175),"")</f>
        <v/>
      </c>
      <c r="X175" s="57" t="n"/>
      <c r="Y175" s="58" t="n"/>
      <c r="AC175" s="59" t="n"/>
      <c r="AZ175" s="150" t="inlineStr">
        <is>
          <t>КИ</t>
        </is>
      </c>
    </row>
    <row r="176" ht="27" customHeight="1">
      <c r="A176" s="55" t="inlineStr">
        <is>
          <t>SU002845</t>
        </is>
      </c>
      <c r="B176" s="55" t="inlineStr">
        <is>
          <t>P003266</t>
        </is>
      </c>
      <c r="C176" s="32" t="n">
        <v>4301051411</v>
      </c>
      <c r="D176" s="316" t="n">
        <v>4680115881617</v>
      </c>
      <c r="E176" s="317" t="n"/>
      <c r="F176" s="645" t="n">
        <v>1.35</v>
      </c>
      <c r="G176" s="33" t="n">
        <v>6</v>
      </c>
      <c r="H176" s="645" t="n">
        <v>8.1</v>
      </c>
      <c r="I176" s="645" t="n">
        <v>8.646000000000001</v>
      </c>
      <c r="J176" s="33" t="n">
        <v>56</v>
      </c>
      <c r="K176" s="34" t="inlineStr">
        <is>
          <t>СК3</t>
        </is>
      </c>
      <c r="L176" s="33" t="n">
        <v>40</v>
      </c>
      <c r="M176" s="422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N176" s="319" t="n"/>
      <c r="O176" s="319" t="n"/>
      <c r="P176" s="319" t="n"/>
      <c r="Q176" s="317" t="n"/>
      <c r="R176" s="35" t="n"/>
      <c r="S176" s="35" t="n"/>
      <c r="T176" s="36" t="inlineStr">
        <is>
          <t>кг</t>
        </is>
      </c>
      <c r="U176" s="646" t="n">
        <v>0</v>
      </c>
      <c r="V176" s="647">
        <f>IFERROR(IF(U176="",0,CEILING((U176/$H176),1)*$H176),"")</f>
        <v/>
      </c>
      <c r="W176" s="37">
        <f>IFERROR(IF(V176=0,"",ROUNDUP(V176/H176,0)*0.02175),"")</f>
        <v/>
      </c>
      <c r="X176" s="57" t="n"/>
      <c r="Y176" s="58" t="n"/>
      <c r="AC176" s="59" t="n"/>
      <c r="AZ176" s="151" t="inlineStr">
        <is>
          <t>КИ</t>
        </is>
      </c>
    </row>
    <row r="177" ht="27" customHeight="1">
      <c r="A177" s="55" t="inlineStr">
        <is>
          <t>SU002801</t>
        </is>
      </c>
      <c r="B177" s="55" t="inlineStr">
        <is>
          <t>P003475</t>
        </is>
      </c>
      <c r="C177" s="32" t="n">
        <v>4301051487</v>
      </c>
      <c r="D177" s="316" t="n">
        <v>4680115881228</v>
      </c>
      <c r="E177" s="317" t="n"/>
      <c r="F177" s="645" t="n">
        <v>0.4</v>
      </c>
      <c r="G177" s="33" t="n">
        <v>6</v>
      </c>
      <c r="H177" s="645" t="n">
        <v>2.4</v>
      </c>
      <c r="I177" s="645" t="n">
        <v>2.672</v>
      </c>
      <c r="J177" s="33" t="n">
        <v>156</v>
      </c>
      <c r="K177" s="34" t="inlineStr">
        <is>
          <t>СК2</t>
        </is>
      </c>
      <c r="L177" s="33" t="n">
        <v>40</v>
      </c>
      <c r="M177" s="379" t="inlineStr">
        <is>
          <t>Сосиски «Сочинки по-баварски с сыром» Фикс.вес 0,4 П/а мгс ТМ «Стародворье»</t>
        </is>
      </c>
      <c r="N177" s="319" t="n"/>
      <c r="O177" s="319" t="n"/>
      <c r="P177" s="319" t="n"/>
      <c r="Q177" s="317" t="n"/>
      <c r="R177" s="35" t="n"/>
      <c r="S177" s="35" t="n"/>
      <c r="T177" s="36" t="inlineStr">
        <is>
          <t>кг</t>
        </is>
      </c>
      <c r="U177" s="646" t="n">
        <v>40.8</v>
      </c>
      <c r="V177" s="647">
        <f>IFERROR(IF(U177="",0,CEILING((U177/$H177),1)*$H177),"")</f>
        <v/>
      </c>
      <c r="W177" s="37">
        <f>IFERROR(IF(V177=0,"",ROUNDUP(V177/H177,0)*0.00753),"")</f>
        <v/>
      </c>
      <c r="X177" s="57" t="n"/>
      <c r="Y177" s="58" t="n"/>
      <c r="AC177" s="59" t="n"/>
      <c r="AZ177" s="152" t="inlineStr">
        <is>
          <t>КИ</t>
        </is>
      </c>
    </row>
    <row r="178" ht="27" customHeight="1">
      <c r="A178" s="55" t="inlineStr">
        <is>
          <t>SU002802</t>
        </is>
      </c>
      <c r="B178" s="55" t="inlineStr">
        <is>
          <t>P003580</t>
        </is>
      </c>
      <c r="C178" s="32" t="n">
        <v>4301051506</v>
      </c>
      <c r="D178" s="316" t="n">
        <v>4680115881037</v>
      </c>
      <c r="E178" s="317" t="n"/>
      <c r="F178" s="645" t="n">
        <v>0.84</v>
      </c>
      <c r="G178" s="33" t="n">
        <v>4</v>
      </c>
      <c r="H178" s="645" t="n">
        <v>3.36</v>
      </c>
      <c r="I178" s="645" t="n">
        <v>3.618</v>
      </c>
      <c r="J178" s="33" t="n">
        <v>120</v>
      </c>
      <c r="K178" s="34" t="inlineStr">
        <is>
          <t>СК2</t>
        </is>
      </c>
      <c r="L178" s="33" t="n">
        <v>40</v>
      </c>
      <c r="M178" s="437" t="inlineStr">
        <is>
          <t>Сосиски «Сочинки по-баварски с сыром» Фикс.вес 0,84 кг п/а мгс ТМ «Стародворье»</t>
        </is>
      </c>
      <c r="N178" s="319" t="n"/>
      <c r="O178" s="319" t="n"/>
      <c r="P178" s="319" t="n"/>
      <c r="Q178" s="317" t="n"/>
      <c r="R178" s="35" t="n"/>
      <c r="S178" s="35" t="n"/>
      <c r="T178" s="36" t="inlineStr">
        <is>
          <t>кг</t>
        </is>
      </c>
      <c r="U178" s="646" t="n">
        <v>0</v>
      </c>
      <c r="V178" s="647">
        <f>IFERROR(IF(U178="",0,CEILING((U178/$H178),1)*$H178),"")</f>
        <v/>
      </c>
      <c r="W178" s="37">
        <f>IFERROR(IF(V178=0,"",ROUNDUP(V178/H178,0)*0.00937),"")</f>
        <v/>
      </c>
      <c r="X178" s="57" t="n"/>
      <c r="Y178" s="58" t="n"/>
      <c r="AC178" s="59" t="n"/>
      <c r="AZ178" s="153" t="inlineStr">
        <is>
          <t>КИ</t>
        </is>
      </c>
    </row>
    <row r="179" ht="27" customHeight="1">
      <c r="A179" s="55" t="inlineStr">
        <is>
          <t>SU002802</t>
        </is>
      </c>
      <c r="B179" s="55" t="inlineStr">
        <is>
          <t>P003321</t>
        </is>
      </c>
      <c r="C179" s="32" t="n">
        <v>4301051432</v>
      </c>
      <c r="D179" s="316" t="n">
        <v>4680115881037</v>
      </c>
      <c r="E179" s="317" t="n"/>
      <c r="F179" s="645" t="n">
        <v>0.84</v>
      </c>
      <c r="G179" s="33" t="n">
        <v>4</v>
      </c>
      <c r="H179" s="645" t="n">
        <v>3.36</v>
      </c>
      <c r="I179" s="645" t="n">
        <v>3.618</v>
      </c>
      <c r="J179" s="33" t="n">
        <v>120</v>
      </c>
      <c r="K179" s="34" t="inlineStr">
        <is>
          <t>СК2</t>
        </is>
      </c>
      <c r="L179" s="33" t="n">
        <v>35</v>
      </c>
      <c r="M179" s="639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79" s="319" t="n"/>
      <c r="O179" s="319" t="n"/>
      <c r="P179" s="319" t="n"/>
      <c r="Q179" s="317" t="n"/>
      <c r="R179" s="35" t="n"/>
      <c r="S179" s="35" t="n"/>
      <c r="T179" s="36" t="inlineStr">
        <is>
          <t>кг</t>
        </is>
      </c>
      <c r="U179" s="646" t="n">
        <v>0</v>
      </c>
      <c r="V179" s="647">
        <f>IFERROR(IF(U179="",0,CEILING((U179/$H179),1)*$H179),"")</f>
        <v/>
      </c>
      <c r="W179" s="37">
        <f>IFERROR(IF(V179=0,"",ROUNDUP(V179/H179,0)*0.00937),"")</f>
        <v/>
      </c>
      <c r="X179" s="57" t="n"/>
      <c r="Y179" s="58" t="n"/>
      <c r="AC179" s="59" t="n"/>
      <c r="AZ179" s="154" t="inlineStr">
        <is>
          <t>КИ</t>
        </is>
      </c>
    </row>
    <row r="180" ht="27" customHeight="1">
      <c r="A180" s="55" t="inlineStr">
        <is>
          <t>SU002799</t>
        </is>
      </c>
      <c r="B180" s="55" t="inlineStr">
        <is>
          <t>P003217</t>
        </is>
      </c>
      <c r="C180" s="32" t="n">
        <v>4301051384</v>
      </c>
      <c r="D180" s="316" t="n">
        <v>4680115881211</v>
      </c>
      <c r="E180" s="317" t="n"/>
      <c r="F180" s="645" t="n">
        <v>0.4</v>
      </c>
      <c r="G180" s="33" t="n">
        <v>6</v>
      </c>
      <c r="H180" s="645" t="n">
        <v>2.4</v>
      </c>
      <c r="I180" s="645" t="n">
        <v>2.6</v>
      </c>
      <c r="J180" s="33" t="n">
        <v>156</v>
      </c>
      <c r="K180" s="34" t="inlineStr">
        <is>
          <t>СК2</t>
        </is>
      </c>
      <c r="L180" s="33" t="n">
        <v>45</v>
      </c>
      <c r="M180" s="356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N180" s="319" t="n"/>
      <c r="O180" s="319" t="n"/>
      <c r="P180" s="319" t="n"/>
      <c r="Q180" s="317" t="n"/>
      <c r="R180" s="35" t="n"/>
      <c r="S180" s="35" t="n"/>
      <c r="T180" s="36" t="inlineStr">
        <is>
          <t>кг</t>
        </is>
      </c>
      <c r="U180" s="646" t="n">
        <v>81.60000000000001</v>
      </c>
      <c r="V180" s="647">
        <f>IFERROR(IF(U180="",0,CEILING((U180/$H180),1)*$H180),"")</f>
        <v/>
      </c>
      <c r="W180" s="37">
        <f>IFERROR(IF(V180=0,"",ROUNDUP(V180/H180,0)*0.00753),"")</f>
        <v/>
      </c>
      <c r="X180" s="57" t="n"/>
      <c r="Y180" s="58" t="n"/>
      <c r="AC180" s="59" t="n"/>
      <c r="AZ180" s="155" t="inlineStr">
        <is>
          <t>КИ</t>
        </is>
      </c>
    </row>
    <row r="181" ht="27" customHeight="1">
      <c r="A181" s="55" t="inlineStr">
        <is>
          <t>SU002800</t>
        </is>
      </c>
      <c r="B181" s="55" t="inlineStr">
        <is>
          <t>P003201</t>
        </is>
      </c>
      <c r="C181" s="32" t="n">
        <v>4301051378</v>
      </c>
      <c r="D181" s="316" t="n">
        <v>4680115881020</v>
      </c>
      <c r="E181" s="317" t="n"/>
      <c r="F181" s="645" t="n">
        <v>0.84</v>
      </c>
      <c r="G181" s="33" t="n">
        <v>4</v>
      </c>
      <c r="H181" s="645" t="n">
        <v>3.36</v>
      </c>
      <c r="I181" s="645" t="n">
        <v>3.57</v>
      </c>
      <c r="J181" s="33" t="n">
        <v>120</v>
      </c>
      <c r="K181" s="34" t="inlineStr">
        <is>
          <t>СК2</t>
        </is>
      </c>
      <c r="L181" s="33" t="n">
        <v>45</v>
      </c>
      <c r="M181" s="450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N181" s="319" t="n"/>
      <c r="O181" s="319" t="n"/>
      <c r="P181" s="319" t="n"/>
      <c r="Q181" s="317" t="n"/>
      <c r="R181" s="35" t="n"/>
      <c r="S181" s="35" t="n"/>
      <c r="T181" s="36" t="inlineStr">
        <is>
          <t>кг</t>
        </is>
      </c>
      <c r="U181" s="646" t="n">
        <v>0</v>
      </c>
      <c r="V181" s="647">
        <f>IFERROR(IF(U181="",0,CEILING((U181/$H181),1)*$H181),"")</f>
        <v/>
      </c>
      <c r="W181" s="37">
        <f>IFERROR(IF(V181=0,"",ROUNDUP(V181/H181,0)*0.00937),"")</f>
        <v/>
      </c>
      <c r="X181" s="57" t="n"/>
      <c r="Y181" s="58" t="n"/>
      <c r="AC181" s="59" t="n"/>
      <c r="AZ181" s="156" t="inlineStr">
        <is>
          <t>КИ</t>
        </is>
      </c>
    </row>
    <row r="182" ht="27" customHeight="1">
      <c r="A182" s="55" t="inlineStr">
        <is>
          <t>SU002842</t>
        </is>
      </c>
      <c r="B182" s="55" t="inlineStr">
        <is>
          <t>P003262</t>
        </is>
      </c>
      <c r="C182" s="32" t="n">
        <v>4301051407</v>
      </c>
      <c r="D182" s="316" t="n">
        <v>4680115882195</v>
      </c>
      <c r="E182" s="317" t="n"/>
      <c r="F182" s="645" t="n">
        <v>0.4</v>
      </c>
      <c r="G182" s="33" t="n">
        <v>6</v>
      </c>
      <c r="H182" s="645" t="n">
        <v>2.4</v>
      </c>
      <c r="I182" s="645" t="n">
        <v>2.69</v>
      </c>
      <c r="J182" s="33" t="n">
        <v>156</v>
      </c>
      <c r="K182" s="34" t="inlineStr">
        <is>
          <t>СК3</t>
        </is>
      </c>
      <c r="L182" s="33" t="n">
        <v>40</v>
      </c>
      <c r="M182" s="574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N182" s="319" t="n"/>
      <c r="O182" s="319" t="n"/>
      <c r="P182" s="319" t="n"/>
      <c r="Q182" s="317" t="n"/>
      <c r="R182" s="35" t="n"/>
      <c r="S182" s="35" t="n"/>
      <c r="T182" s="36" t="inlineStr">
        <is>
          <t>кг</t>
        </is>
      </c>
      <c r="U182" s="646" t="n">
        <v>0</v>
      </c>
      <c r="V182" s="647">
        <f>IFERROR(IF(U182="",0,CEILING((U182/$H182),1)*$H182),"")</f>
        <v/>
      </c>
      <c r="W182" s="37">
        <f>IFERROR(IF(V182=0,"",ROUNDUP(V182/H182,0)*0.00753),"")</f>
        <v/>
      </c>
      <c r="X182" s="57" t="n"/>
      <c r="Y182" s="58" t="n"/>
      <c r="AC182" s="59" t="n"/>
      <c r="AZ182" s="157" t="inlineStr">
        <is>
          <t>КИ</t>
        </is>
      </c>
    </row>
    <row r="183" ht="27" customHeight="1">
      <c r="A183" s="55" t="inlineStr">
        <is>
          <t>SU002618</t>
        </is>
      </c>
      <c r="B183" s="55" t="inlineStr">
        <is>
          <t>P003398</t>
        </is>
      </c>
      <c r="C183" s="32" t="n">
        <v>4301051468</v>
      </c>
      <c r="D183" s="316" t="n">
        <v>4680115880092</v>
      </c>
      <c r="E183" s="317" t="n"/>
      <c r="F183" s="645" t="n">
        <v>0.4</v>
      </c>
      <c r="G183" s="33" t="n">
        <v>6</v>
      </c>
      <c r="H183" s="645" t="n">
        <v>2.4</v>
      </c>
      <c r="I183" s="645" t="n">
        <v>2.672</v>
      </c>
      <c r="J183" s="33" t="n">
        <v>156</v>
      </c>
      <c r="K183" s="34" t="inlineStr">
        <is>
          <t>СК3</t>
        </is>
      </c>
      <c r="L183" s="33" t="n">
        <v>45</v>
      </c>
      <c r="M183" s="578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N183" s="319" t="n"/>
      <c r="O183" s="319" t="n"/>
      <c r="P183" s="319" t="n"/>
      <c r="Q183" s="317" t="n"/>
      <c r="R183" s="35" t="n"/>
      <c r="S183" s="35" t="n"/>
      <c r="T183" s="36" t="inlineStr">
        <is>
          <t>кг</t>
        </is>
      </c>
      <c r="U183" s="646" t="n">
        <v>320</v>
      </c>
      <c r="V183" s="647">
        <f>IFERROR(IF(U183="",0,CEILING((U183/$H183),1)*$H183),"")</f>
        <v/>
      </c>
      <c r="W183" s="37">
        <f>IFERROR(IF(V183=0,"",ROUNDUP(V183/H183,0)*0.00753),"")</f>
        <v/>
      </c>
      <c r="X183" s="57" t="n"/>
      <c r="Y183" s="58" t="n"/>
      <c r="AC183" s="59" t="n"/>
      <c r="AZ183" s="158" t="inlineStr">
        <is>
          <t>КИ</t>
        </is>
      </c>
    </row>
    <row r="184" ht="27" customHeight="1">
      <c r="A184" s="55" t="inlineStr">
        <is>
          <t>SU002621</t>
        </is>
      </c>
      <c r="B184" s="55" t="inlineStr">
        <is>
          <t>P003399</t>
        </is>
      </c>
      <c r="C184" s="32" t="n">
        <v>4301051469</v>
      </c>
      <c r="D184" s="316" t="n">
        <v>4680115880221</v>
      </c>
      <c r="E184" s="317" t="n"/>
      <c r="F184" s="645" t="n">
        <v>0.4</v>
      </c>
      <c r="G184" s="33" t="n">
        <v>6</v>
      </c>
      <c r="H184" s="645" t="n">
        <v>2.4</v>
      </c>
      <c r="I184" s="645" t="n">
        <v>2.672</v>
      </c>
      <c r="J184" s="33" t="n">
        <v>156</v>
      </c>
      <c r="K184" s="34" t="inlineStr">
        <is>
          <t>СК3</t>
        </is>
      </c>
      <c r="L184" s="33" t="n">
        <v>45</v>
      </c>
      <c r="M184" s="538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N184" s="319" t="n"/>
      <c r="O184" s="319" t="n"/>
      <c r="P184" s="319" t="n"/>
      <c r="Q184" s="317" t="n"/>
      <c r="R184" s="35" t="n"/>
      <c r="S184" s="35" t="n"/>
      <c r="T184" s="36" t="inlineStr">
        <is>
          <t>кг</t>
        </is>
      </c>
      <c r="U184" s="646" t="n">
        <v>0</v>
      </c>
      <c r="V184" s="647">
        <f>IFERROR(IF(U184="",0,CEILING((U184/$H184),1)*$H184),"")</f>
        <v/>
      </c>
      <c r="W184" s="37">
        <f>IFERROR(IF(V184=0,"",ROUNDUP(V184/H184,0)*0.00753),"")</f>
        <v/>
      </c>
      <c r="X184" s="57" t="n"/>
      <c r="Y184" s="58" t="n"/>
      <c r="AC184" s="59" t="n"/>
      <c r="AZ184" s="159" t="inlineStr">
        <is>
          <t>КИ</t>
        </is>
      </c>
    </row>
    <row r="185" ht="16.5" customHeight="1">
      <c r="A185" s="55" t="inlineStr">
        <is>
          <t>SU003073</t>
        </is>
      </c>
      <c r="B185" s="55" t="inlineStr">
        <is>
          <t>P003613</t>
        </is>
      </c>
      <c r="C185" s="32" t="n">
        <v>4301051523</v>
      </c>
      <c r="D185" s="316" t="n">
        <v>4680115882942</v>
      </c>
      <c r="E185" s="317" t="n"/>
      <c r="F185" s="645" t="n">
        <v>0.3</v>
      </c>
      <c r="G185" s="33" t="n">
        <v>6</v>
      </c>
      <c r="H185" s="645" t="n">
        <v>1.8</v>
      </c>
      <c r="I185" s="645" t="n">
        <v>2.072</v>
      </c>
      <c r="J185" s="33" t="n">
        <v>156</v>
      </c>
      <c r="K185" s="34" t="inlineStr">
        <is>
          <t>СК2</t>
        </is>
      </c>
      <c r="L185" s="33" t="n">
        <v>40</v>
      </c>
      <c r="M185" s="603">
        <f>HYPERLINK("https://abi.ru/products/Охлажденные/Стародворье/Сочинка/Сосиски/P003613/","Сосиски «Сочинки с сыром» ф/в 0,3 кг п/а ТМ «Стародворье»")</f>
        <v/>
      </c>
      <c r="N185" s="319" t="n"/>
      <c r="O185" s="319" t="n"/>
      <c r="P185" s="319" t="n"/>
      <c r="Q185" s="317" t="n"/>
      <c r="R185" s="35" t="n"/>
      <c r="S185" s="35" t="n"/>
      <c r="T185" s="36" t="inlineStr">
        <is>
          <t>кг</t>
        </is>
      </c>
      <c r="U185" s="646" t="n">
        <v>0</v>
      </c>
      <c r="V185" s="647">
        <f>IFERROR(IF(U185="",0,CEILING((U185/$H185),1)*$H185),"")</f>
        <v/>
      </c>
      <c r="W185" s="37">
        <f>IFERROR(IF(V185=0,"",ROUNDUP(V185/H185,0)*0.00753),"")</f>
        <v/>
      </c>
      <c r="X185" s="57" t="n"/>
      <c r="Y185" s="58" t="n"/>
      <c r="AC185" s="59" t="n"/>
      <c r="AZ185" s="160" t="inlineStr">
        <is>
          <t>КИ</t>
        </is>
      </c>
    </row>
    <row r="186" ht="16.5" customHeight="1">
      <c r="A186" s="55" t="inlineStr">
        <is>
          <t>SU002686</t>
        </is>
      </c>
      <c r="B186" s="55" t="inlineStr">
        <is>
          <t>P003071</t>
        </is>
      </c>
      <c r="C186" s="32" t="n">
        <v>4301051326</v>
      </c>
      <c r="D186" s="316" t="n">
        <v>4680115880504</v>
      </c>
      <c r="E186" s="317" t="n"/>
      <c r="F186" s="645" t="n">
        <v>0.4</v>
      </c>
      <c r="G186" s="33" t="n">
        <v>6</v>
      </c>
      <c r="H186" s="645" t="n">
        <v>2.4</v>
      </c>
      <c r="I186" s="645" t="n">
        <v>2.672</v>
      </c>
      <c r="J186" s="33" t="n">
        <v>156</v>
      </c>
      <c r="K186" s="34" t="inlineStr">
        <is>
          <t>СК2</t>
        </is>
      </c>
      <c r="L186" s="33" t="n">
        <v>40</v>
      </c>
      <c r="M186" s="609">
        <f>HYPERLINK("https://abi.ru/products/Охлажденные/Стародворье/Сочинка/Сосиски/P003071/","Сосиски Сочинки с сыром Бордо ф/в 0,4 кг п/а Стародворье")</f>
        <v/>
      </c>
      <c r="N186" s="319" t="n"/>
      <c r="O186" s="319" t="n"/>
      <c r="P186" s="319" t="n"/>
      <c r="Q186" s="317" t="n"/>
      <c r="R186" s="35" t="n"/>
      <c r="S186" s="35" t="n"/>
      <c r="T186" s="36" t="inlineStr">
        <is>
          <t>кг</t>
        </is>
      </c>
      <c r="U186" s="646" t="n">
        <v>0</v>
      </c>
      <c r="V186" s="647">
        <f>IFERROR(IF(U186="",0,CEILING((U186/$H186),1)*$H186),"")</f>
        <v/>
      </c>
      <c r="W186" s="37">
        <f>IFERROR(IF(V186=0,"",ROUNDUP(V186/H186,0)*0.00753),"")</f>
        <v/>
      </c>
      <c r="X186" s="57" t="n"/>
      <c r="Y186" s="58" t="n"/>
      <c r="AC186" s="59" t="n"/>
      <c r="AZ186" s="161" t="inlineStr">
        <is>
          <t>КИ</t>
        </is>
      </c>
    </row>
    <row r="187" ht="27" customHeight="1">
      <c r="A187" s="55" t="inlineStr">
        <is>
          <t>SU002844</t>
        </is>
      </c>
      <c r="B187" s="55" t="inlineStr">
        <is>
          <t>P003265</t>
        </is>
      </c>
      <c r="C187" s="32" t="n">
        <v>4301051410</v>
      </c>
      <c r="D187" s="316" t="n">
        <v>4680115882164</v>
      </c>
      <c r="E187" s="317" t="n"/>
      <c r="F187" s="645" t="n">
        <v>0.4</v>
      </c>
      <c r="G187" s="33" t="n">
        <v>6</v>
      </c>
      <c r="H187" s="645" t="n">
        <v>2.4</v>
      </c>
      <c r="I187" s="645" t="n">
        <v>2.678</v>
      </c>
      <c r="J187" s="33" t="n">
        <v>156</v>
      </c>
      <c r="K187" s="34" t="inlineStr">
        <is>
          <t>СК3</t>
        </is>
      </c>
      <c r="L187" s="33" t="n">
        <v>40</v>
      </c>
      <c r="M187" s="561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N187" s="319" t="n"/>
      <c r="O187" s="319" t="n"/>
      <c r="P187" s="319" t="n"/>
      <c r="Q187" s="317" t="n"/>
      <c r="R187" s="35" t="n"/>
      <c r="S187" s="35" t="n"/>
      <c r="T187" s="36" t="inlineStr">
        <is>
          <t>кг</t>
        </is>
      </c>
      <c r="U187" s="646" t="n">
        <v>0</v>
      </c>
      <c r="V187" s="647">
        <f>IFERROR(IF(U187="",0,CEILING((U187/$H187),1)*$H187),"")</f>
        <v/>
      </c>
      <c r="W187" s="37">
        <f>IFERROR(IF(V187=0,"",ROUNDUP(V187/H187,0)*0.00753),"")</f>
        <v/>
      </c>
      <c r="X187" s="57" t="n"/>
      <c r="Y187" s="58" t="n"/>
      <c r="AC187" s="59" t="n"/>
      <c r="AZ187" s="162" t="inlineStr">
        <is>
          <t>КИ</t>
        </is>
      </c>
    </row>
    <row r="188">
      <c r="A188" s="313" t="n"/>
      <c r="B188" s="314" t="n"/>
      <c r="C188" s="314" t="n"/>
      <c r="D188" s="314" t="n"/>
      <c r="E188" s="314" t="n"/>
      <c r="F188" s="314" t="n"/>
      <c r="G188" s="314" t="n"/>
      <c r="H188" s="314" t="n"/>
      <c r="I188" s="314" t="n"/>
      <c r="J188" s="314" t="n"/>
      <c r="K188" s="314" t="n"/>
      <c r="L188" s="315" t="n"/>
      <c r="M188" s="328" t="inlineStr">
        <is>
          <t>Итого</t>
        </is>
      </c>
      <c r="N188" s="329" t="n"/>
      <c r="O188" s="329" t="n"/>
      <c r="P188" s="329" t="n"/>
      <c r="Q188" s="329" t="n"/>
      <c r="R188" s="329" t="n"/>
      <c r="S188" s="330" t="n"/>
      <c r="T188" s="38" t="inlineStr">
        <is>
          <t>кор</t>
        </is>
      </c>
      <c r="U188" s="648">
        <f>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+IFERROR(U186/H186,"0")+IFERROR(U187/H187,"0")</f>
        <v/>
      </c>
      <c r="V188" s="648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</f>
        <v/>
      </c>
      <c r="W188" s="648">
        <f>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</f>
        <v/>
      </c>
      <c r="X188" s="649" t="n"/>
      <c r="Y188" s="649" t="n"/>
    </row>
    <row r="189">
      <c r="A189" s="314" t="n"/>
      <c r="B189" s="314" t="n"/>
      <c r="C189" s="314" t="n"/>
      <c r="D189" s="314" t="n"/>
      <c r="E189" s="314" t="n"/>
      <c r="F189" s="314" t="n"/>
      <c r="G189" s="314" t="n"/>
      <c r="H189" s="314" t="n"/>
      <c r="I189" s="314" t="n"/>
      <c r="J189" s="314" t="n"/>
      <c r="K189" s="314" t="n"/>
      <c r="L189" s="315" t="n"/>
      <c r="M189" s="328" t="inlineStr">
        <is>
          <t>Итого</t>
        </is>
      </c>
      <c r="N189" s="329" t="n"/>
      <c r="O189" s="329" t="n"/>
      <c r="P189" s="329" t="n"/>
      <c r="Q189" s="329" t="n"/>
      <c r="R189" s="329" t="n"/>
      <c r="S189" s="330" t="n"/>
      <c r="T189" s="38" t="inlineStr">
        <is>
          <t>кг</t>
        </is>
      </c>
      <c r="U189" s="648">
        <f>IFERROR(SUM(U170:U187),"0")</f>
        <v/>
      </c>
      <c r="V189" s="648">
        <f>IFERROR(SUM(V170:V187),"0")</f>
        <v/>
      </c>
      <c r="W189" s="38" t="n"/>
      <c r="X189" s="649" t="n"/>
      <c r="Y189" s="649" t="n"/>
    </row>
    <row r="190" ht="14.25" customHeight="1">
      <c r="A190" s="326" t="inlineStr">
        <is>
          <t>Сардельки</t>
        </is>
      </c>
      <c r="B190" s="314" t="n"/>
      <c r="C190" s="314" t="n"/>
      <c r="D190" s="314" t="n"/>
      <c r="E190" s="314" t="n"/>
      <c r="F190" s="314" t="n"/>
      <c r="G190" s="314" t="n"/>
      <c r="H190" s="314" t="n"/>
      <c r="I190" s="314" t="n"/>
      <c r="J190" s="314" t="n"/>
      <c r="K190" s="314" t="n"/>
      <c r="L190" s="314" t="n"/>
      <c r="M190" s="314" t="n"/>
      <c r="N190" s="314" t="n"/>
      <c r="O190" s="314" t="n"/>
      <c r="P190" s="314" t="n"/>
      <c r="Q190" s="314" t="n"/>
      <c r="R190" s="314" t="n"/>
      <c r="S190" s="314" t="n"/>
      <c r="T190" s="314" t="n"/>
      <c r="U190" s="314" t="n"/>
      <c r="V190" s="314" t="n"/>
      <c r="W190" s="314" t="n"/>
      <c r="X190" s="326" t="n"/>
      <c r="Y190" s="326" t="n"/>
    </row>
    <row r="191" ht="16.5" customHeight="1">
      <c r="A191" s="55" t="inlineStr">
        <is>
          <t>SU002758</t>
        </is>
      </c>
      <c r="B191" s="55" t="inlineStr">
        <is>
          <t>P003129</t>
        </is>
      </c>
      <c r="C191" s="32" t="n">
        <v>4301060338</v>
      </c>
      <c r="D191" s="316" t="n">
        <v>4680115880801</v>
      </c>
      <c r="E191" s="317" t="n"/>
      <c r="F191" s="645" t="n">
        <v>0.4</v>
      </c>
      <c r="G191" s="33" t="n">
        <v>6</v>
      </c>
      <c r="H191" s="645" t="n">
        <v>2.4</v>
      </c>
      <c r="I191" s="645" t="n">
        <v>2.672</v>
      </c>
      <c r="J191" s="33" t="n">
        <v>156</v>
      </c>
      <c r="K191" s="34" t="inlineStr">
        <is>
          <t>СК2</t>
        </is>
      </c>
      <c r="L191" s="33" t="n">
        <v>40</v>
      </c>
      <c r="M191" s="435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91" s="319" t="n"/>
      <c r="O191" s="319" t="n"/>
      <c r="P191" s="319" t="n"/>
      <c r="Q191" s="317" t="n"/>
      <c r="R191" s="35" t="n"/>
      <c r="S191" s="35" t="n"/>
      <c r="T191" s="36" t="inlineStr">
        <is>
          <t>кг</t>
        </is>
      </c>
      <c r="U191" s="646" t="n">
        <v>0</v>
      </c>
      <c r="V191" s="647">
        <f>IFERROR(IF(U191="",0,CEILING((U191/$H191),1)*$H191),"")</f>
        <v/>
      </c>
      <c r="W191" s="37">
        <f>IFERROR(IF(V191=0,"",ROUNDUP(V191/H191,0)*0.00753),"")</f>
        <v/>
      </c>
      <c r="X191" s="57" t="n"/>
      <c r="Y191" s="58" t="n"/>
      <c r="AC191" s="59" t="n"/>
      <c r="AZ191" s="163" t="inlineStr">
        <is>
          <t>КИ</t>
        </is>
      </c>
    </row>
    <row r="192" ht="27" customHeight="1">
      <c r="A192" s="55" t="inlineStr">
        <is>
          <t>SU002759</t>
        </is>
      </c>
      <c r="B192" s="55" t="inlineStr">
        <is>
          <t>P003130</t>
        </is>
      </c>
      <c r="C192" s="32" t="n">
        <v>4301060339</v>
      </c>
      <c r="D192" s="316" t="n">
        <v>4680115880818</v>
      </c>
      <c r="E192" s="317" t="n"/>
      <c r="F192" s="645" t="n">
        <v>0.4</v>
      </c>
      <c r="G192" s="33" t="n">
        <v>6</v>
      </c>
      <c r="H192" s="645" t="n">
        <v>2.4</v>
      </c>
      <c r="I192" s="645" t="n">
        <v>2.672</v>
      </c>
      <c r="J192" s="33" t="n">
        <v>156</v>
      </c>
      <c r="K192" s="34" t="inlineStr">
        <is>
          <t>СК2</t>
        </is>
      </c>
      <c r="L192" s="33" t="n">
        <v>40</v>
      </c>
      <c r="M192" s="444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N192" s="319" t="n"/>
      <c r="O192" s="319" t="n"/>
      <c r="P192" s="319" t="n"/>
      <c r="Q192" s="317" t="n"/>
      <c r="R192" s="35" t="n"/>
      <c r="S192" s="35" t="n"/>
      <c r="T192" s="36" t="inlineStr">
        <is>
          <t>кг</t>
        </is>
      </c>
      <c r="U192" s="646" t="n">
        <v>0</v>
      </c>
      <c r="V192" s="647">
        <f>IFERROR(IF(U192="",0,CEILING((U192/$H192),1)*$H192),"")</f>
        <v/>
      </c>
      <c r="W192" s="37">
        <f>IFERROR(IF(V192=0,"",ROUNDUP(V192/H192,0)*0.00753),"")</f>
        <v/>
      </c>
      <c r="X192" s="57" t="n"/>
      <c r="Y192" s="58" t="n"/>
      <c r="AC192" s="59" t="n"/>
      <c r="AZ192" s="164" t="inlineStr">
        <is>
          <t>КИ</t>
        </is>
      </c>
    </row>
    <row r="193">
      <c r="A193" s="313" t="n"/>
      <c r="B193" s="314" t="n"/>
      <c r="C193" s="314" t="n"/>
      <c r="D193" s="314" t="n"/>
      <c r="E193" s="314" t="n"/>
      <c r="F193" s="314" t="n"/>
      <c r="G193" s="314" t="n"/>
      <c r="H193" s="314" t="n"/>
      <c r="I193" s="314" t="n"/>
      <c r="J193" s="314" t="n"/>
      <c r="K193" s="314" t="n"/>
      <c r="L193" s="315" t="n"/>
      <c r="M193" s="328" t="inlineStr">
        <is>
          <t>Итого</t>
        </is>
      </c>
      <c r="N193" s="329" t="n"/>
      <c r="O193" s="329" t="n"/>
      <c r="P193" s="329" t="n"/>
      <c r="Q193" s="329" t="n"/>
      <c r="R193" s="329" t="n"/>
      <c r="S193" s="330" t="n"/>
      <c r="T193" s="38" t="inlineStr">
        <is>
          <t>кор</t>
        </is>
      </c>
      <c r="U193" s="648">
        <f>IFERROR(U191/H191,"0")+IFERROR(U192/H192,"0")</f>
        <v/>
      </c>
      <c r="V193" s="648">
        <f>IFERROR(V191/H191,"0")+IFERROR(V192/H192,"0")</f>
        <v/>
      </c>
      <c r="W193" s="648">
        <f>IFERROR(IF(W191="",0,W191),"0")+IFERROR(IF(W192="",0,W192),"0")</f>
        <v/>
      </c>
      <c r="X193" s="649" t="n"/>
      <c r="Y193" s="649" t="n"/>
    </row>
    <row r="194">
      <c r="A194" s="314" t="n"/>
      <c r="B194" s="314" t="n"/>
      <c r="C194" s="314" t="n"/>
      <c r="D194" s="314" t="n"/>
      <c r="E194" s="314" t="n"/>
      <c r="F194" s="314" t="n"/>
      <c r="G194" s="314" t="n"/>
      <c r="H194" s="314" t="n"/>
      <c r="I194" s="314" t="n"/>
      <c r="J194" s="314" t="n"/>
      <c r="K194" s="314" t="n"/>
      <c r="L194" s="315" t="n"/>
      <c r="M194" s="328" t="inlineStr">
        <is>
          <t>Итого</t>
        </is>
      </c>
      <c r="N194" s="329" t="n"/>
      <c r="O194" s="329" t="n"/>
      <c r="P194" s="329" t="n"/>
      <c r="Q194" s="329" t="n"/>
      <c r="R194" s="329" t="n"/>
      <c r="S194" s="330" t="n"/>
      <c r="T194" s="38" t="inlineStr">
        <is>
          <t>кг</t>
        </is>
      </c>
      <c r="U194" s="648">
        <f>IFERROR(SUM(U191:U192),"0")</f>
        <v/>
      </c>
      <c r="V194" s="648">
        <f>IFERROR(SUM(V191:V192),"0")</f>
        <v/>
      </c>
      <c r="W194" s="38" t="n"/>
      <c r="X194" s="649" t="n"/>
      <c r="Y194" s="649" t="n"/>
    </row>
    <row r="195" ht="16.5" customHeight="1">
      <c r="A195" s="337" t="inlineStr">
        <is>
          <t>Бордо</t>
        </is>
      </c>
      <c r="B195" s="314" t="n"/>
      <c r="C195" s="314" t="n"/>
      <c r="D195" s="314" t="n"/>
      <c r="E195" s="314" t="n"/>
      <c r="F195" s="314" t="n"/>
      <c r="G195" s="314" t="n"/>
      <c r="H195" s="314" t="n"/>
      <c r="I195" s="314" t="n"/>
      <c r="J195" s="314" t="n"/>
      <c r="K195" s="314" t="n"/>
      <c r="L195" s="314" t="n"/>
      <c r="M195" s="314" t="n"/>
      <c r="N195" s="314" t="n"/>
      <c r="O195" s="314" t="n"/>
      <c r="P195" s="314" t="n"/>
      <c r="Q195" s="314" t="n"/>
      <c r="R195" s="314" t="n"/>
      <c r="S195" s="314" t="n"/>
      <c r="T195" s="314" t="n"/>
      <c r="U195" s="314" t="n"/>
      <c r="V195" s="314" t="n"/>
      <c r="W195" s="314" t="n"/>
      <c r="X195" s="337" t="n"/>
      <c r="Y195" s="337" t="n"/>
    </row>
    <row r="196" ht="14.25" customHeight="1">
      <c r="A196" s="326" t="inlineStr">
        <is>
          <t>Вареные колбасы</t>
        </is>
      </c>
      <c r="B196" s="314" t="n"/>
      <c r="C196" s="314" t="n"/>
      <c r="D196" s="314" t="n"/>
      <c r="E196" s="314" t="n"/>
      <c r="F196" s="314" t="n"/>
      <c r="G196" s="314" t="n"/>
      <c r="H196" s="314" t="n"/>
      <c r="I196" s="314" t="n"/>
      <c r="J196" s="314" t="n"/>
      <c r="K196" s="314" t="n"/>
      <c r="L196" s="314" t="n"/>
      <c r="M196" s="314" t="n"/>
      <c r="N196" s="314" t="n"/>
      <c r="O196" s="314" t="n"/>
      <c r="P196" s="314" t="n"/>
      <c r="Q196" s="314" t="n"/>
      <c r="R196" s="314" t="n"/>
      <c r="S196" s="314" t="n"/>
      <c r="T196" s="314" t="n"/>
      <c r="U196" s="314" t="n"/>
      <c r="V196" s="314" t="n"/>
      <c r="W196" s="314" t="n"/>
      <c r="X196" s="326" t="n"/>
      <c r="Y196" s="326" t="n"/>
    </row>
    <row r="197" ht="27" customHeight="1">
      <c r="A197" s="55" t="inlineStr">
        <is>
          <t>SU000057</t>
        </is>
      </c>
      <c r="B197" s="55" t="inlineStr">
        <is>
          <t>P002047</t>
        </is>
      </c>
      <c r="C197" s="32" t="n">
        <v>4301011346</v>
      </c>
      <c r="D197" s="316" t="n">
        <v>4607091387445</v>
      </c>
      <c r="E197" s="317" t="n"/>
      <c r="F197" s="645" t="n">
        <v>0.9</v>
      </c>
      <c r="G197" s="33" t="n">
        <v>10</v>
      </c>
      <c r="H197" s="645" t="n">
        <v>9</v>
      </c>
      <c r="I197" s="645" t="n">
        <v>9.630000000000001</v>
      </c>
      <c r="J197" s="33" t="n">
        <v>56</v>
      </c>
      <c r="K197" s="34" t="inlineStr">
        <is>
          <t>СК1</t>
        </is>
      </c>
      <c r="L197" s="33" t="n">
        <v>31</v>
      </c>
      <c r="M197" s="586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97" s="319" t="n"/>
      <c r="O197" s="319" t="n"/>
      <c r="P197" s="319" t="n"/>
      <c r="Q197" s="317" t="n"/>
      <c r="R197" s="35" t="n"/>
      <c r="S197" s="35" t="n"/>
      <c r="T197" s="36" t="inlineStr">
        <is>
          <t>кг</t>
        </is>
      </c>
      <c r="U197" s="646" t="n">
        <v>0</v>
      </c>
      <c r="V197" s="647">
        <f>IFERROR(IF(U197="",0,CEILING((U197/$H197),1)*$H197),"")</f>
        <v/>
      </c>
      <c r="W197" s="37">
        <f>IFERROR(IF(V197=0,"",ROUNDUP(V197/H197,0)*0.02175),"")</f>
        <v/>
      </c>
      <c r="X197" s="57" t="n"/>
      <c r="Y197" s="58" t="n"/>
      <c r="AC197" s="59" t="n"/>
      <c r="AZ197" s="165" t="inlineStr">
        <is>
          <t>КИ</t>
        </is>
      </c>
    </row>
    <row r="198" ht="27" customHeight="1">
      <c r="A198" s="55" t="inlineStr">
        <is>
          <t>SU001777</t>
        </is>
      </c>
      <c r="B198" s="55" t="inlineStr">
        <is>
          <t>P002226</t>
        </is>
      </c>
      <c r="C198" s="32" t="n">
        <v>4301011362</v>
      </c>
      <c r="D198" s="316" t="n">
        <v>4607091386004</v>
      </c>
      <c r="E198" s="317" t="n"/>
      <c r="F198" s="645" t="n">
        <v>1.35</v>
      </c>
      <c r="G198" s="33" t="n">
        <v>8</v>
      </c>
      <c r="H198" s="645" t="n">
        <v>10.8</v>
      </c>
      <c r="I198" s="645" t="n">
        <v>11.28</v>
      </c>
      <c r="J198" s="33" t="n">
        <v>48</v>
      </c>
      <c r="K198" s="34" t="inlineStr">
        <is>
          <t>ВЗ</t>
        </is>
      </c>
      <c r="L198" s="33" t="n">
        <v>55</v>
      </c>
      <c r="M198" s="616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98" s="319" t="n"/>
      <c r="O198" s="319" t="n"/>
      <c r="P198" s="319" t="n"/>
      <c r="Q198" s="317" t="n"/>
      <c r="R198" s="35" t="n"/>
      <c r="S198" s="35" t="n"/>
      <c r="T198" s="36" t="inlineStr">
        <is>
          <t>кг</t>
        </is>
      </c>
      <c r="U198" s="646" t="n">
        <v>0</v>
      </c>
      <c r="V198" s="647">
        <f>IFERROR(IF(U198="",0,CEILING((U198/$H198),1)*$H198),"")</f>
        <v/>
      </c>
      <c r="W198" s="37">
        <f>IFERROR(IF(V198=0,"",ROUNDUP(V198/H198,0)*0.02039),"")</f>
        <v/>
      </c>
      <c r="X198" s="57" t="n"/>
      <c r="Y198" s="58" t="n"/>
      <c r="AC198" s="59" t="n"/>
      <c r="AZ198" s="166" t="inlineStr">
        <is>
          <t>КИ</t>
        </is>
      </c>
    </row>
    <row r="199" ht="27" customHeight="1">
      <c r="A199" s="55" t="inlineStr">
        <is>
          <t>SU001777</t>
        </is>
      </c>
      <c r="B199" s="55" t="inlineStr">
        <is>
          <t>P001777</t>
        </is>
      </c>
      <c r="C199" s="32" t="n">
        <v>4301011308</v>
      </c>
      <c r="D199" s="316" t="n">
        <v>4607091386004</v>
      </c>
      <c r="E199" s="317" t="n"/>
      <c r="F199" s="645" t="n">
        <v>1.35</v>
      </c>
      <c r="G199" s="33" t="n">
        <v>8</v>
      </c>
      <c r="H199" s="645" t="n">
        <v>10.8</v>
      </c>
      <c r="I199" s="645" t="n">
        <v>11.28</v>
      </c>
      <c r="J199" s="33" t="n">
        <v>56</v>
      </c>
      <c r="K199" s="34" t="inlineStr">
        <is>
          <t>СК1</t>
        </is>
      </c>
      <c r="L199" s="33" t="n">
        <v>55</v>
      </c>
      <c r="M199" s="458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99" s="319" t="n"/>
      <c r="O199" s="319" t="n"/>
      <c r="P199" s="319" t="n"/>
      <c r="Q199" s="317" t="n"/>
      <c r="R199" s="35" t="n"/>
      <c r="S199" s="35" t="n"/>
      <c r="T199" s="36" t="inlineStr">
        <is>
          <t>кг</t>
        </is>
      </c>
      <c r="U199" s="646" t="n">
        <v>0</v>
      </c>
      <c r="V199" s="647">
        <f>IFERROR(IF(U199="",0,CEILING((U199/$H199),1)*$H199),"")</f>
        <v/>
      </c>
      <c r="W199" s="37">
        <f>IFERROR(IF(V199=0,"",ROUNDUP(V199/H199,0)*0.02175),"")</f>
        <v/>
      </c>
      <c r="X199" s="57" t="n"/>
      <c r="Y199" s="58" t="n"/>
      <c r="AC199" s="59" t="n"/>
      <c r="AZ199" s="167" t="inlineStr">
        <is>
          <t>КИ</t>
        </is>
      </c>
    </row>
    <row r="200" ht="27" customHeight="1">
      <c r="A200" s="55" t="inlineStr">
        <is>
          <t>SU000058</t>
        </is>
      </c>
      <c r="B200" s="55" t="inlineStr">
        <is>
          <t>P002048</t>
        </is>
      </c>
      <c r="C200" s="32" t="n">
        <v>4301011347</v>
      </c>
      <c r="D200" s="316" t="n">
        <v>4607091386073</v>
      </c>
      <c r="E200" s="317" t="n"/>
      <c r="F200" s="645" t="n">
        <v>0.9</v>
      </c>
      <c r="G200" s="33" t="n">
        <v>10</v>
      </c>
      <c r="H200" s="645" t="n">
        <v>9</v>
      </c>
      <c r="I200" s="645" t="n">
        <v>9.630000000000001</v>
      </c>
      <c r="J200" s="33" t="n">
        <v>56</v>
      </c>
      <c r="K200" s="34" t="inlineStr">
        <is>
          <t>СК1</t>
        </is>
      </c>
      <c r="L200" s="33" t="n">
        <v>31</v>
      </c>
      <c r="M200" s="467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200" s="319" t="n"/>
      <c r="O200" s="319" t="n"/>
      <c r="P200" s="319" t="n"/>
      <c r="Q200" s="317" t="n"/>
      <c r="R200" s="35" t="n"/>
      <c r="S200" s="35" t="n"/>
      <c r="T200" s="36" t="inlineStr">
        <is>
          <t>кг</t>
        </is>
      </c>
      <c r="U200" s="646" t="n">
        <v>0</v>
      </c>
      <c r="V200" s="647">
        <f>IFERROR(IF(U200="",0,CEILING((U200/$H200),1)*$H200),"")</f>
        <v/>
      </c>
      <c r="W200" s="37">
        <f>IFERROR(IF(V200=0,"",ROUNDUP(V200/H200,0)*0.02175),"")</f>
        <v/>
      </c>
      <c r="X200" s="57" t="n"/>
      <c r="Y200" s="58" t="n"/>
      <c r="AC200" s="59" t="n"/>
      <c r="AZ200" s="168" t="inlineStr">
        <is>
          <t>КИ</t>
        </is>
      </c>
    </row>
    <row r="201" ht="27" customHeight="1">
      <c r="A201" s="55" t="inlineStr">
        <is>
          <t>SU001780</t>
        </is>
      </c>
      <c r="B201" s="55" t="inlineStr">
        <is>
          <t>P001780</t>
        </is>
      </c>
      <c r="C201" s="32" t="n">
        <v>4301010928</v>
      </c>
      <c r="D201" s="316" t="n">
        <v>4607091387322</v>
      </c>
      <c r="E201" s="317" t="n"/>
      <c r="F201" s="645" t="n">
        <v>1.35</v>
      </c>
      <c r="G201" s="33" t="n">
        <v>8</v>
      </c>
      <c r="H201" s="645" t="n">
        <v>10.8</v>
      </c>
      <c r="I201" s="645" t="n">
        <v>11.28</v>
      </c>
      <c r="J201" s="33" t="n">
        <v>56</v>
      </c>
      <c r="K201" s="34" t="inlineStr">
        <is>
          <t>СК1</t>
        </is>
      </c>
      <c r="L201" s="33" t="n">
        <v>55</v>
      </c>
      <c r="M201" s="424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201" s="319" t="n"/>
      <c r="O201" s="319" t="n"/>
      <c r="P201" s="319" t="n"/>
      <c r="Q201" s="317" t="n"/>
      <c r="R201" s="35" t="n"/>
      <c r="S201" s="35" t="n"/>
      <c r="T201" s="36" t="inlineStr">
        <is>
          <t>кг</t>
        </is>
      </c>
      <c r="U201" s="646" t="n">
        <v>0</v>
      </c>
      <c r="V201" s="647">
        <f>IFERROR(IF(U201="",0,CEILING((U201/$H201),1)*$H201),"")</f>
        <v/>
      </c>
      <c r="W201" s="37">
        <f>IFERROR(IF(V201=0,"",ROUNDUP(V201/H201,0)*0.02175),"")</f>
        <v/>
      </c>
      <c r="X201" s="57" t="n"/>
      <c r="Y201" s="58" t="n"/>
      <c r="AC201" s="59" t="n"/>
      <c r="AZ201" s="169" t="inlineStr">
        <is>
          <t>КИ</t>
        </is>
      </c>
    </row>
    <row r="202" ht="27" customHeight="1">
      <c r="A202" s="55" t="inlineStr">
        <is>
          <t>SU001780</t>
        </is>
      </c>
      <c r="B202" s="55" t="inlineStr">
        <is>
          <t>P003075</t>
        </is>
      </c>
      <c r="C202" s="32" t="n">
        <v>4301011395</v>
      </c>
      <c r="D202" s="316" t="n">
        <v>4607091387322</v>
      </c>
      <c r="E202" s="317" t="n"/>
      <c r="F202" s="645" t="n">
        <v>1.35</v>
      </c>
      <c r="G202" s="33" t="n">
        <v>8</v>
      </c>
      <c r="H202" s="645" t="n">
        <v>10.8</v>
      </c>
      <c r="I202" s="645" t="n">
        <v>11.28</v>
      </c>
      <c r="J202" s="33" t="n">
        <v>48</v>
      </c>
      <c r="K202" s="34" t="inlineStr">
        <is>
          <t>ВЗ</t>
        </is>
      </c>
      <c r="L202" s="33" t="n">
        <v>55</v>
      </c>
      <c r="M202" s="473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202" s="319" t="n"/>
      <c r="O202" s="319" t="n"/>
      <c r="P202" s="319" t="n"/>
      <c r="Q202" s="317" t="n"/>
      <c r="R202" s="35" t="n"/>
      <c r="S202" s="35" t="n"/>
      <c r="T202" s="36" t="inlineStr">
        <is>
          <t>кг</t>
        </is>
      </c>
      <c r="U202" s="646" t="n">
        <v>0</v>
      </c>
      <c r="V202" s="647">
        <f>IFERROR(IF(U202="",0,CEILING((U202/$H202),1)*$H202),"")</f>
        <v/>
      </c>
      <c r="W202" s="37">
        <f>IFERROR(IF(V202=0,"",ROUNDUP(V202/H202,0)*0.02039),"")</f>
        <v/>
      </c>
      <c r="X202" s="57" t="n"/>
      <c r="Y202" s="58" t="n"/>
      <c r="AC202" s="59" t="n"/>
      <c r="AZ202" s="170" t="inlineStr">
        <is>
          <t>КИ</t>
        </is>
      </c>
    </row>
    <row r="203" ht="27" customHeight="1">
      <c r="A203" s="55" t="inlineStr">
        <is>
          <t>SU001778</t>
        </is>
      </c>
      <c r="B203" s="55" t="inlineStr">
        <is>
          <t>P001778</t>
        </is>
      </c>
      <c r="C203" s="32" t="n">
        <v>4301011311</v>
      </c>
      <c r="D203" s="316" t="n">
        <v>4607091387377</v>
      </c>
      <c r="E203" s="317" t="n"/>
      <c r="F203" s="645" t="n">
        <v>1.35</v>
      </c>
      <c r="G203" s="33" t="n">
        <v>8</v>
      </c>
      <c r="H203" s="645" t="n">
        <v>10.8</v>
      </c>
      <c r="I203" s="645" t="n">
        <v>11.28</v>
      </c>
      <c r="J203" s="33" t="n">
        <v>56</v>
      </c>
      <c r="K203" s="34" t="inlineStr">
        <is>
          <t>СК1</t>
        </is>
      </c>
      <c r="L203" s="33" t="n">
        <v>55</v>
      </c>
      <c r="M203" s="425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203" s="319" t="n"/>
      <c r="O203" s="319" t="n"/>
      <c r="P203" s="319" t="n"/>
      <c r="Q203" s="317" t="n"/>
      <c r="R203" s="35" t="n"/>
      <c r="S203" s="35" t="n"/>
      <c r="T203" s="36" t="inlineStr">
        <is>
          <t>кг</t>
        </is>
      </c>
      <c r="U203" s="646" t="n">
        <v>0</v>
      </c>
      <c r="V203" s="647">
        <f>IFERROR(IF(U203="",0,CEILING((U203/$H203),1)*$H203),"")</f>
        <v/>
      </c>
      <c r="W203" s="37">
        <f>IFERROR(IF(V203=0,"",ROUNDUP(V203/H203,0)*0.02175),"")</f>
        <v/>
      </c>
      <c r="X203" s="57" t="n"/>
      <c r="Y203" s="58" t="n"/>
      <c r="AC203" s="59" t="n"/>
      <c r="AZ203" s="171" t="inlineStr">
        <is>
          <t>КИ</t>
        </is>
      </c>
    </row>
    <row r="204" ht="27" customHeight="1">
      <c r="A204" s="55" t="inlineStr">
        <is>
          <t>SU000043</t>
        </is>
      </c>
      <c r="B204" s="55" t="inlineStr">
        <is>
          <t>P001807</t>
        </is>
      </c>
      <c r="C204" s="32" t="n">
        <v>4301010945</v>
      </c>
      <c r="D204" s="316" t="n">
        <v>4607091387353</v>
      </c>
      <c r="E204" s="317" t="n"/>
      <c r="F204" s="645" t="n">
        <v>1.35</v>
      </c>
      <c r="G204" s="33" t="n">
        <v>8</v>
      </c>
      <c r="H204" s="645" t="n">
        <v>10.8</v>
      </c>
      <c r="I204" s="645" t="n">
        <v>11.28</v>
      </c>
      <c r="J204" s="33" t="n">
        <v>56</v>
      </c>
      <c r="K204" s="34" t="inlineStr">
        <is>
          <t>СК1</t>
        </is>
      </c>
      <c r="L204" s="33" t="n">
        <v>55</v>
      </c>
      <c r="M204" s="615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204" s="319" t="n"/>
      <c r="O204" s="319" t="n"/>
      <c r="P204" s="319" t="n"/>
      <c r="Q204" s="317" t="n"/>
      <c r="R204" s="35" t="n"/>
      <c r="S204" s="35" t="n"/>
      <c r="T204" s="36" t="inlineStr">
        <is>
          <t>кг</t>
        </is>
      </c>
      <c r="U204" s="646" t="n">
        <v>0</v>
      </c>
      <c r="V204" s="647">
        <f>IFERROR(IF(U204="",0,CEILING((U204/$H204),1)*$H204),"")</f>
        <v/>
      </c>
      <c r="W204" s="37">
        <f>IFERROR(IF(V204=0,"",ROUNDUP(V204/H204,0)*0.02175),"")</f>
        <v/>
      </c>
      <c r="X204" s="57" t="n"/>
      <c r="Y204" s="58" t="n"/>
      <c r="AC204" s="59" t="n"/>
      <c r="AZ204" s="172" t="inlineStr">
        <is>
          <t>КИ</t>
        </is>
      </c>
    </row>
    <row r="205" ht="27" customHeight="1">
      <c r="A205" s="55" t="inlineStr">
        <is>
          <t>SU001800</t>
        </is>
      </c>
      <c r="B205" s="55" t="inlineStr">
        <is>
          <t>P001800</t>
        </is>
      </c>
      <c r="C205" s="32" t="n">
        <v>4301011328</v>
      </c>
      <c r="D205" s="316" t="n">
        <v>4607091386011</v>
      </c>
      <c r="E205" s="317" t="n"/>
      <c r="F205" s="645" t="n">
        <v>0.5</v>
      </c>
      <c r="G205" s="33" t="n">
        <v>10</v>
      </c>
      <c r="H205" s="645" t="n">
        <v>5</v>
      </c>
      <c r="I205" s="645" t="n">
        <v>5.21</v>
      </c>
      <c r="J205" s="33" t="n">
        <v>120</v>
      </c>
      <c r="K205" s="34" t="inlineStr">
        <is>
          <t>СК2</t>
        </is>
      </c>
      <c r="L205" s="33" t="n">
        <v>55</v>
      </c>
      <c r="M205" s="570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205" s="319" t="n"/>
      <c r="O205" s="319" t="n"/>
      <c r="P205" s="319" t="n"/>
      <c r="Q205" s="317" t="n"/>
      <c r="R205" s="35" t="n"/>
      <c r="S205" s="35" t="n"/>
      <c r="T205" s="36" t="inlineStr">
        <is>
          <t>кг</t>
        </is>
      </c>
      <c r="U205" s="646" t="n">
        <v>0</v>
      </c>
      <c r="V205" s="647">
        <f>IFERROR(IF(U205="",0,CEILING((U205/$H205),1)*$H205),"")</f>
        <v/>
      </c>
      <c r="W205" s="37">
        <f>IFERROR(IF(V205=0,"",ROUNDUP(V205/H205,0)*0.00937),"")</f>
        <v/>
      </c>
      <c r="X205" s="57" t="n"/>
      <c r="Y205" s="58" t="n"/>
      <c r="AC205" s="59" t="n"/>
      <c r="AZ205" s="173" t="inlineStr">
        <is>
          <t>КИ</t>
        </is>
      </c>
    </row>
    <row r="206" ht="27" customHeight="1">
      <c r="A206" s="55" t="inlineStr">
        <is>
          <t>SU001805</t>
        </is>
      </c>
      <c r="B206" s="55" t="inlineStr">
        <is>
          <t>P001805</t>
        </is>
      </c>
      <c r="C206" s="32" t="n">
        <v>4301011329</v>
      </c>
      <c r="D206" s="316" t="n">
        <v>4607091387308</v>
      </c>
      <c r="E206" s="317" t="n"/>
      <c r="F206" s="645" t="n">
        <v>0.5</v>
      </c>
      <c r="G206" s="33" t="n">
        <v>10</v>
      </c>
      <c r="H206" s="645" t="n">
        <v>5</v>
      </c>
      <c r="I206" s="645" t="n">
        <v>5.21</v>
      </c>
      <c r="J206" s="33" t="n">
        <v>120</v>
      </c>
      <c r="K206" s="34" t="inlineStr">
        <is>
          <t>СК2</t>
        </is>
      </c>
      <c r="L206" s="33" t="n">
        <v>55</v>
      </c>
      <c r="M206" s="644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206" s="319" t="n"/>
      <c r="O206" s="319" t="n"/>
      <c r="P206" s="319" t="n"/>
      <c r="Q206" s="317" t="n"/>
      <c r="R206" s="35" t="n"/>
      <c r="S206" s="35" t="n"/>
      <c r="T206" s="36" t="inlineStr">
        <is>
          <t>кг</t>
        </is>
      </c>
      <c r="U206" s="646" t="n">
        <v>0</v>
      </c>
      <c r="V206" s="647">
        <f>IFERROR(IF(U206="",0,CEILING((U206/$H206),1)*$H206),"")</f>
        <v/>
      </c>
      <c r="W206" s="37">
        <f>IFERROR(IF(V206=0,"",ROUNDUP(V206/H206,0)*0.00937),"")</f>
        <v/>
      </c>
      <c r="X206" s="57" t="n"/>
      <c r="Y206" s="58" t="n"/>
      <c r="AC206" s="59" t="n"/>
      <c r="AZ206" s="174" t="inlineStr">
        <is>
          <t>КИ</t>
        </is>
      </c>
    </row>
    <row r="207" ht="27" customHeight="1">
      <c r="A207" s="55" t="inlineStr">
        <is>
          <t>SU001829</t>
        </is>
      </c>
      <c r="B207" s="55" t="inlineStr">
        <is>
          <t>P001829</t>
        </is>
      </c>
      <c r="C207" s="32" t="n">
        <v>4301011049</v>
      </c>
      <c r="D207" s="316" t="n">
        <v>4607091387339</v>
      </c>
      <c r="E207" s="317" t="n"/>
      <c r="F207" s="645" t="n">
        <v>0.5</v>
      </c>
      <c r="G207" s="33" t="n">
        <v>10</v>
      </c>
      <c r="H207" s="645" t="n">
        <v>5</v>
      </c>
      <c r="I207" s="645" t="n">
        <v>5.24</v>
      </c>
      <c r="J207" s="33" t="n">
        <v>120</v>
      </c>
      <c r="K207" s="34" t="inlineStr">
        <is>
          <t>СК1</t>
        </is>
      </c>
      <c r="L207" s="33" t="n">
        <v>55</v>
      </c>
      <c r="M207" s="331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207" s="319" t="n"/>
      <c r="O207" s="319" t="n"/>
      <c r="P207" s="319" t="n"/>
      <c r="Q207" s="317" t="n"/>
      <c r="R207" s="35" t="n"/>
      <c r="S207" s="35" t="n"/>
      <c r="T207" s="36" t="inlineStr">
        <is>
          <t>кг</t>
        </is>
      </c>
      <c r="U207" s="646" t="n">
        <v>0</v>
      </c>
      <c r="V207" s="647">
        <f>IFERROR(IF(U207="",0,CEILING((U207/$H207),1)*$H207),"")</f>
        <v/>
      </c>
      <c r="W207" s="37">
        <f>IFERROR(IF(V207=0,"",ROUNDUP(V207/H207,0)*0.00937),"")</f>
        <v/>
      </c>
      <c r="X207" s="57" t="n"/>
      <c r="Y207" s="58" t="n"/>
      <c r="AC207" s="59" t="n"/>
      <c r="AZ207" s="175" t="inlineStr">
        <is>
          <t>КИ</t>
        </is>
      </c>
    </row>
    <row r="208" ht="27" customHeight="1">
      <c r="A208" s="55" t="inlineStr">
        <is>
          <t>SU002787</t>
        </is>
      </c>
      <c r="B208" s="55" t="inlineStr">
        <is>
          <t>P003189</t>
        </is>
      </c>
      <c r="C208" s="32" t="n">
        <v>4301011433</v>
      </c>
      <c r="D208" s="316" t="n">
        <v>4680115882638</v>
      </c>
      <c r="E208" s="317" t="n"/>
      <c r="F208" s="645" t="n">
        <v>0.4</v>
      </c>
      <c r="G208" s="33" t="n">
        <v>10</v>
      </c>
      <c r="H208" s="645" t="n">
        <v>4</v>
      </c>
      <c r="I208" s="645" t="n">
        <v>4.24</v>
      </c>
      <c r="J208" s="33" t="n">
        <v>120</v>
      </c>
      <c r="K208" s="34" t="inlineStr">
        <is>
          <t>СК1</t>
        </is>
      </c>
      <c r="L208" s="33" t="n">
        <v>90</v>
      </c>
      <c r="M208" s="599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N208" s="319" t="n"/>
      <c r="O208" s="319" t="n"/>
      <c r="P208" s="319" t="n"/>
      <c r="Q208" s="317" t="n"/>
      <c r="R208" s="35" t="n"/>
      <c r="S208" s="35" t="n"/>
      <c r="T208" s="36" t="inlineStr">
        <is>
          <t>кг</t>
        </is>
      </c>
      <c r="U208" s="646" t="n">
        <v>0</v>
      </c>
      <c r="V208" s="647">
        <f>IFERROR(IF(U208="",0,CEILING((U208/$H208),1)*$H208),"")</f>
        <v/>
      </c>
      <c r="W208" s="37">
        <f>IFERROR(IF(V208=0,"",ROUNDUP(V208/H208,0)*0.00937),"")</f>
        <v/>
      </c>
      <c r="X208" s="57" t="n"/>
      <c r="Y208" s="58" t="n"/>
      <c r="AC208" s="59" t="n"/>
      <c r="AZ208" s="176" t="inlineStr">
        <is>
          <t>КИ</t>
        </is>
      </c>
    </row>
    <row r="209" ht="27" customHeight="1">
      <c r="A209" s="55" t="inlineStr">
        <is>
          <t>SU002894</t>
        </is>
      </c>
      <c r="B209" s="55" t="inlineStr">
        <is>
          <t>P003314</t>
        </is>
      </c>
      <c r="C209" s="32" t="n">
        <v>4301011573</v>
      </c>
      <c r="D209" s="316" t="n">
        <v>4680115881938</v>
      </c>
      <c r="E209" s="317" t="n"/>
      <c r="F209" s="645" t="n">
        <v>0.4</v>
      </c>
      <c r="G209" s="33" t="n">
        <v>10</v>
      </c>
      <c r="H209" s="645" t="n">
        <v>4</v>
      </c>
      <c r="I209" s="645" t="n">
        <v>4.24</v>
      </c>
      <c r="J209" s="33" t="n">
        <v>120</v>
      </c>
      <c r="K209" s="34" t="inlineStr">
        <is>
          <t>СК1</t>
        </is>
      </c>
      <c r="L209" s="33" t="n">
        <v>90</v>
      </c>
      <c r="M209" s="513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09" s="319" t="n"/>
      <c r="O209" s="319" t="n"/>
      <c r="P209" s="319" t="n"/>
      <c r="Q209" s="317" t="n"/>
      <c r="R209" s="35" t="n"/>
      <c r="S209" s="35" t="n"/>
      <c r="T209" s="36" t="inlineStr">
        <is>
          <t>кг</t>
        </is>
      </c>
      <c r="U209" s="646" t="n">
        <v>0</v>
      </c>
      <c r="V209" s="647">
        <f>IFERROR(IF(U209="",0,CEILING((U209/$H209),1)*$H209),"")</f>
        <v/>
      </c>
      <c r="W209" s="37">
        <f>IFERROR(IF(V209=0,"",ROUNDUP(V209/H209,0)*0.00937),"")</f>
        <v/>
      </c>
      <c r="X209" s="57" t="n"/>
      <c r="Y209" s="58" t="n"/>
      <c r="AC209" s="59" t="n"/>
      <c r="AZ209" s="177" t="inlineStr">
        <is>
          <t>КИ</t>
        </is>
      </c>
    </row>
    <row r="210" ht="27" customHeight="1">
      <c r="A210" s="55" t="inlineStr">
        <is>
          <t>SU000078</t>
        </is>
      </c>
      <c r="B210" s="55" t="inlineStr">
        <is>
          <t>P001806</t>
        </is>
      </c>
      <c r="C210" s="32" t="n">
        <v>4301010944</v>
      </c>
      <c r="D210" s="316" t="n">
        <v>4607091387346</v>
      </c>
      <c r="E210" s="317" t="n"/>
      <c r="F210" s="645" t="n">
        <v>0.4</v>
      </c>
      <c r="G210" s="33" t="n">
        <v>10</v>
      </c>
      <c r="H210" s="645" t="n">
        <v>4</v>
      </c>
      <c r="I210" s="645" t="n">
        <v>4.24</v>
      </c>
      <c r="J210" s="33" t="n">
        <v>120</v>
      </c>
      <c r="K210" s="34" t="inlineStr">
        <is>
          <t>СК1</t>
        </is>
      </c>
      <c r="L210" s="33" t="n">
        <v>55</v>
      </c>
      <c r="M210" s="602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10" s="319" t="n"/>
      <c r="O210" s="319" t="n"/>
      <c r="P210" s="319" t="n"/>
      <c r="Q210" s="317" t="n"/>
      <c r="R210" s="35" t="n"/>
      <c r="S210" s="35" t="n"/>
      <c r="T210" s="36" t="inlineStr">
        <is>
          <t>кг</t>
        </is>
      </c>
      <c r="U210" s="646" t="n">
        <v>0</v>
      </c>
      <c r="V210" s="647">
        <f>IFERROR(IF(U210="",0,CEILING((U210/$H210),1)*$H210),"")</f>
        <v/>
      </c>
      <c r="W210" s="37">
        <f>IFERROR(IF(V210=0,"",ROUNDUP(V210/H210,0)*0.00937),"")</f>
        <v/>
      </c>
      <c r="X210" s="57" t="n"/>
      <c r="Y210" s="58" t="n"/>
      <c r="AC210" s="59" t="n"/>
      <c r="AZ210" s="178" t="inlineStr">
        <is>
          <t>КИ</t>
        </is>
      </c>
    </row>
    <row r="211" ht="27" customHeight="1">
      <c r="A211" s="55" t="inlineStr">
        <is>
          <t>SU002616</t>
        </is>
      </c>
      <c r="B211" s="55" t="inlineStr">
        <is>
          <t>P002950</t>
        </is>
      </c>
      <c r="C211" s="32" t="n">
        <v>4301011353</v>
      </c>
      <c r="D211" s="316" t="n">
        <v>4607091389807</v>
      </c>
      <c r="E211" s="317" t="n"/>
      <c r="F211" s="645" t="n">
        <v>0.4</v>
      </c>
      <c r="G211" s="33" t="n">
        <v>10</v>
      </c>
      <c r="H211" s="645" t="n">
        <v>4</v>
      </c>
      <c r="I211" s="645" t="n">
        <v>4.24</v>
      </c>
      <c r="J211" s="33" t="n">
        <v>120</v>
      </c>
      <c r="K211" s="34" t="inlineStr">
        <is>
          <t>СК1</t>
        </is>
      </c>
      <c r="L211" s="33" t="n">
        <v>55</v>
      </c>
      <c r="M211" s="518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11" s="319" t="n"/>
      <c r="O211" s="319" t="n"/>
      <c r="P211" s="319" t="n"/>
      <c r="Q211" s="317" t="n"/>
      <c r="R211" s="35" t="n"/>
      <c r="S211" s="35" t="n"/>
      <c r="T211" s="36" t="inlineStr">
        <is>
          <t>кг</t>
        </is>
      </c>
      <c r="U211" s="646" t="n">
        <v>0</v>
      </c>
      <c r="V211" s="647">
        <f>IFERROR(IF(U211="",0,CEILING((U211/$H211),1)*$H211),"")</f>
        <v/>
      </c>
      <c r="W211" s="37">
        <f>IFERROR(IF(V211=0,"",ROUNDUP(V211/H211,0)*0.00937),"")</f>
        <v/>
      </c>
      <c r="X211" s="57" t="n"/>
      <c r="Y211" s="58" t="n"/>
      <c r="AC211" s="59" t="n"/>
      <c r="AZ211" s="179" t="inlineStr">
        <is>
          <t>КИ</t>
        </is>
      </c>
    </row>
    <row r="212">
      <c r="A212" s="313" t="n"/>
      <c r="B212" s="314" t="n"/>
      <c r="C212" s="314" t="n"/>
      <c r="D212" s="314" t="n"/>
      <c r="E212" s="314" t="n"/>
      <c r="F212" s="314" t="n"/>
      <c r="G212" s="314" t="n"/>
      <c r="H212" s="314" t="n"/>
      <c r="I212" s="314" t="n"/>
      <c r="J212" s="314" t="n"/>
      <c r="K212" s="314" t="n"/>
      <c r="L212" s="315" t="n"/>
      <c r="M212" s="328" t="inlineStr">
        <is>
          <t>Итого</t>
        </is>
      </c>
      <c r="N212" s="329" t="n"/>
      <c r="O212" s="329" t="n"/>
      <c r="P212" s="329" t="n"/>
      <c r="Q212" s="329" t="n"/>
      <c r="R212" s="329" t="n"/>
      <c r="S212" s="330" t="n"/>
      <c r="T212" s="38" t="inlineStr">
        <is>
          <t>кор</t>
        </is>
      </c>
      <c r="U212" s="648">
        <f>IFERROR(U197/H197,"0")+IFERROR(U198/H198,"0")+IFERROR(U199/H199,"0")+IFERROR(U200/H200,"0")+IFERROR(U201/H201,"0")+IFERROR(U202/H202,"0")+IFERROR(U203/H203,"0")+IFERROR(U204/H204,"0")+IFERROR(U205/H205,"0")+IFERROR(U206/H206,"0")+IFERROR(U207/H207,"0")+IFERROR(U208/H208,"0")+IFERROR(U209/H209,"0")+IFERROR(U210/H210,"0")+IFERROR(U211/H211,"0")</f>
        <v/>
      </c>
      <c r="V212" s="648">
        <f>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</f>
        <v/>
      </c>
      <c r="W212" s="648">
        <f>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+IFERROR(IF(W210="",0,W210),"0")+IFERROR(IF(W211="",0,W211),"0")</f>
        <v/>
      </c>
      <c r="X212" s="649" t="n"/>
      <c r="Y212" s="649" t="n"/>
    </row>
    <row r="213">
      <c r="A213" s="314" t="n"/>
      <c r="B213" s="314" t="n"/>
      <c r="C213" s="314" t="n"/>
      <c r="D213" s="314" t="n"/>
      <c r="E213" s="314" t="n"/>
      <c r="F213" s="314" t="n"/>
      <c r="G213" s="314" t="n"/>
      <c r="H213" s="314" t="n"/>
      <c r="I213" s="314" t="n"/>
      <c r="J213" s="314" t="n"/>
      <c r="K213" s="314" t="n"/>
      <c r="L213" s="315" t="n"/>
      <c r="M213" s="328" t="inlineStr">
        <is>
          <t>Итого</t>
        </is>
      </c>
      <c r="N213" s="329" t="n"/>
      <c r="O213" s="329" t="n"/>
      <c r="P213" s="329" t="n"/>
      <c r="Q213" s="329" t="n"/>
      <c r="R213" s="329" t="n"/>
      <c r="S213" s="330" t="n"/>
      <c r="T213" s="38" t="inlineStr">
        <is>
          <t>кг</t>
        </is>
      </c>
      <c r="U213" s="648">
        <f>IFERROR(SUM(U197:U211),"0")</f>
        <v/>
      </c>
      <c r="V213" s="648">
        <f>IFERROR(SUM(V197:V211),"0")</f>
        <v/>
      </c>
      <c r="W213" s="38" t="n"/>
      <c r="X213" s="649" t="n"/>
      <c r="Y213" s="649" t="n"/>
    </row>
    <row r="214" ht="14.25" customHeight="1">
      <c r="A214" s="326" t="inlineStr">
        <is>
          <t>Ветчины</t>
        </is>
      </c>
      <c r="B214" s="314" t="n"/>
      <c r="C214" s="314" t="n"/>
      <c r="D214" s="314" t="n"/>
      <c r="E214" s="314" t="n"/>
      <c r="F214" s="314" t="n"/>
      <c r="G214" s="314" t="n"/>
      <c r="H214" s="314" t="n"/>
      <c r="I214" s="314" t="n"/>
      <c r="J214" s="314" t="n"/>
      <c r="K214" s="314" t="n"/>
      <c r="L214" s="314" t="n"/>
      <c r="M214" s="314" t="n"/>
      <c r="N214" s="314" t="n"/>
      <c r="O214" s="314" t="n"/>
      <c r="P214" s="314" t="n"/>
      <c r="Q214" s="314" t="n"/>
      <c r="R214" s="314" t="n"/>
      <c r="S214" s="314" t="n"/>
      <c r="T214" s="314" t="n"/>
      <c r="U214" s="314" t="n"/>
      <c r="V214" s="314" t="n"/>
      <c r="W214" s="314" t="n"/>
      <c r="X214" s="326" t="n"/>
      <c r="Y214" s="326" t="n"/>
    </row>
    <row r="215" ht="27" customHeight="1">
      <c r="A215" s="55" t="inlineStr">
        <is>
          <t>SU002788</t>
        </is>
      </c>
      <c r="B215" s="55" t="inlineStr">
        <is>
          <t>P003190</t>
        </is>
      </c>
      <c r="C215" s="32" t="n">
        <v>4301020254</v>
      </c>
      <c r="D215" s="316" t="n">
        <v>4680115881914</v>
      </c>
      <c r="E215" s="317" t="n"/>
      <c r="F215" s="645" t="n">
        <v>0.4</v>
      </c>
      <c r="G215" s="33" t="n">
        <v>10</v>
      </c>
      <c r="H215" s="645" t="n">
        <v>4</v>
      </c>
      <c r="I215" s="645" t="n">
        <v>4.24</v>
      </c>
      <c r="J215" s="33" t="n">
        <v>120</v>
      </c>
      <c r="K215" s="34" t="inlineStr">
        <is>
          <t>СК1</t>
        </is>
      </c>
      <c r="L215" s="33" t="n">
        <v>90</v>
      </c>
      <c r="M215" s="499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N215" s="319" t="n"/>
      <c r="O215" s="319" t="n"/>
      <c r="P215" s="319" t="n"/>
      <c r="Q215" s="317" t="n"/>
      <c r="R215" s="35" t="n"/>
      <c r="S215" s="35" t="n"/>
      <c r="T215" s="36" t="inlineStr">
        <is>
          <t>кг</t>
        </is>
      </c>
      <c r="U215" s="646" t="n">
        <v>0</v>
      </c>
      <c r="V215" s="647">
        <f>IFERROR(IF(U215="",0,CEILING((U215/$H215),1)*$H215),"")</f>
        <v/>
      </c>
      <c r="W215" s="37">
        <f>IFERROR(IF(V215=0,"",ROUNDUP(V215/H215,0)*0.00937),"")</f>
        <v/>
      </c>
      <c r="X215" s="57" t="n"/>
      <c r="Y215" s="58" t="n"/>
      <c r="AC215" s="59" t="n"/>
      <c r="AZ215" s="180" t="inlineStr">
        <is>
          <t>КИ</t>
        </is>
      </c>
    </row>
    <row r="216">
      <c r="A216" s="313" t="n"/>
      <c r="B216" s="314" t="n"/>
      <c r="C216" s="314" t="n"/>
      <c r="D216" s="314" t="n"/>
      <c r="E216" s="314" t="n"/>
      <c r="F216" s="314" t="n"/>
      <c r="G216" s="314" t="n"/>
      <c r="H216" s="314" t="n"/>
      <c r="I216" s="314" t="n"/>
      <c r="J216" s="314" t="n"/>
      <c r="K216" s="314" t="n"/>
      <c r="L216" s="315" t="n"/>
      <c r="M216" s="328" t="inlineStr">
        <is>
          <t>Итого</t>
        </is>
      </c>
      <c r="N216" s="329" t="n"/>
      <c r="O216" s="329" t="n"/>
      <c r="P216" s="329" t="n"/>
      <c r="Q216" s="329" t="n"/>
      <c r="R216" s="329" t="n"/>
      <c r="S216" s="330" t="n"/>
      <c r="T216" s="38" t="inlineStr">
        <is>
          <t>кор</t>
        </is>
      </c>
      <c r="U216" s="648">
        <f>IFERROR(U215/H215,"0")</f>
        <v/>
      </c>
      <c r="V216" s="648">
        <f>IFERROR(V215/H215,"0")</f>
        <v/>
      </c>
      <c r="W216" s="648">
        <f>IFERROR(IF(W215="",0,W215),"0")</f>
        <v/>
      </c>
      <c r="X216" s="649" t="n"/>
      <c r="Y216" s="649" t="n"/>
    </row>
    <row r="217">
      <c r="A217" s="314" t="n"/>
      <c r="B217" s="314" t="n"/>
      <c r="C217" s="314" t="n"/>
      <c r="D217" s="314" t="n"/>
      <c r="E217" s="314" t="n"/>
      <c r="F217" s="314" t="n"/>
      <c r="G217" s="314" t="n"/>
      <c r="H217" s="314" t="n"/>
      <c r="I217" s="314" t="n"/>
      <c r="J217" s="314" t="n"/>
      <c r="K217" s="314" t="n"/>
      <c r="L217" s="315" t="n"/>
      <c r="M217" s="328" t="inlineStr">
        <is>
          <t>Итого</t>
        </is>
      </c>
      <c r="N217" s="329" t="n"/>
      <c r="O217" s="329" t="n"/>
      <c r="P217" s="329" t="n"/>
      <c r="Q217" s="329" t="n"/>
      <c r="R217" s="329" t="n"/>
      <c r="S217" s="330" t="n"/>
      <c r="T217" s="38" t="inlineStr">
        <is>
          <t>кг</t>
        </is>
      </c>
      <c r="U217" s="648">
        <f>IFERROR(SUM(U215:U215),"0")</f>
        <v/>
      </c>
      <c r="V217" s="648">
        <f>IFERROR(SUM(V215:V215),"0")</f>
        <v/>
      </c>
      <c r="W217" s="38" t="n"/>
      <c r="X217" s="649" t="n"/>
      <c r="Y217" s="649" t="n"/>
    </row>
    <row r="218" ht="14.25" customHeight="1">
      <c r="A218" s="326" t="inlineStr">
        <is>
          <t>Копченые колбасы</t>
        </is>
      </c>
      <c r="B218" s="314" t="n"/>
      <c r="C218" s="314" t="n"/>
      <c r="D218" s="314" t="n"/>
      <c r="E218" s="314" t="n"/>
      <c r="F218" s="314" t="n"/>
      <c r="G218" s="314" t="n"/>
      <c r="H218" s="314" t="n"/>
      <c r="I218" s="314" t="n"/>
      <c r="J218" s="314" t="n"/>
      <c r="K218" s="314" t="n"/>
      <c r="L218" s="314" t="n"/>
      <c r="M218" s="314" t="n"/>
      <c r="N218" s="314" t="n"/>
      <c r="O218" s="314" t="n"/>
      <c r="P218" s="314" t="n"/>
      <c r="Q218" s="314" t="n"/>
      <c r="R218" s="314" t="n"/>
      <c r="S218" s="314" t="n"/>
      <c r="T218" s="314" t="n"/>
      <c r="U218" s="314" t="n"/>
      <c r="V218" s="314" t="n"/>
      <c r="W218" s="314" t="n"/>
      <c r="X218" s="326" t="n"/>
      <c r="Y218" s="326" t="n"/>
    </row>
    <row r="219" ht="27" customHeight="1">
      <c r="A219" s="55" t="inlineStr">
        <is>
          <t>SU001820</t>
        </is>
      </c>
      <c r="B219" s="55" t="inlineStr">
        <is>
          <t>P001820</t>
        </is>
      </c>
      <c r="C219" s="32" t="n">
        <v>4301030878</v>
      </c>
      <c r="D219" s="316" t="n">
        <v>4607091387193</v>
      </c>
      <c r="E219" s="317" t="n"/>
      <c r="F219" s="645" t="n">
        <v>0.7</v>
      </c>
      <c r="G219" s="33" t="n">
        <v>6</v>
      </c>
      <c r="H219" s="645" t="n">
        <v>4.2</v>
      </c>
      <c r="I219" s="645" t="n">
        <v>4.46</v>
      </c>
      <c r="J219" s="33" t="n">
        <v>156</v>
      </c>
      <c r="K219" s="34" t="inlineStr">
        <is>
          <t>СК2</t>
        </is>
      </c>
      <c r="L219" s="33" t="n">
        <v>35</v>
      </c>
      <c r="M219" s="631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19" s="319" t="n"/>
      <c r="O219" s="319" t="n"/>
      <c r="P219" s="319" t="n"/>
      <c r="Q219" s="317" t="n"/>
      <c r="R219" s="35" t="n"/>
      <c r="S219" s="35" t="n"/>
      <c r="T219" s="36" t="inlineStr">
        <is>
          <t>кг</t>
        </is>
      </c>
      <c r="U219" s="646" t="n">
        <v>0</v>
      </c>
      <c r="V219" s="647">
        <f>IFERROR(IF(U219="",0,CEILING((U219/$H219),1)*$H219),"")</f>
        <v/>
      </c>
      <c r="W219" s="37">
        <f>IFERROR(IF(V219=0,"",ROUNDUP(V219/H219,0)*0.00753),"")</f>
        <v/>
      </c>
      <c r="X219" s="57" t="n"/>
      <c r="Y219" s="58" t="n"/>
      <c r="AC219" s="59" t="n"/>
      <c r="AZ219" s="181" t="inlineStr">
        <is>
          <t>КИ</t>
        </is>
      </c>
    </row>
    <row r="220" ht="27" customHeight="1">
      <c r="A220" s="55" t="inlineStr">
        <is>
          <t>SU001822</t>
        </is>
      </c>
      <c r="B220" s="55" t="inlineStr">
        <is>
          <t>P003013</t>
        </is>
      </c>
      <c r="C220" s="32" t="n">
        <v>4301031153</v>
      </c>
      <c r="D220" s="316" t="n">
        <v>4607091387230</v>
      </c>
      <c r="E220" s="317" t="n"/>
      <c r="F220" s="645" t="n">
        <v>0.7</v>
      </c>
      <c r="G220" s="33" t="n">
        <v>6</v>
      </c>
      <c r="H220" s="645" t="n">
        <v>4.2</v>
      </c>
      <c r="I220" s="645" t="n">
        <v>4.46</v>
      </c>
      <c r="J220" s="33" t="n">
        <v>156</v>
      </c>
      <c r="K220" s="34" t="inlineStr">
        <is>
          <t>СК2</t>
        </is>
      </c>
      <c r="L220" s="33" t="n">
        <v>40</v>
      </c>
      <c r="M220" s="353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20" s="319" t="n"/>
      <c r="O220" s="319" t="n"/>
      <c r="P220" s="319" t="n"/>
      <c r="Q220" s="317" t="n"/>
      <c r="R220" s="35" t="n"/>
      <c r="S220" s="35" t="n"/>
      <c r="T220" s="36" t="inlineStr">
        <is>
          <t>кг</t>
        </is>
      </c>
      <c r="U220" s="646" t="n">
        <v>0</v>
      </c>
      <c r="V220" s="647">
        <f>IFERROR(IF(U220="",0,CEILING((U220/$H220),1)*$H220),"")</f>
        <v/>
      </c>
      <c r="W220" s="37">
        <f>IFERROR(IF(V220=0,"",ROUNDUP(V220/H220,0)*0.00753),"")</f>
        <v/>
      </c>
      <c r="X220" s="57" t="n"/>
      <c r="Y220" s="58" t="n"/>
      <c r="AC220" s="59" t="n"/>
      <c r="AZ220" s="182" t="inlineStr">
        <is>
          <t>КИ</t>
        </is>
      </c>
    </row>
    <row r="221" ht="27" customHeight="1">
      <c r="A221" s="55" t="inlineStr">
        <is>
          <t>SU002579</t>
        </is>
      </c>
      <c r="B221" s="55" t="inlineStr">
        <is>
          <t>P003012</t>
        </is>
      </c>
      <c r="C221" s="32" t="n">
        <v>4301031152</v>
      </c>
      <c r="D221" s="316" t="n">
        <v>4607091387285</v>
      </c>
      <c r="E221" s="317" t="n"/>
      <c r="F221" s="645" t="n">
        <v>0.35</v>
      </c>
      <c r="G221" s="33" t="n">
        <v>6</v>
      </c>
      <c r="H221" s="645" t="n">
        <v>2.1</v>
      </c>
      <c r="I221" s="645" t="n">
        <v>2.23</v>
      </c>
      <c r="J221" s="33" t="n">
        <v>234</v>
      </c>
      <c r="K221" s="34" t="inlineStr">
        <is>
          <t>СК2</t>
        </is>
      </c>
      <c r="L221" s="33" t="n">
        <v>40</v>
      </c>
      <c r="M221" s="498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21" s="319" t="n"/>
      <c r="O221" s="319" t="n"/>
      <c r="P221" s="319" t="n"/>
      <c r="Q221" s="317" t="n"/>
      <c r="R221" s="35" t="n"/>
      <c r="S221" s="35" t="n"/>
      <c r="T221" s="36" t="inlineStr">
        <is>
          <t>кг</t>
        </is>
      </c>
      <c r="U221" s="646" t="n">
        <v>0</v>
      </c>
      <c r="V221" s="647">
        <f>IFERROR(IF(U221="",0,CEILING((U221/$H221),1)*$H221),"")</f>
        <v/>
      </c>
      <c r="W221" s="37">
        <f>IFERROR(IF(V221=0,"",ROUNDUP(V221/H221,0)*0.00502),"")</f>
        <v/>
      </c>
      <c r="X221" s="57" t="n"/>
      <c r="Y221" s="58" t="n"/>
      <c r="AC221" s="59" t="n"/>
      <c r="AZ221" s="183" t="inlineStr">
        <is>
          <t>КИ</t>
        </is>
      </c>
    </row>
    <row r="222" ht="27" customHeight="1">
      <c r="A222" s="55" t="inlineStr">
        <is>
          <t>SU002617</t>
        </is>
      </c>
      <c r="B222" s="55" t="inlineStr">
        <is>
          <t>P002951</t>
        </is>
      </c>
      <c r="C222" s="32" t="n">
        <v>4301031151</v>
      </c>
      <c r="D222" s="316" t="n">
        <v>4607091389845</v>
      </c>
      <c r="E222" s="317" t="n"/>
      <c r="F222" s="645" t="n">
        <v>0.35</v>
      </c>
      <c r="G222" s="33" t="n">
        <v>6</v>
      </c>
      <c r="H222" s="645" t="n">
        <v>2.1</v>
      </c>
      <c r="I222" s="645" t="n">
        <v>2.2</v>
      </c>
      <c r="J222" s="33" t="n">
        <v>234</v>
      </c>
      <c r="K222" s="34" t="inlineStr">
        <is>
          <t>СК2</t>
        </is>
      </c>
      <c r="L222" s="33" t="n">
        <v>40</v>
      </c>
      <c r="M222" s="390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22" s="319" t="n"/>
      <c r="O222" s="319" t="n"/>
      <c r="P222" s="319" t="n"/>
      <c r="Q222" s="317" t="n"/>
      <c r="R222" s="35" t="n"/>
      <c r="S222" s="35" t="n"/>
      <c r="T222" s="36" t="inlineStr">
        <is>
          <t>кг</t>
        </is>
      </c>
      <c r="U222" s="646" t="n">
        <v>0</v>
      </c>
      <c r="V222" s="647">
        <f>IFERROR(IF(U222="",0,CEILING((U222/$H222),1)*$H222),"")</f>
        <v/>
      </c>
      <c r="W222" s="37">
        <f>IFERROR(IF(V222=0,"",ROUNDUP(V222/H222,0)*0.00502),"")</f>
        <v/>
      </c>
      <c r="X222" s="57" t="n"/>
      <c r="Y222" s="58" t="n"/>
      <c r="AC222" s="59" t="n"/>
      <c r="AZ222" s="184" t="inlineStr">
        <is>
          <t>КИ</t>
        </is>
      </c>
    </row>
    <row r="223">
      <c r="A223" s="313" t="n"/>
      <c r="B223" s="314" t="n"/>
      <c r="C223" s="314" t="n"/>
      <c r="D223" s="314" t="n"/>
      <c r="E223" s="314" t="n"/>
      <c r="F223" s="314" t="n"/>
      <c r="G223" s="314" t="n"/>
      <c r="H223" s="314" t="n"/>
      <c r="I223" s="314" t="n"/>
      <c r="J223" s="314" t="n"/>
      <c r="K223" s="314" t="n"/>
      <c r="L223" s="315" t="n"/>
      <c r="M223" s="328" t="inlineStr">
        <is>
          <t>Итого</t>
        </is>
      </c>
      <c r="N223" s="329" t="n"/>
      <c r="O223" s="329" t="n"/>
      <c r="P223" s="329" t="n"/>
      <c r="Q223" s="329" t="n"/>
      <c r="R223" s="329" t="n"/>
      <c r="S223" s="330" t="n"/>
      <c r="T223" s="38" t="inlineStr">
        <is>
          <t>кор</t>
        </is>
      </c>
      <c r="U223" s="648">
        <f>IFERROR(U219/H219,"0")+IFERROR(U220/H220,"0")+IFERROR(U221/H221,"0")+IFERROR(U222/H222,"0")</f>
        <v/>
      </c>
      <c r="V223" s="648">
        <f>IFERROR(V219/H219,"0")+IFERROR(V220/H220,"0")+IFERROR(V221/H221,"0")+IFERROR(V222/H222,"0")</f>
        <v/>
      </c>
      <c r="W223" s="648">
        <f>IFERROR(IF(W219="",0,W219),"0")+IFERROR(IF(W220="",0,W220),"0")+IFERROR(IF(W221="",0,W221),"0")+IFERROR(IF(W222="",0,W222),"0")</f>
        <v/>
      </c>
      <c r="X223" s="649" t="n"/>
      <c r="Y223" s="649" t="n"/>
    </row>
    <row r="224">
      <c r="A224" s="314" t="n"/>
      <c r="B224" s="314" t="n"/>
      <c r="C224" s="314" t="n"/>
      <c r="D224" s="314" t="n"/>
      <c r="E224" s="314" t="n"/>
      <c r="F224" s="314" t="n"/>
      <c r="G224" s="314" t="n"/>
      <c r="H224" s="314" t="n"/>
      <c r="I224" s="314" t="n"/>
      <c r="J224" s="314" t="n"/>
      <c r="K224" s="314" t="n"/>
      <c r="L224" s="315" t="n"/>
      <c r="M224" s="328" t="inlineStr">
        <is>
          <t>Итого</t>
        </is>
      </c>
      <c r="N224" s="329" t="n"/>
      <c r="O224" s="329" t="n"/>
      <c r="P224" s="329" t="n"/>
      <c r="Q224" s="329" t="n"/>
      <c r="R224" s="329" t="n"/>
      <c r="S224" s="330" t="n"/>
      <c r="T224" s="38" t="inlineStr">
        <is>
          <t>кг</t>
        </is>
      </c>
      <c r="U224" s="648">
        <f>IFERROR(SUM(U219:U222),"0")</f>
        <v/>
      </c>
      <c r="V224" s="648">
        <f>IFERROR(SUM(V219:V222),"0")</f>
        <v/>
      </c>
      <c r="W224" s="38" t="n"/>
      <c r="X224" s="649" t="n"/>
      <c r="Y224" s="649" t="n"/>
    </row>
    <row r="225" ht="14.25" customHeight="1">
      <c r="A225" s="326" t="inlineStr">
        <is>
          <t>Сосиски</t>
        </is>
      </c>
      <c r="B225" s="314" t="n"/>
      <c r="C225" s="314" t="n"/>
      <c r="D225" s="314" t="n"/>
      <c r="E225" s="314" t="n"/>
      <c r="F225" s="314" t="n"/>
      <c r="G225" s="314" t="n"/>
      <c r="H225" s="314" t="n"/>
      <c r="I225" s="314" t="n"/>
      <c r="J225" s="314" t="n"/>
      <c r="K225" s="314" t="n"/>
      <c r="L225" s="314" t="n"/>
      <c r="M225" s="314" t="n"/>
      <c r="N225" s="314" t="n"/>
      <c r="O225" s="314" t="n"/>
      <c r="P225" s="314" t="n"/>
      <c r="Q225" s="314" t="n"/>
      <c r="R225" s="314" t="n"/>
      <c r="S225" s="314" t="n"/>
      <c r="T225" s="314" t="n"/>
      <c r="U225" s="314" t="n"/>
      <c r="V225" s="314" t="n"/>
      <c r="W225" s="314" t="n"/>
      <c r="X225" s="326" t="n"/>
      <c r="Y225" s="326" t="n"/>
    </row>
    <row r="226" ht="16.5" customHeight="1">
      <c r="A226" s="55" t="inlineStr">
        <is>
          <t>SU001340</t>
        </is>
      </c>
      <c r="B226" s="55" t="inlineStr">
        <is>
          <t>P002209</t>
        </is>
      </c>
      <c r="C226" s="32" t="n">
        <v>4301051100</v>
      </c>
      <c r="D226" s="316" t="n">
        <v>4607091387766</v>
      </c>
      <c r="E226" s="317" t="n"/>
      <c r="F226" s="645" t="n">
        <v>1.35</v>
      </c>
      <c r="G226" s="33" t="n">
        <v>6</v>
      </c>
      <c r="H226" s="645" t="n">
        <v>8.1</v>
      </c>
      <c r="I226" s="645" t="n">
        <v>8.657999999999999</v>
      </c>
      <c r="J226" s="33" t="n">
        <v>56</v>
      </c>
      <c r="K226" s="34" t="inlineStr">
        <is>
          <t>СК3</t>
        </is>
      </c>
      <c r="L226" s="33" t="n">
        <v>40</v>
      </c>
      <c r="M226" s="380">
        <f>HYPERLINK("https://abi.ru/products/Охлажденные/Стародворье/Бордо/Сосиски/P002209/","Сосиски Ганноверские Бордо Весовые П/а мгс Баварушка")</f>
        <v/>
      </c>
      <c r="N226" s="319" t="n"/>
      <c r="O226" s="319" t="n"/>
      <c r="P226" s="319" t="n"/>
      <c r="Q226" s="317" t="n"/>
      <c r="R226" s="35" t="n"/>
      <c r="S226" s="35" t="n"/>
      <c r="T226" s="36" t="inlineStr">
        <is>
          <t>кг</t>
        </is>
      </c>
      <c r="U226" s="646" t="n">
        <v>0</v>
      </c>
      <c r="V226" s="647">
        <f>IFERROR(IF(U226="",0,CEILING((U226/$H226),1)*$H226),"")</f>
        <v/>
      </c>
      <c r="W226" s="37">
        <f>IFERROR(IF(V226=0,"",ROUNDUP(V226/H226,0)*0.02175),"")</f>
        <v/>
      </c>
      <c r="X226" s="57" t="n"/>
      <c r="Y226" s="58" t="n"/>
      <c r="AC226" s="59" t="n"/>
      <c r="AZ226" s="185" t="inlineStr">
        <is>
          <t>КИ</t>
        </is>
      </c>
    </row>
    <row r="227" ht="27" customHeight="1">
      <c r="A227" s="55" t="inlineStr">
        <is>
          <t>SU001727</t>
        </is>
      </c>
      <c r="B227" s="55" t="inlineStr">
        <is>
          <t>P002205</t>
        </is>
      </c>
      <c r="C227" s="32" t="n">
        <v>4301051116</v>
      </c>
      <c r="D227" s="316" t="n">
        <v>4607091387957</v>
      </c>
      <c r="E227" s="317" t="n"/>
      <c r="F227" s="645" t="n">
        <v>1.3</v>
      </c>
      <c r="G227" s="33" t="n">
        <v>6</v>
      </c>
      <c r="H227" s="645" t="n">
        <v>7.8</v>
      </c>
      <c r="I227" s="645" t="n">
        <v>8.364000000000001</v>
      </c>
      <c r="J227" s="33" t="n">
        <v>56</v>
      </c>
      <c r="K227" s="34" t="inlineStr">
        <is>
          <t>СК2</t>
        </is>
      </c>
      <c r="L227" s="33" t="n">
        <v>40</v>
      </c>
      <c r="M227" s="546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27" s="319" t="n"/>
      <c r="O227" s="319" t="n"/>
      <c r="P227" s="319" t="n"/>
      <c r="Q227" s="317" t="n"/>
      <c r="R227" s="35" t="n"/>
      <c r="S227" s="35" t="n"/>
      <c r="T227" s="36" t="inlineStr">
        <is>
          <t>кг</t>
        </is>
      </c>
      <c r="U227" s="646" t="n">
        <v>0</v>
      </c>
      <c r="V227" s="647">
        <f>IFERROR(IF(U227="",0,CEILING((U227/$H227),1)*$H227),"")</f>
        <v/>
      </c>
      <c r="W227" s="37">
        <f>IFERROR(IF(V227=0,"",ROUNDUP(V227/H227,0)*0.02175),"")</f>
        <v/>
      </c>
      <c r="X227" s="57" t="n"/>
      <c r="Y227" s="58" t="n"/>
      <c r="AC227" s="59" t="n"/>
      <c r="AZ227" s="186" t="inlineStr">
        <is>
          <t>КИ</t>
        </is>
      </c>
    </row>
    <row r="228" ht="27" customHeight="1">
      <c r="A228" s="55" t="inlineStr">
        <is>
          <t>SU001728</t>
        </is>
      </c>
      <c r="B228" s="55" t="inlineStr">
        <is>
          <t>P002207</t>
        </is>
      </c>
      <c r="C228" s="32" t="n">
        <v>4301051115</v>
      </c>
      <c r="D228" s="316" t="n">
        <v>4607091387964</v>
      </c>
      <c r="E228" s="317" t="n"/>
      <c r="F228" s="645" t="n">
        <v>1.35</v>
      </c>
      <c r="G228" s="33" t="n">
        <v>6</v>
      </c>
      <c r="H228" s="645" t="n">
        <v>8.1</v>
      </c>
      <c r="I228" s="645" t="n">
        <v>8.646000000000001</v>
      </c>
      <c r="J228" s="33" t="n">
        <v>56</v>
      </c>
      <c r="K228" s="34" t="inlineStr">
        <is>
          <t>СК2</t>
        </is>
      </c>
      <c r="L228" s="33" t="n">
        <v>40</v>
      </c>
      <c r="M228" s="389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28" s="319" t="n"/>
      <c r="O228" s="319" t="n"/>
      <c r="P228" s="319" t="n"/>
      <c r="Q228" s="317" t="n"/>
      <c r="R228" s="35" t="n"/>
      <c r="S228" s="35" t="n"/>
      <c r="T228" s="36" t="inlineStr">
        <is>
          <t>кг</t>
        </is>
      </c>
      <c r="U228" s="646" t="n">
        <v>0</v>
      </c>
      <c r="V228" s="647">
        <f>IFERROR(IF(U228="",0,CEILING((U228/$H228),1)*$H228),"")</f>
        <v/>
      </c>
      <c r="W228" s="37">
        <f>IFERROR(IF(V228=0,"",ROUNDUP(V228/H228,0)*0.02175),"")</f>
        <v/>
      </c>
      <c r="X228" s="57" t="n"/>
      <c r="Y228" s="58" t="n"/>
      <c r="AC228" s="59" t="n"/>
      <c r="AZ228" s="187" t="inlineStr">
        <is>
          <t>КИ</t>
        </is>
      </c>
    </row>
    <row r="229" ht="16.5" customHeight="1">
      <c r="A229" s="55" t="inlineStr">
        <is>
          <t>SU001341</t>
        </is>
      </c>
      <c r="B229" s="55" t="inlineStr">
        <is>
          <t>P002204</t>
        </is>
      </c>
      <c r="C229" s="32" t="n">
        <v>4301051134</v>
      </c>
      <c r="D229" s="316" t="n">
        <v>4607091381672</v>
      </c>
      <c r="E229" s="317" t="n"/>
      <c r="F229" s="645" t="n">
        <v>0.6</v>
      </c>
      <c r="G229" s="33" t="n">
        <v>6</v>
      </c>
      <c r="H229" s="645" t="n">
        <v>3.6</v>
      </c>
      <c r="I229" s="645" t="n">
        <v>3.876</v>
      </c>
      <c r="J229" s="33" t="n">
        <v>120</v>
      </c>
      <c r="K229" s="34" t="inlineStr">
        <is>
          <t>СК2</t>
        </is>
      </c>
      <c r="L229" s="33" t="n">
        <v>40</v>
      </c>
      <c r="M229" s="503">
        <f>HYPERLINK("https://abi.ru/products/Охлажденные/Стародворье/Бордо/Сосиски/P002204/","Сосиски Ганноверские Бордо Фикс.вес 0,6 П/а мгс Баварушка")</f>
        <v/>
      </c>
      <c r="N229" s="319" t="n"/>
      <c r="O229" s="319" t="n"/>
      <c r="P229" s="319" t="n"/>
      <c r="Q229" s="317" t="n"/>
      <c r="R229" s="35" t="n"/>
      <c r="S229" s="35" t="n"/>
      <c r="T229" s="36" t="inlineStr">
        <is>
          <t>кг</t>
        </is>
      </c>
      <c r="U229" s="646" t="n">
        <v>0</v>
      </c>
      <c r="V229" s="647">
        <f>IFERROR(IF(U229="",0,CEILING((U229/$H229),1)*$H229),"")</f>
        <v/>
      </c>
      <c r="W229" s="37">
        <f>IFERROR(IF(V229=0,"",ROUNDUP(V229/H229,0)*0.00937),"")</f>
        <v/>
      </c>
      <c r="X229" s="57" t="n"/>
      <c r="Y229" s="58" t="n"/>
      <c r="AC229" s="59" t="n"/>
      <c r="AZ229" s="188" t="inlineStr">
        <is>
          <t>КИ</t>
        </is>
      </c>
    </row>
    <row r="230" ht="27" customHeight="1">
      <c r="A230" s="55" t="inlineStr">
        <is>
          <t>SU001763</t>
        </is>
      </c>
      <c r="B230" s="55" t="inlineStr">
        <is>
          <t>P002206</t>
        </is>
      </c>
      <c r="C230" s="32" t="n">
        <v>4301051130</v>
      </c>
      <c r="D230" s="316" t="n">
        <v>4607091387537</v>
      </c>
      <c r="E230" s="317" t="n"/>
      <c r="F230" s="645" t="n">
        <v>0.45</v>
      </c>
      <c r="G230" s="33" t="n">
        <v>6</v>
      </c>
      <c r="H230" s="645" t="n">
        <v>2.7</v>
      </c>
      <c r="I230" s="645" t="n">
        <v>2.99</v>
      </c>
      <c r="J230" s="33" t="n">
        <v>156</v>
      </c>
      <c r="K230" s="34" t="inlineStr">
        <is>
          <t>СК2</t>
        </is>
      </c>
      <c r="L230" s="33" t="n">
        <v>40</v>
      </c>
      <c r="M230" s="554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30" s="319" t="n"/>
      <c r="O230" s="319" t="n"/>
      <c r="P230" s="319" t="n"/>
      <c r="Q230" s="317" t="n"/>
      <c r="R230" s="35" t="n"/>
      <c r="S230" s="35" t="n"/>
      <c r="T230" s="36" t="inlineStr">
        <is>
          <t>кг</t>
        </is>
      </c>
      <c r="U230" s="646" t="n">
        <v>0</v>
      </c>
      <c r="V230" s="647">
        <f>IFERROR(IF(U230="",0,CEILING((U230/$H230),1)*$H230),"")</f>
        <v/>
      </c>
      <c r="W230" s="37">
        <f>IFERROR(IF(V230=0,"",ROUNDUP(V230/H230,0)*0.00753),"")</f>
        <v/>
      </c>
      <c r="X230" s="57" t="n"/>
      <c r="Y230" s="58" t="n"/>
      <c r="AC230" s="59" t="n"/>
      <c r="AZ230" s="189" t="inlineStr">
        <is>
          <t>КИ</t>
        </is>
      </c>
    </row>
    <row r="231" ht="27" customHeight="1">
      <c r="A231" s="55" t="inlineStr">
        <is>
          <t>SU001762</t>
        </is>
      </c>
      <c r="B231" s="55" t="inlineStr">
        <is>
          <t>P002208</t>
        </is>
      </c>
      <c r="C231" s="32" t="n">
        <v>4301051132</v>
      </c>
      <c r="D231" s="316" t="n">
        <v>4607091387513</v>
      </c>
      <c r="E231" s="317" t="n"/>
      <c r="F231" s="645" t="n">
        <v>0.45</v>
      </c>
      <c r="G231" s="33" t="n">
        <v>6</v>
      </c>
      <c r="H231" s="645" t="n">
        <v>2.7</v>
      </c>
      <c r="I231" s="645" t="n">
        <v>2.978</v>
      </c>
      <c r="J231" s="33" t="n">
        <v>156</v>
      </c>
      <c r="K231" s="34" t="inlineStr">
        <is>
          <t>СК2</t>
        </is>
      </c>
      <c r="L231" s="33" t="n">
        <v>40</v>
      </c>
      <c r="M231" s="431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31" s="319" t="n"/>
      <c r="O231" s="319" t="n"/>
      <c r="P231" s="319" t="n"/>
      <c r="Q231" s="317" t="n"/>
      <c r="R231" s="35" t="n"/>
      <c r="S231" s="35" t="n"/>
      <c r="T231" s="36" t="inlineStr">
        <is>
          <t>кг</t>
        </is>
      </c>
      <c r="U231" s="646" t="n">
        <v>0</v>
      </c>
      <c r="V231" s="647">
        <f>IFERROR(IF(U231="",0,CEILING((U231/$H231),1)*$H231),"")</f>
        <v/>
      </c>
      <c r="W231" s="37">
        <f>IFERROR(IF(V231=0,"",ROUNDUP(V231/H231,0)*0.00753),"")</f>
        <v/>
      </c>
      <c r="X231" s="57" t="n"/>
      <c r="Y231" s="58" t="n"/>
      <c r="AC231" s="59" t="n"/>
      <c r="AZ231" s="190" t="inlineStr">
        <is>
          <t>КИ</t>
        </is>
      </c>
    </row>
    <row r="232">
      <c r="A232" s="313" t="n"/>
      <c r="B232" s="314" t="n"/>
      <c r="C232" s="314" t="n"/>
      <c r="D232" s="314" t="n"/>
      <c r="E232" s="314" t="n"/>
      <c r="F232" s="314" t="n"/>
      <c r="G232" s="314" t="n"/>
      <c r="H232" s="314" t="n"/>
      <c r="I232" s="314" t="n"/>
      <c r="J232" s="314" t="n"/>
      <c r="K232" s="314" t="n"/>
      <c r="L232" s="315" t="n"/>
      <c r="M232" s="328" t="inlineStr">
        <is>
          <t>Итого</t>
        </is>
      </c>
      <c r="N232" s="329" t="n"/>
      <c r="O232" s="329" t="n"/>
      <c r="P232" s="329" t="n"/>
      <c r="Q232" s="329" t="n"/>
      <c r="R232" s="329" t="n"/>
      <c r="S232" s="330" t="n"/>
      <c r="T232" s="38" t="inlineStr">
        <is>
          <t>кор</t>
        </is>
      </c>
      <c r="U232" s="648">
        <f>IFERROR(U226/H226,"0")+IFERROR(U227/H227,"0")+IFERROR(U228/H228,"0")+IFERROR(U229/H229,"0")+IFERROR(U230/H230,"0")+IFERROR(U231/H231,"0")</f>
        <v/>
      </c>
      <c r="V232" s="648">
        <f>IFERROR(V226/H226,"0")+IFERROR(V227/H227,"0")+IFERROR(V228/H228,"0")+IFERROR(V229/H229,"0")+IFERROR(V230/H230,"0")+IFERROR(V231/H231,"0")</f>
        <v/>
      </c>
      <c r="W232" s="648">
        <f>IFERROR(IF(W226="",0,W226),"0")+IFERROR(IF(W227="",0,W227),"0")+IFERROR(IF(W228="",0,W228),"0")+IFERROR(IF(W229="",0,W229),"0")+IFERROR(IF(W230="",0,W230),"0")+IFERROR(IF(W231="",0,W231),"0")</f>
        <v/>
      </c>
      <c r="X232" s="649" t="n"/>
      <c r="Y232" s="649" t="n"/>
    </row>
    <row r="233">
      <c r="A233" s="314" t="n"/>
      <c r="B233" s="314" t="n"/>
      <c r="C233" s="314" t="n"/>
      <c r="D233" s="314" t="n"/>
      <c r="E233" s="314" t="n"/>
      <c r="F233" s="314" t="n"/>
      <c r="G233" s="314" t="n"/>
      <c r="H233" s="314" t="n"/>
      <c r="I233" s="314" t="n"/>
      <c r="J233" s="314" t="n"/>
      <c r="K233" s="314" t="n"/>
      <c r="L233" s="315" t="n"/>
      <c r="M233" s="328" t="inlineStr">
        <is>
          <t>Итого</t>
        </is>
      </c>
      <c r="N233" s="329" t="n"/>
      <c r="O233" s="329" t="n"/>
      <c r="P233" s="329" t="n"/>
      <c r="Q233" s="329" t="n"/>
      <c r="R233" s="329" t="n"/>
      <c r="S233" s="330" t="n"/>
      <c r="T233" s="38" t="inlineStr">
        <is>
          <t>кг</t>
        </is>
      </c>
      <c r="U233" s="648">
        <f>IFERROR(SUM(U226:U231),"0")</f>
        <v/>
      </c>
      <c r="V233" s="648">
        <f>IFERROR(SUM(V226:V231),"0")</f>
        <v/>
      </c>
      <c r="W233" s="38" t="n"/>
      <c r="X233" s="649" t="n"/>
      <c r="Y233" s="649" t="n"/>
    </row>
    <row r="234" ht="14.25" customHeight="1">
      <c r="A234" s="326" t="inlineStr">
        <is>
          <t>Сардельки</t>
        </is>
      </c>
      <c r="B234" s="314" t="n"/>
      <c r="C234" s="314" t="n"/>
      <c r="D234" s="314" t="n"/>
      <c r="E234" s="314" t="n"/>
      <c r="F234" s="314" t="n"/>
      <c r="G234" s="314" t="n"/>
      <c r="H234" s="314" t="n"/>
      <c r="I234" s="314" t="n"/>
      <c r="J234" s="314" t="n"/>
      <c r="K234" s="314" t="n"/>
      <c r="L234" s="314" t="n"/>
      <c r="M234" s="314" t="n"/>
      <c r="N234" s="314" t="n"/>
      <c r="O234" s="314" t="n"/>
      <c r="P234" s="314" t="n"/>
      <c r="Q234" s="314" t="n"/>
      <c r="R234" s="314" t="n"/>
      <c r="S234" s="314" t="n"/>
      <c r="T234" s="314" t="n"/>
      <c r="U234" s="314" t="n"/>
      <c r="V234" s="314" t="n"/>
      <c r="W234" s="314" t="n"/>
      <c r="X234" s="326" t="n"/>
      <c r="Y234" s="326" t="n"/>
    </row>
    <row r="235" ht="16.5" customHeight="1">
      <c r="A235" s="55" t="inlineStr">
        <is>
          <t>SU001051</t>
        </is>
      </c>
      <c r="B235" s="55" t="inlineStr">
        <is>
          <t>P002061</t>
        </is>
      </c>
      <c r="C235" s="32" t="n">
        <v>4301060326</v>
      </c>
      <c r="D235" s="316" t="n">
        <v>4607091380880</v>
      </c>
      <c r="E235" s="317" t="n"/>
      <c r="F235" s="645" t="n">
        <v>1.4</v>
      </c>
      <c r="G235" s="33" t="n">
        <v>6</v>
      </c>
      <c r="H235" s="645" t="n">
        <v>8.4</v>
      </c>
      <c r="I235" s="645" t="n">
        <v>8.964</v>
      </c>
      <c r="J235" s="33" t="n">
        <v>56</v>
      </c>
      <c r="K235" s="34" t="inlineStr">
        <is>
          <t>СК2</t>
        </is>
      </c>
      <c r="L235" s="33" t="n">
        <v>30</v>
      </c>
      <c r="M235" s="582">
        <f>HYPERLINK("https://abi.ru/products/Охлажденные/Стародворье/Бордо/Сардельки/P002061/","Сардельки Нежные Бордо Весовые н/о мгс Стародворье")</f>
        <v/>
      </c>
      <c r="N235" s="319" t="n"/>
      <c r="O235" s="319" t="n"/>
      <c r="P235" s="319" t="n"/>
      <c r="Q235" s="317" t="n"/>
      <c r="R235" s="35" t="n"/>
      <c r="S235" s="35" t="n"/>
      <c r="T235" s="36" t="inlineStr">
        <is>
          <t>кг</t>
        </is>
      </c>
      <c r="U235" s="646" t="n">
        <v>150</v>
      </c>
      <c r="V235" s="647">
        <f>IFERROR(IF(U235="",0,CEILING((U235/$H235),1)*$H235),"")</f>
        <v/>
      </c>
      <c r="W235" s="37">
        <f>IFERROR(IF(V235=0,"",ROUNDUP(V235/H235,0)*0.02175),"")</f>
        <v/>
      </c>
      <c r="X235" s="57" t="n"/>
      <c r="Y235" s="58" t="n"/>
      <c r="AC235" s="59" t="n"/>
      <c r="AZ235" s="191" t="inlineStr">
        <is>
          <t>КИ</t>
        </is>
      </c>
    </row>
    <row r="236" ht="27" customHeight="1">
      <c r="A236" s="55" t="inlineStr">
        <is>
          <t>SU000227</t>
        </is>
      </c>
      <c r="B236" s="55" t="inlineStr">
        <is>
          <t>P002536</t>
        </is>
      </c>
      <c r="C236" s="32" t="n">
        <v>4301060308</v>
      </c>
      <c r="D236" s="316" t="n">
        <v>4607091384482</v>
      </c>
      <c r="E236" s="317" t="n"/>
      <c r="F236" s="645" t="n">
        <v>1.3</v>
      </c>
      <c r="G236" s="33" t="n">
        <v>6</v>
      </c>
      <c r="H236" s="645" t="n">
        <v>7.8</v>
      </c>
      <c r="I236" s="645" t="n">
        <v>8.364000000000001</v>
      </c>
      <c r="J236" s="33" t="n">
        <v>56</v>
      </c>
      <c r="K236" s="34" t="inlineStr">
        <is>
          <t>СК2</t>
        </is>
      </c>
      <c r="L236" s="33" t="n">
        <v>30</v>
      </c>
      <c r="M236" s="519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36" s="319" t="n"/>
      <c r="O236" s="319" t="n"/>
      <c r="P236" s="319" t="n"/>
      <c r="Q236" s="317" t="n"/>
      <c r="R236" s="35" t="n"/>
      <c r="S236" s="35" t="n"/>
      <c r="T236" s="36" t="inlineStr">
        <is>
          <t>кг</t>
        </is>
      </c>
      <c r="U236" s="646" t="n">
        <v>1400</v>
      </c>
      <c r="V236" s="647">
        <f>IFERROR(IF(U236="",0,CEILING((U236/$H236),1)*$H236),"")</f>
        <v/>
      </c>
      <c r="W236" s="37">
        <f>IFERROR(IF(V236=0,"",ROUNDUP(V236/H236,0)*0.02175),"")</f>
        <v/>
      </c>
      <c r="X236" s="57" t="n"/>
      <c r="Y236" s="58" t="n"/>
      <c r="AC236" s="59" t="n"/>
      <c r="AZ236" s="192" t="inlineStr">
        <is>
          <t>КИ</t>
        </is>
      </c>
    </row>
    <row r="237" ht="16.5" customHeight="1">
      <c r="A237" s="55" t="inlineStr">
        <is>
          <t>SU001430</t>
        </is>
      </c>
      <c r="B237" s="55" t="inlineStr">
        <is>
          <t>P002036</t>
        </is>
      </c>
      <c r="C237" s="32" t="n">
        <v>4301060325</v>
      </c>
      <c r="D237" s="316" t="n">
        <v>4607091380897</v>
      </c>
      <c r="E237" s="317" t="n"/>
      <c r="F237" s="645" t="n">
        <v>1.4</v>
      </c>
      <c r="G237" s="33" t="n">
        <v>6</v>
      </c>
      <c r="H237" s="645" t="n">
        <v>8.4</v>
      </c>
      <c r="I237" s="645" t="n">
        <v>8.964</v>
      </c>
      <c r="J237" s="33" t="n">
        <v>56</v>
      </c>
      <c r="K237" s="34" t="inlineStr">
        <is>
          <t>СК2</t>
        </is>
      </c>
      <c r="L237" s="33" t="n">
        <v>30</v>
      </c>
      <c r="M237" s="522">
        <f>HYPERLINK("https://abi.ru/products/Охлажденные/Стародворье/Бордо/Сардельки/P002036/","Сардельки Шпикачки Бордо Весовые NDX мгс Стародворье")</f>
        <v/>
      </c>
      <c r="N237" s="319" t="n"/>
      <c r="O237" s="319" t="n"/>
      <c r="P237" s="319" t="n"/>
      <c r="Q237" s="317" t="n"/>
      <c r="R237" s="35" t="n"/>
      <c r="S237" s="35" t="n"/>
      <c r="T237" s="36" t="inlineStr">
        <is>
          <t>кг</t>
        </is>
      </c>
      <c r="U237" s="646" t="n">
        <v>0</v>
      </c>
      <c r="V237" s="647">
        <f>IFERROR(IF(U237="",0,CEILING((U237/$H237),1)*$H237),"")</f>
        <v/>
      </c>
      <c r="W237" s="37">
        <f>IFERROR(IF(V237=0,"",ROUNDUP(V237/H237,0)*0.02175),"")</f>
        <v/>
      </c>
      <c r="X237" s="57" t="n"/>
      <c r="Y237" s="58" t="n"/>
      <c r="AC237" s="59" t="n"/>
      <c r="AZ237" s="193" t="inlineStr">
        <is>
          <t>КИ</t>
        </is>
      </c>
    </row>
    <row r="238">
      <c r="A238" s="313" t="n"/>
      <c r="B238" s="314" t="n"/>
      <c r="C238" s="314" t="n"/>
      <c r="D238" s="314" t="n"/>
      <c r="E238" s="314" t="n"/>
      <c r="F238" s="314" t="n"/>
      <c r="G238" s="314" t="n"/>
      <c r="H238" s="314" t="n"/>
      <c r="I238" s="314" t="n"/>
      <c r="J238" s="314" t="n"/>
      <c r="K238" s="314" t="n"/>
      <c r="L238" s="315" t="n"/>
      <c r="M238" s="328" t="inlineStr">
        <is>
          <t>Итого</t>
        </is>
      </c>
      <c r="N238" s="329" t="n"/>
      <c r="O238" s="329" t="n"/>
      <c r="P238" s="329" t="n"/>
      <c r="Q238" s="329" t="n"/>
      <c r="R238" s="329" t="n"/>
      <c r="S238" s="330" t="n"/>
      <c r="T238" s="38" t="inlineStr">
        <is>
          <t>кор</t>
        </is>
      </c>
      <c r="U238" s="648">
        <f>IFERROR(U235/H235,"0")+IFERROR(U236/H236,"0")+IFERROR(U237/H237,"0")</f>
        <v/>
      </c>
      <c r="V238" s="648">
        <f>IFERROR(V235/H235,"0")+IFERROR(V236/H236,"0")+IFERROR(V237/H237,"0")</f>
        <v/>
      </c>
      <c r="W238" s="648">
        <f>IFERROR(IF(W235="",0,W235),"0")+IFERROR(IF(W236="",0,W236),"0")+IFERROR(IF(W237="",0,W237),"0")</f>
        <v/>
      </c>
      <c r="X238" s="649" t="n"/>
      <c r="Y238" s="649" t="n"/>
    </row>
    <row r="239">
      <c r="A239" s="314" t="n"/>
      <c r="B239" s="314" t="n"/>
      <c r="C239" s="314" t="n"/>
      <c r="D239" s="314" t="n"/>
      <c r="E239" s="314" t="n"/>
      <c r="F239" s="314" t="n"/>
      <c r="G239" s="314" t="n"/>
      <c r="H239" s="314" t="n"/>
      <c r="I239" s="314" t="n"/>
      <c r="J239" s="314" t="n"/>
      <c r="K239" s="314" t="n"/>
      <c r="L239" s="315" t="n"/>
      <c r="M239" s="328" t="inlineStr">
        <is>
          <t>Итого</t>
        </is>
      </c>
      <c r="N239" s="329" t="n"/>
      <c r="O239" s="329" t="n"/>
      <c r="P239" s="329" t="n"/>
      <c r="Q239" s="329" t="n"/>
      <c r="R239" s="329" t="n"/>
      <c r="S239" s="330" t="n"/>
      <c r="T239" s="38" t="inlineStr">
        <is>
          <t>кг</t>
        </is>
      </c>
      <c r="U239" s="648">
        <f>IFERROR(SUM(U235:U237),"0")</f>
        <v/>
      </c>
      <c r="V239" s="648">
        <f>IFERROR(SUM(V235:V237),"0")</f>
        <v/>
      </c>
      <c r="W239" s="38" t="n"/>
      <c r="X239" s="649" t="n"/>
      <c r="Y239" s="649" t="n"/>
    </row>
    <row r="240" ht="14.25" customHeight="1">
      <c r="A240" s="326" t="inlineStr">
        <is>
          <t>Сырокопченые колбасы</t>
        </is>
      </c>
      <c r="B240" s="314" t="n"/>
      <c r="C240" s="314" t="n"/>
      <c r="D240" s="314" t="n"/>
      <c r="E240" s="314" t="n"/>
      <c r="F240" s="314" t="n"/>
      <c r="G240" s="314" t="n"/>
      <c r="H240" s="314" t="n"/>
      <c r="I240" s="314" t="n"/>
      <c r="J240" s="314" t="n"/>
      <c r="K240" s="314" t="n"/>
      <c r="L240" s="314" t="n"/>
      <c r="M240" s="314" t="n"/>
      <c r="N240" s="314" t="n"/>
      <c r="O240" s="314" t="n"/>
      <c r="P240" s="314" t="n"/>
      <c r="Q240" s="314" t="n"/>
      <c r="R240" s="314" t="n"/>
      <c r="S240" s="314" t="n"/>
      <c r="T240" s="314" t="n"/>
      <c r="U240" s="314" t="n"/>
      <c r="V240" s="314" t="n"/>
      <c r="W240" s="314" t="n"/>
      <c r="X240" s="326" t="n"/>
      <c r="Y240" s="326" t="n"/>
    </row>
    <row r="241" ht="16.5" customHeight="1">
      <c r="A241" s="55" t="inlineStr">
        <is>
          <t>SU001920</t>
        </is>
      </c>
      <c r="B241" s="55" t="inlineStr">
        <is>
          <t>P001900</t>
        </is>
      </c>
      <c r="C241" s="32" t="n">
        <v>4301030232</v>
      </c>
      <c r="D241" s="316" t="n">
        <v>4607091388374</v>
      </c>
      <c r="E241" s="317" t="n"/>
      <c r="F241" s="645" t="n">
        <v>0.38</v>
      </c>
      <c r="G241" s="33" t="n">
        <v>8</v>
      </c>
      <c r="H241" s="645" t="n">
        <v>3.04</v>
      </c>
      <c r="I241" s="645" t="n">
        <v>3.28</v>
      </c>
      <c r="J241" s="33" t="n">
        <v>156</v>
      </c>
      <c r="K241" s="34" t="inlineStr">
        <is>
          <t>АК</t>
        </is>
      </c>
      <c r="L241" s="33" t="n">
        <v>180</v>
      </c>
      <c r="M241" s="383" t="inlineStr">
        <is>
          <t>С/к колбасы Княжеская Бордо Весовые б/о терм/п Стародворье</t>
        </is>
      </c>
      <c r="N241" s="319" t="n"/>
      <c r="O241" s="319" t="n"/>
      <c r="P241" s="319" t="n"/>
      <c r="Q241" s="317" t="n"/>
      <c r="R241" s="35" t="n"/>
      <c r="S241" s="35" t="n"/>
      <c r="T241" s="36" t="inlineStr">
        <is>
          <t>кг</t>
        </is>
      </c>
      <c r="U241" s="646" t="n">
        <v>0</v>
      </c>
      <c r="V241" s="647">
        <f>IFERROR(IF(U241="",0,CEILING((U241/$H241),1)*$H241),"")</f>
        <v/>
      </c>
      <c r="W241" s="37">
        <f>IFERROR(IF(V241=0,"",ROUNDUP(V241/H241,0)*0.00753),"")</f>
        <v/>
      </c>
      <c r="X241" s="57" t="n"/>
      <c r="Y241" s="58" t="n"/>
      <c r="AC241" s="59" t="n"/>
      <c r="AZ241" s="194" t="inlineStr">
        <is>
          <t>КИ</t>
        </is>
      </c>
    </row>
    <row r="242" ht="27" customHeight="1">
      <c r="A242" s="55" t="inlineStr">
        <is>
          <t>SU001921</t>
        </is>
      </c>
      <c r="B242" s="55" t="inlineStr">
        <is>
          <t>P001916</t>
        </is>
      </c>
      <c r="C242" s="32" t="n">
        <v>4301030235</v>
      </c>
      <c r="D242" s="316" t="n">
        <v>4607091388381</v>
      </c>
      <c r="E242" s="317" t="n"/>
      <c r="F242" s="645" t="n">
        <v>0.38</v>
      </c>
      <c r="G242" s="33" t="n">
        <v>8</v>
      </c>
      <c r="H242" s="645" t="n">
        <v>3.04</v>
      </c>
      <c r="I242" s="645" t="n">
        <v>3.32</v>
      </c>
      <c r="J242" s="33" t="n">
        <v>156</v>
      </c>
      <c r="K242" s="34" t="inlineStr">
        <is>
          <t>АК</t>
        </is>
      </c>
      <c r="L242" s="33" t="n">
        <v>180</v>
      </c>
      <c r="M242" s="428" t="inlineStr">
        <is>
          <t>С/к колбасы Салями Охотничья Бордо Весовые б/о терм/п 180 Стародворье</t>
        </is>
      </c>
      <c r="N242" s="319" t="n"/>
      <c r="O242" s="319" t="n"/>
      <c r="P242" s="319" t="n"/>
      <c r="Q242" s="317" t="n"/>
      <c r="R242" s="35" t="n"/>
      <c r="S242" s="35" t="n"/>
      <c r="T242" s="36" t="inlineStr">
        <is>
          <t>кг</t>
        </is>
      </c>
      <c r="U242" s="646" t="n">
        <v>0</v>
      </c>
      <c r="V242" s="647">
        <f>IFERROR(IF(U242="",0,CEILING((U242/$H242),1)*$H242),"")</f>
        <v/>
      </c>
      <c r="W242" s="37">
        <f>IFERROR(IF(V242=0,"",ROUNDUP(V242/H242,0)*0.00753),"")</f>
        <v/>
      </c>
      <c r="X242" s="57" t="n"/>
      <c r="Y242" s="58" t="n"/>
      <c r="AC242" s="59" t="n"/>
      <c r="AZ242" s="195" t="inlineStr">
        <is>
          <t>КИ</t>
        </is>
      </c>
    </row>
    <row r="243" ht="27" customHeight="1">
      <c r="A243" s="55" t="inlineStr">
        <is>
          <t>SU001869</t>
        </is>
      </c>
      <c r="B243" s="55" t="inlineStr">
        <is>
          <t>P001909</t>
        </is>
      </c>
      <c r="C243" s="32" t="n">
        <v>4301030233</v>
      </c>
      <c r="D243" s="316" t="n">
        <v>4607091388404</v>
      </c>
      <c r="E243" s="317" t="n"/>
      <c r="F243" s="645" t="n">
        <v>0.17</v>
      </c>
      <c r="G243" s="33" t="n">
        <v>15</v>
      </c>
      <c r="H243" s="645" t="n">
        <v>2.55</v>
      </c>
      <c r="I243" s="645" t="n">
        <v>2.9</v>
      </c>
      <c r="J243" s="33" t="n">
        <v>156</v>
      </c>
      <c r="K243" s="34" t="inlineStr">
        <is>
          <t>АК</t>
        </is>
      </c>
      <c r="L243" s="33" t="n">
        <v>180</v>
      </c>
      <c r="M243" s="426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43" s="319" t="n"/>
      <c r="O243" s="319" t="n"/>
      <c r="P243" s="319" t="n"/>
      <c r="Q243" s="317" t="n"/>
      <c r="R243" s="35" t="n"/>
      <c r="S243" s="35" t="n"/>
      <c r="T243" s="36" t="inlineStr">
        <is>
          <t>кг</t>
        </is>
      </c>
      <c r="U243" s="646" t="n">
        <v>0</v>
      </c>
      <c r="V243" s="647">
        <f>IFERROR(IF(U243="",0,CEILING((U243/$H243),1)*$H243),"")</f>
        <v/>
      </c>
      <c r="W243" s="37">
        <f>IFERROR(IF(V243=0,"",ROUNDUP(V243/H243,0)*0.00753),"")</f>
        <v/>
      </c>
      <c r="X243" s="57" t="n"/>
      <c r="Y243" s="58" t="n"/>
      <c r="AC243" s="59" t="n"/>
      <c r="AZ243" s="196" t="inlineStr">
        <is>
          <t>КИ</t>
        </is>
      </c>
    </row>
    <row r="244">
      <c r="A244" s="313" t="n"/>
      <c r="B244" s="314" t="n"/>
      <c r="C244" s="314" t="n"/>
      <c r="D244" s="314" t="n"/>
      <c r="E244" s="314" t="n"/>
      <c r="F244" s="314" t="n"/>
      <c r="G244" s="314" t="n"/>
      <c r="H244" s="314" t="n"/>
      <c r="I244" s="314" t="n"/>
      <c r="J244" s="314" t="n"/>
      <c r="K244" s="314" t="n"/>
      <c r="L244" s="315" t="n"/>
      <c r="M244" s="328" t="inlineStr">
        <is>
          <t>Итого</t>
        </is>
      </c>
      <c r="N244" s="329" t="n"/>
      <c r="O244" s="329" t="n"/>
      <c r="P244" s="329" t="n"/>
      <c r="Q244" s="329" t="n"/>
      <c r="R244" s="329" t="n"/>
      <c r="S244" s="330" t="n"/>
      <c r="T244" s="38" t="inlineStr">
        <is>
          <t>кор</t>
        </is>
      </c>
      <c r="U244" s="648">
        <f>IFERROR(U241/H241,"0")+IFERROR(U242/H242,"0")+IFERROR(U243/H243,"0")</f>
        <v/>
      </c>
      <c r="V244" s="648">
        <f>IFERROR(V241/H241,"0")+IFERROR(V242/H242,"0")+IFERROR(V243/H243,"0")</f>
        <v/>
      </c>
      <c r="W244" s="648">
        <f>IFERROR(IF(W241="",0,W241),"0")+IFERROR(IF(W242="",0,W242),"0")+IFERROR(IF(W243="",0,W243),"0")</f>
        <v/>
      </c>
      <c r="X244" s="649" t="n"/>
      <c r="Y244" s="649" t="n"/>
    </row>
    <row r="245">
      <c r="A245" s="314" t="n"/>
      <c r="B245" s="314" t="n"/>
      <c r="C245" s="314" t="n"/>
      <c r="D245" s="314" t="n"/>
      <c r="E245" s="314" t="n"/>
      <c r="F245" s="314" t="n"/>
      <c r="G245" s="314" t="n"/>
      <c r="H245" s="314" t="n"/>
      <c r="I245" s="314" t="n"/>
      <c r="J245" s="314" t="n"/>
      <c r="K245" s="314" t="n"/>
      <c r="L245" s="315" t="n"/>
      <c r="M245" s="328" t="inlineStr">
        <is>
          <t>Итого</t>
        </is>
      </c>
      <c r="N245" s="329" t="n"/>
      <c r="O245" s="329" t="n"/>
      <c r="P245" s="329" t="n"/>
      <c r="Q245" s="329" t="n"/>
      <c r="R245" s="329" t="n"/>
      <c r="S245" s="330" t="n"/>
      <c r="T245" s="38" t="inlineStr">
        <is>
          <t>кг</t>
        </is>
      </c>
      <c r="U245" s="648">
        <f>IFERROR(SUM(U241:U243),"0")</f>
        <v/>
      </c>
      <c r="V245" s="648">
        <f>IFERROR(SUM(V241:V243),"0")</f>
        <v/>
      </c>
      <c r="W245" s="38" t="n"/>
      <c r="X245" s="649" t="n"/>
      <c r="Y245" s="649" t="n"/>
    </row>
    <row r="246" ht="14.25" customHeight="1">
      <c r="A246" s="326" t="inlineStr">
        <is>
          <t>Паштеты</t>
        </is>
      </c>
      <c r="B246" s="314" t="n"/>
      <c r="C246" s="314" t="n"/>
      <c r="D246" s="314" t="n"/>
      <c r="E246" s="314" t="n"/>
      <c r="F246" s="314" t="n"/>
      <c r="G246" s="314" t="n"/>
      <c r="H246" s="314" t="n"/>
      <c r="I246" s="314" t="n"/>
      <c r="J246" s="314" t="n"/>
      <c r="K246" s="314" t="n"/>
      <c r="L246" s="314" t="n"/>
      <c r="M246" s="314" t="n"/>
      <c r="N246" s="314" t="n"/>
      <c r="O246" s="314" t="n"/>
      <c r="P246" s="314" t="n"/>
      <c r="Q246" s="314" t="n"/>
      <c r="R246" s="314" t="n"/>
      <c r="S246" s="314" t="n"/>
      <c r="T246" s="314" t="n"/>
      <c r="U246" s="314" t="n"/>
      <c r="V246" s="314" t="n"/>
      <c r="W246" s="314" t="n"/>
      <c r="X246" s="326" t="n"/>
      <c r="Y246" s="326" t="n"/>
    </row>
    <row r="247" ht="16.5" customHeight="1">
      <c r="A247" s="55" t="inlineStr">
        <is>
          <t>SU002841</t>
        </is>
      </c>
      <c r="B247" s="55" t="inlineStr">
        <is>
          <t>P003253</t>
        </is>
      </c>
      <c r="C247" s="32" t="n">
        <v>4301180007</v>
      </c>
      <c r="D247" s="316" t="n">
        <v>4680115881808</v>
      </c>
      <c r="E247" s="317" t="n"/>
      <c r="F247" s="645" t="n">
        <v>0.1</v>
      </c>
      <c r="G247" s="33" t="n">
        <v>20</v>
      </c>
      <c r="H247" s="645" t="n">
        <v>2</v>
      </c>
      <c r="I247" s="645" t="n">
        <v>2.24</v>
      </c>
      <c r="J247" s="33" t="n">
        <v>238</v>
      </c>
      <c r="K247" s="34" t="inlineStr">
        <is>
          <t>РК</t>
        </is>
      </c>
      <c r="L247" s="33" t="n">
        <v>730</v>
      </c>
      <c r="M247" s="432">
        <f>HYPERLINK("https://abi.ru/products/Охлажденные/Стародворье/Бордо/Паштеты/P003253/","Паштеты «Любительский ГОСТ» Фикс.вес 0,1 ТМ «Стародворье»")</f>
        <v/>
      </c>
      <c r="N247" s="319" t="n"/>
      <c r="O247" s="319" t="n"/>
      <c r="P247" s="319" t="n"/>
      <c r="Q247" s="317" t="n"/>
      <c r="R247" s="35" t="n"/>
      <c r="S247" s="35" t="n"/>
      <c r="T247" s="36" t="inlineStr">
        <is>
          <t>кг</t>
        </is>
      </c>
      <c r="U247" s="646" t="n">
        <v>0</v>
      </c>
      <c r="V247" s="647">
        <f>IFERROR(IF(U247="",0,CEILING((U247/$H247),1)*$H247),"")</f>
        <v/>
      </c>
      <c r="W247" s="37">
        <f>IFERROR(IF(V247=0,"",ROUNDUP(V247/H247,0)*0.00474),"")</f>
        <v/>
      </c>
      <c r="X247" s="57" t="n"/>
      <c r="Y247" s="58" t="n"/>
      <c r="AC247" s="59" t="n"/>
      <c r="AZ247" s="197" t="inlineStr">
        <is>
          <t>КИ</t>
        </is>
      </c>
    </row>
    <row r="248" ht="27" customHeight="1">
      <c r="A248" s="55" t="inlineStr">
        <is>
          <t>SU002840</t>
        </is>
      </c>
      <c r="B248" s="55" t="inlineStr">
        <is>
          <t>P003252</t>
        </is>
      </c>
      <c r="C248" s="32" t="n">
        <v>4301180006</v>
      </c>
      <c r="D248" s="316" t="n">
        <v>4680115881822</v>
      </c>
      <c r="E248" s="317" t="n"/>
      <c r="F248" s="645" t="n">
        <v>0.1</v>
      </c>
      <c r="G248" s="33" t="n">
        <v>20</v>
      </c>
      <c r="H248" s="645" t="n">
        <v>2</v>
      </c>
      <c r="I248" s="645" t="n">
        <v>2.24</v>
      </c>
      <c r="J248" s="33" t="n">
        <v>238</v>
      </c>
      <c r="K248" s="34" t="inlineStr">
        <is>
          <t>РК</t>
        </is>
      </c>
      <c r="L248" s="33" t="n">
        <v>730</v>
      </c>
      <c r="M248" s="579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N248" s="319" t="n"/>
      <c r="O248" s="319" t="n"/>
      <c r="P248" s="319" t="n"/>
      <c r="Q248" s="317" t="n"/>
      <c r="R248" s="35" t="n"/>
      <c r="S248" s="35" t="n"/>
      <c r="T248" s="36" t="inlineStr">
        <is>
          <t>кг</t>
        </is>
      </c>
      <c r="U248" s="646" t="n">
        <v>0</v>
      </c>
      <c r="V248" s="647">
        <f>IFERROR(IF(U248="",0,CEILING((U248/$H248),1)*$H248),"")</f>
        <v/>
      </c>
      <c r="W248" s="37">
        <f>IFERROR(IF(V248=0,"",ROUNDUP(V248/H248,0)*0.00474),"")</f>
        <v/>
      </c>
      <c r="X248" s="57" t="n"/>
      <c r="Y248" s="58" t="n"/>
      <c r="AC248" s="59" t="n"/>
      <c r="AZ248" s="198" t="inlineStr">
        <is>
          <t>КИ</t>
        </is>
      </c>
    </row>
    <row r="249" ht="27" customHeight="1">
      <c r="A249" s="55" t="inlineStr">
        <is>
          <t>SU002368</t>
        </is>
      </c>
      <c r="B249" s="55" t="inlineStr">
        <is>
          <t>P002648</t>
        </is>
      </c>
      <c r="C249" s="32" t="n">
        <v>4301180001</v>
      </c>
      <c r="D249" s="316" t="n">
        <v>4680115880016</v>
      </c>
      <c r="E249" s="317" t="n"/>
      <c r="F249" s="645" t="n">
        <v>0.1</v>
      </c>
      <c r="G249" s="33" t="n">
        <v>20</v>
      </c>
      <c r="H249" s="645" t="n">
        <v>2</v>
      </c>
      <c r="I249" s="645" t="n">
        <v>2.24</v>
      </c>
      <c r="J249" s="33" t="n">
        <v>238</v>
      </c>
      <c r="K249" s="34" t="inlineStr">
        <is>
          <t>РК</t>
        </is>
      </c>
      <c r="L249" s="33" t="n">
        <v>730</v>
      </c>
      <c r="M249" s="605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49" s="319" t="n"/>
      <c r="O249" s="319" t="n"/>
      <c r="P249" s="319" t="n"/>
      <c r="Q249" s="317" t="n"/>
      <c r="R249" s="35" t="n"/>
      <c r="S249" s="35" t="n"/>
      <c r="T249" s="36" t="inlineStr">
        <is>
          <t>кг</t>
        </is>
      </c>
      <c r="U249" s="646" t="n">
        <v>0</v>
      </c>
      <c r="V249" s="647">
        <f>IFERROR(IF(U249="",0,CEILING((U249/$H249),1)*$H249),"")</f>
        <v/>
      </c>
      <c r="W249" s="37">
        <f>IFERROR(IF(V249=0,"",ROUNDUP(V249/H249,0)*0.00474),"")</f>
        <v/>
      </c>
      <c r="X249" s="57" t="n"/>
      <c r="Y249" s="58" t="n"/>
      <c r="AC249" s="59" t="n"/>
      <c r="AZ249" s="199" t="inlineStr">
        <is>
          <t>КИ</t>
        </is>
      </c>
    </row>
    <row r="250">
      <c r="A250" s="313" t="n"/>
      <c r="B250" s="314" t="n"/>
      <c r="C250" s="314" t="n"/>
      <c r="D250" s="314" t="n"/>
      <c r="E250" s="314" t="n"/>
      <c r="F250" s="314" t="n"/>
      <c r="G250" s="314" t="n"/>
      <c r="H250" s="314" t="n"/>
      <c r="I250" s="314" t="n"/>
      <c r="J250" s="314" t="n"/>
      <c r="K250" s="314" t="n"/>
      <c r="L250" s="315" t="n"/>
      <c r="M250" s="328" t="inlineStr">
        <is>
          <t>Итого</t>
        </is>
      </c>
      <c r="N250" s="329" t="n"/>
      <c r="O250" s="329" t="n"/>
      <c r="P250" s="329" t="n"/>
      <c r="Q250" s="329" t="n"/>
      <c r="R250" s="329" t="n"/>
      <c r="S250" s="330" t="n"/>
      <c r="T250" s="38" t="inlineStr">
        <is>
          <t>кор</t>
        </is>
      </c>
      <c r="U250" s="648">
        <f>IFERROR(U247/H247,"0")+IFERROR(U248/H248,"0")+IFERROR(U249/H249,"0")</f>
        <v/>
      </c>
      <c r="V250" s="648">
        <f>IFERROR(V247/H247,"0")+IFERROR(V248/H248,"0")+IFERROR(V249/H249,"0")</f>
        <v/>
      </c>
      <c r="W250" s="648">
        <f>IFERROR(IF(W247="",0,W247),"0")+IFERROR(IF(W248="",0,W248),"0")+IFERROR(IF(W249="",0,W249),"0")</f>
        <v/>
      </c>
      <c r="X250" s="649" t="n"/>
      <c r="Y250" s="649" t="n"/>
    </row>
    <row r="251">
      <c r="A251" s="314" t="n"/>
      <c r="B251" s="314" t="n"/>
      <c r="C251" s="314" t="n"/>
      <c r="D251" s="314" t="n"/>
      <c r="E251" s="314" t="n"/>
      <c r="F251" s="314" t="n"/>
      <c r="G251" s="314" t="n"/>
      <c r="H251" s="314" t="n"/>
      <c r="I251" s="314" t="n"/>
      <c r="J251" s="314" t="n"/>
      <c r="K251" s="314" t="n"/>
      <c r="L251" s="315" t="n"/>
      <c r="M251" s="328" t="inlineStr">
        <is>
          <t>Итого</t>
        </is>
      </c>
      <c r="N251" s="329" t="n"/>
      <c r="O251" s="329" t="n"/>
      <c r="P251" s="329" t="n"/>
      <c r="Q251" s="329" t="n"/>
      <c r="R251" s="329" t="n"/>
      <c r="S251" s="330" t="n"/>
      <c r="T251" s="38" t="inlineStr">
        <is>
          <t>кг</t>
        </is>
      </c>
      <c r="U251" s="648">
        <f>IFERROR(SUM(U247:U249),"0")</f>
        <v/>
      </c>
      <c r="V251" s="648">
        <f>IFERROR(SUM(V247:V249),"0")</f>
        <v/>
      </c>
      <c r="W251" s="38" t="n"/>
      <c r="X251" s="649" t="n"/>
      <c r="Y251" s="649" t="n"/>
    </row>
    <row r="252" ht="16.5" customHeight="1">
      <c r="A252" s="337" t="inlineStr">
        <is>
          <t>Фирменная</t>
        </is>
      </c>
      <c r="B252" s="314" t="n"/>
      <c r="C252" s="314" t="n"/>
      <c r="D252" s="314" t="n"/>
      <c r="E252" s="314" t="n"/>
      <c r="F252" s="314" t="n"/>
      <c r="G252" s="314" t="n"/>
      <c r="H252" s="314" t="n"/>
      <c r="I252" s="314" t="n"/>
      <c r="J252" s="314" t="n"/>
      <c r="K252" s="314" t="n"/>
      <c r="L252" s="314" t="n"/>
      <c r="M252" s="314" t="n"/>
      <c r="N252" s="314" t="n"/>
      <c r="O252" s="314" t="n"/>
      <c r="P252" s="314" t="n"/>
      <c r="Q252" s="314" t="n"/>
      <c r="R252" s="314" t="n"/>
      <c r="S252" s="314" t="n"/>
      <c r="T252" s="314" t="n"/>
      <c r="U252" s="314" t="n"/>
      <c r="V252" s="314" t="n"/>
      <c r="W252" s="314" t="n"/>
      <c r="X252" s="337" t="n"/>
      <c r="Y252" s="337" t="n"/>
    </row>
    <row r="253" ht="14.25" customHeight="1">
      <c r="A253" s="326" t="inlineStr">
        <is>
          <t>Вареные колбасы</t>
        </is>
      </c>
      <c r="B253" s="314" t="n"/>
      <c r="C253" s="314" t="n"/>
      <c r="D253" s="314" t="n"/>
      <c r="E253" s="314" t="n"/>
      <c r="F253" s="314" t="n"/>
      <c r="G253" s="314" t="n"/>
      <c r="H253" s="314" t="n"/>
      <c r="I253" s="314" t="n"/>
      <c r="J253" s="314" t="n"/>
      <c r="K253" s="314" t="n"/>
      <c r="L253" s="314" t="n"/>
      <c r="M253" s="314" t="n"/>
      <c r="N253" s="314" t="n"/>
      <c r="O253" s="314" t="n"/>
      <c r="P253" s="314" t="n"/>
      <c r="Q253" s="314" t="n"/>
      <c r="R253" s="314" t="n"/>
      <c r="S253" s="314" t="n"/>
      <c r="T253" s="314" t="n"/>
      <c r="U253" s="314" t="n"/>
      <c r="V253" s="314" t="n"/>
      <c r="W253" s="314" t="n"/>
      <c r="X253" s="326" t="n"/>
      <c r="Y253" s="326" t="n"/>
    </row>
    <row r="254" ht="27" customHeight="1">
      <c r="A254" s="55" t="inlineStr">
        <is>
          <t>SU001793</t>
        </is>
      </c>
      <c r="B254" s="55" t="inlineStr">
        <is>
          <t>P001793</t>
        </is>
      </c>
      <c r="C254" s="32" t="n">
        <v>4301011315</v>
      </c>
      <c r="D254" s="316" t="n">
        <v>4607091387421</v>
      </c>
      <c r="E254" s="317" t="n"/>
      <c r="F254" s="645" t="n">
        <v>1.35</v>
      </c>
      <c r="G254" s="33" t="n">
        <v>8</v>
      </c>
      <c r="H254" s="645" t="n">
        <v>10.8</v>
      </c>
      <c r="I254" s="645" t="n">
        <v>11.28</v>
      </c>
      <c r="J254" s="33" t="n">
        <v>56</v>
      </c>
      <c r="K254" s="34" t="inlineStr">
        <is>
          <t>СК1</t>
        </is>
      </c>
      <c r="L254" s="33" t="n">
        <v>55</v>
      </c>
      <c r="M254" s="411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54" s="319" t="n"/>
      <c r="O254" s="319" t="n"/>
      <c r="P254" s="319" t="n"/>
      <c r="Q254" s="317" t="n"/>
      <c r="R254" s="35" t="n"/>
      <c r="S254" s="35" t="n"/>
      <c r="T254" s="36" t="inlineStr">
        <is>
          <t>кг</t>
        </is>
      </c>
      <c r="U254" s="646" t="n">
        <v>0</v>
      </c>
      <c r="V254" s="647">
        <f>IFERROR(IF(U254="",0,CEILING((U254/$H254),1)*$H254),"")</f>
        <v/>
      </c>
      <c r="W254" s="37">
        <f>IFERROR(IF(V254=0,"",ROUNDUP(V254/H254,0)*0.02175),"")</f>
        <v/>
      </c>
      <c r="X254" s="57" t="n"/>
      <c r="Y254" s="58" t="n"/>
      <c r="AC254" s="59" t="n"/>
      <c r="AZ254" s="200" t="inlineStr">
        <is>
          <t>КИ</t>
        </is>
      </c>
    </row>
    <row r="255" ht="27" customHeight="1">
      <c r="A255" s="55" t="inlineStr">
        <is>
          <t>SU001793</t>
        </is>
      </c>
      <c r="B255" s="55" t="inlineStr">
        <is>
          <t>P002227</t>
        </is>
      </c>
      <c r="C255" s="32" t="n">
        <v>4301011121</v>
      </c>
      <c r="D255" s="316" t="n">
        <v>4607091387421</v>
      </c>
      <c r="E255" s="317" t="n"/>
      <c r="F255" s="645" t="n">
        <v>1.35</v>
      </c>
      <c r="G255" s="33" t="n">
        <v>8</v>
      </c>
      <c r="H255" s="645" t="n">
        <v>10.8</v>
      </c>
      <c r="I255" s="645" t="n">
        <v>11.28</v>
      </c>
      <c r="J255" s="33" t="n">
        <v>48</v>
      </c>
      <c r="K255" s="34" t="inlineStr">
        <is>
          <t>ВЗ</t>
        </is>
      </c>
      <c r="L255" s="33" t="n">
        <v>55</v>
      </c>
      <c r="M255" s="440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55" s="319" t="n"/>
      <c r="O255" s="319" t="n"/>
      <c r="P255" s="319" t="n"/>
      <c r="Q255" s="317" t="n"/>
      <c r="R255" s="35" t="n"/>
      <c r="S255" s="35" t="n"/>
      <c r="T255" s="36" t="inlineStr">
        <is>
          <t>кг</t>
        </is>
      </c>
      <c r="U255" s="646" t="n">
        <v>0</v>
      </c>
      <c r="V255" s="647">
        <f>IFERROR(IF(U255="",0,CEILING((U255/$H255),1)*$H255),"")</f>
        <v/>
      </c>
      <c r="W255" s="37">
        <f>IFERROR(IF(V255=0,"",ROUNDUP(V255/H255,0)*0.02039),"")</f>
        <v/>
      </c>
      <c r="X255" s="57" t="n"/>
      <c r="Y255" s="58" t="n"/>
      <c r="AC255" s="59" t="n"/>
      <c r="AZ255" s="201" t="inlineStr">
        <is>
          <t>КИ</t>
        </is>
      </c>
    </row>
    <row r="256" ht="27" customHeight="1">
      <c r="A256" s="55" t="inlineStr">
        <is>
          <t>SU001799</t>
        </is>
      </c>
      <c r="B256" s="55" t="inlineStr">
        <is>
          <t>P003673</t>
        </is>
      </c>
      <c r="C256" s="32" t="n">
        <v>4301011619</v>
      </c>
      <c r="D256" s="316" t="n">
        <v>4607091387452</v>
      </c>
      <c r="E256" s="317" t="n"/>
      <c r="F256" s="645" t="n">
        <v>1.45</v>
      </c>
      <c r="G256" s="33" t="n">
        <v>8</v>
      </c>
      <c r="H256" s="645" t="n">
        <v>11.6</v>
      </c>
      <c r="I256" s="645" t="n">
        <v>12.08</v>
      </c>
      <c r="J256" s="33" t="n">
        <v>56</v>
      </c>
      <c r="K256" s="34" t="inlineStr">
        <is>
          <t>СК1</t>
        </is>
      </c>
      <c r="L256" s="33" t="n">
        <v>55</v>
      </c>
      <c r="M256" s="416" t="inlineStr">
        <is>
          <t>Вареные колбасы Молочная По-стародворски Фирменная Весовые П/а Стародворье</t>
        </is>
      </c>
      <c r="N256" s="319" t="n"/>
      <c r="O256" s="319" t="n"/>
      <c r="P256" s="319" t="n"/>
      <c r="Q256" s="317" t="n"/>
      <c r="R256" s="35" t="n"/>
      <c r="S256" s="35" t="n"/>
      <c r="T256" s="36" t="inlineStr">
        <is>
          <t>кг</t>
        </is>
      </c>
      <c r="U256" s="646" t="n">
        <v>0</v>
      </c>
      <c r="V256" s="647">
        <f>IFERROR(IF(U256="",0,CEILING((U256/$H256),1)*$H256),"")</f>
        <v/>
      </c>
      <c r="W256" s="37">
        <f>IFERROR(IF(V256=0,"",ROUNDUP(V256/H256,0)*0.02175),"")</f>
        <v/>
      </c>
      <c r="X256" s="57" t="n"/>
      <c r="Y256" s="58" t="n"/>
      <c r="AC256" s="59" t="n"/>
      <c r="AZ256" s="202" t="inlineStr">
        <is>
          <t>КИ</t>
        </is>
      </c>
    </row>
    <row r="257" ht="27" customHeight="1">
      <c r="A257" s="55" t="inlineStr">
        <is>
          <t>SU001799</t>
        </is>
      </c>
      <c r="B257" s="55" t="inlineStr">
        <is>
          <t>P003076</t>
        </is>
      </c>
      <c r="C257" s="32" t="n">
        <v>4301011396</v>
      </c>
      <c r="D257" s="316" t="n">
        <v>4607091387452</v>
      </c>
      <c r="E257" s="317" t="n"/>
      <c r="F257" s="645" t="n">
        <v>1.35</v>
      </c>
      <c r="G257" s="33" t="n">
        <v>8</v>
      </c>
      <c r="H257" s="645" t="n">
        <v>10.8</v>
      </c>
      <c r="I257" s="645" t="n">
        <v>11.28</v>
      </c>
      <c r="J257" s="33" t="n">
        <v>48</v>
      </c>
      <c r="K257" s="34" t="inlineStr">
        <is>
          <t>ВЗ</t>
        </is>
      </c>
      <c r="L257" s="33" t="n">
        <v>55</v>
      </c>
      <c r="M257" s="629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57" s="319" t="n"/>
      <c r="O257" s="319" t="n"/>
      <c r="P257" s="319" t="n"/>
      <c r="Q257" s="317" t="n"/>
      <c r="R257" s="35" t="n"/>
      <c r="S257" s="35" t="n"/>
      <c r="T257" s="36" t="inlineStr">
        <is>
          <t>кг</t>
        </is>
      </c>
      <c r="U257" s="646" t="n">
        <v>0</v>
      </c>
      <c r="V257" s="647">
        <f>IFERROR(IF(U257="",0,CEILING((U257/$H257),1)*$H257),"")</f>
        <v/>
      </c>
      <c r="W257" s="37">
        <f>IFERROR(IF(V257=0,"",ROUNDUP(V257/H257,0)*0.02039),"")</f>
        <v/>
      </c>
      <c r="X257" s="57" t="n"/>
      <c r="Y257" s="58" t="n"/>
      <c r="AC257" s="59" t="n"/>
      <c r="AZ257" s="203" t="inlineStr">
        <is>
          <t>КИ</t>
        </is>
      </c>
    </row>
    <row r="258" ht="27" customHeight="1">
      <c r="A258" s="55" t="inlineStr">
        <is>
          <t>SU001792</t>
        </is>
      </c>
      <c r="B258" s="55" t="inlineStr">
        <is>
          <t>P001792</t>
        </is>
      </c>
      <c r="C258" s="32" t="n">
        <v>4301011313</v>
      </c>
      <c r="D258" s="316" t="n">
        <v>4607091385984</v>
      </c>
      <c r="E258" s="317" t="n"/>
      <c r="F258" s="645" t="n">
        <v>1.35</v>
      </c>
      <c r="G258" s="33" t="n">
        <v>8</v>
      </c>
      <c r="H258" s="645" t="n">
        <v>10.8</v>
      </c>
      <c r="I258" s="645" t="n">
        <v>11.28</v>
      </c>
      <c r="J258" s="33" t="n">
        <v>56</v>
      </c>
      <c r="K258" s="34" t="inlineStr">
        <is>
          <t>СК1</t>
        </is>
      </c>
      <c r="L258" s="33" t="n">
        <v>55</v>
      </c>
      <c r="M258" s="562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58" s="319" t="n"/>
      <c r="O258" s="319" t="n"/>
      <c r="P258" s="319" t="n"/>
      <c r="Q258" s="317" t="n"/>
      <c r="R258" s="35" t="n"/>
      <c r="S258" s="35" t="n"/>
      <c r="T258" s="36" t="inlineStr">
        <is>
          <t>кг</t>
        </is>
      </c>
      <c r="U258" s="646" t="n">
        <v>0</v>
      </c>
      <c r="V258" s="647">
        <f>IFERROR(IF(U258="",0,CEILING((U258/$H258),1)*$H258),"")</f>
        <v/>
      </c>
      <c r="W258" s="37">
        <f>IFERROR(IF(V258=0,"",ROUNDUP(V258/H258,0)*0.02175),"")</f>
        <v/>
      </c>
      <c r="X258" s="57" t="n"/>
      <c r="Y258" s="58" t="n"/>
      <c r="AC258" s="59" t="n"/>
      <c r="AZ258" s="204" t="inlineStr">
        <is>
          <t>КИ</t>
        </is>
      </c>
    </row>
    <row r="259" ht="27" customHeight="1">
      <c r="A259" s="55" t="inlineStr">
        <is>
          <t>SU001794</t>
        </is>
      </c>
      <c r="B259" s="55" t="inlineStr">
        <is>
          <t>P001794</t>
        </is>
      </c>
      <c r="C259" s="32" t="n">
        <v>4301011316</v>
      </c>
      <c r="D259" s="316" t="n">
        <v>4607091387438</v>
      </c>
      <c r="E259" s="317" t="n"/>
      <c r="F259" s="645" t="n">
        <v>0.5</v>
      </c>
      <c r="G259" s="33" t="n">
        <v>10</v>
      </c>
      <c r="H259" s="645" t="n">
        <v>5</v>
      </c>
      <c r="I259" s="645" t="n">
        <v>5.24</v>
      </c>
      <c r="J259" s="33" t="n">
        <v>120</v>
      </c>
      <c r="K259" s="34" t="inlineStr">
        <is>
          <t>СК1</t>
        </is>
      </c>
      <c r="L259" s="33" t="n">
        <v>55</v>
      </c>
      <c r="M259" s="585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59" s="319" t="n"/>
      <c r="O259" s="319" t="n"/>
      <c r="P259" s="319" t="n"/>
      <c r="Q259" s="317" t="n"/>
      <c r="R259" s="35" t="n"/>
      <c r="S259" s="35" t="n"/>
      <c r="T259" s="36" t="inlineStr">
        <is>
          <t>кг</t>
        </is>
      </c>
      <c r="U259" s="646" t="n">
        <v>0</v>
      </c>
      <c r="V259" s="647">
        <f>IFERROR(IF(U259="",0,CEILING((U259/$H259),1)*$H259),"")</f>
        <v/>
      </c>
      <c r="W259" s="37">
        <f>IFERROR(IF(V259=0,"",ROUNDUP(V259/H259,0)*0.00937),"")</f>
        <v/>
      </c>
      <c r="X259" s="57" t="n"/>
      <c r="Y259" s="58" t="n"/>
      <c r="AC259" s="59" t="n"/>
      <c r="AZ259" s="205" t="inlineStr">
        <is>
          <t>КИ</t>
        </is>
      </c>
    </row>
    <row r="260" ht="27" customHeight="1">
      <c r="A260" s="55" t="inlineStr">
        <is>
          <t>SU001795</t>
        </is>
      </c>
      <c r="B260" s="55" t="inlineStr">
        <is>
          <t>P001795</t>
        </is>
      </c>
      <c r="C260" s="32" t="n">
        <v>4301011318</v>
      </c>
      <c r="D260" s="316" t="n">
        <v>4607091387469</v>
      </c>
      <c r="E260" s="317" t="n"/>
      <c r="F260" s="645" t="n">
        <v>0.5</v>
      </c>
      <c r="G260" s="33" t="n">
        <v>10</v>
      </c>
      <c r="H260" s="645" t="n">
        <v>5</v>
      </c>
      <c r="I260" s="645" t="n">
        <v>5.21</v>
      </c>
      <c r="J260" s="33" t="n">
        <v>120</v>
      </c>
      <c r="K260" s="34" t="inlineStr">
        <is>
          <t>СК2</t>
        </is>
      </c>
      <c r="L260" s="33" t="n">
        <v>55</v>
      </c>
      <c r="M260" s="476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60" s="319" t="n"/>
      <c r="O260" s="319" t="n"/>
      <c r="P260" s="319" t="n"/>
      <c r="Q260" s="317" t="n"/>
      <c r="R260" s="35" t="n"/>
      <c r="S260" s="35" t="n"/>
      <c r="T260" s="36" t="inlineStr">
        <is>
          <t>кг</t>
        </is>
      </c>
      <c r="U260" s="646" t="n">
        <v>0</v>
      </c>
      <c r="V260" s="647">
        <f>IFERROR(IF(U260="",0,CEILING((U260/$H260),1)*$H260),"")</f>
        <v/>
      </c>
      <c r="W260" s="37">
        <f>IFERROR(IF(V260=0,"",ROUNDUP(V260/H260,0)*0.00937),"")</f>
        <v/>
      </c>
      <c r="X260" s="57" t="n"/>
      <c r="Y260" s="58" t="n"/>
      <c r="AC260" s="59" t="n"/>
      <c r="AZ260" s="206" t="inlineStr">
        <is>
          <t>КИ</t>
        </is>
      </c>
    </row>
    <row r="261">
      <c r="A261" s="313" t="n"/>
      <c r="B261" s="314" t="n"/>
      <c r="C261" s="314" t="n"/>
      <c r="D261" s="314" t="n"/>
      <c r="E261" s="314" t="n"/>
      <c r="F261" s="314" t="n"/>
      <c r="G261" s="314" t="n"/>
      <c r="H261" s="314" t="n"/>
      <c r="I261" s="314" t="n"/>
      <c r="J261" s="314" t="n"/>
      <c r="K261" s="314" t="n"/>
      <c r="L261" s="315" t="n"/>
      <c r="M261" s="328" t="inlineStr">
        <is>
          <t>Итого</t>
        </is>
      </c>
      <c r="N261" s="329" t="n"/>
      <c r="O261" s="329" t="n"/>
      <c r="P261" s="329" t="n"/>
      <c r="Q261" s="329" t="n"/>
      <c r="R261" s="329" t="n"/>
      <c r="S261" s="330" t="n"/>
      <c r="T261" s="38" t="inlineStr">
        <is>
          <t>кор</t>
        </is>
      </c>
      <c r="U261" s="648">
        <f>IFERROR(U254/H254,"0")+IFERROR(U255/H255,"0")+IFERROR(U256/H256,"0")+IFERROR(U257/H257,"0")+IFERROR(U258/H258,"0")+IFERROR(U259/H259,"0")+IFERROR(U260/H260,"0")</f>
        <v/>
      </c>
      <c r="V261" s="648">
        <f>IFERROR(V254/H254,"0")+IFERROR(V255/H255,"0")+IFERROR(V256/H256,"0")+IFERROR(V257/H257,"0")+IFERROR(V258/H258,"0")+IFERROR(V259/H259,"0")+IFERROR(V260/H260,"0")</f>
        <v/>
      </c>
      <c r="W261" s="648">
        <f>IFERROR(IF(W254="",0,W254),"0")+IFERROR(IF(W255="",0,W255),"0")+IFERROR(IF(W256="",0,W256),"0")+IFERROR(IF(W257="",0,W257),"0")+IFERROR(IF(W258="",0,W258),"0")+IFERROR(IF(W259="",0,W259),"0")+IFERROR(IF(W260="",0,W260),"0")</f>
        <v/>
      </c>
      <c r="X261" s="649" t="n"/>
      <c r="Y261" s="649" t="n"/>
    </row>
    <row r="262">
      <c r="A262" s="314" t="n"/>
      <c r="B262" s="314" t="n"/>
      <c r="C262" s="314" t="n"/>
      <c r="D262" s="314" t="n"/>
      <c r="E262" s="314" t="n"/>
      <c r="F262" s="314" t="n"/>
      <c r="G262" s="314" t="n"/>
      <c r="H262" s="314" t="n"/>
      <c r="I262" s="314" t="n"/>
      <c r="J262" s="314" t="n"/>
      <c r="K262" s="314" t="n"/>
      <c r="L262" s="315" t="n"/>
      <c r="M262" s="328" t="inlineStr">
        <is>
          <t>Итого</t>
        </is>
      </c>
      <c r="N262" s="329" t="n"/>
      <c r="O262" s="329" t="n"/>
      <c r="P262" s="329" t="n"/>
      <c r="Q262" s="329" t="n"/>
      <c r="R262" s="329" t="n"/>
      <c r="S262" s="330" t="n"/>
      <c r="T262" s="38" t="inlineStr">
        <is>
          <t>кг</t>
        </is>
      </c>
      <c r="U262" s="648">
        <f>IFERROR(SUM(U254:U260),"0")</f>
        <v/>
      </c>
      <c r="V262" s="648">
        <f>IFERROR(SUM(V254:V260),"0")</f>
        <v/>
      </c>
      <c r="W262" s="38" t="n"/>
      <c r="X262" s="649" t="n"/>
      <c r="Y262" s="649" t="n"/>
    </row>
    <row r="263" ht="14.25" customHeight="1">
      <c r="A263" s="326" t="inlineStr">
        <is>
          <t>Копченые колбасы</t>
        </is>
      </c>
      <c r="B263" s="314" t="n"/>
      <c r="C263" s="314" t="n"/>
      <c r="D263" s="314" t="n"/>
      <c r="E263" s="314" t="n"/>
      <c r="F263" s="314" t="n"/>
      <c r="G263" s="314" t="n"/>
      <c r="H263" s="314" t="n"/>
      <c r="I263" s="314" t="n"/>
      <c r="J263" s="314" t="n"/>
      <c r="K263" s="314" t="n"/>
      <c r="L263" s="314" t="n"/>
      <c r="M263" s="314" t="n"/>
      <c r="N263" s="314" t="n"/>
      <c r="O263" s="314" t="n"/>
      <c r="P263" s="314" t="n"/>
      <c r="Q263" s="314" t="n"/>
      <c r="R263" s="314" t="n"/>
      <c r="S263" s="314" t="n"/>
      <c r="T263" s="314" t="n"/>
      <c r="U263" s="314" t="n"/>
      <c r="V263" s="314" t="n"/>
      <c r="W263" s="314" t="n"/>
      <c r="X263" s="326" t="n"/>
      <c r="Y263" s="326" t="n"/>
    </row>
    <row r="264" ht="27" customHeight="1">
      <c r="A264" s="55" t="inlineStr">
        <is>
          <t>SU001801</t>
        </is>
      </c>
      <c r="B264" s="55" t="inlineStr">
        <is>
          <t>P003014</t>
        </is>
      </c>
      <c r="C264" s="32" t="n">
        <v>4301031154</v>
      </c>
      <c r="D264" s="316" t="n">
        <v>4607091387292</v>
      </c>
      <c r="E264" s="317" t="n"/>
      <c r="F264" s="645" t="n">
        <v>0.73</v>
      </c>
      <c r="G264" s="33" t="n">
        <v>6</v>
      </c>
      <c r="H264" s="645" t="n">
        <v>4.38</v>
      </c>
      <c r="I264" s="645" t="n">
        <v>4.64</v>
      </c>
      <c r="J264" s="33" t="n">
        <v>156</v>
      </c>
      <c r="K264" s="34" t="inlineStr">
        <is>
          <t>СК2</t>
        </is>
      </c>
      <c r="L264" s="33" t="n">
        <v>45</v>
      </c>
      <c r="M264" s="569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64" s="319" t="n"/>
      <c r="O264" s="319" t="n"/>
      <c r="P264" s="319" t="n"/>
      <c r="Q264" s="317" t="n"/>
      <c r="R264" s="35" t="n"/>
      <c r="S264" s="35" t="n"/>
      <c r="T264" s="36" t="inlineStr">
        <is>
          <t>кг</t>
        </is>
      </c>
      <c r="U264" s="646" t="n">
        <v>0</v>
      </c>
      <c r="V264" s="647">
        <f>IFERROR(IF(U264="",0,CEILING((U264/$H264),1)*$H264),"")</f>
        <v/>
      </c>
      <c r="W264" s="37">
        <f>IFERROR(IF(V264=0,"",ROUNDUP(V264/H264,0)*0.00753),"")</f>
        <v/>
      </c>
      <c r="X264" s="57" t="n"/>
      <c r="Y264" s="58" t="n"/>
      <c r="AC264" s="59" t="n"/>
      <c r="AZ264" s="207" t="inlineStr">
        <is>
          <t>КИ</t>
        </is>
      </c>
    </row>
    <row r="265" ht="27" customHeight="1">
      <c r="A265" s="55" t="inlineStr">
        <is>
          <t>SU000231</t>
        </is>
      </c>
      <c r="B265" s="55" t="inlineStr">
        <is>
          <t>P003015</t>
        </is>
      </c>
      <c r="C265" s="32" t="n">
        <v>4301031155</v>
      </c>
      <c r="D265" s="316" t="n">
        <v>4607091387315</v>
      </c>
      <c r="E265" s="317" t="n"/>
      <c r="F265" s="645" t="n">
        <v>0.7</v>
      </c>
      <c r="G265" s="33" t="n">
        <v>4</v>
      </c>
      <c r="H265" s="645" t="n">
        <v>2.8</v>
      </c>
      <c r="I265" s="645" t="n">
        <v>3.048</v>
      </c>
      <c r="J265" s="33" t="n">
        <v>156</v>
      </c>
      <c r="K265" s="34" t="inlineStr">
        <is>
          <t>СК2</t>
        </is>
      </c>
      <c r="L265" s="33" t="n">
        <v>45</v>
      </c>
      <c r="M265" s="470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65" s="319" t="n"/>
      <c r="O265" s="319" t="n"/>
      <c r="P265" s="319" t="n"/>
      <c r="Q265" s="317" t="n"/>
      <c r="R265" s="35" t="n"/>
      <c r="S265" s="35" t="n"/>
      <c r="T265" s="36" t="inlineStr">
        <is>
          <t>кг</t>
        </is>
      </c>
      <c r="U265" s="646" t="n">
        <v>0</v>
      </c>
      <c r="V265" s="647">
        <f>IFERROR(IF(U265="",0,CEILING((U265/$H265),1)*$H265),"")</f>
        <v/>
      </c>
      <c r="W265" s="37">
        <f>IFERROR(IF(V265=0,"",ROUNDUP(V265/H265,0)*0.00753),"")</f>
        <v/>
      </c>
      <c r="X265" s="57" t="n"/>
      <c r="Y265" s="58" t="n"/>
      <c r="AC265" s="59" t="n"/>
      <c r="AZ265" s="208" t="inlineStr">
        <is>
          <t>КИ</t>
        </is>
      </c>
    </row>
    <row r="266">
      <c r="A266" s="313" t="n"/>
      <c r="B266" s="314" t="n"/>
      <c r="C266" s="314" t="n"/>
      <c r="D266" s="314" t="n"/>
      <c r="E266" s="314" t="n"/>
      <c r="F266" s="314" t="n"/>
      <c r="G266" s="314" t="n"/>
      <c r="H266" s="314" t="n"/>
      <c r="I266" s="314" t="n"/>
      <c r="J266" s="314" t="n"/>
      <c r="K266" s="314" t="n"/>
      <c r="L266" s="315" t="n"/>
      <c r="M266" s="328" t="inlineStr">
        <is>
          <t>Итого</t>
        </is>
      </c>
      <c r="N266" s="329" t="n"/>
      <c r="O266" s="329" t="n"/>
      <c r="P266" s="329" t="n"/>
      <c r="Q266" s="329" t="n"/>
      <c r="R266" s="329" t="n"/>
      <c r="S266" s="330" t="n"/>
      <c r="T266" s="38" t="inlineStr">
        <is>
          <t>кор</t>
        </is>
      </c>
      <c r="U266" s="648">
        <f>IFERROR(U264/H264,"0")+IFERROR(U265/H265,"0")</f>
        <v/>
      </c>
      <c r="V266" s="648">
        <f>IFERROR(V264/H264,"0")+IFERROR(V265/H265,"0")</f>
        <v/>
      </c>
      <c r="W266" s="648">
        <f>IFERROR(IF(W264="",0,W264),"0")+IFERROR(IF(W265="",0,W265),"0")</f>
        <v/>
      </c>
      <c r="X266" s="649" t="n"/>
      <c r="Y266" s="649" t="n"/>
    </row>
    <row r="267">
      <c r="A267" s="314" t="n"/>
      <c r="B267" s="314" t="n"/>
      <c r="C267" s="314" t="n"/>
      <c r="D267" s="314" t="n"/>
      <c r="E267" s="314" t="n"/>
      <c r="F267" s="314" t="n"/>
      <c r="G267" s="314" t="n"/>
      <c r="H267" s="314" t="n"/>
      <c r="I267" s="314" t="n"/>
      <c r="J267" s="314" t="n"/>
      <c r="K267" s="314" t="n"/>
      <c r="L267" s="315" t="n"/>
      <c r="M267" s="328" t="inlineStr">
        <is>
          <t>Итого</t>
        </is>
      </c>
      <c r="N267" s="329" t="n"/>
      <c r="O267" s="329" t="n"/>
      <c r="P267" s="329" t="n"/>
      <c r="Q267" s="329" t="n"/>
      <c r="R267" s="329" t="n"/>
      <c r="S267" s="330" t="n"/>
      <c r="T267" s="38" t="inlineStr">
        <is>
          <t>кг</t>
        </is>
      </c>
      <c r="U267" s="648">
        <f>IFERROR(SUM(U264:U265),"0")</f>
        <v/>
      </c>
      <c r="V267" s="648">
        <f>IFERROR(SUM(V264:V265),"0")</f>
        <v/>
      </c>
      <c r="W267" s="38" t="n"/>
      <c r="X267" s="649" t="n"/>
      <c r="Y267" s="649" t="n"/>
    </row>
    <row r="268" ht="16.5" customHeight="1">
      <c r="A268" s="337" t="inlineStr">
        <is>
          <t>Бавария</t>
        </is>
      </c>
      <c r="B268" s="314" t="n"/>
      <c r="C268" s="314" t="n"/>
      <c r="D268" s="314" t="n"/>
      <c r="E268" s="314" t="n"/>
      <c r="F268" s="314" t="n"/>
      <c r="G268" s="314" t="n"/>
      <c r="H268" s="314" t="n"/>
      <c r="I268" s="314" t="n"/>
      <c r="J268" s="314" t="n"/>
      <c r="K268" s="314" t="n"/>
      <c r="L268" s="314" t="n"/>
      <c r="M268" s="314" t="n"/>
      <c r="N268" s="314" t="n"/>
      <c r="O268" s="314" t="n"/>
      <c r="P268" s="314" t="n"/>
      <c r="Q268" s="314" t="n"/>
      <c r="R268" s="314" t="n"/>
      <c r="S268" s="314" t="n"/>
      <c r="T268" s="314" t="n"/>
      <c r="U268" s="314" t="n"/>
      <c r="V268" s="314" t="n"/>
      <c r="W268" s="314" t="n"/>
      <c r="X268" s="337" t="n"/>
      <c r="Y268" s="337" t="n"/>
    </row>
    <row r="269" ht="14.25" customHeight="1">
      <c r="A269" s="326" t="inlineStr">
        <is>
          <t>Копченые колбасы</t>
        </is>
      </c>
      <c r="B269" s="314" t="n"/>
      <c r="C269" s="314" t="n"/>
      <c r="D269" s="314" t="n"/>
      <c r="E269" s="314" t="n"/>
      <c r="F269" s="314" t="n"/>
      <c r="G269" s="314" t="n"/>
      <c r="H269" s="314" t="n"/>
      <c r="I269" s="314" t="n"/>
      <c r="J269" s="314" t="n"/>
      <c r="K269" s="314" t="n"/>
      <c r="L269" s="314" t="n"/>
      <c r="M269" s="314" t="n"/>
      <c r="N269" s="314" t="n"/>
      <c r="O269" s="314" t="n"/>
      <c r="P269" s="314" t="n"/>
      <c r="Q269" s="314" t="n"/>
      <c r="R269" s="314" t="n"/>
      <c r="S269" s="314" t="n"/>
      <c r="T269" s="314" t="n"/>
      <c r="U269" s="314" t="n"/>
      <c r="V269" s="314" t="n"/>
      <c r="W269" s="314" t="n"/>
      <c r="X269" s="326" t="n"/>
      <c r="Y269" s="326" t="n"/>
    </row>
    <row r="270" ht="27" customHeight="1">
      <c r="A270" s="55" t="inlineStr">
        <is>
          <t>SU002252</t>
        </is>
      </c>
      <c r="B270" s="55" t="inlineStr">
        <is>
          <t>P002461</t>
        </is>
      </c>
      <c r="C270" s="32" t="n">
        <v>4301031066</v>
      </c>
      <c r="D270" s="316" t="n">
        <v>4607091383836</v>
      </c>
      <c r="E270" s="317" t="n"/>
      <c r="F270" s="645" t="n">
        <v>0.3</v>
      </c>
      <c r="G270" s="33" t="n">
        <v>6</v>
      </c>
      <c r="H270" s="645" t="n">
        <v>1.8</v>
      </c>
      <c r="I270" s="645" t="n">
        <v>2.048</v>
      </c>
      <c r="J270" s="33" t="n">
        <v>156</v>
      </c>
      <c r="K270" s="34" t="inlineStr">
        <is>
          <t>СК2</t>
        </is>
      </c>
      <c r="L270" s="33" t="n">
        <v>40</v>
      </c>
      <c r="M270" s="321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70" s="319" t="n"/>
      <c r="O270" s="319" t="n"/>
      <c r="P270" s="319" t="n"/>
      <c r="Q270" s="317" t="n"/>
      <c r="R270" s="35" t="n"/>
      <c r="S270" s="35" t="n"/>
      <c r="T270" s="36" t="inlineStr">
        <is>
          <t>кг</t>
        </is>
      </c>
      <c r="U270" s="646" t="n">
        <v>0</v>
      </c>
      <c r="V270" s="647">
        <f>IFERROR(IF(U270="",0,CEILING((U270/$H270),1)*$H270),"")</f>
        <v/>
      </c>
      <c r="W270" s="37">
        <f>IFERROR(IF(V270=0,"",ROUNDUP(V270/H270,0)*0.00753),"")</f>
        <v/>
      </c>
      <c r="X270" s="57" t="n"/>
      <c r="Y270" s="58" t="n"/>
      <c r="AC270" s="59" t="n"/>
      <c r="AZ270" s="209" t="inlineStr">
        <is>
          <t>КИ</t>
        </is>
      </c>
    </row>
    <row r="271">
      <c r="A271" s="313" t="n"/>
      <c r="B271" s="314" t="n"/>
      <c r="C271" s="314" t="n"/>
      <c r="D271" s="314" t="n"/>
      <c r="E271" s="314" t="n"/>
      <c r="F271" s="314" t="n"/>
      <c r="G271" s="314" t="n"/>
      <c r="H271" s="314" t="n"/>
      <c r="I271" s="314" t="n"/>
      <c r="J271" s="314" t="n"/>
      <c r="K271" s="314" t="n"/>
      <c r="L271" s="315" t="n"/>
      <c r="M271" s="328" t="inlineStr">
        <is>
          <t>Итого</t>
        </is>
      </c>
      <c r="N271" s="329" t="n"/>
      <c r="O271" s="329" t="n"/>
      <c r="P271" s="329" t="n"/>
      <c r="Q271" s="329" t="n"/>
      <c r="R271" s="329" t="n"/>
      <c r="S271" s="330" t="n"/>
      <c r="T271" s="38" t="inlineStr">
        <is>
          <t>кор</t>
        </is>
      </c>
      <c r="U271" s="648">
        <f>IFERROR(U270/H270,"0")</f>
        <v/>
      </c>
      <c r="V271" s="648">
        <f>IFERROR(V270/H270,"0")</f>
        <v/>
      </c>
      <c r="W271" s="648">
        <f>IFERROR(IF(W270="",0,W270),"0")</f>
        <v/>
      </c>
      <c r="X271" s="649" t="n"/>
      <c r="Y271" s="649" t="n"/>
    </row>
    <row r="272">
      <c r="A272" s="314" t="n"/>
      <c r="B272" s="314" t="n"/>
      <c r="C272" s="314" t="n"/>
      <c r="D272" s="314" t="n"/>
      <c r="E272" s="314" t="n"/>
      <c r="F272" s="314" t="n"/>
      <c r="G272" s="314" t="n"/>
      <c r="H272" s="314" t="n"/>
      <c r="I272" s="314" t="n"/>
      <c r="J272" s="314" t="n"/>
      <c r="K272" s="314" t="n"/>
      <c r="L272" s="315" t="n"/>
      <c r="M272" s="328" t="inlineStr">
        <is>
          <t>Итого</t>
        </is>
      </c>
      <c r="N272" s="329" t="n"/>
      <c r="O272" s="329" t="n"/>
      <c r="P272" s="329" t="n"/>
      <c r="Q272" s="329" t="n"/>
      <c r="R272" s="329" t="n"/>
      <c r="S272" s="330" t="n"/>
      <c r="T272" s="38" t="inlineStr">
        <is>
          <t>кг</t>
        </is>
      </c>
      <c r="U272" s="648">
        <f>IFERROR(SUM(U270:U270),"0")</f>
        <v/>
      </c>
      <c r="V272" s="648">
        <f>IFERROR(SUM(V270:V270),"0")</f>
        <v/>
      </c>
      <c r="W272" s="38" t="n"/>
      <c r="X272" s="649" t="n"/>
      <c r="Y272" s="649" t="n"/>
    </row>
    <row r="273" ht="14.25" customHeight="1">
      <c r="A273" s="326" t="inlineStr">
        <is>
          <t>Сосиски</t>
        </is>
      </c>
      <c r="B273" s="314" t="n"/>
      <c r="C273" s="314" t="n"/>
      <c r="D273" s="314" t="n"/>
      <c r="E273" s="314" t="n"/>
      <c r="F273" s="314" t="n"/>
      <c r="G273" s="314" t="n"/>
      <c r="H273" s="314" t="n"/>
      <c r="I273" s="314" t="n"/>
      <c r="J273" s="314" t="n"/>
      <c r="K273" s="314" t="n"/>
      <c r="L273" s="314" t="n"/>
      <c r="M273" s="314" t="n"/>
      <c r="N273" s="314" t="n"/>
      <c r="O273" s="314" t="n"/>
      <c r="P273" s="314" t="n"/>
      <c r="Q273" s="314" t="n"/>
      <c r="R273" s="314" t="n"/>
      <c r="S273" s="314" t="n"/>
      <c r="T273" s="314" t="n"/>
      <c r="U273" s="314" t="n"/>
      <c r="V273" s="314" t="n"/>
      <c r="W273" s="314" t="n"/>
      <c r="X273" s="326" t="n"/>
      <c r="Y273" s="326" t="n"/>
    </row>
    <row r="274" ht="27" customHeight="1">
      <c r="A274" s="55" t="inlineStr">
        <is>
          <t>SU001835</t>
        </is>
      </c>
      <c r="B274" s="55" t="inlineStr">
        <is>
          <t>P002202</t>
        </is>
      </c>
      <c r="C274" s="32" t="n">
        <v>4301051142</v>
      </c>
      <c r="D274" s="316" t="n">
        <v>4607091387919</v>
      </c>
      <c r="E274" s="317" t="n"/>
      <c r="F274" s="645" t="n">
        <v>1.35</v>
      </c>
      <c r="G274" s="33" t="n">
        <v>6</v>
      </c>
      <c r="H274" s="645" t="n">
        <v>8.1</v>
      </c>
      <c r="I274" s="645" t="n">
        <v>8.664</v>
      </c>
      <c r="J274" s="33" t="n">
        <v>56</v>
      </c>
      <c r="K274" s="34" t="inlineStr">
        <is>
          <t>СК2</t>
        </is>
      </c>
      <c r="L274" s="33" t="n">
        <v>45</v>
      </c>
      <c r="M274" s="604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74" s="319" t="n"/>
      <c r="O274" s="319" t="n"/>
      <c r="P274" s="319" t="n"/>
      <c r="Q274" s="317" t="n"/>
      <c r="R274" s="35" t="n"/>
      <c r="S274" s="35" t="n"/>
      <c r="T274" s="36" t="inlineStr">
        <is>
          <t>кг</t>
        </is>
      </c>
      <c r="U274" s="646" t="n">
        <v>0</v>
      </c>
      <c r="V274" s="647">
        <f>IFERROR(IF(U274="",0,CEILING((U274/$H274),1)*$H274),"")</f>
        <v/>
      </c>
      <c r="W274" s="37">
        <f>IFERROR(IF(V274=0,"",ROUNDUP(V274/H274,0)*0.02175),"")</f>
        <v/>
      </c>
      <c r="X274" s="57" t="n"/>
      <c r="Y274" s="58" t="n"/>
      <c r="AC274" s="59" t="n"/>
      <c r="AZ274" s="210" t="inlineStr">
        <is>
          <t>КИ</t>
        </is>
      </c>
    </row>
    <row r="275" ht="27" customHeight="1">
      <c r="A275" s="55" t="inlineStr">
        <is>
          <t>SU001836</t>
        </is>
      </c>
      <c r="B275" s="55" t="inlineStr">
        <is>
          <t>P002201</t>
        </is>
      </c>
      <c r="C275" s="32" t="n">
        <v>4301051109</v>
      </c>
      <c r="D275" s="316" t="n">
        <v>4607091383942</v>
      </c>
      <c r="E275" s="317" t="n"/>
      <c r="F275" s="645" t="n">
        <v>0.42</v>
      </c>
      <c r="G275" s="33" t="n">
        <v>6</v>
      </c>
      <c r="H275" s="645" t="n">
        <v>2.52</v>
      </c>
      <c r="I275" s="645" t="n">
        <v>2.792</v>
      </c>
      <c r="J275" s="33" t="n">
        <v>156</v>
      </c>
      <c r="K275" s="34" t="inlineStr">
        <is>
          <t>СК3</t>
        </is>
      </c>
      <c r="L275" s="33" t="n">
        <v>45</v>
      </c>
      <c r="M275" s="632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75" s="319" t="n"/>
      <c r="O275" s="319" t="n"/>
      <c r="P275" s="319" t="n"/>
      <c r="Q275" s="317" t="n"/>
      <c r="R275" s="35" t="n"/>
      <c r="S275" s="35" t="n"/>
      <c r="T275" s="36" t="inlineStr">
        <is>
          <t>кг</t>
        </is>
      </c>
      <c r="U275" s="646" t="n">
        <v>420</v>
      </c>
      <c r="V275" s="647">
        <f>IFERROR(IF(U275="",0,CEILING((U275/$H275),1)*$H275),"")</f>
        <v/>
      </c>
      <c r="W275" s="37">
        <f>IFERROR(IF(V275=0,"",ROUNDUP(V275/H275,0)*0.00753),"")</f>
        <v/>
      </c>
      <c r="X275" s="57" t="n"/>
      <c r="Y275" s="58" t="n"/>
      <c r="AC275" s="59" t="n"/>
      <c r="AZ275" s="211" t="inlineStr">
        <is>
          <t>КИ</t>
        </is>
      </c>
    </row>
    <row r="276" ht="27" customHeight="1">
      <c r="A276" s="55" t="inlineStr">
        <is>
          <t>SU001970</t>
        </is>
      </c>
      <c r="B276" s="55" t="inlineStr">
        <is>
          <t>P003579</t>
        </is>
      </c>
      <c r="C276" s="32" t="n">
        <v>4301051518</v>
      </c>
      <c r="D276" s="316" t="n">
        <v>4607091383959</v>
      </c>
      <c r="E276" s="317" t="n"/>
      <c r="F276" s="645" t="n">
        <v>0.42</v>
      </c>
      <c r="G276" s="33" t="n">
        <v>6</v>
      </c>
      <c r="H276" s="645" t="n">
        <v>2.52</v>
      </c>
      <c r="I276" s="645" t="n">
        <v>2.78</v>
      </c>
      <c r="J276" s="33" t="n">
        <v>156</v>
      </c>
      <c r="K276" s="34" t="inlineStr">
        <is>
          <t>СК2</t>
        </is>
      </c>
      <c r="L276" s="33" t="n">
        <v>40</v>
      </c>
      <c r="M276" s="477" t="inlineStr">
        <is>
          <t>Сосиски «Баварские с сыром» Фикс.вес 0,42 п/а ТМ «Стародворье»</t>
        </is>
      </c>
      <c r="N276" s="319" t="n"/>
      <c r="O276" s="319" t="n"/>
      <c r="P276" s="319" t="n"/>
      <c r="Q276" s="317" t="n"/>
      <c r="R276" s="35" t="n"/>
      <c r="S276" s="35" t="n"/>
      <c r="T276" s="36" t="inlineStr">
        <is>
          <t>кг</t>
        </is>
      </c>
      <c r="U276" s="646" t="n">
        <v>0</v>
      </c>
      <c r="V276" s="647">
        <f>IFERROR(IF(U276="",0,CEILING((U276/$H276),1)*$H276),"")</f>
        <v/>
      </c>
      <c r="W276" s="37">
        <f>IFERROR(IF(V276=0,"",ROUNDUP(V276/H276,0)*0.00753),"")</f>
        <v/>
      </c>
      <c r="X276" s="57" t="n"/>
      <c r="Y276" s="58" t="n"/>
      <c r="AC276" s="59" t="n"/>
      <c r="AZ276" s="212" t="inlineStr">
        <is>
          <t>КИ</t>
        </is>
      </c>
    </row>
    <row r="277">
      <c r="A277" s="313" t="n"/>
      <c r="B277" s="314" t="n"/>
      <c r="C277" s="314" t="n"/>
      <c r="D277" s="314" t="n"/>
      <c r="E277" s="314" t="n"/>
      <c r="F277" s="314" t="n"/>
      <c r="G277" s="314" t="n"/>
      <c r="H277" s="314" t="n"/>
      <c r="I277" s="314" t="n"/>
      <c r="J277" s="314" t="n"/>
      <c r="K277" s="314" t="n"/>
      <c r="L277" s="315" t="n"/>
      <c r="M277" s="328" t="inlineStr">
        <is>
          <t>Итого</t>
        </is>
      </c>
      <c r="N277" s="329" t="n"/>
      <c r="O277" s="329" t="n"/>
      <c r="P277" s="329" t="n"/>
      <c r="Q277" s="329" t="n"/>
      <c r="R277" s="329" t="n"/>
      <c r="S277" s="330" t="n"/>
      <c r="T277" s="38" t="inlineStr">
        <is>
          <t>кор</t>
        </is>
      </c>
      <c r="U277" s="648">
        <f>IFERROR(U274/H274,"0")+IFERROR(U275/H275,"0")+IFERROR(U276/H276,"0")</f>
        <v/>
      </c>
      <c r="V277" s="648">
        <f>IFERROR(V274/H274,"0")+IFERROR(V275/H275,"0")+IFERROR(V276/H276,"0")</f>
        <v/>
      </c>
      <c r="W277" s="648">
        <f>IFERROR(IF(W274="",0,W274),"0")+IFERROR(IF(W275="",0,W275),"0")+IFERROR(IF(W276="",0,W276),"0")</f>
        <v/>
      </c>
      <c r="X277" s="649" t="n"/>
      <c r="Y277" s="649" t="n"/>
    </row>
    <row r="278">
      <c r="A278" s="314" t="n"/>
      <c r="B278" s="314" t="n"/>
      <c r="C278" s="314" t="n"/>
      <c r="D278" s="314" t="n"/>
      <c r="E278" s="314" t="n"/>
      <c r="F278" s="314" t="n"/>
      <c r="G278" s="314" t="n"/>
      <c r="H278" s="314" t="n"/>
      <c r="I278" s="314" t="n"/>
      <c r="J278" s="314" t="n"/>
      <c r="K278" s="314" t="n"/>
      <c r="L278" s="315" t="n"/>
      <c r="M278" s="328" t="inlineStr">
        <is>
          <t>Итого</t>
        </is>
      </c>
      <c r="N278" s="329" t="n"/>
      <c r="O278" s="329" t="n"/>
      <c r="P278" s="329" t="n"/>
      <c r="Q278" s="329" t="n"/>
      <c r="R278" s="329" t="n"/>
      <c r="S278" s="330" t="n"/>
      <c r="T278" s="38" t="inlineStr">
        <is>
          <t>кг</t>
        </is>
      </c>
      <c r="U278" s="648">
        <f>IFERROR(SUM(U274:U276),"0")</f>
        <v/>
      </c>
      <c r="V278" s="648">
        <f>IFERROR(SUM(V274:V276),"0")</f>
        <v/>
      </c>
      <c r="W278" s="38" t="n"/>
      <c r="X278" s="649" t="n"/>
      <c r="Y278" s="649" t="n"/>
    </row>
    <row r="279" ht="14.25" customHeight="1">
      <c r="A279" s="326" t="inlineStr">
        <is>
          <t>Сардельки</t>
        </is>
      </c>
      <c r="B279" s="314" t="n"/>
      <c r="C279" s="314" t="n"/>
      <c r="D279" s="314" t="n"/>
      <c r="E279" s="314" t="n"/>
      <c r="F279" s="314" t="n"/>
      <c r="G279" s="314" t="n"/>
      <c r="H279" s="314" t="n"/>
      <c r="I279" s="314" t="n"/>
      <c r="J279" s="314" t="n"/>
      <c r="K279" s="314" t="n"/>
      <c r="L279" s="314" t="n"/>
      <c r="M279" s="314" t="n"/>
      <c r="N279" s="314" t="n"/>
      <c r="O279" s="314" t="n"/>
      <c r="P279" s="314" t="n"/>
      <c r="Q279" s="314" t="n"/>
      <c r="R279" s="314" t="n"/>
      <c r="S279" s="314" t="n"/>
      <c r="T279" s="314" t="n"/>
      <c r="U279" s="314" t="n"/>
      <c r="V279" s="314" t="n"/>
      <c r="W279" s="314" t="n"/>
      <c r="X279" s="326" t="n"/>
      <c r="Y279" s="326" t="n"/>
    </row>
    <row r="280" ht="27" customHeight="1">
      <c r="A280" s="55" t="inlineStr">
        <is>
          <t>SU002173</t>
        </is>
      </c>
      <c r="B280" s="55" t="inlineStr">
        <is>
          <t>P002361</t>
        </is>
      </c>
      <c r="C280" s="32" t="n">
        <v>4301060324</v>
      </c>
      <c r="D280" s="316" t="n">
        <v>4607091388831</v>
      </c>
      <c r="E280" s="317" t="n"/>
      <c r="F280" s="645" t="n">
        <v>0.38</v>
      </c>
      <c r="G280" s="33" t="n">
        <v>6</v>
      </c>
      <c r="H280" s="645" t="n">
        <v>2.28</v>
      </c>
      <c r="I280" s="645" t="n">
        <v>2.552</v>
      </c>
      <c r="J280" s="33" t="n">
        <v>156</v>
      </c>
      <c r="K280" s="34" t="inlineStr">
        <is>
          <t>СК2</t>
        </is>
      </c>
      <c r="L280" s="33" t="n">
        <v>40</v>
      </c>
      <c r="M280" s="625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80" s="319" t="n"/>
      <c r="O280" s="319" t="n"/>
      <c r="P280" s="319" t="n"/>
      <c r="Q280" s="317" t="n"/>
      <c r="R280" s="35" t="n"/>
      <c r="S280" s="35" t="n"/>
      <c r="T280" s="36" t="inlineStr">
        <is>
          <t>кг</t>
        </is>
      </c>
      <c r="U280" s="646" t="n">
        <v>0</v>
      </c>
      <c r="V280" s="647">
        <f>IFERROR(IF(U280="",0,CEILING((U280/$H280),1)*$H280),"")</f>
        <v/>
      </c>
      <c r="W280" s="37">
        <f>IFERROR(IF(V280=0,"",ROUNDUP(V280/H280,0)*0.00753),"")</f>
        <v/>
      </c>
      <c r="X280" s="57" t="n"/>
      <c r="Y280" s="58" t="n"/>
      <c r="AC280" s="59" t="n"/>
      <c r="AZ280" s="213" t="inlineStr">
        <is>
          <t>КИ</t>
        </is>
      </c>
    </row>
    <row r="281">
      <c r="A281" s="313" t="n"/>
      <c r="B281" s="314" t="n"/>
      <c r="C281" s="314" t="n"/>
      <c r="D281" s="314" t="n"/>
      <c r="E281" s="314" t="n"/>
      <c r="F281" s="314" t="n"/>
      <c r="G281" s="314" t="n"/>
      <c r="H281" s="314" t="n"/>
      <c r="I281" s="314" t="n"/>
      <c r="J281" s="314" t="n"/>
      <c r="K281" s="314" t="n"/>
      <c r="L281" s="315" t="n"/>
      <c r="M281" s="328" t="inlineStr">
        <is>
          <t>Итого</t>
        </is>
      </c>
      <c r="N281" s="329" t="n"/>
      <c r="O281" s="329" t="n"/>
      <c r="P281" s="329" t="n"/>
      <c r="Q281" s="329" t="n"/>
      <c r="R281" s="329" t="n"/>
      <c r="S281" s="330" t="n"/>
      <c r="T281" s="38" t="inlineStr">
        <is>
          <t>кор</t>
        </is>
      </c>
      <c r="U281" s="648">
        <f>IFERROR(U280/H280,"0")</f>
        <v/>
      </c>
      <c r="V281" s="648">
        <f>IFERROR(V280/H280,"0")</f>
        <v/>
      </c>
      <c r="W281" s="648">
        <f>IFERROR(IF(W280="",0,W280),"0")</f>
        <v/>
      </c>
      <c r="X281" s="649" t="n"/>
      <c r="Y281" s="649" t="n"/>
    </row>
    <row r="282">
      <c r="A282" s="314" t="n"/>
      <c r="B282" s="314" t="n"/>
      <c r="C282" s="314" t="n"/>
      <c r="D282" s="314" t="n"/>
      <c r="E282" s="314" t="n"/>
      <c r="F282" s="314" t="n"/>
      <c r="G282" s="314" t="n"/>
      <c r="H282" s="314" t="n"/>
      <c r="I282" s="314" t="n"/>
      <c r="J282" s="314" t="n"/>
      <c r="K282" s="314" t="n"/>
      <c r="L282" s="315" t="n"/>
      <c r="M282" s="328" t="inlineStr">
        <is>
          <t>Итого</t>
        </is>
      </c>
      <c r="N282" s="329" t="n"/>
      <c r="O282" s="329" t="n"/>
      <c r="P282" s="329" t="n"/>
      <c r="Q282" s="329" t="n"/>
      <c r="R282" s="329" t="n"/>
      <c r="S282" s="330" t="n"/>
      <c r="T282" s="38" t="inlineStr">
        <is>
          <t>кг</t>
        </is>
      </c>
      <c r="U282" s="648">
        <f>IFERROR(SUM(U280:U280),"0")</f>
        <v/>
      </c>
      <c r="V282" s="648">
        <f>IFERROR(SUM(V280:V280),"0")</f>
        <v/>
      </c>
      <c r="W282" s="38" t="n"/>
      <c r="X282" s="649" t="n"/>
      <c r="Y282" s="649" t="n"/>
    </row>
    <row r="283" ht="14.25" customHeight="1">
      <c r="A283" s="326" t="inlineStr">
        <is>
          <t>Сырокопченые колбасы</t>
        </is>
      </c>
      <c r="B283" s="314" t="n"/>
      <c r="C283" s="314" t="n"/>
      <c r="D283" s="314" t="n"/>
      <c r="E283" s="314" t="n"/>
      <c r="F283" s="314" t="n"/>
      <c r="G283" s="314" t="n"/>
      <c r="H283" s="314" t="n"/>
      <c r="I283" s="314" t="n"/>
      <c r="J283" s="314" t="n"/>
      <c r="K283" s="314" t="n"/>
      <c r="L283" s="314" t="n"/>
      <c r="M283" s="314" t="n"/>
      <c r="N283" s="314" t="n"/>
      <c r="O283" s="314" t="n"/>
      <c r="P283" s="314" t="n"/>
      <c r="Q283" s="314" t="n"/>
      <c r="R283" s="314" t="n"/>
      <c r="S283" s="314" t="n"/>
      <c r="T283" s="314" t="n"/>
      <c r="U283" s="314" t="n"/>
      <c r="V283" s="314" t="n"/>
      <c r="W283" s="314" t="n"/>
      <c r="X283" s="326" t="n"/>
      <c r="Y283" s="326" t="n"/>
    </row>
    <row r="284" ht="27" customHeight="1">
      <c r="A284" s="55" t="inlineStr">
        <is>
          <t>SU002092</t>
        </is>
      </c>
      <c r="B284" s="55" t="inlineStr">
        <is>
          <t>P002290</t>
        </is>
      </c>
      <c r="C284" s="32" t="n">
        <v>4301032015</v>
      </c>
      <c r="D284" s="316" t="n">
        <v>4607091383102</v>
      </c>
      <c r="E284" s="317" t="n"/>
      <c r="F284" s="645" t="n">
        <v>0.17</v>
      </c>
      <c r="G284" s="33" t="n">
        <v>15</v>
      </c>
      <c r="H284" s="645" t="n">
        <v>2.55</v>
      </c>
      <c r="I284" s="645" t="n">
        <v>2.975</v>
      </c>
      <c r="J284" s="33" t="n">
        <v>156</v>
      </c>
      <c r="K284" s="34" t="inlineStr">
        <is>
          <t>АК</t>
        </is>
      </c>
      <c r="L284" s="33" t="n">
        <v>180</v>
      </c>
      <c r="M284" s="495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84" s="319" t="n"/>
      <c r="O284" s="319" t="n"/>
      <c r="P284" s="319" t="n"/>
      <c r="Q284" s="317" t="n"/>
      <c r="R284" s="35" t="n"/>
      <c r="S284" s="35" t="n"/>
      <c r="T284" s="36" t="inlineStr">
        <is>
          <t>кг</t>
        </is>
      </c>
      <c r="U284" s="646" t="n">
        <v>0</v>
      </c>
      <c r="V284" s="647">
        <f>IFERROR(IF(U284="",0,CEILING((U284/$H284),1)*$H284),"")</f>
        <v/>
      </c>
      <c r="W284" s="37">
        <f>IFERROR(IF(V284=0,"",ROUNDUP(V284/H284,0)*0.00753),"")</f>
        <v/>
      </c>
      <c r="X284" s="57" t="n"/>
      <c r="Y284" s="58" t="n"/>
      <c r="AC284" s="59" t="n"/>
      <c r="AZ284" s="214" t="inlineStr">
        <is>
          <t>КИ</t>
        </is>
      </c>
    </row>
    <row r="285">
      <c r="A285" s="313" t="n"/>
      <c r="B285" s="314" t="n"/>
      <c r="C285" s="314" t="n"/>
      <c r="D285" s="314" t="n"/>
      <c r="E285" s="314" t="n"/>
      <c r="F285" s="314" t="n"/>
      <c r="G285" s="314" t="n"/>
      <c r="H285" s="314" t="n"/>
      <c r="I285" s="314" t="n"/>
      <c r="J285" s="314" t="n"/>
      <c r="K285" s="314" t="n"/>
      <c r="L285" s="315" t="n"/>
      <c r="M285" s="328" t="inlineStr">
        <is>
          <t>Итого</t>
        </is>
      </c>
      <c r="N285" s="329" t="n"/>
      <c r="O285" s="329" t="n"/>
      <c r="P285" s="329" t="n"/>
      <c r="Q285" s="329" t="n"/>
      <c r="R285" s="329" t="n"/>
      <c r="S285" s="330" t="n"/>
      <c r="T285" s="38" t="inlineStr">
        <is>
          <t>кор</t>
        </is>
      </c>
      <c r="U285" s="648">
        <f>IFERROR(U284/H284,"0")</f>
        <v/>
      </c>
      <c r="V285" s="648">
        <f>IFERROR(V284/H284,"0")</f>
        <v/>
      </c>
      <c r="W285" s="648">
        <f>IFERROR(IF(W284="",0,W284),"0")</f>
        <v/>
      </c>
      <c r="X285" s="649" t="n"/>
      <c r="Y285" s="649" t="n"/>
    </row>
    <row r="286">
      <c r="A286" s="314" t="n"/>
      <c r="B286" s="314" t="n"/>
      <c r="C286" s="314" t="n"/>
      <c r="D286" s="314" t="n"/>
      <c r="E286" s="314" t="n"/>
      <c r="F286" s="314" t="n"/>
      <c r="G286" s="314" t="n"/>
      <c r="H286" s="314" t="n"/>
      <c r="I286" s="314" t="n"/>
      <c r="J286" s="314" t="n"/>
      <c r="K286" s="314" t="n"/>
      <c r="L286" s="315" t="n"/>
      <c r="M286" s="328" t="inlineStr">
        <is>
          <t>Итого</t>
        </is>
      </c>
      <c r="N286" s="329" t="n"/>
      <c r="O286" s="329" t="n"/>
      <c r="P286" s="329" t="n"/>
      <c r="Q286" s="329" t="n"/>
      <c r="R286" s="329" t="n"/>
      <c r="S286" s="330" t="n"/>
      <c r="T286" s="38" t="inlineStr">
        <is>
          <t>кг</t>
        </is>
      </c>
      <c r="U286" s="648">
        <f>IFERROR(SUM(U284:U284),"0")</f>
        <v/>
      </c>
      <c r="V286" s="648">
        <f>IFERROR(SUM(V284:V284),"0")</f>
        <v/>
      </c>
      <c r="W286" s="38" t="n"/>
      <c r="X286" s="649" t="n"/>
      <c r="Y286" s="649" t="n"/>
    </row>
    <row r="287" ht="27.75" customHeight="1">
      <c r="A287" s="357" t="inlineStr">
        <is>
          <t>Особый рецепт</t>
        </is>
      </c>
      <c r="B287" s="358" t="n"/>
      <c r="C287" s="358" t="n"/>
      <c r="D287" s="358" t="n"/>
      <c r="E287" s="358" t="n"/>
      <c r="F287" s="358" t="n"/>
      <c r="G287" s="358" t="n"/>
      <c r="H287" s="358" t="n"/>
      <c r="I287" s="358" t="n"/>
      <c r="J287" s="358" t="n"/>
      <c r="K287" s="358" t="n"/>
      <c r="L287" s="358" t="n"/>
      <c r="M287" s="358" t="n"/>
      <c r="N287" s="358" t="n"/>
      <c r="O287" s="358" t="n"/>
      <c r="P287" s="358" t="n"/>
      <c r="Q287" s="358" t="n"/>
      <c r="R287" s="358" t="n"/>
      <c r="S287" s="358" t="n"/>
      <c r="T287" s="358" t="n"/>
      <c r="U287" s="358" t="n"/>
      <c r="V287" s="358" t="n"/>
      <c r="W287" s="358" t="n"/>
      <c r="X287" s="49" t="n"/>
      <c r="Y287" s="49" t="n"/>
    </row>
    <row r="288" ht="16.5" customHeight="1">
      <c r="A288" s="337" t="inlineStr">
        <is>
          <t>Особая</t>
        </is>
      </c>
      <c r="B288" s="314" t="n"/>
      <c r="C288" s="314" t="n"/>
      <c r="D288" s="314" t="n"/>
      <c r="E288" s="314" t="n"/>
      <c r="F288" s="314" t="n"/>
      <c r="G288" s="314" t="n"/>
      <c r="H288" s="314" t="n"/>
      <c r="I288" s="314" t="n"/>
      <c r="J288" s="314" t="n"/>
      <c r="K288" s="314" t="n"/>
      <c r="L288" s="314" t="n"/>
      <c r="M288" s="314" t="n"/>
      <c r="N288" s="314" t="n"/>
      <c r="O288" s="314" t="n"/>
      <c r="P288" s="314" t="n"/>
      <c r="Q288" s="314" t="n"/>
      <c r="R288" s="314" t="n"/>
      <c r="S288" s="314" t="n"/>
      <c r="T288" s="314" t="n"/>
      <c r="U288" s="314" t="n"/>
      <c r="V288" s="314" t="n"/>
      <c r="W288" s="314" t="n"/>
      <c r="X288" s="337" t="n"/>
      <c r="Y288" s="337" t="n"/>
    </row>
    <row r="289" ht="14.25" customHeight="1">
      <c r="A289" s="326" t="inlineStr">
        <is>
          <t>Вареные колбасы</t>
        </is>
      </c>
      <c r="B289" s="314" t="n"/>
      <c r="C289" s="314" t="n"/>
      <c r="D289" s="314" t="n"/>
      <c r="E289" s="314" t="n"/>
      <c r="F289" s="314" t="n"/>
      <c r="G289" s="314" t="n"/>
      <c r="H289" s="314" t="n"/>
      <c r="I289" s="314" t="n"/>
      <c r="J289" s="314" t="n"/>
      <c r="K289" s="314" t="n"/>
      <c r="L289" s="314" t="n"/>
      <c r="M289" s="314" t="n"/>
      <c r="N289" s="314" t="n"/>
      <c r="O289" s="314" t="n"/>
      <c r="P289" s="314" t="n"/>
      <c r="Q289" s="314" t="n"/>
      <c r="R289" s="314" t="n"/>
      <c r="S289" s="314" t="n"/>
      <c r="T289" s="314" t="n"/>
      <c r="U289" s="314" t="n"/>
      <c r="V289" s="314" t="n"/>
      <c r="W289" s="314" t="n"/>
      <c r="X289" s="326" t="n"/>
      <c r="Y289" s="326" t="n"/>
    </row>
    <row r="290" ht="27" customHeight="1">
      <c r="A290" s="55" t="inlineStr">
        <is>
          <t>SU000251</t>
        </is>
      </c>
      <c r="B290" s="55" t="inlineStr">
        <is>
          <t>P002581</t>
        </is>
      </c>
      <c r="C290" s="32" t="n">
        <v>4301011239</v>
      </c>
      <c r="D290" s="316" t="n">
        <v>4607091383997</v>
      </c>
      <c r="E290" s="317" t="n"/>
      <c r="F290" s="645" t="n">
        <v>2.5</v>
      </c>
      <c r="G290" s="33" t="n">
        <v>6</v>
      </c>
      <c r="H290" s="645" t="n">
        <v>15</v>
      </c>
      <c r="I290" s="645" t="n">
        <v>15.48</v>
      </c>
      <c r="J290" s="33" t="n">
        <v>48</v>
      </c>
      <c r="K290" s="34" t="inlineStr">
        <is>
          <t>ВЗ</t>
        </is>
      </c>
      <c r="L290" s="33" t="n">
        <v>60</v>
      </c>
      <c r="M290" s="594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90" s="319" t="n"/>
      <c r="O290" s="319" t="n"/>
      <c r="P290" s="319" t="n"/>
      <c r="Q290" s="317" t="n"/>
      <c r="R290" s="35" t="n"/>
      <c r="S290" s="35" t="n"/>
      <c r="T290" s="36" t="inlineStr">
        <is>
          <t>кг</t>
        </is>
      </c>
      <c r="U290" s="646" t="n">
        <v>0</v>
      </c>
      <c r="V290" s="647">
        <f>IFERROR(IF(U290="",0,CEILING((U290/$H290),1)*$H290),"")</f>
        <v/>
      </c>
      <c r="W290" s="37">
        <f>IFERROR(IF(V290=0,"",ROUNDUP(V290/H290,0)*0.02039),"")</f>
        <v/>
      </c>
      <c r="X290" s="57" t="n"/>
      <c r="Y290" s="58" t="n"/>
      <c r="AC290" s="59" t="n"/>
      <c r="AZ290" s="215" t="inlineStr">
        <is>
          <t>КИ</t>
        </is>
      </c>
    </row>
    <row r="291" ht="27" customHeight="1">
      <c r="A291" s="55" t="inlineStr">
        <is>
          <t>SU000251</t>
        </is>
      </c>
      <c r="B291" s="55" t="inlineStr">
        <is>
          <t>P002584</t>
        </is>
      </c>
      <c r="C291" s="32" t="n">
        <v>4301011339</v>
      </c>
      <c r="D291" s="316" t="n">
        <v>4607091383997</v>
      </c>
      <c r="E291" s="317" t="n"/>
      <c r="F291" s="645" t="n">
        <v>2.5</v>
      </c>
      <c r="G291" s="33" t="n">
        <v>6</v>
      </c>
      <c r="H291" s="645" t="n">
        <v>15</v>
      </c>
      <c r="I291" s="645" t="n">
        <v>15.48</v>
      </c>
      <c r="J291" s="33" t="n">
        <v>48</v>
      </c>
      <c r="K291" s="34" t="inlineStr">
        <is>
          <t>СК2</t>
        </is>
      </c>
      <c r="L291" s="33" t="n">
        <v>60</v>
      </c>
      <c r="M291" s="381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91" s="319" t="n"/>
      <c r="O291" s="319" t="n"/>
      <c r="P291" s="319" t="n"/>
      <c r="Q291" s="317" t="n"/>
      <c r="R291" s="35" t="n"/>
      <c r="S291" s="35" t="n"/>
      <c r="T291" s="36" t="inlineStr">
        <is>
          <t>кг</t>
        </is>
      </c>
      <c r="U291" s="646" t="n">
        <v>2300</v>
      </c>
      <c r="V291" s="647">
        <f>IFERROR(IF(U291="",0,CEILING((U291/$H291),1)*$H291),"")</f>
        <v/>
      </c>
      <c r="W291" s="37">
        <f>IFERROR(IF(V291=0,"",ROUNDUP(V291/H291,0)*0.02175),"")</f>
        <v/>
      </c>
      <c r="X291" s="57" t="n"/>
      <c r="Y291" s="58" t="n"/>
      <c r="AC291" s="59" t="n"/>
      <c r="AZ291" s="216" t="inlineStr">
        <is>
          <t>КИ</t>
        </is>
      </c>
    </row>
    <row r="292" ht="27" customHeight="1">
      <c r="A292" s="55" t="inlineStr">
        <is>
          <t>SU001578</t>
        </is>
      </c>
      <c r="B292" s="55" t="inlineStr">
        <is>
          <t>P002562</t>
        </is>
      </c>
      <c r="C292" s="32" t="n">
        <v>4301011326</v>
      </c>
      <c r="D292" s="316" t="n">
        <v>4607091384130</v>
      </c>
      <c r="E292" s="317" t="n"/>
      <c r="F292" s="645" t="n">
        <v>2.5</v>
      </c>
      <c r="G292" s="33" t="n">
        <v>6</v>
      </c>
      <c r="H292" s="645" t="n">
        <v>15</v>
      </c>
      <c r="I292" s="645" t="n">
        <v>15.48</v>
      </c>
      <c r="J292" s="33" t="n">
        <v>48</v>
      </c>
      <c r="K292" s="34" t="inlineStr">
        <is>
          <t>СК2</t>
        </is>
      </c>
      <c r="L292" s="33" t="n">
        <v>60</v>
      </c>
      <c r="M292" s="427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92" s="319" t="n"/>
      <c r="O292" s="319" t="n"/>
      <c r="P292" s="319" t="n"/>
      <c r="Q292" s="317" t="n"/>
      <c r="R292" s="35" t="n"/>
      <c r="S292" s="35" t="n"/>
      <c r="T292" s="36" t="inlineStr">
        <is>
          <t>кг</t>
        </is>
      </c>
      <c r="U292" s="646" t="n">
        <v>1200</v>
      </c>
      <c r="V292" s="647">
        <f>IFERROR(IF(U292="",0,CEILING((U292/$H292),1)*$H292),"")</f>
        <v/>
      </c>
      <c r="W292" s="37">
        <f>IFERROR(IF(V292=0,"",ROUNDUP(V292/H292,0)*0.02175),"")</f>
        <v/>
      </c>
      <c r="X292" s="57" t="n"/>
      <c r="Y292" s="58" t="n"/>
      <c r="AC292" s="59" t="n"/>
      <c r="AZ292" s="217" t="inlineStr">
        <is>
          <t>КИ</t>
        </is>
      </c>
    </row>
    <row r="293" ht="27" customHeight="1">
      <c r="A293" s="55" t="inlineStr">
        <is>
          <t>SU001578</t>
        </is>
      </c>
      <c r="B293" s="55" t="inlineStr">
        <is>
          <t>P002582</t>
        </is>
      </c>
      <c r="C293" s="32" t="n">
        <v>4301011240</v>
      </c>
      <c r="D293" s="316" t="n">
        <v>4607091384130</v>
      </c>
      <c r="E293" s="317" t="n"/>
      <c r="F293" s="645" t="n">
        <v>2.5</v>
      </c>
      <c r="G293" s="33" t="n">
        <v>6</v>
      </c>
      <c r="H293" s="645" t="n">
        <v>15</v>
      </c>
      <c r="I293" s="645" t="n">
        <v>15.48</v>
      </c>
      <c r="J293" s="33" t="n">
        <v>48</v>
      </c>
      <c r="K293" s="34" t="inlineStr">
        <is>
          <t>ВЗ</t>
        </is>
      </c>
      <c r="L293" s="33" t="n">
        <v>60</v>
      </c>
      <c r="M293" s="479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93" s="319" t="n"/>
      <c r="O293" s="319" t="n"/>
      <c r="P293" s="319" t="n"/>
      <c r="Q293" s="317" t="n"/>
      <c r="R293" s="35" t="n"/>
      <c r="S293" s="35" t="n"/>
      <c r="T293" s="36" t="inlineStr">
        <is>
          <t>кг</t>
        </is>
      </c>
      <c r="U293" s="646" t="n">
        <v>0</v>
      </c>
      <c r="V293" s="647">
        <f>IFERROR(IF(U293="",0,CEILING((U293/$H293),1)*$H293),"")</f>
        <v/>
      </c>
      <c r="W293" s="37">
        <f>IFERROR(IF(V293=0,"",ROUNDUP(V293/H293,0)*0.02039),"")</f>
        <v/>
      </c>
      <c r="X293" s="57" t="n"/>
      <c r="Y293" s="58" t="n"/>
      <c r="AC293" s="59" t="n"/>
      <c r="AZ293" s="218" t="inlineStr">
        <is>
          <t>КИ</t>
        </is>
      </c>
    </row>
    <row r="294" ht="16.5" customHeight="1">
      <c r="A294" s="55" t="inlineStr">
        <is>
          <t>SU000102</t>
        </is>
      </c>
      <c r="B294" s="55" t="inlineStr">
        <is>
          <t>P002564</t>
        </is>
      </c>
      <c r="C294" s="32" t="n">
        <v>4301011330</v>
      </c>
      <c r="D294" s="316" t="n">
        <v>4607091384147</v>
      </c>
      <c r="E294" s="317" t="n"/>
      <c r="F294" s="645" t="n">
        <v>2.5</v>
      </c>
      <c r="G294" s="33" t="n">
        <v>6</v>
      </c>
      <c r="H294" s="645" t="n">
        <v>15</v>
      </c>
      <c r="I294" s="645" t="n">
        <v>15.48</v>
      </c>
      <c r="J294" s="33" t="n">
        <v>48</v>
      </c>
      <c r="K294" s="34" t="inlineStr">
        <is>
          <t>СК2</t>
        </is>
      </c>
      <c r="L294" s="33" t="n">
        <v>60</v>
      </c>
      <c r="M294" s="475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94" s="319" t="n"/>
      <c r="O294" s="319" t="n"/>
      <c r="P294" s="319" t="n"/>
      <c r="Q294" s="317" t="n"/>
      <c r="R294" s="35" t="n"/>
      <c r="S294" s="35" t="n"/>
      <c r="T294" s="36" t="inlineStr">
        <is>
          <t>кг</t>
        </is>
      </c>
      <c r="U294" s="646" t="n">
        <v>0</v>
      </c>
      <c r="V294" s="647">
        <f>IFERROR(IF(U294="",0,CEILING((U294/$H294),1)*$H294),"")</f>
        <v/>
      </c>
      <c r="W294" s="37">
        <f>IFERROR(IF(V294=0,"",ROUNDUP(V294/H294,0)*0.02175),"")</f>
        <v/>
      </c>
      <c r="X294" s="57" t="n"/>
      <c r="Y294" s="58" t="n"/>
      <c r="AC294" s="59" t="n"/>
      <c r="AZ294" s="219" t="inlineStr">
        <is>
          <t>КИ</t>
        </is>
      </c>
    </row>
    <row r="295" ht="16.5" customHeight="1">
      <c r="A295" s="55" t="inlineStr">
        <is>
          <t>SU000102</t>
        </is>
      </c>
      <c r="B295" s="55" t="inlineStr">
        <is>
          <t>P002580</t>
        </is>
      </c>
      <c r="C295" s="32" t="n">
        <v>4301011238</v>
      </c>
      <c r="D295" s="316" t="n">
        <v>4607091384147</v>
      </c>
      <c r="E295" s="317" t="n"/>
      <c r="F295" s="645" t="n">
        <v>2.5</v>
      </c>
      <c r="G295" s="33" t="n">
        <v>6</v>
      </c>
      <c r="H295" s="645" t="n">
        <v>15</v>
      </c>
      <c r="I295" s="645" t="n">
        <v>15.48</v>
      </c>
      <c r="J295" s="33" t="n">
        <v>48</v>
      </c>
      <c r="K295" s="34" t="inlineStr">
        <is>
          <t>ВЗ</t>
        </is>
      </c>
      <c r="L295" s="33" t="n">
        <v>60</v>
      </c>
      <c r="M295" s="627" t="inlineStr">
        <is>
          <t>Вареные колбасы Особая Особая Весовые П/а Особый рецепт</t>
        </is>
      </c>
      <c r="N295" s="319" t="n"/>
      <c r="O295" s="319" t="n"/>
      <c r="P295" s="319" t="n"/>
      <c r="Q295" s="317" t="n"/>
      <c r="R295" s="35" t="n"/>
      <c r="S295" s="35" t="n"/>
      <c r="T295" s="36" t="inlineStr">
        <is>
          <t>кг</t>
        </is>
      </c>
      <c r="U295" s="646" t="n">
        <v>0</v>
      </c>
      <c r="V295" s="647">
        <f>IFERROR(IF(U295="",0,CEILING((U295/$H295),1)*$H295),"")</f>
        <v/>
      </c>
      <c r="W295" s="37">
        <f>IFERROR(IF(V295=0,"",ROUNDUP(V295/H295,0)*0.02039),"")</f>
        <v/>
      </c>
      <c r="X295" s="57" t="n"/>
      <c r="Y295" s="58" t="n"/>
      <c r="AC295" s="59" t="n"/>
      <c r="AZ295" s="220" t="inlineStr">
        <is>
          <t>КИ</t>
        </is>
      </c>
    </row>
    <row r="296" ht="27" customHeight="1">
      <c r="A296" s="55" t="inlineStr">
        <is>
          <t>SU001989</t>
        </is>
      </c>
      <c r="B296" s="55" t="inlineStr">
        <is>
          <t>P002560</t>
        </is>
      </c>
      <c r="C296" s="32" t="n">
        <v>4301011327</v>
      </c>
      <c r="D296" s="316" t="n">
        <v>4607091384154</v>
      </c>
      <c r="E296" s="317" t="n"/>
      <c r="F296" s="645" t="n">
        <v>0.5</v>
      </c>
      <c r="G296" s="33" t="n">
        <v>10</v>
      </c>
      <c r="H296" s="645" t="n">
        <v>5</v>
      </c>
      <c r="I296" s="645" t="n">
        <v>5.21</v>
      </c>
      <c r="J296" s="33" t="n">
        <v>120</v>
      </c>
      <c r="K296" s="34" t="inlineStr">
        <is>
          <t>СК2</t>
        </is>
      </c>
      <c r="L296" s="33" t="n">
        <v>60</v>
      </c>
      <c r="M296" s="338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96" s="319" t="n"/>
      <c r="O296" s="319" t="n"/>
      <c r="P296" s="319" t="n"/>
      <c r="Q296" s="317" t="n"/>
      <c r="R296" s="35" t="n"/>
      <c r="S296" s="35" t="n"/>
      <c r="T296" s="36" t="inlineStr">
        <is>
          <t>кг</t>
        </is>
      </c>
      <c r="U296" s="646" t="n">
        <v>0</v>
      </c>
      <c r="V296" s="647">
        <f>IFERROR(IF(U296="",0,CEILING((U296/$H296),1)*$H296),"")</f>
        <v/>
      </c>
      <c r="W296" s="37">
        <f>IFERROR(IF(V296=0,"",ROUNDUP(V296/H296,0)*0.00937),"")</f>
        <v/>
      </c>
      <c r="X296" s="57" t="n"/>
      <c r="Y296" s="58" t="n"/>
      <c r="AC296" s="59" t="n"/>
      <c r="AZ296" s="221" t="inlineStr">
        <is>
          <t>КИ</t>
        </is>
      </c>
    </row>
    <row r="297" ht="27" customHeight="1">
      <c r="A297" s="55" t="inlineStr">
        <is>
          <t>SU000256</t>
        </is>
      </c>
      <c r="B297" s="55" t="inlineStr">
        <is>
          <t>P002565</t>
        </is>
      </c>
      <c r="C297" s="32" t="n">
        <v>4301011332</v>
      </c>
      <c r="D297" s="316" t="n">
        <v>4607091384161</v>
      </c>
      <c r="E297" s="317" t="n"/>
      <c r="F297" s="645" t="n">
        <v>0.5</v>
      </c>
      <c r="G297" s="33" t="n">
        <v>10</v>
      </c>
      <c r="H297" s="645" t="n">
        <v>5</v>
      </c>
      <c r="I297" s="645" t="n">
        <v>5.21</v>
      </c>
      <c r="J297" s="33" t="n">
        <v>120</v>
      </c>
      <c r="K297" s="34" t="inlineStr">
        <is>
          <t>СК2</t>
        </is>
      </c>
      <c r="L297" s="33" t="n">
        <v>60</v>
      </c>
      <c r="M297" s="580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7" s="319" t="n"/>
      <c r="O297" s="319" t="n"/>
      <c r="P297" s="319" t="n"/>
      <c r="Q297" s="317" t="n"/>
      <c r="R297" s="35" t="n"/>
      <c r="S297" s="35" t="n"/>
      <c r="T297" s="36" t="inlineStr">
        <is>
          <t>кг</t>
        </is>
      </c>
      <c r="U297" s="646" t="n">
        <v>0</v>
      </c>
      <c r="V297" s="647">
        <f>IFERROR(IF(U297="",0,CEILING((U297/$H297),1)*$H297),"")</f>
        <v/>
      </c>
      <c r="W297" s="37">
        <f>IFERROR(IF(V297=0,"",ROUNDUP(V297/H297,0)*0.00937),"")</f>
        <v/>
      </c>
      <c r="X297" s="57" t="n"/>
      <c r="Y297" s="58" t="n"/>
      <c r="AC297" s="59" t="n"/>
      <c r="AZ297" s="222" t="inlineStr">
        <is>
          <t>КИ</t>
        </is>
      </c>
    </row>
    <row r="298">
      <c r="A298" s="313" t="n"/>
      <c r="B298" s="314" t="n"/>
      <c r="C298" s="314" t="n"/>
      <c r="D298" s="314" t="n"/>
      <c r="E298" s="314" t="n"/>
      <c r="F298" s="314" t="n"/>
      <c r="G298" s="314" t="n"/>
      <c r="H298" s="314" t="n"/>
      <c r="I298" s="314" t="n"/>
      <c r="J298" s="314" t="n"/>
      <c r="K298" s="314" t="n"/>
      <c r="L298" s="315" t="n"/>
      <c r="M298" s="328" t="inlineStr">
        <is>
          <t>Итого</t>
        </is>
      </c>
      <c r="N298" s="329" t="n"/>
      <c r="O298" s="329" t="n"/>
      <c r="P298" s="329" t="n"/>
      <c r="Q298" s="329" t="n"/>
      <c r="R298" s="329" t="n"/>
      <c r="S298" s="330" t="n"/>
      <c r="T298" s="38" t="inlineStr">
        <is>
          <t>кор</t>
        </is>
      </c>
      <c r="U298" s="648">
        <f>IFERROR(U290/H290,"0")+IFERROR(U291/H291,"0")+IFERROR(U292/H292,"0")+IFERROR(U293/H293,"0")+IFERROR(U294/H294,"0")+IFERROR(U295/H295,"0")+IFERROR(U296/H296,"0")+IFERROR(U297/H297,"0")</f>
        <v/>
      </c>
      <c r="V298" s="648">
        <f>IFERROR(V290/H290,"0")+IFERROR(V291/H291,"0")+IFERROR(V292/H292,"0")+IFERROR(V293/H293,"0")+IFERROR(V294/H294,"0")+IFERROR(V295/H295,"0")+IFERROR(V296/H296,"0")+IFERROR(V297/H297,"0")</f>
        <v/>
      </c>
      <c r="W298" s="648">
        <f>IFERROR(IF(W290="",0,W290),"0")+IFERROR(IF(W291="",0,W291),"0")+IFERROR(IF(W292="",0,W292),"0")+IFERROR(IF(W293="",0,W293),"0")+IFERROR(IF(W294="",0,W294),"0")+IFERROR(IF(W295="",0,W295),"0")+IFERROR(IF(W296="",0,W296),"0")+IFERROR(IF(W297="",0,W297),"0")</f>
        <v/>
      </c>
      <c r="X298" s="649" t="n"/>
      <c r="Y298" s="649" t="n"/>
    </row>
    <row r="299">
      <c r="A299" s="314" t="n"/>
      <c r="B299" s="314" t="n"/>
      <c r="C299" s="314" t="n"/>
      <c r="D299" s="314" t="n"/>
      <c r="E299" s="314" t="n"/>
      <c r="F299" s="314" t="n"/>
      <c r="G299" s="314" t="n"/>
      <c r="H299" s="314" t="n"/>
      <c r="I299" s="314" t="n"/>
      <c r="J299" s="314" t="n"/>
      <c r="K299" s="314" t="n"/>
      <c r="L299" s="315" t="n"/>
      <c r="M299" s="328" t="inlineStr">
        <is>
          <t>Итого</t>
        </is>
      </c>
      <c r="N299" s="329" t="n"/>
      <c r="O299" s="329" t="n"/>
      <c r="P299" s="329" t="n"/>
      <c r="Q299" s="329" t="n"/>
      <c r="R299" s="329" t="n"/>
      <c r="S299" s="330" t="n"/>
      <c r="T299" s="38" t="inlineStr">
        <is>
          <t>кг</t>
        </is>
      </c>
      <c r="U299" s="648">
        <f>IFERROR(SUM(U290:U297),"0")</f>
        <v/>
      </c>
      <c r="V299" s="648">
        <f>IFERROR(SUM(V290:V297),"0")</f>
        <v/>
      </c>
      <c r="W299" s="38" t="n"/>
      <c r="X299" s="649" t="n"/>
      <c r="Y299" s="649" t="n"/>
    </row>
    <row r="300" ht="14.25" customHeight="1">
      <c r="A300" s="326" t="inlineStr">
        <is>
          <t>Ветчины</t>
        </is>
      </c>
      <c r="B300" s="314" t="n"/>
      <c r="C300" s="314" t="n"/>
      <c r="D300" s="314" t="n"/>
      <c r="E300" s="314" t="n"/>
      <c r="F300" s="314" t="n"/>
      <c r="G300" s="314" t="n"/>
      <c r="H300" s="314" t="n"/>
      <c r="I300" s="314" t="n"/>
      <c r="J300" s="314" t="n"/>
      <c r="K300" s="314" t="n"/>
      <c r="L300" s="314" t="n"/>
      <c r="M300" s="314" t="n"/>
      <c r="N300" s="314" t="n"/>
      <c r="O300" s="314" t="n"/>
      <c r="P300" s="314" t="n"/>
      <c r="Q300" s="314" t="n"/>
      <c r="R300" s="314" t="n"/>
      <c r="S300" s="314" t="n"/>
      <c r="T300" s="314" t="n"/>
      <c r="U300" s="314" t="n"/>
      <c r="V300" s="314" t="n"/>
      <c r="W300" s="314" t="n"/>
      <c r="X300" s="326" t="n"/>
      <c r="Y300" s="326" t="n"/>
    </row>
    <row r="301" ht="27" customHeight="1">
      <c r="A301" s="55" t="inlineStr">
        <is>
          <t>SU000126</t>
        </is>
      </c>
      <c r="B301" s="55" t="inlineStr">
        <is>
          <t>P002555</t>
        </is>
      </c>
      <c r="C301" s="32" t="n">
        <v>4301020178</v>
      </c>
      <c r="D301" s="316" t="n">
        <v>4607091383980</v>
      </c>
      <c r="E301" s="317" t="n"/>
      <c r="F301" s="645" t="n">
        <v>2.5</v>
      </c>
      <c r="G301" s="33" t="n">
        <v>6</v>
      </c>
      <c r="H301" s="645" t="n">
        <v>15</v>
      </c>
      <c r="I301" s="645" t="n">
        <v>15.48</v>
      </c>
      <c r="J301" s="33" t="n">
        <v>48</v>
      </c>
      <c r="K301" s="34" t="inlineStr">
        <is>
          <t>СК1</t>
        </is>
      </c>
      <c r="L301" s="33" t="n">
        <v>50</v>
      </c>
      <c r="M301" s="549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301" s="319" t="n"/>
      <c r="O301" s="319" t="n"/>
      <c r="P301" s="319" t="n"/>
      <c r="Q301" s="317" t="n"/>
      <c r="R301" s="35" t="n"/>
      <c r="S301" s="35" t="n"/>
      <c r="T301" s="36" t="inlineStr">
        <is>
          <t>кг</t>
        </is>
      </c>
      <c r="U301" s="646" t="n">
        <v>500</v>
      </c>
      <c r="V301" s="647">
        <f>IFERROR(IF(U301="",0,CEILING((U301/$H301),1)*$H301),"")</f>
        <v/>
      </c>
      <c r="W301" s="37">
        <f>IFERROR(IF(V301=0,"",ROUNDUP(V301/H301,0)*0.02175),"")</f>
        <v/>
      </c>
      <c r="X301" s="57" t="n"/>
      <c r="Y301" s="58" t="n"/>
      <c r="AC301" s="59" t="n"/>
      <c r="AZ301" s="223" t="inlineStr">
        <is>
          <t>КИ</t>
        </is>
      </c>
    </row>
    <row r="302" ht="27" customHeight="1">
      <c r="A302" s="55" t="inlineStr">
        <is>
          <t>SU002027</t>
        </is>
      </c>
      <c r="B302" s="55" t="inlineStr">
        <is>
          <t>P002556</t>
        </is>
      </c>
      <c r="C302" s="32" t="n">
        <v>4301020179</v>
      </c>
      <c r="D302" s="316" t="n">
        <v>4607091384178</v>
      </c>
      <c r="E302" s="317" t="n"/>
      <c r="F302" s="645" t="n">
        <v>0.4</v>
      </c>
      <c r="G302" s="33" t="n">
        <v>10</v>
      </c>
      <c r="H302" s="645" t="n">
        <v>4</v>
      </c>
      <c r="I302" s="645" t="n">
        <v>4.24</v>
      </c>
      <c r="J302" s="33" t="n">
        <v>120</v>
      </c>
      <c r="K302" s="34" t="inlineStr">
        <is>
          <t>СК1</t>
        </is>
      </c>
      <c r="L302" s="33" t="n">
        <v>50</v>
      </c>
      <c r="M302" s="377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302" s="319" t="n"/>
      <c r="O302" s="319" t="n"/>
      <c r="P302" s="319" t="n"/>
      <c r="Q302" s="317" t="n"/>
      <c r="R302" s="35" t="n"/>
      <c r="S302" s="35" t="n"/>
      <c r="T302" s="36" t="inlineStr">
        <is>
          <t>кг</t>
        </is>
      </c>
      <c r="U302" s="646" t="n">
        <v>0</v>
      </c>
      <c r="V302" s="647">
        <f>IFERROR(IF(U302="",0,CEILING((U302/$H302),1)*$H302),"")</f>
        <v/>
      </c>
      <c r="W302" s="37">
        <f>IFERROR(IF(V302=0,"",ROUNDUP(V302/H302,0)*0.00937),"")</f>
        <v/>
      </c>
      <c r="X302" s="57" t="n"/>
      <c r="Y302" s="58" t="n"/>
      <c r="AC302" s="59" t="n"/>
      <c r="AZ302" s="224" t="inlineStr">
        <is>
          <t>КИ</t>
        </is>
      </c>
    </row>
    <row r="303">
      <c r="A303" s="313" t="n"/>
      <c r="B303" s="314" t="n"/>
      <c r="C303" s="314" t="n"/>
      <c r="D303" s="314" t="n"/>
      <c r="E303" s="314" t="n"/>
      <c r="F303" s="314" t="n"/>
      <c r="G303" s="314" t="n"/>
      <c r="H303" s="314" t="n"/>
      <c r="I303" s="314" t="n"/>
      <c r="J303" s="314" t="n"/>
      <c r="K303" s="314" t="n"/>
      <c r="L303" s="315" t="n"/>
      <c r="M303" s="328" t="inlineStr">
        <is>
          <t>Итого</t>
        </is>
      </c>
      <c r="N303" s="329" t="n"/>
      <c r="O303" s="329" t="n"/>
      <c r="P303" s="329" t="n"/>
      <c r="Q303" s="329" t="n"/>
      <c r="R303" s="329" t="n"/>
      <c r="S303" s="330" t="n"/>
      <c r="T303" s="38" t="inlineStr">
        <is>
          <t>кор</t>
        </is>
      </c>
      <c r="U303" s="648">
        <f>IFERROR(U301/H301,"0")+IFERROR(U302/H302,"0")</f>
        <v/>
      </c>
      <c r="V303" s="648">
        <f>IFERROR(V301/H301,"0")+IFERROR(V302/H302,"0")</f>
        <v/>
      </c>
      <c r="W303" s="648">
        <f>IFERROR(IF(W301="",0,W301),"0")+IFERROR(IF(W302="",0,W302),"0")</f>
        <v/>
      </c>
      <c r="X303" s="649" t="n"/>
      <c r="Y303" s="649" t="n"/>
    </row>
    <row r="304">
      <c r="A304" s="314" t="n"/>
      <c r="B304" s="314" t="n"/>
      <c r="C304" s="314" t="n"/>
      <c r="D304" s="314" t="n"/>
      <c r="E304" s="314" t="n"/>
      <c r="F304" s="314" t="n"/>
      <c r="G304" s="314" t="n"/>
      <c r="H304" s="314" t="n"/>
      <c r="I304" s="314" t="n"/>
      <c r="J304" s="314" t="n"/>
      <c r="K304" s="314" t="n"/>
      <c r="L304" s="315" t="n"/>
      <c r="M304" s="328" t="inlineStr">
        <is>
          <t>Итого</t>
        </is>
      </c>
      <c r="N304" s="329" t="n"/>
      <c r="O304" s="329" t="n"/>
      <c r="P304" s="329" t="n"/>
      <c r="Q304" s="329" t="n"/>
      <c r="R304" s="329" t="n"/>
      <c r="S304" s="330" t="n"/>
      <c r="T304" s="38" t="inlineStr">
        <is>
          <t>кг</t>
        </is>
      </c>
      <c r="U304" s="648">
        <f>IFERROR(SUM(U301:U302),"0")</f>
        <v/>
      </c>
      <c r="V304" s="648">
        <f>IFERROR(SUM(V301:V302),"0")</f>
        <v/>
      </c>
      <c r="W304" s="38" t="n"/>
      <c r="X304" s="649" t="n"/>
      <c r="Y304" s="649" t="n"/>
    </row>
    <row r="305" ht="14.25" customHeight="1">
      <c r="A305" s="326" t="inlineStr">
        <is>
          <t>Сосиски</t>
        </is>
      </c>
      <c r="B305" s="314" t="n"/>
      <c r="C305" s="314" t="n"/>
      <c r="D305" s="314" t="n"/>
      <c r="E305" s="314" t="n"/>
      <c r="F305" s="314" t="n"/>
      <c r="G305" s="314" t="n"/>
      <c r="H305" s="314" t="n"/>
      <c r="I305" s="314" t="n"/>
      <c r="J305" s="314" t="n"/>
      <c r="K305" s="314" t="n"/>
      <c r="L305" s="314" t="n"/>
      <c r="M305" s="314" t="n"/>
      <c r="N305" s="314" t="n"/>
      <c r="O305" s="314" t="n"/>
      <c r="P305" s="314" t="n"/>
      <c r="Q305" s="314" t="n"/>
      <c r="R305" s="314" t="n"/>
      <c r="S305" s="314" t="n"/>
      <c r="T305" s="314" t="n"/>
      <c r="U305" s="314" t="n"/>
      <c r="V305" s="314" t="n"/>
      <c r="W305" s="314" t="n"/>
      <c r="X305" s="326" t="n"/>
      <c r="Y305" s="326" t="n"/>
    </row>
    <row r="306" ht="27" customHeight="1">
      <c r="A306" s="55" t="inlineStr">
        <is>
          <t>SU000246</t>
        </is>
      </c>
      <c r="B306" s="55" t="inlineStr">
        <is>
          <t>P002690</t>
        </is>
      </c>
      <c r="C306" s="32" t="n">
        <v>4301051298</v>
      </c>
      <c r="D306" s="316" t="n">
        <v>4607091384260</v>
      </c>
      <c r="E306" s="317" t="n"/>
      <c r="F306" s="645" t="n">
        <v>1.3</v>
      </c>
      <c r="G306" s="33" t="n">
        <v>6</v>
      </c>
      <c r="H306" s="645" t="n">
        <v>7.8</v>
      </c>
      <c r="I306" s="645" t="n">
        <v>8.364000000000001</v>
      </c>
      <c r="J306" s="33" t="n">
        <v>56</v>
      </c>
      <c r="K306" s="34" t="inlineStr">
        <is>
          <t>СК2</t>
        </is>
      </c>
      <c r="L306" s="33" t="n">
        <v>35</v>
      </c>
      <c r="M306" s="620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306" s="319" t="n"/>
      <c r="O306" s="319" t="n"/>
      <c r="P306" s="319" t="n"/>
      <c r="Q306" s="317" t="n"/>
      <c r="R306" s="35" t="n"/>
      <c r="S306" s="35" t="n"/>
      <c r="T306" s="36" t="inlineStr">
        <is>
          <t>кг</t>
        </is>
      </c>
      <c r="U306" s="646" t="n">
        <v>0</v>
      </c>
      <c r="V306" s="647">
        <f>IFERROR(IF(U306="",0,CEILING((U306/$H306),1)*$H306),"")</f>
        <v/>
      </c>
      <c r="W306" s="37">
        <f>IFERROR(IF(V306=0,"",ROUNDUP(V306/H306,0)*0.02175),"")</f>
        <v/>
      </c>
      <c r="X306" s="57" t="n"/>
      <c r="Y306" s="58" t="n"/>
      <c r="AC306" s="59" t="n"/>
      <c r="AZ306" s="225" t="inlineStr">
        <is>
          <t>КИ</t>
        </is>
      </c>
    </row>
    <row r="307">
      <c r="A307" s="313" t="n"/>
      <c r="B307" s="314" t="n"/>
      <c r="C307" s="314" t="n"/>
      <c r="D307" s="314" t="n"/>
      <c r="E307" s="314" t="n"/>
      <c r="F307" s="314" t="n"/>
      <c r="G307" s="314" t="n"/>
      <c r="H307" s="314" t="n"/>
      <c r="I307" s="314" t="n"/>
      <c r="J307" s="314" t="n"/>
      <c r="K307" s="314" t="n"/>
      <c r="L307" s="315" t="n"/>
      <c r="M307" s="328" t="inlineStr">
        <is>
          <t>Итого</t>
        </is>
      </c>
      <c r="N307" s="329" t="n"/>
      <c r="O307" s="329" t="n"/>
      <c r="P307" s="329" t="n"/>
      <c r="Q307" s="329" t="n"/>
      <c r="R307" s="329" t="n"/>
      <c r="S307" s="330" t="n"/>
      <c r="T307" s="38" t="inlineStr">
        <is>
          <t>кор</t>
        </is>
      </c>
      <c r="U307" s="648">
        <f>IFERROR(U306/H306,"0")</f>
        <v/>
      </c>
      <c r="V307" s="648">
        <f>IFERROR(V306/H306,"0")</f>
        <v/>
      </c>
      <c r="W307" s="648">
        <f>IFERROR(IF(W306="",0,W306),"0")</f>
        <v/>
      </c>
      <c r="X307" s="649" t="n"/>
      <c r="Y307" s="649" t="n"/>
    </row>
    <row r="308">
      <c r="A308" s="314" t="n"/>
      <c r="B308" s="314" t="n"/>
      <c r="C308" s="314" t="n"/>
      <c r="D308" s="314" t="n"/>
      <c r="E308" s="314" t="n"/>
      <c r="F308" s="314" t="n"/>
      <c r="G308" s="314" t="n"/>
      <c r="H308" s="314" t="n"/>
      <c r="I308" s="314" t="n"/>
      <c r="J308" s="314" t="n"/>
      <c r="K308" s="314" t="n"/>
      <c r="L308" s="315" t="n"/>
      <c r="M308" s="328" t="inlineStr">
        <is>
          <t>Итого</t>
        </is>
      </c>
      <c r="N308" s="329" t="n"/>
      <c r="O308" s="329" t="n"/>
      <c r="P308" s="329" t="n"/>
      <c r="Q308" s="329" t="n"/>
      <c r="R308" s="329" t="n"/>
      <c r="S308" s="330" t="n"/>
      <c r="T308" s="38" t="inlineStr">
        <is>
          <t>кг</t>
        </is>
      </c>
      <c r="U308" s="648">
        <f>IFERROR(SUM(U306:U306),"0")</f>
        <v/>
      </c>
      <c r="V308" s="648">
        <f>IFERROR(SUM(V306:V306),"0")</f>
        <v/>
      </c>
      <c r="W308" s="38" t="n"/>
      <c r="X308" s="649" t="n"/>
      <c r="Y308" s="649" t="n"/>
    </row>
    <row r="309" ht="14.25" customHeight="1">
      <c r="A309" s="326" t="inlineStr">
        <is>
          <t>Сардельки</t>
        </is>
      </c>
      <c r="B309" s="314" t="n"/>
      <c r="C309" s="314" t="n"/>
      <c r="D309" s="314" t="n"/>
      <c r="E309" s="314" t="n"/>
      <c r="F309" s="314" t="n"/>
      <c r="G309" s="314" t="n"/>
      <c r="H309" s="314" t="n"/>
      <c r="I309" s="314" t="n"/>
      <c r="J309" s="314" t="n"/>
      <c r="K309" s="314" t="n"/>
      <c r="L309" s="314" t="n"/>
      <c r="M309" s="314" t="n"/>
      <c r="N309" s="314" t="n"/>
      <c r="O309" s="314" t="n"/>
      <c r="P309" s="314" t="n"/>
      <c r="Q309" s="314" t="n"/>
      <c r="R309" s="314" t="n"/>
      <c r="S309" s="314" t="n"/>
      <c r="T309" s="314" t="n"/>
      <c r="U309" s="314" t="n"/>
      <c r="V309" s="314" t="n"/>
      <c r="W309" s="314" t="n"/>
      <c r="X309" s="326" t="n"/>
      <c r="Y309" s="326" t="n"/>
    </row>
    <row r="310" ht="16.5" customHeight="1">
      <c r="A310" s="55" t="inlineStr">
        <is>
          <t>SU002287</t>
        </is>
      </c>
      <c r="B310" s="55" t="inlineStr">
        <is>
          <t>P002490</t>
        </is>
      </c>
      <c r="C310" s="32" t="n">
        <v>4301060314</v>
      </c>
      <c r="D310" s="316" t="n">
        <v>4607091384673</v>
      </c>
      <c r="E310" s="317" t="n"/>
      <c r="F310" s="645" t="n">
        <v>1.3</v>
      </c>
      <c r="G310" s="33" t="n">
        <v>6</v>
      </c>
      <c r="H310" s="645" t="n">
        <v>7.8</v>
      </c>
      <c r="I310" s="645" t="n">
        <v>8.364000000000001</v>
      </c>
      <c r="J310" s="33" t="n">
        <v>56</v>
      </c>
      <c r="K310" s="34" t="inlineStr">
        <is>
          <t>СК2</t>
        </is>
      </c>
      <c r="L310" s="33" t="n">
        <v>30</v>
      </c>
      <c r="M310" s="493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10" s="319" t="n"/>
      <c r="O310" s="319" t="n"/>
      <c r="P310" s="319" t="n"/>
      <c r="Q310" s="317" t="n"/>
      <c r="R310" s="35" t="n"/>
      <c r="S310" s="35" t="n"/>
      <c r="T310" s="36" t="inlineStr">
        <is>
          <t>кг</t>
        </is>
      </c>
      <c r="U310" s="646" t="n">
        <v>0</v>
      </c>
      <c r="V310" s="647">
        <f>IFERROR(IF(U310="",0,CEILING((U310/$H310),1)*$H310),"")</f>
        <v/>
      </c>
      <c r="W310" s="37">
        <f>IFERROR(IF(V310=0,"",ROUNDUP(V310/H310,0)*0.02175),"")</f>
        <v/>
      </c>
      <c r="X310" s="57" t="n"/>
      <c r="Y310" s="58" t="n"/>
      <c r="AC310" s="59" t="n"/>
      <c r="AZ310" s="226" t="inlineStr">
        <is>
          <t>КИ</t>
        </is>
      </c>
    </row>
    <row r="311">
      <c r="A311" s="313" t="n"/>
      <c r="B311" s="314" t="n"/>
      <c r="C311" s="314" t="n"/>
      <c r="D311" s="314" t="n"/>
      <c r="E311" s="314" t="n"/>
      <c r="F311" s="314" t="n"/>
      <c r="G311" s="314" t="n"/>
      <c r="H311" s="314" t="n"/>
      <c r="I311" s="314" t="n"/>
      <c r="J311" s="314" t="n"/>
      <c r="K311" s="314" t="n"/>
      <c r="L311" s="315" t="n"/>
      <c r="M311" s="328" t="inlineStr">
        <is>
          <t>Итого</t>
        </is>
      </c>
      <c r="N311" s="329" t="n"/>
      <c r="O311" s="329" t="n"/>
      <c r="P311" s="329" t="n"/>
      <c r="Q311" s="329" t="n"/>
      <c r="R311" s="329" t="n"/>
      <c r="S311" s="330" t="n"/>
      <c r="T311" s="38" t="inlineStr">
        <is>
          <t>кор</t>
        </is>
      </c>
      <c r="U311" s="648">
        <f>IFERROR(U310/H310,"0")</f>
        <v/>
      </c>
      <c r="V311" s="648">
        <f>IFERROR(V310/H310,"0")</f>
        <v/>
      </c>
      <c r="W311" s="648">
        <f>IFERROR(IF(W310="",0,W310),"0")</f>
        <v/>
      </c>
      <c r="X311" s="649" t="n"/>
      <c r="Y311" s="649" t="n"/>
    </row>
    <row r="312">
      <c r="A312" s="314" t="n"/>
      <c r="B312" s="314" t="n"/>
      <c r="C312" s="314" t="n"/>
      <c r="D312" s="314" t="n"/>
      <c r="E312" s="314" t="n"/>
      <c r="F312" s="314" t="n"/>
      <c r="G312" s="314" t="n"/>
      <c r="H312" s="314" t="n"/>
      <c r="I312" s="314" t="n"/>
      <c r="J312" s="314" t="n"/>
      <c r="K312" s="314" t="n"/>
      <c r="L312" s="315" t="n"/>
      <c r="M312" s="328" t="inlineStr">
        <is>
          <t>Итого</t>
        </is>
      </c>
      <c r="N312" s="329" t="n"/>
      <c r="O312" s="329" t="n"/>
      <c r="P312" s="329" t="n"/>
      <c r="Q312" s="329" t="n"/>
      <c r="R312" s="329" t="n"/>
      <c r="S312" s="330" t="n"/>
      <c r="T312" s="38" t="inlineStr">
        <is>
          <t>кг</t>
        </is>
      </c>
      <c r="U312" s="648">
        <f>IFERROR(SUM(U310:U310),"0")</f>
        <v/>
      </c>
      <c r="V312" s="648">
        <f>IFERROR(SUM(V310:V310),"0")</f>
        <v/>
      </c>
      <c r="W312" s="38" t="n"/>
      <c r="X312" s="649" t="n"/>
      <c r="Y312" s="649" t="n"/>
    </row>
    <row r="313" ht="16.5" customHeight="1">
      <c r="A313" s="337" t="inlineStr">
        <is>
          <t>Особая Без свинины</t>
        </is>
      </c>
      <c r="B313" s="314" t="n"/>
      <c r="C313" s="314" t="n"/>
      <c r="D313" s="314" t="n"/>
      <c r="E313" s="314" t="n"/>
      <c r="F313" s="314" t="n"/>
      <c r="G313" s="314" t="n"/>
      <c r="H313" s="314" t="n"/>
      <c r="I313" s="314" t="n"/>
      <c r="J313" s="314" t="n"/>
      <c r="K313" s="314" t="n"/>
      <c r="L313" s="314" t="n"/>
      <c r="M313" s="314" t="n"/>
      <c r="N313" s="314" t="n"/>
      <c r="O313" s="314" t="n"/>
      <c r="P313" s="314" t="n"/>
      <c r="Q313" s="314" t="n"/>
      <c r="R313" s="314" t="n"/>
      <c r="S313" s="314" t="n"/>
      <c r="T313" s="314" t="n"/>
      <c r="U313" s="314" t="n"/>
      <c r="V313" s="314" t="n"/>
      <c r="W313" s="314" t="n"/>
      <c r="X313" s="337" t="n"/>
      <c r="Y313" s="337" t="n"/>
    </row>
    <row r="314" ht="14.25" customHeight="1">
      <c r="A314" s="326" t="inlineStr">
        <is>
          <t>Вареные колбасы</t>
        </is>
      </c>
      <c r="B314" s="314" t="n"/>
      <c r="C314" s="314" t="n"/>
      <c r="D314" s="314" t="n"/>
      <c r="E314" s="314" t="n"/>
      <c r="F314" s="314" t="n"/>
      <c r="G314" s="314" t="n"/>
      <c r="H314" s="314" t="n"/>
      <c r="I314" s="314" t="n"/>
      <c r="J314" s="314" t="n"/>
      <c r="K314" s="314" t="n"/>
      <c r="L314" s="314" t="n"/>
      <c r="M314" s="314" t="n"/>
      <c r="N314" s="314" t="n"/>
      <c r="O314" s="314" t="n"/>
      <c r="P314" s="314" t="n"/>
      <c r="Q314" s="314" t="n"/>
      <c r="R314" s="314" t="n"/>
      <c r="S314" s="314" t="n"/>
      <c r="T314" s="314" t="n"/>
      <c r="U314" s="314" t="n"/>
      <c r="V314" s="314" t="n"/>
      <c r="W314" s="314" t="n"/>
      <c r="X314" s="326" t="n"/>
      <c r="Y314" s="326" t="n"/>
    </row>
    <row r="315" ht="27" customHeight="1">
      <c r="A315" s="55" t="inlineStr">
        <is>
          <t>SU002073</t>
        </is>
      </c>
      <c r="B315" s="55" t="inlineStr">
        <is>
          <t>P002563</t>
        </is>
      </c>
      <c r="C315" s="32" t="n">
        <v>4301011324</v>
      </c>
      <c r="D315" s="316" t="n">
        <v>4607091384185</v>
      </c>
      <c r="E315" s="317" t="n"/>
      <c r="F315" s="645" t="n">
        <v>0.8</v>
      </c>
      <c r="G315" s="33" t="n">
        <v>15</v>
      </c>
      <c r="H315" s="645" t="n">
        <v>12</v>
      </c>
      <c r="I315" s="645" t="n">
        <v>12.48</v>
      </c>
      <c r="J315" s="33" t="n">
        <v>56</v>
      </c>
      <c r="K315" s="34" t="inlineStr">
        <is>
          <t>СК2</t>
        </is>
      </c>
      <c r="L315" s="33" t="n">
        <v>60</v>
      </c>
      <c r="M315" s="489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15" s="319" t="n"/>
      <c r="O315" s="319" t="n"/>
      <c r="P315" s="319" t="n"/>
      <c r="Q315" s="317" t="n"/>
      <c r="R315" s="35" t="n"/>
      <c r="S315" s="35" t="n"/>
      <c r="T315" s="36" t="inlineStr">
        <is>
          <t>кг</t>
        </is>
      </c>
      <c r="U315" s="646" t="n">
        <v>0</v>
      </c>
      <c r="V315" s="647">
        <f>IFERROR(IF(U315="",0,CEILING((U315/$H315),1)*$H315),"")</f>
        <v/>
      </c>
      <c r="W315" s="37">
        <f>IFERROR(IF(V315=0,"",ROUNDUP(V315/H315,0)*0.02175),"")</f>
        <v/>
      </c>
      <c r="X315" s="57" t="n"/>
      <c r="Y315" s="58" t="n"/>
      <c r="AC315" s="59" t="n"/>
      <c r="AZ315" s="227" t="inlineStr">
        <is>
          <t>КИ</t>
        </is>
      </c>
    </row>
    <row r="316" ht="27" customHeight="1">
      <c r="A316" s="55" t="inlineStr">
        <is>
          <t>SU002187</t>
        </is>
      </c>
      <c r="B316" s="55" t="inlineStr">
        <is>
          <t>P002559</t>
        </is>
      </c>
      <c r="C316" s="32" t="n">
        <v>4301011312</v>
      </c>
      <c r="D316" s="316" t="n">
        <v>4607091384192</v>
      </c>
      <c r="E316" s="317" t="n"/>
      <c r="F316" s="645" t="n">
        <v>1.8</v>
      </c>
      <c r="G316" s="33" t="n">
        <v>6</v>
      </c>
      <c r="H316" s="645" t="n">
        <v>10.8</v>
      </c>
      <c r="I316" s="645" t="n">
        <v>11.28</v>
      </c>
      <c r="J316" s="33" t="n">
        <v>56</v>
      </c>
      <c r="K316" s="34" t="inlineStr">
        <is>
          <t>СК1</t>
        </is>
      </c>
      <c r="L316" s="33" t="n">
        <v>60</v>
      </c>
      <c r="M316" s="509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16" s="319" t="n"/>
      <c r="O316" s="319" t="n"/>
      <c r="P316" s="319" t="n"/>
      <c r="Q316" s="317" t="n"/>
      <c r="R316" s="35" t="n"/>
      <c r="S316" s="35" t="n"/>
      <c r="T316" s="36" t="inlineStr">
        <is>
          <t>кг</t>
        </is>
      </c>
      <c r="U316" s="646" t="n">
        <v>0</v>
      </c>
      <c r="V316" s="647">
        <f>IFERROR(IF(U316="",0,CEILING((U316/$H316),1)*$H316),"")</f>
        <v/>
      </c>
      <c r="W316" s="37">
        <f>IFERROR(IF(V316=0,"",ROUNDUP(V316/H316,0)*0.02175),"")</f>
        <v/>
      </c>
      <c r="X316" s="57" t="n"/>
      <c r="Y316" s="58" t="n"/>
      <c r="AC316" s="59" t="n"/>
      <c r="AZ316" s="228" t="inlineStr">
        <is>
          <t>КИ</t>
        </is>
      </c>
    </row>
    <row r="317" ht="27" customHeight="1">
      <c r="A317" s="55" t="inlineStr">
        <is>
          <t>SU002899</t>
        </is>
      </c>
      <c r="B317" s="55" t="inlineStr">
        <is>
          <t>P003323</t>
        </is>
      </c>
      <c r="C317" s="32" t="n">
        <v>4301011483</v>
      </c>
      <c r="D317" s="316" t="n">
        <v>4680115881907</v>
      </c>
      <c r="E317" s="317" t="n"/>
      <c r="F317" s="645" t="n">
        <v>1.8</v>
      </c>
      <c r="G317" s="33" t="n">
        <v>6</v>
      </c>
      <c r="H317" s="645" t="n">
        <v>10.8</v>
      </c>
      <c r="I317" s="645" t="n">
        <v>11.28</v>
      </c>
      <c r="J317" s="33" t="n">
        <v>56</v>
      </c>
      <c r="K317" s="34" t="inlineStr">
        <is>
          <t>СК2</t>
        </is>
      </c>
      <c r="L317" s="33" t="n">
        <v>60</v>
      </c>
      <c r="M317" s="402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7" s="319" t="n"/>
      <c r="O317" s="319" t="n"/>
      <c r="P317" s="319" t="n"/>
      <c r="Q317" s="317" t="n"/>
      <c r="R317" s="35" t="n"/>
      <c r="S317" s="35" t="n"/>
      <c r="T317" s="36" t="inlineStr">
        <is>
          <t>кг</t>
        </is>
      </c>
      <c r="U317" s="646" t="n">
        <v>0</v>
      </c>
      <c r="V317" s="647">
        <f>IFERROR(IF(U317="",0,CEILING((U317/$H317),1)*$H317),"")</f>
        <v/>
      </c>
      <c r="W317" s="37">
        <f>IFERROR(IF(V317=0,"",ROUNDUP(V317/H317,0)*0.02175),"")</f>
        <v/>
      </c>
      <c r="X317" s="57" t="n"/>
      <c r="Y317" s="58" t="n"/>
      <c r="AC317" s="59" t="n"/>
      <c r="AZ317" s="229" t="inlineStr">
        <is>
          <t>КИ</t>
        </is>
      </c>
    </row>
    <row r="318" ht="27" customHeight="1">
      <c r="A318" s="55" t="inlineStr">
        <is>
          <t>SU002462</t>
        </is>
      </c>
      <c r="B318" s="55" t="inlineStr">
        <is>
          <t>P002768</t>
        </is>
      </c>
      <c r="C318" s="32" t="n">
        <v>4301011303</v>
      </c>
      <c r="D318" s="316" t="n">
        <v>4607091384680</v>
      </c>
      <c r="E318" s="317" t="n"/>
      <c r="F318" s="645" t="n">
        <v>0.4</v>
      </c>
      <c r="G318" s="33" t="n">
        <v>10</v>
      </c>
      <c r="H318" s="645" t="n">
        <v>4</v>
      </c>
      <c r="I318" s="645" t="n">
        <v>4.21</v>
      </c>
      <c r="J318" s="33" t="n">
        <v>120</v>
      </c>
      <c r="K318" s="34" t="inlineStr">
        <is>
          <t>СК2</t>
        </is>
      </c>
      <c r="L318" s="33" t="n">
        <v>60</v>
      </c>
      <c r="M318" s="415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18" s="319" t="n"/>
      <c r="O318" s="319" t="n"/>
      <c r="P318" s="319" t="n"/>
      <c r="Q318" s="317" t="n"/>
      <c r="R318" s="35" t="n"/>
      <c r="S318" s="35" t="n"/>
      <c r="T318" s="36" t="inlineStr">
        <is>
          <t>кг</t>
        </is>
      </c>
      <c r="U318" s="646" t="n">
        <v>0</v>
      </c>
      <c r="V318" s="647">
        <f>IFERROR(IF(U318="",0,CEILING((U318/$H318),1)*$H318),"")</f>
        <v/>
      </c>
      <c r="W318" s="37">
        <f>IFERROR(IF(V318=0,"",ROUNDUP(V318/H318,0)*0.00937),"")</f>
        <v/>
      </c>
      <c r="X318" s="57" t="n"/>
      <c r="Y318" s="58" t="n"/>
      <c r="AC318" s="59" t="n"/>
      <c r="AZ318" s="230" t="inlineStr">
        <is>
          <t>КИ</t>
        </is>
      </c>
    </row>
    <row r="319">
      <c r="A319" s="313" t="n"/>
      <c r="B319" s="314" t="n"/>
      <c r="C319" s="314" t="n"/>
      <c r="D319" s="314" t="n"/>
      <c r="E319" s="314" t="n"/>
      <c r="F319" s="314" t="n"/>
      <c r="G319" s="314" t="n"/>
      <c r="H319" s="314" t="n"/>
      <c r="I319" s="314" t="n"/>
      <c r="J319" s="314" t="n"/>
      <c r="K319" s="314" t="n"/>
      <c r="L319" s="315" t="n"/>
      <c r="M319" s="328" t="inlineStr">
        <is>
          <t>Итого</t>
        </is>
      </c>
      <c r="N319" s="329" t="n"/>
      <c r="O319" s="329" t="n"/>
      <c r="P319" s="329" t="n"/>
      <c r="Q319" s="329" t="n"/>
      <c r="R319" s="329" t="n"/>
      <c r="S319" s="330" t="n"/>
      <c r="T319" s="38" t="inlineStr">
        <is>
          <t>кор</t>
        </is>
      </c>
      <c r="U319" s="648">
        <f>IFERROR(U315/H315,"0")+IFERROR(U316/H316,"0")+IFERROR(U317/H317,"0")+IFERROR(U318/H318,"0")</f>
        <v/>
      </c>
      <c r="V319" s="648">
        <f>IFERROR(V315/H315,"0")+IFERROR(V316/H316,"0")+IFERROR(V317/H317,"0")+IFERROR(V318/H318,"0")</f>
        <v/>
      </c>
      <c r="W319" s="648">
        <f>IFERROR(IF(W315="",0,W315),"0")+IFERROR(IF(W316="",0,W316),"0")+IFERROR(IF(W317="",0,W317),"0")+IFERROR(IF(W318="",0,W318),"0")</f>
        <v/>
      </c>
      <c r="X319" s="649" t="n"/>
      <c r="Y319" s="649" t="n"/>
    </row>
    <row r="320">
      <c r="A320" s="314" t="n"/>
      <c r="B320" s="314" t="n"/>
      <c r="C320" s="314" t="n"/>
      <c r="D320" s="314" t="n"/>
      <c r="E320" s="314" t="n"/>
      <c r="F320" s="314" t="n"/>
      <c r="G320" s="314" t="n"/>
      <c r="H320" s="314" t="n"/>
      <c r="I320" s="314" t="n"/>
      <c r="J320" s="314" t="n"/>
      <c r="K320" s="314" t="n"/>
      <c r="L320" s="315" t="n"/>
      <c r="M320" s="328" t="inlineStr">
        <is>
          <t>Итого</t>
        </is>
      </c>
      <c r="N320" s="329" t="n"/>
      <c r="O320" s="329" t="n"/>
      <c r="P320" s="329" t="n"/>
      <c r="Q320" s="329" t="n"/>
      <c r="R320" s="329" t="n"/>
      <c r="S320" s="330" t="n"/>
      <c r="T320" s="38" t="inlineStr">
        <is>
          <t>кг</t>
        </is>
      </c>
      <c r="U320" s="648">
        <f>IFERROR(SUM(U315:U318),"0")</f>
        <v/>
      </c>
      <c r="V320" s="648">
        <f>IFERROR(SUM(V315:V318),"0")</f>
        <v/>
      </c>
      <c r="W320" s="38" t="n"/>
      <c r="X320" s="649" t="n"/>
      <c r="Y320" s="649" t="n"/>
    </row>
    <row r="321" ht="14.25" customHeight="1">
      <c r="A321" s="326" t="inlineStr">
        <is>
          <t>Копченые колбасы</t>
        </is>
      </c>
      <c r="B321" s="314" t="n"/>
      <c r="C321" s="314" t="n"/>
      <c r="D321" s="314" t="n"/>
      <c r="E321" s="314" t="n"/>
      <c r="F321" s="314" t="n"/>
      <c r="G321" s="314" t="n"/>
      <c r="H321" s="314" t="n"/>
      <c r="I321" s="314" t="n"/>
      <c r="J321" s="314" t="n"/>
      <c r="K321" s="314" t="n"/>
      <c r="L321" s="314" t="n"/>
      <c r="M321" s="314" t="n"/>
      <c r="N321" s="314" t="n"/>
      <c r="O321" s="314" t="n"/>
      <c r="P321" s="314" t="n"/>
      <c r="Q321" s="314" t="n"/>
      <c r="R321" s="314" t="n"/>
      <c r="S321" s="314" t="n"/>
      <c r="T321" s="314" t="n"/>
      <c r="U321" s="314" t="n"/>
      <c r="V321" s="314" t="n"/>
      <c r="W321" s="314" t="n"/>
      <c r="X321" s="326" t="n"/>
      <c r="Y321" s="326" t="n"/>
    </row>
    <row r="322" ht="27" customHeight="1">
      <c r="A322" s="55" t="inlineStr">
        <is>
          <t>SU002360</t>
        </is>
      </c>
      <c r="B322" s="55" t="inlineStr">
        <is>
          <t>P002629</t>
        </is>
      </c>
      <c r="C322" s="32" t="n">
        <v>4301031139</v>
      </c>
      <c r="D322" s="316" t="n">
        <v>4607091384802</v>
      </c>
      <c r="E322" s="317" t="n"/>
      <c r="F322" s="645" t="n">
        <v>0.73</v>
      </c>
      <c r="G322" s="33" t="n">
        <v>6</v>
      </c>
      <c r="H322" s="645" t="n">
        <v>4.38</v>
      </c>
      <c r="I322" s="645" t="n">
        <v>4.58</v>
      </c>
      <c r="J322" s="33" t="n">
        <v>156</v>
      </c>
      <c r="K322" s="34" t="inlineStr">
        <is>
          <t>СК2</t>
        </is>
      </c>
      <c r="L322" s="33" t="n">
        <v>35</v>
      </c>
      <c r="M322" s="583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22" s="319" t="n"/>
      <c r="O322" s="319" t="n"/>
      <c r="P322" s="319" t="n"/>
      <c r="Q322" s="317" t="n"/>
      <c r="R322" s="35" t="n"/>
      <c r="S322" s="35" t="n"/>
      <c r="T322" s="36" t="inlineStr">
        <is>
          <t>кг</t>
        </is>
      </c>
      <c r="U322" s="646" t="n">
        <v>0</v>
      </c>
      <c r="V322" s="647">
        <f>IFERROR(IF(U322="",0,CEILING((U322/$H322),1)*$H322),"")</f>
        <v/>
      </c>
      <c r="W322" s="37">
        <f>IFERROR(IF(V322=0,"",ROUNDUP(V322/H322,0)*0.00753),"")</f>
        <v/>
      </c>
      <c r="X322" s="57" t="n"/>
      <c r="Y322" s="58" t="n"/>
      <c r="AC322" s="59" t="n"/>
      <c r="AZ322" s="231" t="inlineStr">
        <is>
          <t>КИ</t>
        </is>
      </c>
    </row>
    <row r="323" ht="27" customHeight="1">
      <c r="A323" s="55" t="inlineStr">
        <is>
          <t>SU002361</t>
        </is>
      </c>
      <c r="B323" s="55" t="inlineStr">
        <is>
          <t>P002630</t>
        </is>
      </c>
      <c r="C323" s="32" t="n">
        <v>4301031140</v>
      </c>
      <c r="D323" s="316" t="n">
        <v>4607091384826</v>
      </c>
      <c r="E323" s="317" t="n"/>
      <c r="F323" s="645" t="n">
        <v>0.35</v>
      </c>
      <c r="G323" s="33" t="n">
        <v>8</v>
      </c>
      <c r="H323" s="645" t="n">
        <v>2.8</v>
      </c>
      <c r="I323" s="645" t="n">
        <v>2.9</v>
      </c>
      <c r="J323" s="33" t="n">
        <v>234</v>
      </c>
      <c r="K323" s="34" t="inlineStr">
        <is>
          <t>СК2</t>
        </is>
      </c>
      <c r="L323" s="33" t="n">
        <v>35</v>
      </c>
      <c r="M323" s="420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23" s="319" t="n"/>
      <c r="O323" s="319" t="n"/>
      <c r="P323" s="319" t="n"/>
      <c r="Q323" s="317" t="n"/>
      <c r="R323" s="35" t="n"/>
      <c r="S323" s="35" t="n"/>
      <c r="T323" s="36" t="inlineStr">
        <is>
          <t>кг</t>
        </is>
      </c>
      <c r="U323" s="646" t="n">
        <v>0</v>
      </c>
      <c r="V323" s="647">
        <f>IFERROR(IF(U323="",0,CEILING((U323/$H323),1)*$H323),"")</f>
        <v/>
      </c>
      <c r="W323" s="37">
        <f>IFERROR(IF(V323=0,"",ROUNDUP(V323/H323,0)*0.00502),"")</f>
        <v/>
      </c>
      <c r="X323" s="57" t="n"/>
      <c r="Y323" s="58" t="n"/>
      <c r="AC323" s="59" t="n"/>
      <c r="AZ323" s="232" t="inlineStr">
        <is>
          <t>КИ</t>
        </is>
      </c>
    </row>
    <row r="324">
      <c r="A324" s="313" t="n"/>
      <c r="B324" s="314" t="n"/>
      <c r="C324" s="314" t="n"/>
      <c r="D324" s="314" t="n"/>
      <c r="E324" s="314" t="n"/>
      <c r="F324" s="314" t="n"/>
      <c r="G324" s="314" t="n"/>
      <c r="H324" s="314" t="n"/>
      <c r="I324" s="314" t="n"/>
      <c r="J324" s="314" t="n"/>
      <c r="K324" s="314" t="n"/>
      <c r="L324" s="315" t="n"/>
      <c r="M324" s="328" t="inlineStr">
        <is>
          <t>Итого</t>
        </is>
      </c>
      <c r="N324" s="329" t="n"/>
      <c r="O324" s="329" t="n"/>
      <c r="P324" s="329" t="n"/>
      <c r="Q324" s="329" t="n"/>
      <c r="R324" s="329" t="n"/>
      <c r="S324" s="330" t="n"/>
      <c r="T324" s="38" t="inlineStr">
        <is>
          <t>кор</t>
        </is>
      </c>
      <c r="U324" s="648">
        <f>IFERROR(U322/H322,"0")+IFERROR(U323/H323,"0")</f>
        <v/>
      </c>
      <c r="V324" s="648">
        <f>IFERROR(V322/H322,"0")+IFERROR(V323/H323,"0")</f>
        <v/>
      </c>
      <c r="W324" s="648">
        <f>IFERROR(IF(W322="",0,W322),"0")+IFERROR(IF(W323="",0,W323),"0")</f>
        <v/>
      </c>
      <c r="X324" s="649" t="n"/>
      <c r="Y324" s="649" t="n"/>
    </row>
    <row r="325">
      <c r="A325" s="314" t="n"/>
      <c r="B325" s="314" t="n"/>
      <c r="C325" s="314" t="n"/>
      <c r="D325" s="314" t="n"/>
      <c r="E325" s="314" t="n"/>
      <c r="F325" s="314" t="n"/>
      <c r="G325" s="314" t="n"/>
      <c r="H325" s="314" t="n"/>
      <c r="I325" s="314" t="n"/>
      <c r="J325" s="314" t="n"/>
      <c r="K325" s="314" t="n"/>
      <c r="L325" s="315" t="n"/>
      <c r="M325" s="328" t="inlineStr">
        <is>
          <t>Итого</t>
        </is>
      </c>
      <c r="N325" s="329" t="n"/>
      <c r="O325" s="329" t="n"/>
      <c r="P325" s="329" t="n"/>
      <c r="Q325" s="329" t="n"/>
      <c r="R325" s="329" t="n"/>
      <c r="S325" s="330" t="n"/>
      <c r="T325" s="38" t="inlineStr">
        <is>
          <t>кг</t>
        </is>
      </c>
      <c r="U325" s="648">
        <f>IFERROR(SUM(U322:U323),"0")</f>
        <v/>
      </c>
      <c r="V325" s="648">
        <f>IFERROR(SUM(V322:V323),"0")</f>
        <v/>
      </c>
      <c r="W325" s="38" t="n"/>
      <c r="X325" s="649" t="n"/>
      <c r="Y325" s="649" t="n"/>
    </row>
    <row r="326" ht="14.25" customHeight="1">
      <c r="A326" s="326" t="inlineStr">
        <is>
          <t>Сосиски</t>
        </is>
      </c>
      <c r="B326" s="314" t="n"/>
      <c r="C326" s="314" t="n"/>
      <c r="D326" s="314" t="n"/>
      <c r="E326" s="314" t="n"/>
      <c r="F326" s="314" t="n"/>
      <c r="G326" s="314" t="n"/>
      <c r="H326" s="314" t="n"/>
      <c r="I326" s="314" t="n"/>
      <c r="J326" s="314" t="n"/>
      <c r="K326" s="314" t="n"/>
      <c r="L326" s="314" t="n"/>
      <c r="M326" s="314" t="n"/>
      <c r="N326" s="314" t="n"/>
      <c r="O326" s="314" t="n"/>
      <c r="P326" s="314" t="n"/>
      <c r="Q326" s="314" t="n"/>
      <c r="R326" s="314" t="n"/>
      <c r="S326" s="314" t="n"/>
      <c r="T326" s="314" t="n"/>
      <c r="U326" s="314" t="n"/>
      <c r="V326" s="314" t="n"/>
      <c r="W326" s="314" t="n"/>
      <c r="X326" s="326" t="n"/>
      <c r="Y326" s="326" t="n"/>
    </row>
    <row r="327" ht="27" customHeight="1">
      <c r="A327" s="55" t="inlineStr">
        <is>
          <t>SU002074</t>
        </is>
      </c>
      <c r="B327" s="55" t="inlineStr">
        <is>
          <t>P002693</t>
        </is>
      </c>
      <c r="C327" s="32" t="n">
        <v>4301051303</v>
      </c>
      <c r="D327" s="316" t="n">
        <v>4607091384246</v>
      </c>
      <c r="E327" s="317" t="n"/>
      <c r="F327" s="645" t="n">
        <v>1.3</v>
      </c>
      <c r="G327" s="33" t="n">
        <v>6</v>
      </c>
      <c r="H327" s="645" t="n">
        <v>7.8</v>
      </c>
      <c r="I327" s="645" t="n">
        <v>8.364000000000001</v>
      </c>
      <c r="J327" s="33" t="n">
        <v>56</v>
      </c>
      <c r="K327" s="34" t="inlineStr">
        <is>
          <t>СК2</t>
        </is>
      </c>
      <c r="L327" s="33" t="n">
        <v>40</v>
      </c>
      <c r="M327" s="347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7" s="319" t="n"/>
      <c r="O327" s="319" t="n"/>
      <c r="P327" s="319" t="n"/>
      <c r="Q327" s="317" t="n"/>
      <c r="R327" s="35" t="n"/>
      <c r="S327" s="35" t="n"/>
      <c r="T327" s="36" t="inlineStr">
        <is>
          <t>кг</t>
        </is>
      </c>
      <c r="U327" s="646" t="n">
        <v>1000</v>
      </c>
      <c r="V327" s="647">
        <f>IFERROR(IF(U327="",0,CEILING((U327/$H327),1)*$H327),"")</f>
        <v/>
      </c>
      <c r="W327" s="37">
        <f>IFERROR(IF(V327=0,"",ROUNDUP(V327/H327,0)*0.02175),"")</f>
        <v/>
      </c>
      <c r="X327" s="57" t="n"/>
      <c r="Y327" s="58" t="n"/>
      <c r="AC327" s="59" t="n"/>
      <c r="AZ327" s="233" t="inlineStr">
        <is>
          <t>КИ</t>
        </is>
      </c>
    </row>
    <row r="328" ht="27" customHeight="1">
      <c r="A328" s="55" t="inlineStr">
        <is>
          <t>SU002896</t>
        </is>
      </c>
      <c r="B328" s="55" t="inlineStr">
        <is>
          <t>P003330</t>
        </is>
      </c>
      <c r="C328" s="32" t="n">
        <v>4301051445</v>
      </c>
      <c r="D328" s="316" t="n">
        <v>4680115881976</v>
      </c>
      <c r="E328" s="317" t="n"/>
      <c r="F328" s="645" t="n">
        <v>1.3</v>
      </c>
      <c r="G328" s="33" t="n">
        <v>6</v>
      </c>
      <c r="H328" s="645" t="n">
        <v>7.8</v>
      </c>
      <c r="I328" s="645" t="n">
        <v>8.279999999999999</v>
      </c>
      <c r="J328" s="33" t="n">
        <v>56</v>
      </c>
      <c r="K328" s="34" t="inlineStr">
        <is>
          <t>СК2</t>
        </is>
      </c>
      <c r="L328" s="33" t="n">
        <v>40</v>
      </c>
      <c r="M328" s="387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N328" s="319" t="n"/>
      <c r="O328" s="319" t="n"/>
      <c r="P328" s="319" t="n"/>
      <c r="Q328" s="317" t="n"/>
      <c r="R328" s="35" t="n"/>
      <c r="S328" s="35" t="n"/>
      <c r="T328" s="36" t="inlineStr">
        <is>
          <t>кг</t>
        </is>
      </c>
      <c r="U328" s="646" t="n">
        <v>0</v>
      </c>
      <c r="V328" s="647">
        <f>IFERROR(IF(U328="",0,CEILING((U328/$H328),1)*$H328),"")</f>
        <v/>
      </c>
      <c r="W328" s="37">
        <f>IFERROR(IF(V328=0,"",ROUNDUP(V328/H328,0)*0.02175),"")</f>
        <v/>
      </c>
      <c r="X328" s="57" t="n"/>
      <c r="Y328" s="58" t="n"/>
      <c r="AC328" s="59" t="n"/>
      <c r="AZ328" s="234" t="inlineStr">
        <is>
          <t>КИ</t>
        </is>
      </c>
    </row>
    <row r="329" ht="27" customHeight="1">
      <c r="A329" s="55" t="inlineStr">
        <is>
          <t>SU002205</t>
        </is>
      </c>
      <c r="B329" s="55" t="inlineStr">
        <is>
          <t>P002694</t>
        </is>
      </c>
      <c r="C329" s="32" t="n">
        <v>4301051297</v>
      </c>
      <c r="D329" s="316" t="n">
        <v>4607091384253</v>
      </c>
      <c r="E329" s="317" t="n"/>
      <c r="F329" s="645" t="n">
        <v>0.4</v>
      </c>
      <c r="G329" s="33" t="n">
        <v>6</v>
      </c>
      <c r="H329" s="645" t="n">
        <v>2.4</v>
      </c>
      <c r="I329" s="645" t="n">
        <v>2.684</v>
      </c>
      <c r="J329" s="33" t="n">
        <v>156</v>
      </c>
      <c r="K329" s="34" t="inlineStr">
        <is>
          <t>СК2</t>
        </is>
      </c>
      <c r="L329" s="33" t="n">
        <v>40</v>
      </c>
      <c r="M329" s="487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29" s="319" t="n"/>
      <c r="O329" s="319" t="n"/>
      <c r="P329" s="319" t="n"/>
      <c r="Q329" s="317" t="n"/>
      <c r="R329" s="35" t="n"/>
      <c r="S329" s="35" t="n"/>
      <c r="T329" s="36" t="inlineStr">
        <is>
          <t>кг</t>
        </is>
      </c>
      <c r="U329" s="646" t="n">
        <v>0</v>
      </c>
      <c r="V329" s="647">
        <f>IFERROR(IF(U329="",0,CEILING((U329/$H329),1)*$H329),"")</f>
        <v/>
      </c>
      <c r="W329" s="37">
        <f>IFERROR(IF(V329=0,"",ROUNDUP(V329/H329,0)*0.00753),"")</f>
        <v/>
      </c>
      <c r="X329" s="57" t="n"/>
      <c r="Y329" s="58" t="n"/>
      <c r="AC329" s="59" t="n"/>
      <c r="AZ329" s="235" t="inlineStr">
        <is>
          <t>КИ</t>
        </is>
      </c>
    </row>
    <row r="330" ht="27" customHeight="1">
      <c r="A330" s="55" t="inlineStr">
        <is>
          <t>SU002895</t>
        </is>
      </c>
      <c r="B330" s="55" t="inlineStr">
        <is>
          <t>P003329</t>
        </is>
      </c>
      <c r="C330" s="32" t="n">
        <v>4301051444</v>
      </c>
      <c r="D330" s="316" t="n">
        <v>4680115881969</v>
      </c>
      <c r="E330" s="317" t="n"/>
      <c r="F330" s="645" t="n">
        <v>0.4</v>
      </c>
      <c r="G330" s="33" t="n">
        <v>6</v>
      </c>
      <c r="H330" s="645" t="n">
        <v>2.4</v>
      </c>
      <c r="I330" s="645" t="n">
        <v>2.6</v>
      </c>
      <c r="J330" s="33" t="n">
        <v>156</v>
      </c>
      <c r="K330" s="34" t="inlineStr">
        <is>
          <t>СК2</t>
        </is>
      </c>
      <c r="L330" s="33" t="n">
        <v>40</v>
      </c>
      <c r="M330" s="553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N330" s="319" t="n"/>
      <c r="O330" s="319" t="n"/>
      <c r="P330" s="319" t="n"/>
      <c r="Q330" s="317" t="n"/>
      <c r="R330" s="35" t="n"/>
      <c r="S330" s="35" t="n"/>
      <c r="T330" s="36" t="inlineStr">
        <is>
          <t>кг</t>
        </is>
      </c>
      <c r="U330" s="646" t="n">
        <v>0</v>
      </c>
      <c r="V330" s="647">
        <f>IFERROR(IF(U330="",0,CEILING((U330/$H330),1)*$H330),"")</f>
        <v/>
      </c>
      <c r="W330" s="37">
        <f>IFERROR(IF(V330=0,"",ROUNDUP(V330/H330,0)*0.00753),"")</f>
        <v/>
      </c>
      <c r="X330" s="57" t="n"/>
      <c r="Y330" s="58" t="n"/>
      <c r="AC330" s="59" t="n"/>
      <c r="AZ330" s="236" t="inlineStr">
        <is>
          <t>КИ</t>
        </is>
      </c>
    </row>
    <row r="331">
      <c r="A331" s="313" t="n"/>
      <c r="B331" s="314" t="n"/>
      <c r="C331" s="314" t="n"/>
      <c r="D331" s="314" t="n"/>
      <c r="E331" s="314" t="n"/>
      <c r="F331" s="314" t="n"/>
      <c r="G331" s="314" t="n"/>
      <c r="H331" s="314" t="n"/>
      <c r="I331" s="314" t="n"/>
      <c r="J331" s="314" t="n"/>
      <c r="K331" s="314" t="n"/>
      <c r="L331" s="315" t="n"/>
      <c r="M331" s="328" t="inlineStr">
        <is>
          <t>Итого</t>
        </is>
      </c>
      <c r="N331" s="329" t="n"/>
      <c r="O331" s="329" t="n"/>
      <c r="P331" s="329" t="n"/>
      <c r="Q331" s="329" t="n"/>
      <c r="R331" s="329" t="n"/>
      <c r="S331" s="330" t="n"/>
      <c r="T331" s="38" t="inlineStr">
        <is>
          <t>кор</t>
        </is>
      </c>
      <c r="U331" s="648">
        <f>IFERROR(U327/H327,"0")+IFERROR(U328/H328,"0")+IFERROR(U329/H329,"0")+IFERROR(U330/H330,"0")</f>
        <v/>
      </c>
      <c r="V331" s="648">
        <f>IFERROR(V327/H327,"0")+IFERROR(V328/H328,"0")+IFERROR(V329/H329,"0")+IFERROR(V330/H330,"0")</f>
        <v/>
      </c>
      <c r="W331" s="648">
        <f>IFERROR(IF(W327="",0,W327),"0")+IFERROR(IF(W328="",0,W328),"0")+IFERROR(IF(W329="",0,W329),"0")+IFERROR(IF(W330="",0,W330),"0")</f>
        <v/>
      </c>
      <c r="X331" s="649" t="n"/>
      <c r="Y331" s="649" t="n"/>
    </row>
    <row r="332">
      <c r="A332" s="314" t="n"/>
      <c r="B332" s="314" t="n"/>
      <c r="C332" s="314" t="n"/>
      <c r="D332" s="314" t="n"/>
      <c r="E332" s="314" t="n"/>
      <c r="F332" s="314" t="n"/>
      <c r="G332" s="314" t="n"/>
      <c r="H332" s="314" t="n"/>
      <c r="I332" s="314" t="n"/>
      <c r="J332" s="314" t="n"/>
      <c r="K332" s="314" t="n"/>
      <c r="L332" s="315" t="n"/>
      <c r="M332" s="328" t="inlineStr">
        <is>
          <t>Итого</t>
        </is>
      </c>
      <c r="N332" s="329" t="n"/>
      <c r="O332" s="329" t="n"/>
      <c r="P332" s="329" t="n"/>
      <c r="Q332" s="329" t="n"/>
      <c r="R332" s="329" t="n"/>
      <c r="S332" s="330" t="n"/>
      <c r="T332" s="38" t="inlineStr">
        <is>
          <t>кг</t>
        </is>
      </c>
      <c r="U332" s="648">
        <f>IFERROR(SUM(U327:U330),"0")</f>
        <v/>
      </c>
      <c r="V332" s="648">
        <f>IFERROR(SUM(V327:V330),"0")</f>
        <v/>
      </c>
      <c r="W332" s="38" t="n"/>
      <c r="X332" s="649" t="n"/>
      <c r="Y332" s="649" t="n"/>
    </row>
    <row r="333" ht="14.25" customHeight="1">
      <c r="A333" s="326" t="inlineStr">
        <is>
          <t>Сардельки</t>
        </is>
      </c>
      <c r="B333" s="314" t="n"/>
      <c r="C333" s="314" t="n"/>
      <c r="D333" s="314" t="n"/>
      <c r="E333" s="314" t="n"/>
      <c r="F333" s="314" t="n"/>
      <c r="G333" s="314" t="n"/>
      <c r="H333" s="314" t="n"/>
      <c r="I333" s="314" t="n"/>
      <c r="J333" s="314" t="n"/>
      <c r="K333" s="314" t="n"/>
      <c r="L333" s="314" t="n"/>
      <c r="M333" s="314" t="n"/>
      <c r="N333" s="314" t="n"/>
      <c r="O333" s="314" t="n"/>
      <c r="P333" s="314" t="n"/>
      <c r="Q333" s="314" t="n"/>
      <c r="R333" s="314" t="n"/>
      <c r="S333" s="314" t="n"/>
      <c r="T333" s="314" t="n"/>
      <c r="U333" s="314" t="n"/>
      <c r="V333" s="314" t="n"/>
      <c r="W333" s="314" t="n"/>
      <c r="X333" s="326" t="n"/>
      <c r="Y333" s="326" t="n"/>
    </row>
    <row r="334" ht="27" customHeight="1">
      <c r="A334" s="55" t="inlineStr">
        <is>
          <t>SU002472</t>
        </is>
      </c>
      <c r="B334" s="55" t="inlineStr">
        <is>
          <t>P002973</t>
        </is>
      </c>
      <c r="C334" s="32" t="n">
        <v>4301060322</v>
      </c>
      <c r="D334" s="316" t="n">
        <v>4607091389357</v>
      </c>
      <c r="E334" s="317" t="n"/>
      <c r="F334" s="645" t="n">
        <v>1.3</v>
      </c>
      <c r="G334" s="33" t="n">
        <v>6</v>
      </c>
      <c r="H334" s="645" t="n">
        <v>7.8</v>
      </c>
      <c r="I334" s="645" t="n">
        <v>8.279999999999999</v>
      </c>
      <c r="J334" s="33" t="n">
        <v>56</v>
      </c>
      <c r="K334" s="34" t="inlineStr">
        <is>
          <t>СК2</t>
        </is>
      </c>
      <c r="L334" s="33" t="n">
        <v>40</v>
      </c>
      <c r="M334" s="332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34" s="319" t="n"/>
      <c r="O334" s="319" t="n"/>
      <c r="P334" s="319" t="n"/>
      <c r="Q334" s="317" t="n"/>
      <c r="R334" s="35" t="n"/>
      <c r="S334" s="35" t="n"/>
      <c r="T334" s="36" t="inlineStr">
        <is>
          <t>кг</t>
        </is>
      </c>
      <c r="U334" s="646" t="n">
        <v>0</v>
      </c>
      <c r="V334" s="647">
        <f>IFERROR(IF(U334="",0,CEILING((U334/$H334),1)*$H334),"")</f>
        <v/>
      </c>
      <c r="W334" s="37">
        <f>IFERROR(IF(V334=0,"",ROUNDUP(V334/H334,0)*0.02175),"")</f>
        <v/>
      </c>
      <c r="X334" s="57" t="n"/>
      <c r="Y334" s="58" t="n"/>
      <c r="AC334" s="59" t="n"/>
      <c r="AZ334" s="237" t="inlineStr">
        <is>
          <t>КИ</t>
        </is>
      </c>
    </row>
    <row r="335">
      <c r="A335" s="313" t="n"/>
      <c r="B335" s="314" t="n"/>
      <c r="C335" s="314" t="n"/>
      <c r="D335" s="314" t="n"/>
      <c r="E335" s="314" t="n"/>
      <c r="F335" s="314" t="n"/>
      <c r="G335" s="314" t="n"/>
      <c r="H335" s="314" t="n"/>
      <c r="I335" s="314" t="n"/>
      <c r="J335" s="314" t="n"/>
      <c r="K335" s="314" t="n"/>
      <c r="L335" s="315" t="n"/>
      <c r="M335" s="328" t="inlineStr">
        <is>
          <t>Итого</t>
        </is>
      </c>
      <c r="N335" s="329" t="n"/>
      <c r="O335" s="329" t="n"/>
      <c r="P335" s="329" t="n"/>
      <c r="Q335" s="329" t="n"/>
      <c r="R335" s="329" t="n"/>
      <c r="S335" s="330" t="n"/>
      <c r="T335" s="38" t="inlineStr">
        <is>
          <t>кор</t>
        </is>
      </c>
      <c r="U335" s="648">
        <f>IFERROR(U334/H334,"0")</f>
        <v/>
      </c>
      <c r="V335" s="648">
        <f>IFERROR(V334/H334,"0")</f>
        <v/>
      </c>
      <c r="W335" s="648">
        <f>IFERROR(IF(W334="",0,W334),"0")</f>
        <v/>
      </c>
      <c r="X335" s="649" t="n"/>
      <c r="Y335" s="649" t="n"/>
    </row>
    <row r="336">
      <c r="A336" s="314" t="n"/>
      <c r="B336" s="314" t="n"/>
      <c r="C336" s="314" t="n"/>
      <c r="D336" s="314" t="n"/>
      <c r="E336" s="314" t="n"/>
      <c r="F336" s="314" t="n"/>
      <c r="G336" s="314" t="n"/>
      <c r="H336" s="314" t="n"/>
      <c r="I336" s="314" t="n"/>
      <c r="J336" s="314" t="n"/>
      <c r="K336" s="314" t="n"/>
      <c r="L336" s="315" t="n"/>
      <c r="M336" s="328" t="inlineStr">
        <is>
          <t>Итого</t>
        </is>
      </c>
      <c r="N336" s="329" t="n"/>
      <c r="O336" s="329" t="n"/>
      <c r="P336" s="329" t="n"/>
      <c r="Q336" s="329" t="n"/>
      <c r="R336" s="329" t="n"/>
      <c r="S336" s="330" t="n"/>
      <c r="T336" s="38" t="inlineStr">
        <is>
          <t>кг</t>
        </is>
      </c>
      <c r="U336" s="648">
        <f>IFERROR(SUM(U334:U334),"0")</f>
        <v/>
      </c>
      <c r="V336" s="648">
        <f>IFERROR(SUM(V334:V334),"0")</f>
        <v/>
      </c>
      <c r="W336" s="38" t="n"/>
      <c r="X336" s="649" t="n"/>
      <c r="Y336" s="649" t="n"/>
    </row>
    <row r="337" ht="27.75" customHeight="1">
      <c r="A337" s="357" t="inlineStr">
        <is>
          <t>Баварушка</t>
        </is>
      </c>
      <c r="B337" s="358" t="n"/>
      <c r="C337" s="358" t="n"/>
      <c r="D337" s="358" t="n"/>
      <c r="E337" s="358" t="n"/>
      <c r="F337" s="358" t="n"/>
      <c r="G337" s="358" t="n"/>
      <c r="H337" s="358" t="n"/>
      <c r="I337" s="358" t="n"/>
      <c r="J337" s="358" t="n"/>
      <c r="K337" s="358" t="n"/>
      <c r="L337" s="358" t="n"/>
      <c r="M337" s="358" t="n"/>
      <c r="N337" s="358" t="n"/>
      <c r="O337" s="358" t="n"/>
      <c r="P337" s="358" t="n"/>
      <c r="Q337" s="358" t="n"/>
      <c r="R337" s="358" t="n"/>
      <c r="S337" s="358" t="n"/>
      <c r="T337" s="358" t="n"/>
      <c r="U337" s="358" t="n"/>
      <c r="V337" s="358" t="n"/>
      <c r="W337" s="358" t="n"/>
      <c r="X337" s="49" t="n"/>
      <c r="Y337" s="49" t="n"/>
    </row>
    <row r="338" ht="16.5" customHeight="1">
      <c r="A338" s="337" t="inlineStr">
        <is>
          <t>Филейбургская</t>
        </is>
      </c>
      <c r="B338" s="314" t="n"/>
      <c r="C338" s="314" t="n"/>
      <c r="D338" s="314" t="n"/>
      <c r="E338" s="314" t="n"/>
      <c r="F338" s="314" t="n"/>
      <c r="G338" s="314" t="n"/>
      <c r="H338" s="314" t="n"/>
      <c r="I338" s="314" t="n"/>
      <c r="J338" s="314" t="n"/>
      <c r="K338" s="314" t="n"/>
      <c r="L338" s="314" t="n"/>
      <c r="M338" s="314" t="n"/>
      <c r="N338" s="314" t="n"/>
      <c r="O338" s="314" t="n"/>
      <c r="P338" s="314" t="n"/>
      <c r="Q338" s="314" t="n"/>
      <c r="R338" s="314" t="n"/>
      <c r="S338" s="314" t="n"/>
      <c r="T338" s="314" t="n"/>
      <c r="U338" s="314" t="n"/>
      <c r="V338" s="314" t="n"/>
      <c r="W338" s="314" t="n"/>
      <c r="X338" s="337" t="n"/>
      <c r="Y338" s="337" t="n"/>
    </row>
    <row r="339" ht="14.25" customHeight="1">
      <c r="A339" s="326" t="inlineStr">
        <is>
          <t>Вареные колбасы</t>
        </is>
      </c>
      <c r="B339" s="314" t="n"/>
      <c r="C339" s="314" t="n"/>
      <c r="D339" s="314" t="n"/>
      <c r="E339" s="314" t="n"/>
      <c r="F339" s="314" t="n"/>
      <c r="G339" s="314" t="n"/>
      <c r="H339" s="314" t="n"/>
      <c r="I339" s="314" t="n"/>
      <c r="J339" s="314" t="n"/>
      <c r="K339" s="314" t="n"/>
      <c r="L339" s="314" t="n"/>
      <c r="M339" s="314" t="n"/>
      <c r="N339" s="314" t="n"/>
      <c r="O339" s="314" t="n"/>
      <c r="P339" s="314" t="n"/>
      <c r="Q339" s="314" t="n"/>
      <c r="R339" s="314" t="n"/>
      <c r="S339" s="314" t="n"/>
      <c r="T339" s="314" t="n"/>
      <c r="U339" s="314" t="n"/>
      <c r="V339" s="314" t="n"/>
      <c r="W339" s="314" t="n"/>
      <c r="X339" s="326" t="n"/>
      <c r="Y339" s="326" t="n"/>
    </row>
    <row r="340" ht="27" customHeight="1">
      <c r="A340" s="55" t="inlineStr">
        <is>
          <t>SU002477</t>
        </is>
      </c>
      <c r="B340" s="55" t="inlineStr">
        <is>
          <t>P003148</t>
        </is>
      </c>
      <c r="C340" s="32" t="n">
        <v>4301011428</v>
      </c>
      <c r="D340" s="316" t="n">
        <v>4607091389708</v>
      </c>
      <c r="E340" s="317" t="n"/>
      <c r="F340" s="645" t="n">
        <v>0.45</v>
      </c>
      <c r="G340" s="33" t="n">
        <v>6</v>
      </c>
      <c r="H340" s="645" t="n">
        <v>2.7</v>
      </c>
      <c r="I340" s="645" t="n">
        <v>2.9</v>
      </c>
      <c r="J340" s="33" t="n">
        <v>156</v>
      </c>
      <c r="K340" s="34" t="inlineStr">
        <is>
          <t>СК1</t>
        </is>
      </c>
      <c r="L340" s="33" t="n">
        <v>50</v>
      </c>
      <c r="M340" s="376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40" s="319" t="n"/>
      <c r="O340" s="319" t="n"/>
      <c r="P340" s="319" t="n"/>
      <c r="Q340" s="317" t="n"/>
      <c r="R340" s="35" t="n"/>
      <c r="S340" s="35" t="n"/>
      <c r="T340" s="36" t="inlineStr">
        <is>
          <t>кг</t>
        </is>
      </c>
      <c r="U340" s="646" t="n">
        <v>0</v>
      </c>
      <c r="V340" s="647">
        <f>IFERROR(IF(U340="",0,CEILING((U340/$H340),1)*$H340),"")</f>
        <v/>
      </c>
      <c r="W340" s="37">
        <f>IFERROR(IF(V340=0,"",ROUNDUP(V340/H340,0)*0.00753),"")</f>
        <v/>
      </c>
      <c r="X340" s="57" t="n"/>
      <c r="Y340" s="58" t="n"/>
      <c r="AC340" s="59" t="n"/>
      <c r="AZ340" s="238" t="inlineStr">
        <is>
          <t>КИ</t>
        </is>
      </c>
    </row>
    <row r="341" ht="27" customHeight="1">
      <c r="A341" s="55" t="inlineStr">
        <is>
          <t>SU002476</t>
        </is>
      </c>
      <c r="B341" s="55" t="inlineStr">
        <is>
          <t>P003147</t>
        </is>
      </c>
      <c r="C341" s="32" t="n">
        <v>4301011427</v>
      </c>
      <c r="D341" s="316" t="n">
        <v>4607091389692</v>
      </c>
      <c r="E341" s="317" t="n"/>
      <c r="F341" s="645" t="n">
        <v>0.45</v>
      </c>
      <c r="G341" s="33" t="n">
        <v>6</v>
      </c>
      <c r="H341" s="645" t="n">
        <v>2.7</v>
      </c>
      <c r="I341" s="645" t="n">
        <v>2.9</v>
      </c>
      <c r="J341" s="33" t="n">
        <v>156</v>
      </c>
      <c r="K341" s="34" t="inlineStr">
        <is>
          <t>СК1</t>
        </is>
      </c>
      <c r="L341" s="33" t="n">
        <v>50</v>
      </c>
      <c r="M341" s="508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N341" s="319" t="n"/>
      <c r="O341" s="319" t="n"/>
      <c r="P341" s="319" t="n"/>
      <c r="Q341" s="317" t="n"/>
      <c r="R341" s="35" t="n"/>
      <c r="S341" s="35" t="n"/>
      <c r="T341" s="36" t="inlineStr">
        <is>
          <t>кг</t>
        </is>
      </c>
      <c r="U341" s="646" t="n">
        <v>0</v>
      </c>
      <c r="V341" s="647">
        <f>IFERROR(IF(U341="",0,CEILING((U341/$H341),1)*$H341),"")</f>
        <v/>
      </c>
      <c r="W341" s="37">
        <f>IFERROR(IF(V341=0,"",ROUNDUP(V341/H341,0)*0.00753),"")</f>
        <v/>
      </c>
      <c r="X341" s="57" t="n"/>
      <c r="Y341" s="58" t="n"/>
      <c r="AC341" s="59" t="n"/>
      <c r="AZ341" s="239" t="inlineStr">
        <is>
          <t>КИ</t>
        </is>
      </c>
    </row>
    <row r="342">
      <c r="A342" s="313" t="n"/>
      <c r="B342" s="314" t="n"/>
      <c r="C342" s="314" t="n"/>
      <c r="D342" s="314" t="n"/>
      <c r="E342" s="314" t="n"/>
      <c r="F342" s="314" t="n"/>
      <c r="G342" s="314" t="n"/>
      <c r="H342" s="314" t="n"/>
      <c r="I342" s="314" t="n"/>
      <c r="J342" s="314" t="n"/>
      <c r="K342" s="314" t="n"/>
      <c r="L342" s="315" t="n"/>
      <c r="M342" s="328" t="inlineStr">
        <is>
          <t>Итого</t>
        </is>
      </c>
      <c r="N342" s="329" t="n"/>
      <c r="O342" s="329" t="n"/>
      <c r="P342" s="329" t="n"/>
      <c r="Q342" s="329" t="n"/>
      <c r="R342" s="329" t="n"/>
      <c r="S342" s="330" t="n"/>
      <c r="T342" s="38" t="inlineStr">
        <is>
          <t>кор</t>
        </is>
      </c>
      <c r="U342" s="648">
        <f>IFERROR(U340/H340,"0")+IFERROR(U341/H341,"0")</f>
        <v/>
      </c>
      <c r="V342" s="648">
        <f>IFERROR(V340/H340,"0")+IFERROR(V341/H341,"0")</f>
        <v/>
      </c>
      <c r="W342" s="648">
        <f>IFERROR(IF(W340="",0,W340),"0")+IFERROR(IF(W341="",0,W341),"0")</f>
        <v/>
      </c>
      <c r="X342" s="649" t="n"/>
      <c r="Y342" s="649" t="n"/>
    </row>
    <row r="343">
      <c r="A343" s="314" t="n"/>
      <c r="B343" s="314" t="n"/>
      <c r="C343" s="314" t="n"/>
      <c r="D343" s="314" t="n"/>
      <c r="E343" s="314" t="n"/>
      <c r="F343" s="314" t="n"/>
      <c r="G343" s="314" t="n"/>
      <c r="H343" s="314" t="n"/>
      <c r="I343" s="314" t="n"/>
      <c r="J343" s="314" t="n"/>
      <c r="K343" s="314" t="n"/>
      <c r="L343" s="315" t="n"/>
      <c r="M343" s="328" t="inlineStr">
        <is>
          <t>Итого</t>
        </is>
      </c>
      <c r="N343" s="329" t="n"/>
      <c r="O343" s="329" t="n"/>
      <c r="P343" s="329" t="n"/>
      <c r="Q343" s="329" t="n"/>
      <c r="R343" s="329" t="n"/>
      <c r="S343" s="330" t="n"/>
      <c r="T343" s="38" t="inlineStr">
        <is>
          <t>кг</t>
        </is>
      </c>
      <c r="U343" s="648">
        <f>IFERROR(SUM(U340:U341),"0")</f>
        <v/>
      </c>
      <c r="V343" s="648">
        <f>IFERROR(SUM(V340:V341),"0")</f>
        <v/>
      </c>
      <c r="W343" s="38" t="n"/>
      <c r="X343" s="649" t="n"/>
      <c r="Y343" s="649" t="n"/>
    </row>
    <row r="344" ht="14.25" customHeight="1">
      <c r="A344" s="326" t="inlineStr">
        <is>
          <t>Копченые колбасы</t>
        </is>
      </c>
      <c r="B344" s="314" t="n"/>
      <c r="C344" s="314" t="n"/>
      <c r="D344" s="314" t="n"/>
      <c r="E344" s="314" t="n"/>
      <c r="F344" s="314" t="n"/>
      <c r="G344" s="314" t="n"/>
      <c r="H344" s="314" t="n"/>
      <c r="I344" s="314" t="n"/>
      <c r="J344" s="314" t="n"/>
      <c r="K344" s="314" t="n"/>
      <c r="L344" s="314" t="n"/>
      <c r="M344" s="314" t="n"/>
      <c r="N344" s="314" t="n"/>
      <c r="O344" s="314" t="n"/>
      <c r="P344" s="314" t="n"/>
      <c r="Q344" s="314" t="n"/>
      <c r="R344" s="314" t="n"/>
      <c r="S344" s="314" t="n"/>
      <c r="T344" s="314" t="n"/>
      <c r="U344" s="314" t="n"/>
      <c r="V344" s="314" t="n"/>
      <c r="W344" s="314" t="n"/>
      <c r="X344" s="326" t="n"/>
      <c r="Y344" s="326" t="n"/>
    </row>
    <row r="345" ht="27" customHeight="1">
      <c r="A345" s="55" t="inlineStr">
        <is>
          <t>SU002614</t>
        </is>
      </c>
      <c r="B345" s="55" t="inlineStr">
        <is>
          <t>P003138</t>
        </is>
      </c>
      <c r="C345" s="32" t="n">
        <v>4301031177</v>
      </c>
      <c r="D345" s="316" t="n">
        <v>4607091389753</v>
      </c>
      <c r="E345" s="317" t="n"/>
      <c r="F345" s="645" t="n">
        <v>0.7</v>
      </c>
      <c r="G345" s="33" t="n">
        <v>6</v>
      </c>
      <c r="H345" s="645" t="n">
        <v>4.2</v>
      </c>
      <c r="I345" s="645" t="n">
        <v>4.43</v>
      </c>
      <c r="J345" s="33" t="n">
        <v>156</v>
      </c>
      <c r="K345" s="34" t="inlineStr">
        <is>
          <t>СК2</t>
        </is>
      </c>
      <c r="L345" s="33" t="n">
        <v>45</v>
      </c>
      <c r="M345" s="567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45" s="319" t="n"/>
      <c r="O345" s="319" t="n"/>
      <c r="P345" s="319" t="n"/>
      <c r="Q345" s="317" t="n"/>
      <c r="R345" s="35" t="n"/>
      <c r="S345" s="35" t="n"/>
      <c r="T345" s="36" t="inlineStr">
        <is>
          <t>кг</t>
        </is>
      </c>
      <c r="U345" s="646" t="n">
        <v>0</v>
      </c>
      <c r="V345" s="647">
        <f>IFERROR(IF(U345="",0,CEILING((U345/$H345),1)*$H345),"")</f>
        <v/>
      </c>
      <c r="W345" s="37">
        <f>IFERROR(IF(V345=0,"",ROUNDUP(V345/H345,0)*0.00753),"")</f>
        <v/>
      </c>
      <c r="X345" s="57" t="n"/>
      <c r="Y345" s="58" t="n"/>
      <c r="AC345" s="59" t="n"/>
      <c r="AZ345" s="240" t="inlineStr">
        <is>
          <t>КИ</t>
        </is>
      </c>
    </row>
    <row r="346" ht="27" customHeight="1">
      <c r="A346" s="55" t="inlineStr">
        <is>
          <t>SU002615</t>
        </is>
      </c>
      <c r="B346" s="55" t="inlineStr">
        <is>
          <t>P003136</t>
        </is>
      </c>
      <c r="C346" s="32" t="n">
        <v>4301031174</v>
      </c>
      <c r="D346" s="316" t="n">
        <v>4607091389760</v>
      </c>
      <c r="E346" s="317" t="n"/>
      <c r="F346" s="645" t="n">
        <v>0.7</v>
      </c>
      <c r="G346" s="33" t="n">
        <v>6</v>
      </c>
      <c r="H346" s="645" t="n">
        <v>4.2</v>
      </c>
      <c r="I346" s="645" t="n">
        <v>4.43</v>
      </c>
      <c r="J346" s="33" t="n">
        <v>156</v>
      </c>
      <c r="K346" s="34" t="inlineStr">
        <is>
          <t>СК2</t>
        </is>
      </c>
      <c r="L346" s="33" t="n">
        <v>45</v>
      </c>
      <c r="M346" s="412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46" s="319" t="n"/>
      <c r="O346" s="319" t="n"/>
      <c r="P346" s="319" t="n"/>
      <c r="Q346" s="317" t="n"/>
      <c r="R346" s="35" t="n"/>
      <c r="S346" s="35" t="n"/>
      <c r="T346" s="36" t="inlineStr">
        <is>
          <t>кг</t>
        </is>
      </c>
      <c r="U346" s="646" t="n">
        <v>0</v>
      </c>
      <c r="V346" s="647">
        <f>IFERROR(IF(U346="",0,CEILING((U346/$H346),1)*$H346),"")</f>
        <v/>
      </c>
      <c r="W346" s="37">
        <f>IFERROR(IF(V346=0,"",ROUNDUP(V346/H346,0)*0.00753),"")</f>
        <v/>
      </c>
      <c r="X346" s="57" t="n"/>
      <c r="Y346" s="58" t="n"/>
      <c r="AC346" s="59" t="n"/>
      <c r="AZ346" s="241" t="inlineStr">
        <is>
          <t>КИ</t>
        </is>
      </c>
    </row>
    <row r="347" ht="27" customHeight="1">
      <c r="A347" s="55" t="inlineStr">
        <is>
          <t>SU002613</t>
        </is>
      </c>
      <c r="B347" s="55" t="inlineStr">
        <is>
          <t>P003133</t>
        </is>
      </c>
      <c r="C347" s="32" t="n">
        <v>4301031175</v>
      </c>
      <c r="D347" s="316" t="n">
        <v>4607091389746</v>
      </c>
      <c r="E347" s="317" t="n"/>
      <c r="F347" s="645" t="n">
        <v>0.7</v>
      </c>
      <c r="G347" s="33" t="n">
        <v>6</v>
      </c>
      <c r="H347" s="645" t="n">
        <v>4.2</v>
      </c>
      <c r="I347" s="645" t="n">
        <v>4.43</v>
      </c>
      <c r="J347" s="33" t="n">
        <v>156</v>
      </c>
      <c r="K347" s="34" t="inlineStr">
        <is>
          <t>СК2</t>
        </is>
      </c>
      <c r="L347" s="33" t="n">
        <v>45</v>
      </c>
      <c r="M347" s="606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47" s="319" t="n"/>
      <c r="O347" s="319" t="n"/>
      <c r="P347" s="319" t="n"/>
      <c r="Q347" s="317" t="n"/>
      <c r="R347" s="35" t="n"/>
      <c r="S347" s="35" t="n"/>
      <c r="T347" s="36" t="inlineStr">
        <is>
          <t>кг</t>
        </is>
      </c>
      <c r="U347" s="646" t="n">
        <v>0</v>
      </c>
      <c r="V347" s="647">
        <f>IFERROR(IF(U347="",0,CEILING((U347/$H347),1)*$H347),"")</f>
        <v/>
      </c>
      <c r="W347" s="37">
        <f>IFERROR(IF(V347=0,"",ROUNDUP(V347/H347,0)*0.00753),"")</f>
        <v/>
      </c>
      <c r="X347" s="57" t="n"/>
      <c r="Y347" s="58" t="n"/>
      <c r="AC347" s="59" t="n"/>
      <c r="AZ347" s="242" t="inlineStr">
        <is>
          <t>КИ</t>
        </is>
      </c>
    </row>
    <row r="348" ht="37.5" customHeight="1">
      <c r="A348" s="55" t="inlineStr">
        <is>
          <t>SU003035</t>
        </is>
      </c>
      <c r="B348" s="55" t="inlineStr">
        <is>
          <t>P003496</t>
        </is>
      </c>
      <c r="C348" s="32" t="n">
        <v>4301031236</v>
      </c>
      <c r="D348" s="316" t="n">
        <v>4680115882928</v>
      </c>
      <c r="E348" s="317" t="n"/>
      <c r="F348" s="645" t="n">
        <v>0.28</v>
      </c>
      <c r="G348" s="33" t="n">
        <v>6</v>
      </c>
      <c r="H348" s="645" t="n">
        <v>1.68</v>
      </c>
      <c r="I348" s="645" t="n">
        <v>2.6</v>
      </c>
      <c r="J348" s="33" t="n">
        <v>156</v>
      </c>
      <c r="K348" s="34" t="inlineStr">
        <is>
          <t>СК2</t>
        </is>
      </c>
      <c r="L348" s="33" t="n">
        <v>35</v>
      </c>
      <c r="M348" s="418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N348" s="319" t="n"/>
      <c r="O348" s="319" t="n"/>
      <c r="P348" s="319" t="n"/>
      <c r="Q348" s="317" t="n"/>
      <c r="R348" s="35" t="n"/>
      <c r="S348" s="35" t="n"/>
      <c r="T348" s="36" t="inlineStr">
        <is>
          <t>кг</t>
        </is>
      </c>
      <c r="U348" s="646" t="n">
        <v>0</v>
      </c>
      <c r="V348" s="647">
        <f>IFERROR(IF(U348="",0,CEILING((U348/$H348),1)*$H348),"")</f>
        <v/>
      </c>
      <c r="W348" s="37">
        <f>IFERROR(IF(V348=0,"",ROUNDUP(V348/H348,0)*0.00753),"")</f>
        <v/>
      </c>
      <c r="X348" s="57" t="n"/>
      <c r="Y348" s="58" t="n"/>
      <c r="AC348" s="59" t="n"/>
      <c r="AZ348" s="243" t="inlineStr">
        <is>
          <t>КИ</t>
        </is>
      </c>
    </row>
    <row r="349" ht="27" customHeight="1">
      <c r="A349" s="55" t="inlineStr">
        <is>
          <t>SU003083</t>
        </is>
      </c>
      <c r="B349" s="55" t="inlineStr">
        <is>
          <t>P003646</t>
        </is>
      </c>
      <c r="C349" s="32" t="n">
        <v>4301031257</v>
      </c>
      <c r="D349" s="316" t="n">
        <v>4680115883147</v>
      </c>
      <c r="E349" s="317" t="n"/>
      <c r="F349" s="645" t="n">
        <v>0.28</v>
      </c>
      <c r="G349" s="33" t="n">
        <v>6</v>
      </c>
      <c r="H349" s="645" t="n">
        <v>1.68</v>
      </c>
      <c r="I349" s="645" t="n">
        <v>1.81</v>
      </c>
      <c r="J349" s="33" t="n">
        <v>234</v>
      </c>
      <c r="K349" s="34" t="inlineStr">
        <is>
          <t>СК2</t>
        </is>
      </c>
      <c r="L349" s="33" t="n">
        <v>45</v>
      </c>
      <c r="M349" s="436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N349" s="319" t="n"/>
      <c r="O349" s="319" t="n"/>
      <c r="P349" s="319" t="n"/>
      <c r="Q349" s="317" t="n"/>
      <c r="R349" s="35" t="n"/>
      <c r="S349" s="35" t="n"/>
      <c r="T349" s="36" t="inlineStr">
        <is>
          <t>кг</t>
        </is>
      </c>
      <c r="U349" s="646" t="n">
        <v>0</v>
      </c>
      <c r="V349" s="647">
        <f>IFERROR(IF(U349="",0,CEILING((U349/$H349),1)*$H349),"")</f>
        <v/>
      </c>
      <c r="W349" s="37">
        <f>IFERROR(IF(V349=0,"",ROUNDUP(V349/H349,0)*0.00502),"")</f>
        <v/>
      </c>
      <c r="X349" s="57" t="n"/>
      <c r="Y349" s="58" t="n"/>
      <c r="AC349" s="59" t="n"/>
      <c r="AZ349" s="244" t="inlineStr">
        <is>
          <t>КИ</t>
        </is>
      </c>
    </row>
    <row r="350" ht="27" customHeight="1">
      <c r="A350" s="55" t="inlineStr">
        <is>
          <t>SU002538</t>
        </is>
      </c>
      <c r="B350" s="55" t="inlineStr">
        <is>
          <t>P003139</t>
        </is>
      </c>
      <c r="C350" s="32" t="n">
        <v>4301031178</v>
      </c>
      <c r="D350" s="316" t="n">
        <v>4607091384338</v>
      </c>
      <c r="E350" s="317" t="n"/>
      <c r="F350" s="645" t="n">
        <v>0.35</v>
      </c>
      <c r="G350" s="33" t="n">
        <v>6</v>
      </c>
      <c r="H350" s="645" t="n">
        <v>2.1</v>
      </c>
      <c r="I350" s="645" t="n">
        <v>2.23</v>
      </c>
      <c r="J350" s="33" t="n">
        <v>234</v>
      </c>
      <c r="K350" s="34" t="inlineStr">
        <is>
          <t>СК2</t>
        </is>
      </c>
      <c r="L350" s="33" t="n">
        <v>45</v>
      </c>
      <c r="M350" s="563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50" s="319" t="n"/>
      <c r="O350" s="319" t="n"/>
      <c r="P350" s="319" t="n"/>
      <c r="Q350" s="317" t="n"/>
      <c r="R350" s="35" t="n"/>
      <c r="S350" s="35" t="n"/>
      <c r="T350" s="36" t="inlineStr">
        <is>
          <t>кг</t>
        </is>
      </c>
      <c r="U350" s="646" t="n">
        <v>0</v>
      </c>
      <c r="V350" s="647">
        <f>IFERROR(IF(U350="",0,CEILING((U350/$H350),1)*$H350),"")</f>
        <v/>
      </c>
      <c r="W350" s="37">
        <f>IFERROR(IF(V350=0,"",ROUNDUP(V350/H350,0)*0.00502),"")</f>
        <v/>
      </c>
      <c r="X350" s="57" t="n"/>
      <c r="Y350" s="58" t="n"/>
      <c r="AC350" s="59" t="n"/>
      <c r="AZ350" s="245" t="inlineStr">
        <is>
          <t>КИ</t>
        </is>
      </c>
    </row>
    <row r="351" ht="37.5" customHeight="1">
      <c r="A351" s="55" t="inlineStr">
        <is>
          <t>SU003079</t>
        </is>
      </c>
      <c r="B351" s="55" t="inlineStr">
        <is>
          <t>P003643</t>
        </is>
      </c>
      <c r="C351" s="32" t="n">
        <v>4301031254</v>
      </c>
      <c r="D351" s="316" t="n">
        <v>4680115883154</v>
      </c>
      <c r="E351" s="317" t="n"/>
      <c r="F351" s="645" t="n">
        <v>0.28</v>
      </c>
      <c r="G351" s="33" t="n">
        <v>6</v>
      </c>
      <c r="H351" s="645" t="n">
        <v>1.68</v>
      </c>
      <c r="I351" s="645" t="n">
        <v>1.81</v>
      </c>
      <c r="J351" s="33" t="n">
        <v>234</v>
      </c>
      <c r="K351" s="34" t="inlineStr">
        <is>
          <t>СК2</t>
        </is>
      </c>
      <c r="L351" s="33" t="n">
        <v>45</v>
      </c>
      <c r="M351" s="587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N351" s="319" t="n"/>
      <c r="O351" s="319" t="n"/>
      <c r="P351" s="319" t="n"/>
      <c r="Q351" s="317" t="n"/>
      <c r="R351" s="35" t="n"/>
      <c r="S351" s="35" t="n"/>
      <c r="T351" s="36" t="inlineStr">
        <is>
          <t>кг</t>
        </is>
      </c>
      <c r="U351" s="646" t="n">
        <v>0</v>
      </c>
      <c r="V351" s="647">
        <f>IFERROR(IF(U351="",0,CEILING((U351/$H351),1)*$H351),"")</f>
        <v/>
      </c>
      <c r="W351" s="37">
        <f>IFERROR(IF(V351=0,"",ROUNDUP(V351/H351,0)*0.00502),"")</f>
        <v/>
      </c>
      <c r="X351" s="57" t="n"/>
      <c r="Y351" s="58" t="n"/>
      <c r="AC351" s="59" t="n"/>
      <c r="AZ351" s="246" t="inlineStr">
        <is>
          <t>КИ</t>
        </is>
      </c>
    </row>
    <row r="352" ht="37.5" customHeight="1">
      <c r="A352" s="55" t="inlineStr">
        <is>
          <t>SU002602</t>
        </is>
      </c>
      <c r="B352" s="55" t="inlineStr">
        <is>
          <t>P003132</t>
        </is>
      </c>
      <c r="C352" s="32" t="n">
        <v>4301031171</v>
      </c>
      <c r="D352" s="316" t="n">
        <v>4607091389524</v>
      </c>
      <c r="E352" s="317" t="n"/>
      <c r="F352" s="645" t="n">
        <v>0.35</v>
      </c>
      <c r="G352" s="33" t="n">
        <v>6</v>
      </c>
      <c r="H352" s="645" t="n">
        <v>2.1</v>
      </c>
      <c r="I352" s="645" t="n">
        <v>2.23</v>
      </c>
      <c r="J352" s="33" t="n">
        <v>234</v>
      </c>
      <c r="K352" s="34" t="inlineStr">
        <is>
          <t>СК2</t>
        </is>
      </c>
      <c r="L352" s="33" t="n">
        <v>45</v>
      </c>
      <c r="M352" s="566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52" s="319" t="n"/>
      <c r="O352" s="319" t="n"/>
      <c r="P352" s="319" t="n"/>
      <c r="Q352" s="317" t="n"/>
      <c r="R352" s="35" t="n"/>
      <c r="S352" s="35" t="n"/>
      <c r="T352" s="36" t="inlineStr">
        <is>
          <t>кг</t>
        </is>
      </c>
      <c r="U352" s="646" t="n">
        <v>0</v>
      </c>
      <c r="V352" s="647">
        <f>IFERROR(IF(U352="",0,CEILING((U352/$H352),1)*$H352),"")</f>
        <v/>
      </c>
      <c r="W352" s="37">
        <f>IFERROR(IF(V352=0,"",ROUNDUP(V352/H352,0)*0.00502),"")</f>
        <v/>
      </c>
      <c r="X352" s="57" t="n"/>
      <c r="Y352" s="58" t="n"/>
      <c r="AC352" s="59" t="n"/>
      <c r="AZ352" s="247" t="inlineStr">
        <is>
          <t>КИ</t>
        </is>
      </c>
    </row>
    <row r="353" ht="27" customHeight="1">
      <c r="A353" s="55" t="inlineStr">
        <is>
          <t>SU003080</t>
        </is>
      </c>
      <c r="B353" s="55" t="inlineStr">
        <is>
          <t>P003647</t>
        </is>
      </c>
      <c r="C353" s="32" t="n">
        <v>4301031258</v>
      </c>
      <c r="D353" s="316" t="n">
        <v>4680115883161</v>
      </c>
      <c r="E353" s="317" t="n"/>
      <c r="F353" s="645" t="n">
        <v>0.28</v>
      </c>
      <c r="G353" s="33" t="n">
        <v>6</v>
      </c>
      <c r="H353" s="645" t="n">
        <v>1.68</v>
      </c>
      <c r="I353" s="645" t="n">
        <v>1.81</v>
      </c>
      <c r="J353" s="33" t="n">
        <v>234</v>
      </c>
      <c r="K353" s="34" t="inlineStr">
        <is>
          <t>СК2</t>
        </is>
      </c>
      <c r="L353" s="33" t="n">
        <v>45</v>
      </c>
      <c r="M353" s="591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N353" s="319" t="n"/>
      <c r="O353" s="319" t="n"/>
      <c r="P353" s="319" t="n"/>
      <c r="Q353" s="317" t="n"/>
      <c r="R353" s="35" t="n"/>
      <c r="S353" s="35" t="n"/>
      <c r="T353" s="36" t="inlineStr">
        <is>
          <t>кг</t>
        </is>
      </c>
      <c r="U353" s="646" t="n">
        <v>0</v>
      </c>
      <c r="V353" s="647">
        <f>IFERROR(IF(U353="",0,CEILING((U353/$H353),1)*$H353),"")</f>
        <v/>
      </c>
      <c r="W353" s="37">
        <f>IFERROR(IF(V353=0,"",ROUNDUP(V353/H353,0)*0.00502),"")</f>
        <v/>
      </c>
      <c r="X353" s="57" t="n"/>
      <c r="Y353" s="58" t="n"/>
      <c r="AC353" s="59" t="n"/>
      <c r="AZ353" s="248" t="inlineStr">
        <is>
          <t>КИ</t>
        </is>
      </c>
    </row>
    <row r="354" ht="27" customHeight="1">
      <c r="A354" s="55" t="inlineStr">
        <is>
          <t>SU002603</t>
        </is>
      </c>
      <c r="B354" s="55" t="inlineStr">
        <is>
          <t>P003131</t>
        </is>
      </c>
      <c r="C354" s="32" t="n">
        <v>4301031170</v>
      </c>
      <c r="D354" s="316" t="n">
        <v>4607091384345</v>
      </c>
      <c r="E354" s="317" t="n"/>
      <c r="F354" s="645" t="n">
        <v>0.35</v>
      </c>
      <c r="G354" s="33" t="n">
        <v>6</v>
      </c>
      <c r="H354" s="645" t="n">
        <v>2.1</v>
      </c>
      <c r="I354" s="645" t="n">
        <v>2.23</v>
      </c>
      <c r="J354" s="33" t="n">
        <v>234</v>
      </c>
      <c r="K354" s="34" t="inlineStr">
        <is>
          <t>СК2</t>
        </is>
      </c>
      <c r="L354" s="33" t="n">
        <v>45</v>
      </c>
      <c r="M354" s="598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54" s="319" t="n"/>
      <c r="O354" s="319" t="n"/>
      <c r="P354" s="319" t="n"/>
      <c r="Q354" s="317" t="n"/>
      <c r="R354" s="35" t="n"/>
      <c r="S354" s="35" t="n"/>
      <c r="T354" s="36" t="inlineStr">
        <is>
          <t>кг</t>
        </is>
      </c>
      <c r="U354" s="646" t="n">
        <v>0</v>
      </c>
      <c r="V354" s="647">
        <f>IFERROR(IF(U354="",0,CEILING((U354/$H354),1)*$H354),"")</f>
        <v/>
      </c>
      <c r="W354" s="37">
        <f>IFERROR(IF(V354=0,"",ROUNDUP(V354/H354,0)*0.00502),"")</f>
        <v/>
      </c>
      <c r="X354" s="57" t="n"/>
      <c r="Y354" s="58" t="n"/>
      <c r="AC354" s="59" t="n"/>
      <c r="AZ354" s="249" t="inlineStr">
        <is>
          <t>КИ</t>
        </is>
      </c>
    </row>
    <row r="355" ht="27" customHeight="1">
      <c r="A355" s="55" t="inlineStr">
        <is>
          <t>SU003081</t>
        </is>
      </c>
      <c r="B355" s="55" t="inlineStr">
        <is>
          <t>P003645</t>
        </is>
      </c>
      <c r="C355" s="32" t="n">
        <v>4301031256</v>
      </c>
      <c r="D355" s="316" t="n">
        <v>4680115883178</v>
      </c>
      <c r="E355" s="317" t="n"/>
      <c r="F355" s="645" t="n">
        <v>0.28</v>
      </c>
      <c r="G355" s="33" t="n">
        <v>6</v>
      </c>
      <c r="H355" s="645" t="n">
        <v>1.68</v>
      </c>
      <c r="I355" s="645" t="n">
        <v>1.81</v>
      </c>
      <c r="J355" s="33" t="n">
        <v>234</v>
      </c>
      <c r="K355" s="34" t="inlineStr">
        <is>
          <t>СК2</t>
        </is>
      </c>
      <c r="L355" s="33" t="n">
        <v>45</v>
      </c>
      <c r="M355" s="465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N355" s="319" t="n"/>
      <c r="O355" s="319" t="n"/>
      <c r="P355" s="319" t="n"/>
      <c r="Q355" s="317" t="n"/>
      <c r="R355" s="35" t="n"/>
      <c r="S355" s="35" t="n"/>
      <c r="T355" s="36" t="inlineStr">
        <is>
          <t>кг</t>
        </is>
      </c>
      <c r="U355" s="646" t="n">
        <v>0</v>
      </c>
      <c r="V355" s="647">
        <f>IFERROR(IF(U355="",0,CEILING((U355/$H355),1)*$H355),"")</f>
        <v/>
      </c>
      <c r="W355" s="37">
        <f>IFERROR(IF(V355=0,"",ROUNDUP(V355/H355,0)*0.00502),"")</f>
        <v/>
      </c>
      <c r="X355" s="57" t="n"/>
      <c r="Y355" s="58" t="n"/>
      <c r="AC355" s="59" t="n"/>
      <c r="AZ355" s="250" t="inlineStr">
        <is>
          <t>КИ</t>
        </is>
      </c>
    </row>
    <row r="356" ht="27" customHeight="1">
      <c r="A356" s="55" t="inlineStr">
        <is>
          <t>SU002606</t>
        </is>
      </c>
      <c r="B356" s="55" t="inlineStr">
        <is>
          <t>P003134</t>
        </is>
      </c>
      <c r="C356" s="32" t="n">
        <v>4301031172</v>
      </c>
      <c r="D356" s="316" t="n">
        <v>4607091389531</v>
      </c>
      <c r="E356" s="317" t="n"/>
      <c r="F356" s="645" t="n">
        <v>0.35</v>
      </c>
      <c r="G356" s="33" t="n">
        <v>6</v>
      </c>
      <c r="H356" s="645" t="n">
        <v>2.1</v>
      </c>
      <c r="I356" s="645" t="n">
        <v>2.23</v>
      </c>
      <c r="J356" s="33" t="n">
        <v>234</v>
      </c>
      <c r="K356" s="34" t="inlineStr">
        <is>
          <t>СК2</t>
        </is>
      </c>
      <c r="L356" s="33" t="n">
        <v>45</v>
      </c>
      <c r="M356" s="618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56" s="319" t="n"/>
      <c r="O356" s="319" t="n"/>
      <c r="P356" s="319" t="n"/>
      <c r="Q356" s="317" t="n"/>
      <c r="R356" s="35" t="n"/>
      <c r="S356" s="35" t="n"/>
      <c r="T356" s="36" t="inlineStr">
        <is>
          <t>кг</t>
        </is>
      </c>
      <c r="U356" s="646" t="n">
        <v>0</v>
      </c>
      <c r="V356" s="647">
        <f>IFERROR(IF(U356="",0,CEILING((U356/$H356),1)*$H356),"")</f>
        <v/>
      </c>
      <c r="W356" s="37">
        <f>IFERROR(IF(V356=0,"",ROUNDUP(V356/H356,0)*0.00502),"")</f>
        <v/>
      </c>
      <c r="X356" s="57" t="n"/>
      <c r="Y356" s="58" t="n"/>
      <c r="AC356" s="59" t="n"/>
      <c r="AZ356" s="251" t="inlineStr">
        <is>
          <t>КИ</t>
        </is>
      </c>
    </row>
    <row r="357" ht="27" customHeight="1">
      <c r="A357" s="55" t="inlineStr">
        <is>
          <t>SU003082</t>
        </is>
      </c>
      <c r="B357" s="55" t="inlineStr">
        <is>
          <t>P003644</t>
        </is>
      </c>
      <c r="C357" s="32" t="n">
        <v>4301031255</v>
      </c>
      <c r="D357" s="316" t="n">
        <v>4680115883185</v>
      </c>
      <c r="E357" s="317" t="n"/>
      <c r="F357" s="645" t="n">
        <v>0.28</v>
      </c>
      <c r="G357" s="33" t="n">
        <v>6</v>
      </c>
      <c r="H357" s="645" t="n">
        <v>1.68</v>
      </c>
      <c r="I357" s="645" t="n">
        <v>1.81</v>
      </c>
      <c r="J357" s="33" t="n">
        <v>234</v>
      </c>
      <c r="K357" s="34" t="inlineStr">
        <is>
          <t>СК2</t>
        </is>
      </c>
      <c r="L357" s="33" t="n">
        <v>45</v>
      </c>
      <c r="M357" s="471" t="inlineStr">
        <is>
          <t>В/к колбасы «Филейбургская с душистым чесноком» срез Фикс.вес 0,28 фиброуз в/у Баварушка</t>
        </is>
      </c>
      <c r="N357" s="319" t="n"/>
      <c r="O357" s="319" t="n"/>
      <c r="P357" s="319" t="n"/>
      <c r="Q357" s="317" t="n"/>
      <c r="R357" s="35" t="n"/>
      <c r="S357" s="35" t="n"/>
      <c r="T357" s="36" t="inlineStr">
        <is>
          <t>кг</t>
        </is>
      </c>
      <c r="U357" s="646" t="n">
        <v>0</v>
      </c>
      <c r="V357" s="647">
        <f>IFERROR(IF(U357="",0,CEILING((U357/$H357),1)*$H357),"")</f>
        <v/>
      </c>
      <c r="W357" s="37">
        <f>IFERROR(IF(V357=0,"",ROUNDUP(V357/H357,0)*0.00502),"")</f>
        <v/>
      </c>
      <c r="X357" s="57" t="n"/>
      <c r="Y357" s="58" t="n"/>
      <c r="AC357" s="59" t="n"/>
      <c r="AZ357" s="252" t="inlineStr">
        <is>
          <t>КИ</t>
        </is>
      </c>
    </row>
    <row r="358">
      <c r="A358" s="313" t="n"/>
      <c r="B358" s="314" t="n"/>
      <c r="C358" s="314" t="n"/>
      <c r="D358" s="314" t="n"/>
      <c r="E358" s="314" t="n"/>
      <c r="F358" s="314" t="n"/>
      <c r="G358" s="314" t="n"/>
      <c r="H358" s="314" t="n"/>
      <c r="I358" s="314" t="n"/>
      <c r="J358" s="314" t="n"/>
      <c r="K358" s="314" t="n"/>
      <c r="L358" s="315" t="n"/>
      <c r="M358" s="328" t="inlineStr">
        <is>
          <t>Итого</t>
        </is>
      </c>
      <c r="N358" s="329" t="n"/>
      <c r="O358" s="329" t="n"/>
      <c r="P358" s="329" t="n"/>
      <c r="Q358" s="329" t="n"/>
      <c r="R358" s="329" t="n"/>
      <c r="S358" s="330" t="n"/>
      <c r="T358" s="38" t="inlineStr">
        <is>
          <t>кор</t>
        </is>
      </c>
      <c r="U358" s="648">
        <f>IFERROR(U345/H345,"0")+IFERROR(U346/H346,"0")+IFERROR(U347/H347,"0")+IFERROR(U348/H348,"0")+IFERROR(U349/H349,"0")+IFERROR(U350/H350,"0")+IFERROR(U351/H351,"0")+IFERROR(U352/H352,"0")+IFERROR(U353/H353,"0")+IFERROR(U354/H354,"0")+IFERROR(U355/H355,"0")+IFERROR(U356/H356,"0")+IFERROR(U357/H357,"0")</f>
        <v/>
      </c>
      <c r="V358" s="648">
        <f>IFERROR(V345/H345,"0")+IFERROR(V346/H346,"0")+IFERROR(V347/H347,"0")+IFERROR(V348/H348,"0")+IFERROR(V349/H349,"0")+IFERROR(V350/H350,"0")+IFERROR(V351/H351,"0")+IFERROR(V352/H352,"0")+IFERROR(V353/H353,"0")+IFERROR(V354/H354,"0")+IFERROR(V355/H355,"0")+IFERROR(V356/H356,"0")+IFERROR(V357/H357,"0")</f>
        <v/>
      </c>
      <c r="W358" s="648">
        <f>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</f>
        <v/>
      </c>
      <c r="X358" s="649" t="n"/>
      <c r="Y358" s="649" t="n"/>
    </row>
    <row r="359">
      <c r="A359" s="314" t="n"/>
      <c r="B359" s="314" t="n"/>
      <c r="C359" s="314" t="n"/>
      <c r="D359" s="314" t="n"/>
      <c r="E359" s="314" t="n"/>
      <c r="F359" s="314" t="n"/>
      <c r="G359" s="314" t="n"/>
      <c r="H359" s="314" t="n"/>
      <c r="I359" s="314" t="n"/>
      <c r="J359" s="314" t="n"/>
      <c r="K359" s="314" t="n"/>
      <c r="L359" s="315" t="n"/>
      <c r="M359" s="328" t="inlineStr">
        <is>
          <t>Итого</t>
        </is>
      </c>
      <c r="N359" s="329" t="n"/>
      <c r="O359" s="329" t="n"/>
      <c r="P359" s="329" t="n"/>
      <c r="Q359" s="329" t="n"/>
      <c r="R359" s="329" t="n"/>
      <c r="S359" s="330" t="n"/>
      <c r="T359" s="38" t="inlineStr">
        <is>
          <t>кг</t>
        </is>
      </c>
      <c r="U359" s="648">
        <f>IFERROR(SUM(U345:U357),"0")</f>
        <v/>
      </c>
      <c r="V359" s="648">
        <f>IFERROR(SUM(V345:V357),"0")</f>
        <v/>
      </c>
      <c r="W359" s="38" t="n"/>
      <c r="X359" s="649" t="n"/>
      <c r="Y359" s="649" t="n"/>
    </row>
    <row r="360" ht="14.25" customHeight="1">
      <c r="A360" s="326" t="inlineStr">
        <is>
          <t>Сосиски</t>
        </is>
      </c>
      <c r="B360" s="314" t="n"/>
      <c r="C360" s="314" t="n"/>
      <c r="D360" s="314" t="n"/>
      <c r="E360" s="314" t="n"/>
      <c r="F360" s="314" t="n"/>
      <c r="G360" s="314" t="n"/>
      <c r="H360" s="314" t="n"/>
      <c r="I360" s="314" t="n"/>
      <c r="J360" s="314" t="n"/>
      <c r="K360" s="314" t="n"/>
      <c r="L360" s="314" t="n"/>
      <c r="M360" s="314" t="n"/>
      <c r="N360" s="314" t="n"/>
      <c r="O360" s="314" t="n"/>
      <c r="P360" s="314" t="n"/>
      <c r="Q360" s="314" t="n"/>
      <c r="R360" s="314" t="n"/>
      <c r="S360" s="314" t="n"/>
      <c r="T360" s="314" t="n"/>
      <c r="U360" s="314" t="n"/>
      <c r="V360" s="314" t="n"/>
      <c r="W360" s="314" t="n"/>
      <c r="X360" s="326" t="n"/>
      <c r="Y360" s="326" t="n"/>
    </row>
    <row r="361" ht="27" customHeight="1">
      <c r="A361" s="55" t="inlineStr">
        <is>
          <t>SU002448</t>
        </is>
      </c>
      <c r="B361" s="55" t="inlineStr">
        <is>
          <t>P002914</t>
        </is>
      </c>
      <c r="C361" s="32" t="n">
        <v>4301051258</v>
      </c>
      <c r="D361" s="316" t="n">
        <v>4607091389685</v>
      </c>
      <c r="E361" s="317" t="n"/>
      <c r="F361" s="645" t="n">
        <v>1.3</v>
      </c>
      <c r="G361" s="33" t="n">
        <v>6</v>
      </c>
      <c r="H361" s="645" t="n">
        <v>7.8</v>
      </c>
      <c r="I361" s="645" t="n">
        <v>8.346</v>
      </c>
      <c r="J361" s="33" t="n">
        <v>56</v>
      </c>
      <c r="K361" s="34" t="inlineStr">
        <is>
          <t>СК3</t>
        </is>
      </c>
      <c r="L361" s="33" t="n">
        <v>45</v>
      </c>
      <c r="M361" s="494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61" s="319" t="n"/>
      <c r="O361" s="319" t="n"/>
      <c r="P361" s="319" t="n"/>
      <c r="Q361" s="317" t="n"/>
      <c r="R361" s="35" t="n"/>
      <c r="S361" s="35" t="n"/>
      <c r="T361" s="36" t="inlineStr">
        <is>
          <t>кг</t>
        </is>
      </c>
      <c r="U361" s="646" t="n">
        <v>0</v>
      </c>
      <c r="V361" s="647">
        <f>IFERROR(IF(U361="",0,CEILING((U361/$H361),1)*$H361),"")</f>
        <v/>
      </c>
      <c r="W361" s="37">
        <f>IFERROR(IF(V361=0,"",ROUNDUP(V361/H361,0)*0.02175),"")</f>
        <v/>
      </c>
      <c r="X361" s="57" t="n"/>
      <c r="Y361" s="58" t="n"/>
      <c r="AC361" s="59" t="n"/>
      <c r="AZ361" s="253" t="inlineStr">
        <is>
          <t>КИ</t>
        </is>
      </c>
    </row>
    <row r="362" ht="27" customHeight="1">
      <c r="A362" s="55" t="inlineStr">
        <is>
          <t>SU002557</t>
        </is>
      </c>
      <c r="B362" s="55" t="inlineStr">
        <is>
          <t>P003318</t>
        </is>
      </c>
      <c r="C362" s="32" t="n">
        <v>4301051431</v>
      </c>
      <c r="D362" s="316" t="n">
        <v>4607091389654</v>
      </c>
      <c r="E362" s="317" t="n"/>
      <c r="F362" s="645" t="n">
        <v>0.33</v>
      </c>
      <c r="G362" s="33" t="n">
        <v>6</v>
      </c>
      <c r="H362" s="645" t="n">
        <v>1.98</v>
      </c>
      <c r="I362" s="645" t="n">
        <v>2.258</v>
      </c>
      <c r="J362" s="33" t="n">
        <v>156</v>
      </c>
      <c r="K362" s="34" t="inlineStr">
        <is>
          <t>СК3</t>
        </is>
      </c>
      <c r="L362" s="33" t="n">
        <v>45</v>
      </c>
      <c r="M362" s="434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62" s="319" t="n"/>
      <c r="O362" s="319" t="n"/>
      <c r="P362" s="319" t="n"/>
      <c r="Q362" s="317" t="n"/>
      <c r="R362" s="35" t="n"/>
      <c r="S362" s="35" t="n"/>
      <c r="T362" s="36" t="inlineStr">
        <is>
          <t>кг</t>
        </is>
      </c>
      <c r="U362" s="646" t="n">
        <v>0</v>
      </c>
      <c r="V362" s="647">
        <f>IFERROR(IF(U362="",0,CEILING((U362/$H362),1)*$H362),"")</f>
        <v/>
      </c>
      <c r="W362" s="37">
        <f>IFERROR(IF(V362=0,"",ROUNDUP(V362/H362,0)*0.00753),"")</f>
        <v/>
      </c>
      <c r="X362" s="57" t="n"/>
      <c r="Y362" s="58" t="n"/>
      <c r="AC362" s="59" t="n"/>
      <c r="AZ362" s="254" t="inlineStr">
        <is>
          <t>КИ</t>
        </is>
      </c>
    </row>
    <row r="363" ht="27" customHeight="1">
      <c r="A363" s="55" t="inlineStr">
        <is>
          <t>SU002285</t>
        </is>
      </c>
      <c r="B363" s="55" t="inlineStr">
        <is>
          <t>P002969</t>
        </is>
      </c>
      <c r="C363" s="32" t="n">
        <v>4301051284</v>
      </c>
      <c r="D363" s="316" t="n">
        <v>4607091384352</v>
      </c>
      <c r="E363" s="317" t="n"/>
      <c r="F363" s="645" t="n">
        <v>0.6</v>
      </c>
      <c r="G363" s="33" t="n">
        <v>4</v>
      </c>
      <c r="H363" s="645" t="n">
        <v>2.4</v>
      </c>
      <c r="I363" s="645" t="n">
        <v>2.646</v>
      </c>
      <c r="J363" s="33" t="n">
        <v>120</v>
      </c>
      <c r="K363" s="34" t="inlineStr">
        <is>
          <t>СК3</t>
        </is>
      </c>
      <c r="L363" s="33" t="n">
        <v>45</v>
      </c>
      <c r="M363" s="486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63" s="319" t="n"/>
      <c r="O363" s="319" t="n"/>
      <c r="P363" s="319" t="n"/>
      <c r="Q363" s="317" t="n"/>
      <c r="R363" s="35" t="n"/>
      <c r="S363" s="35" t="n"/>
      <c r="T363" s="36" t="inlineStr">
        <is>
          <t>кг</t>
        </is>
      </c>
      <c r="U363" s="646" t="n">
        <v>0</v>
      </c>
      <c r="V363" s="647">
        <f>IFERROR(IF(U363="",0,CEILING((U363/$H363),1)*$H363),"")</f>
        <v/>
      </c>
      <c r="W363" s="37">
        <f>IFERROR(IF(V363=0,"",ROUNDUP(V363/H363,0)*0.00937),"")</f>
        <v/>
      </c>
      <c r="X363" s="57" t="n"/>
      <c r="Y363" s="58" t="n"/>
      <c r="AC363" s="59" t="n"/>
      <c r="AZ363" s="255" t="inlineStr">
        <is>
          <t>КИ</t>
        </is>
      </c>
    </row>
    <row r="364" ht="27" customHeight="1">
      <c r="A364" s="55" t="inlineStr">
        <is>
          <t>SU002419</t>
        </is>
      </c>
      <c r="B364" s="55" t="inlineStr">
        <is>
          <t>P002913</t>
        </is>
      </c>
      <c r="C364" s="32" t="n">
        <v>4301051257</v>
      </c>
      <c r="D364" s="316" t="n">
        <v>4607091389661</v>
      </c>
      <c r="E364" s="317" t="n"/>
      <c r="F364" s="645" t="n">
        <v>0.55</v>
      </c>
      <c r="G364" s="33" t="n">
        <v>4</v>
      </c>
      <c r="H364" s="645" t="n">
        <v>2.2</v>
      </c>
      <c r="I364" s="645" t="n">
        <v>2.492</v>
      </c>
      <c r="J364" s="33" t="n">
        <v>120</v>
      </c>
      <c r="K364" s="34" t="inlineStr">
        <is>
          <t>СК3</t>
        </is>
      </c>
      <c r="L364" s="33" t="n">
        <v>45</v>
      </c>
      <c r="M364" s="441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64" s="319" t="n"/>
      <c r="O364" s="319" t="n"/>
      <c r="P364" s="319" t="n"/>
      <c r="Q364" s="317" t="n"/>
      <c r="R364" s="35" t="n"/>
      <c r="S364" s="35" t="n"/>
      <c r="T364" s="36" t="inlineStr">
        <is>
          <t>кг</t>
        </is>
      </c>
      <c r="U364" s="646" t="n">
        <v>0</v>
      </c>
      <c r="V364" s="647">
        <f>IFERROR(IF(U364="",0,CEILING((U364/$H364),1)*$H364),"")</f>
        <v/>
      </c>
      <c r="W364" s="37">
        <f>IFERROR(IF(V364=0,"",ROUNDUP(V364/H364,0)*0.00937),"")</f>
        <v/>
      </c>
      <c r="X364" s="57" t="n"/>
      <c r="Y364" s="58" t="n"/>
      <c r="AC364" s="59" t="n"/>
      <c r="AZ364" s="256" t="inlineStr">
        <is>
          <t>КИ</t>
        </is>
      </c>
    </row>
    <row r="365">
      <c r="A365" s="313" t="n"/>
      <c r="B365" s="314" t="n"/>
      <c r="C365" s="314" t="n"/>
      <c r="D365" s="314" t="n"/>
      <c r="E365" s="314" t="n"/>
      <c r="F365" s="314" t="n"/>
      <c r="G365" s="314" t="n"/>
      <c r="H365" s="314" t="n"/>
      <c r="I365" s="314" t="n"/>
      <c r="J365" s="314" t="n"/>
      <c r="K365" s="314" t="n"/>
      <c r="L365" s="315" t="n"/>
      <c r="M365" s="328" t="inlineStr">
        <is>
          <t>Итого</t>
        </is>
      </c>
      <c r="N365" s="329" t="n"/>
      <c r="O365" s="329" t="n"/>
      <c r="P365" s="329" t="n"/>
      <c r="Q365" s="329" t="n"/>
      <c r="R365" s="329" t="n"/>
      <c r="S365" s="330" t="n"/>
      <c r="T365" s="38" t="inlineStr">
        <is>
          <t>кор</t>
        </is>
      </c>
      <c r="U365" s="648">
        <f>IFERROR(U361/H361,"0")+IFERROR(U362/H362,"0")+IFERROR(U363/H363,"0")+IFERROR(U364/H364,"0")</f>
        <v/>
      </c>
      <c r="V365" s="648">
        <f>IFERROR(V361/H361,"0")+IFERROR(V362/H362,"0")+IFERROR(V363/H363,"0")+IFERROR(V364/H364,"0")</f>
        <v/>
      </c>
      <c r="W365" s="648">
        <f>IFERROR(IF(W361="",0,W361),"0")+IFERROR(IF(W362="",0,W362),"0")+IFERROR(IF(W363="",0,W363),"0")+IFERROR(IF(W364="",0,W364),"0")</f>
        <v/>
      </c>
      <c r="X365" s="649" t="n"/>
      <c r="Y365" s="649" t="n"/>
    </row>
    <row r="366">
      <c r="A366" s="314" t="n"/>
      <c r="B366" s="314" t="n"/>
      <c r="C366" s="314" t="n"/>
      <c r="D366" s="314" t="n"/>
      <c r="E366" s="314" t="n"/>
      <c r="F366" s="314" t="n"/>
      <c r="G366" s="314" t="n"/>
      <c r="H366" s="314" t="n"/>
      <c r="I366" s="314" t="n"/>
      <c r="J366" s="314" t="n"/>
      <c r="K366" s="314" t="n"/>
      <c r="L366" s="315" t="n"/>
      <c r="M366" s="328" t="inlineStr">
        <is>
          <t>Итого</t>
        </is>
      </c>
      <c r="N366" s="329" t="n"/>
      <c r="O366" s="329" t="n"/>
      <c r="P366" s="329" t="n"/>
      <c r="Q366" s="329" t="n"/>
      <c r="R366" s="329" t="n"/>
      <c r="S366" s="330" t="n"/>
      <c r="T366" s="38" t="inlineStr">
        <is>
          <t>кг</t>
        </is>
      </c>
      <c r="U366" s="648">
        <f>IFERROR(SUM(U361:U364),"0")</f>
        <v/>
      </c>
      <c r="V366" s="648">
        <f>IFERROR(SUM(V361:V364),"0")</f>
        <v/>
      </c>
      <c r="W366" s="38" t="n"/>
      <c r="X366" s="649" t="n"/>
      <c r="Y366" s="649" t="n"/>
    </row>
    <row r="367" ht="14.25" customHeight="1">
      <c r="A367" s="326" t="inlineStr">
        <is>
          <t>Сардельки</t>
        </is>
      </c>
      <c r="B367" s="314" t="n"/>
      <c r="C367" s="314" t="n"/>
      <c r="D367" s="314" t="n"/>
      <c r="E367" s="314" t="n"/>
      <c r="F367" s="314" t="n"/>
      <c r="G367" s="314" t="n"/>
      <c r="H367" s="314" t="n"/>
      <c r="I367" s="314" t="n"/>
      <c r="J367" s="314" t="n"/>
      <c r="K367" s="314" t="n"/>
      <c r="L367" s="314" t="n"/>
      <c r="M367" s="314" t="n"/>
      <c r="N367" s="314" t="n"/>
      <c r="O367" s="314" t="n"/>
      <c r="P367" s="314" t="n"/>
      <c r="Q367" s="314" t="n"/>
      <c r="R367" s="314" t="n"/>
      <c r="S367" s="314" t="n"/>
      <c r="T367" s="314" t="n"/>
      <c r="U367" s="314" t="n"/>
      <c r="V367" s="314" t="n"/>
      <c r="W367" s="314" t="n"/>
      <c r="X367" s="326" t="n"/>
      <c r="Y367" s="326" t="n"/>
    </row>
    <row r="368" ht="27" customHeight="1">
      <c r="A368" s="55" t="inlineStr">
        <is>
          <t>SU002846</t>
        </is>
      </c>
      <c r="B368" s="55" t="inlineStr">
        <is>
          <t>P003254</t>
        </is>
      </c>
      <c r="C368" s="32" t="n">
        <v>4301060352</v>
      </c>
      <c r="D368" s="316" t="n">
        <v>4680115881648</v>
      </c>
      <c r="E368" s="317" t="n"/>
      <c r="F368" s="645" t="n">
        <v>1</v>
      </c>
      <c r="G368" s="33" t="n">
        <v>4</v>
      </c>
      <c r="H368" s="645" t="n">
        <v>4</v>
      </c>
      <c r="I368" s="645" t="n">
        <v>4.404</v>
      </c>
      <c r="J368" s="33" t="n">
        <v>104</v>
      </c>
      <c r="K368" s="34" t="inlineStr">
        <is>
          <t>СК2</t>
        </is>
      </c>
      <c r="L368" s="33" t="n">
        <v>35</v>
      </c>
      <c r="M368" s="325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N368" s="319" t="n"/>
      <c r="O368" s="319" t="n"/>
      <c r="P368" s="319" t="n"/>
      <c r="Q368" s="317" t="n"/>
      <c r="R368" s="35" t="n"/>
      <c r="S368" s="35" t="n"/>
      <c r="T368" s="36" t="inlineStr">
        <is>
          <t>кг</t>
        </is>
      </c>
      <c r="U368" s="646" t="n">
        <v>0</v>
      </c>
      <c r="V368" s="647">
        <f>IFERROR(IF(U368="",0,CEILING((U368/$H368),1)*$H368),"")</f>
        <v/>
      </c>
      <c r="W368" s="37">
        <f>IFERROR(IF(V368=0,"",ROUNDUP(V368/H368,0)*0.01196),"")</f>
        <v/>
      </c>
      <c r="X368" s="57" t="n"/>
      <c r="Y368" s="58" t="n"/>
      <c r="AC368" s="59" t="n"/>
      <c r="AZ368" s="257" t="inlineStr">
        <is>
          <t>КИ</t>
        </is>
      </c>
    </row>
    <row r="369">
      <c r="A369" s="313" t="n"/>
      <c r="B369" s="314" t="n"/>
      <c r="C369" s="314" t="n"/>
      <c r="D369" s="314" t="n"/>
      <c r="E369" s="314" t="n"/>
      <c r="F369" s="314" t="n"/>
      <c r="G369" s="314" t="n"/>
      <c r="H369" s="314" t="n"/>
      <c r="I369" s="314" t="n"/>
      <c r="J369" s="314" t="n"/>
      <c r="K369" s="314" t="n"/>
      <c r="L369" s="315" t="n"/>
      <c r="M369" s="328" t="inlineStr">
        <is>
          <t>Итого</t>
        </is>
      </c>
      <c r="N369" s="329" t="n"/>
      <c r="O369" s="329" t="n"/>
      <c r="P369" s="329" t="n"/>
      <c r="Q369" s="329" t="n"/>
      <c r="R369" s="329" t="n"/>
      <c r="S369" s="330" t="n"/>
      <c r="T369" s="38" t="inlineStr">
        <is>
          <t>кор</t>
        </is>
      </c>
      <c r="U369" s="648">
        <f>IFERROR(U368/H368,"0")</f>
        <v/>
      </c>
      <c r="V369" s="648">
        <f>IFERROR(V368/H368,"0")</f>
        <v/>
      </c>
      <c r="W369" s="648">
        <f>IFERROR(IF(W368="",0,W368),"0")</f>
        <v/>
      </c>
      <c r="X369" s="649" t="n"/>
      <c r="Y369" s="649" t="n"/>
    </row>
    <row r="370">
      <c r="A370" s="314" t="n"/>
      <c r="B370" s="314" t="n"/>
      <c r="C370" s="314" t="n"/>
      <c r="D370" s="314" t="n"/>
      <c r="E370" s="314" t="n"/>
      <c r="F370" s="314" t="n"/>
      <c r="G370" s="314" t="n"/>
      <c r="H370" s="314" t="n"/>
      <c r="I370" s="314" t="n"/>
      <c r="J370" s="314" t="n"/>
      <c r="K370" s="314" t="n"/>
      <c r="L370" s="315" t="n"/>
      <c r="M370" s="328" t="inlineStr">
        <is>
          <t>Итого</t>
        </is>
      </c>
      <c r="N370" s="329" t="n"/>
      <c r="O370" s="329" t="n"/>
      <c r="P370" s="329" t="n"/>
      <c r="Q370" s="329" t="n"/>
      <c r="R370" s="329" t="n"/>
      <c r="S370" s="330" t="n"/>
      <c r="T370" s="38" t="inlineStr">
        <is>
          <t>кг</t>
        </is>
      </c>
      <c r="U370" s="648">
        <f>IFERROR(SUM(U368:U368),"0")</f>
        <v/>
      </c>
      <c r="V370" s="648">
        <f>IFERROR(SUM(V368:V368),"0")</f>
        <v/>
      </c>
      <c r="W370" s="38" t="n"/>
      <c r="X370" s="649" t="n"/>
      <c r="Y370" s="649" t="n"/>
    </row>
    <row r="371" ht="14.25" customHeight="1">
      <c r="A371" s="326" t="inlineStr">
        <is>
          <t>Сырокопченые колбасы</t>
        </is>
      </c>
      <c r="B371" s="314" t="n"/>
      <c r="C371" s="314" t="n"/>
      <c r="D371" s="314" t="n"/>
      <c r="E371" s="314" t="n"/>
      <c r="F371" s="314" t="n"/>
      <c r="G371" s="314" t="n"/>
      <c r="H371" s="314" t="n"/>
      <c r="I371" s="314" t="n"/>
      <c r="J371" s="314" t="n"/>
      <c r="K371" s="314" t="n"/>
      <c r="L371" s="314" t="n"/>
      <c r="M371" s="314" t="n"/>
      <c r="N371" s="314" t="n"/>
      <c r="O371" s="314" t="n"/>
      <c r="P371" s="314" t="n"/>
      <c r="Q371" s="314" t="n"/>
      <c r="R371" s="314" t="n"/>
      <c r="S371" s="314" t="n"/>
      <c r="T371" s="314" t="n"/>
      <c r="U371" s="314" t="n"/>
      <c r="V371" s="314" t="n"/>
      <c r="W371" s="314" t="n"/>
      <c r="X371" s="326" t="n"/>
      <c r="Y371" s="326" t="n"/>
    </row>
    <row r="372" ht="27" customHeight="1">
      <c r="A372" s="55" t="inlineStr">
        <is>
          <t>SU003058</t>
        </is>
      </c>
      <c r="B372" s="55" t="inlineStr">
        <is>
          <t>P003620</t>
        </is>
      </c>
      <c r="C372" s="32" t="n">
        <v>4301032042</v>
      </c>
      <c r="D372" s="316" t="n">
        <v>4680115883017</v>
      </c>
      <c r="E372" s="317" t="n"/>
      <c r="F372" s="645" t="n">
        <v>0.03</v>
      </c>
      <c r="G372" s="33" t="n">
        <v>20</v>
      </c>
      <c r="H372" s="645" t="n">
        <v>0.6</v>
      </c>
      <c r="I372" s="645" t="n">
        <v>0.9</v>
      </c>
      <c r="J372" s="33" t="n">
        <v>350</v>
      </c>
      <c r="K372" s="34" t="inlineStr">
        <is>
          <t>ДК</t>
        </is>
      </c>
      <c r="L372" s="33" t="n">
        <v>60</v>
      </c>
      <c r="M372" s="626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/>
      </c>
      <c r="N372" s="319" t="n"/>
      <c r="O372" s="319" t="n"/>
      <c r="P372" s="319" t="n"/>
      <c r="Q372" s="317" t="n"/>
      <c r="R372" s="35" t="n"/>
      <c r="S372" s="35" t="n"/>
      <c r="T372" s="36" t="inlineStr">
        <is>
          <t>кг</t>
        </is>
      </c>
      <c r="U372" s="646" t="n">
        <v>0</v>
      </c>
      <c r="V372" s="647">
        <f>IFERROR(IF(U372="",0,CEILING((U372/$H372),1)*$H372),"")</f>
        <v/>
      </c>
      <c r="W372" s="37">
        <f>IFERROR(IF(V372=0,"",ROUNDUP(V372/H372,0)*0.00349),"")</f>
        <v/>
      </c>
      <c r="X372" s="57" t="n"/>
      <c r="Y372" s="58" t="n"/>
      <c r="AC372" s="59" t="n"/>
      <c r="AZ372" s="258" t="inlineStr">
        <is>
          <t>КИ</t>
        </is>
      </c>
    </row>
    <row r="373" ht="27" customHeight="1">
      <c r="A373" s="55" t="inlineStr">
        <is>
          <t>SU003061</t>
        </is>
      </c>
      <c r="B373" s="55" t="inlineStr">
        <is>
          <t>P003621</t>
        </is>
      </c>
      <c r="C373" s="32" t="n">
        <v>4301032043</v>
      </c>
      <c r="D373" s="316" t="n">
        <v>4680115883031</v>
      </c>
      <c r="E373" s="317" t="n"/>
      <c r="F373" s="645" t="n">
        <v>0.03</v>
      </c>
      <c r="G373" s="33" t="n">
        <v>20</v>
      </c>
      <c r="H373" s="645" t="n">
        <v>0.6</v>
      </c>
      <c r="I373" s="645" t="n">
        <v>0.9</v>
      </c>
      <c r="J373" s="33" t="n">
        <v>350</v>
      </c>
      <c r="K373" s="34" t="inlineStr">
        <is>
          <t>ДК</t>
        </is>
      </c>
      <c r="L373" s="33" t="n">
        <v>60</v>
      </c>
      <c r="M373" s="349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/>
      </c>
      <c r="N373" s="319" t="n"/>
      <c r="O373" s="319" t="n"/>
      <c r="P373" s="319" t="n"/>
      <c r="Q373" s="317" t="n"/>
      <c r="R373" s="35" t="n"/>
      <c r="S373" s="35" t="n"/>
      <c r="T373" s="36" t="inlineStr">
        <is>
          <t>кг</t>
        </is>
      </c>
      <c r="U373" s="646" t="n">
        <v>0</v>
      </c>
      <c r="V373" s="647">
        <f>IFERROR(IF(U373="",0,CEILING((U373/$H373),1)*$H373),"")</f>
        <v/>
      </c>
      <c r="W373" s="37">
        <f>IFERROR(IF(V373=0,"",ROUNDUP(V373/H373,0)*0.00349),"")</f>
        <v/>
      </c>
      <c r="X373" s="57" t="n"/>
      <c r="Y373" s="58" t="n"/>
      <c r="AC373" s="59" t="n"/>
      <c r="AZ373" s="259" t="inlineStr">
        <is>
          <t>КИ</t>
        </is>
      </c>
    </row>
    <row r="374" ht="27" customHeight="1">
      <c r="A374" s="55" t="inlineStr">
        <is>
          <t>SU003057</t>
        </is>
      </c>
      <c r="B374" s="55" t="inlineStr">
        <is>
          <t>P003619</t>
        </is>
      </c>
      <c r="C374" s="32" t="n">
        <v>4301032041</v>
      </c>
      <c r="D374" s="316" t="n">
        <v>4680115883024</v>
      </c>
      <c r="E374" s="317" t="n"/>
      <c r="F374" s="645" t="n">
        <v>0.03</v>
      </c>
      <c r="G374" s="33" t="n">
        <v>20</v>
      </c>
      <c r="H374" s="645" t="n">
        <v>0.6</v>
      </c>
      <c r="I374" s="645" t="n">
        <v>0.9</v>
      </c>
      <c r="J374" s="33" t="n">
        <v>350</v>
      </c>
      <c r="K374" s="34" t="inlineStr">
        <is>
          <t>ДК</t>
        </is>
      </c>
      <c r="L374" s="33" t="n">
        <v>60</v>
      </c>
      <c r="M374" s="612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/>
      </c>
      <c r="N374" s="319" t="n"/>
      <c r="O374" s="319" t="n"/>
      <c r="P374" s="319" t="n"/>
      <c r="Q374" s="317" t="n"/>
      <c r="R374" s="35" t="n"/>
      <c r="S374" s="35" t="n"/>
      <c r="T374" s="36" t="inlineStr">
        <is>
          <t>кг</t>
        </is>
      </c>
      <c r="U374" s="646" t="n">
        <v>0</v>
      </c>
      <c r="V374" s="647">
        <f>IFERROR(IF(U374="",0,CEILING((U374/$H374),1)*$H374),"")</f>
        <v/>
      </c>
      <c r="W374" s="37">
        <f>IFERROR(IF(V374=0,"",ROUNDUP(V374/H374,0)*0.00349),"")</f>
        <v/>
      </c>
      <c r="X374" s="57" t="n"/>
      <c r="Y374" s="58" t="n"/>
      <c r="AC374" s="59" t="n"/>
      <c r="AZ374" s="260" t="inlineStr">
        <is>
          <t>КИ</t>
        </is>
      </c>
    </row>
    <row r="375">
      <c r="A375" s="313" t="n"/>
      <c r="B375" s="314" t="n"/>
      <c r="C375" s="314" t="n"/>
      <c r="D375" s="314" t="n"/>
      <c r="E375" s="314" t="n"/>
      <c r="F375" s="314" t="n"/>
      <c r="G375" s="314" t="n"/>
      <c r="H375" s="314" t="n"/>
      <c r="I375" s="314" t="n"/>
      <c r="J375" s="314" t="n"/>
      <c r="K375" s="314" t="n"/>
      <c r="L375" s="315" t="n"/>
      <c r="M375" s="328" t="inlineStr">
        <is>
          <t>Итого</t>
        </is>
      </c>
      <c r="N375" s="329" t="n"/>
      <c r="O375" s="329" t="n"/>
      <c r="P375" s="329" t="n"/>
      <c r="Q375" s="329" t="n"/>
      <c r="R375" s="329" t="n"/>
      <c r="S375" s="330" t="n"/>
      <c r="T375" s="38" t="inlineStr">
        <is>
          <t>кор</t>
        </is>
      </c>
      <c r="U375" s="648">
        <f>IFERROR(U372/H372,"0")+IFERROR(U373/H373,"0")+IFERROR(U374/H374,"0")</f>
        <v/>
      </c>
      <c r="V375" s="648">
        <f>IFERROR(V372/H372,"0")+IFERROR(V373/H373,"0")+IFERROR(V374/H374,"0")</f>
        <v/>
      </c>
      <c r="W375" s="648">
        <f>IFERROR(IF(W372="",0,W372),"0")+IFERROR(IF(W373="",0,W373),"0")+IFERROR(IF(W374="",0,W374),"0")</f>
        <v/>
      </c>
      <c r="X375" s="649" t="n"/>
      <c r="Y375" s="649" t="n"/>
    </row>
    <row r="376">
      <c r="A376" s="314" t="n"/>
      <c r="B376" s="314" t="n"/>
      <c r="C376" s="314" t="n"/>
      <c r="D376" s="314" t="n"/>
      <c r="E376" s="314" t="n"/>
      <c r="F376" s="314" t="n"/>
      <c r="G376" s="314" t="n"/>
      <c r="H376" s="314" t="n"/>
      <c r="I376" s="314" t="n"/>
      <c r="J376" s="314" t="n"/>
      <c r="K376" s="314" t="n"/>
      <c r="L376" s="315" t="n"/>
      <c r="M376" s="328" t="inlineStr">
        <is>
          <t>Итого</t>
        </is>
      </c>
      <c r="N376" s="329" t="n"/>
      <c r="O376" s="329" t="n"/>
      <c r="P376" s="329" t="n"/>
      <c r="Q376" s="329" t="n"/>
      <c r="R376" s="329" t="n"/>
      <c r="S376" s="330" t="n"/>
      <c r="T376" s="38" t="inlineStr">
        <is>
          <t>кг</t>
        </is>
      </c>
      <c r="U376" s="648">
        <f>IFERROR(SUM(U372:U374),"0")</f>
        <v/>
      </c>
      <c r="V376" s="648">
        <f>IFERROR(SUM(V372:V374),"0")</f>
        <v/>
      </c>
      <c r="W376" s="38" t="n"/>
      <c r="X376" s="649" t="n"/>
      <c r="Y376" s="649" t="n"/>
    </row>
    <row r="377" ht="14.25" customHeight="1">
      <c r="A377" s="326" t="inlineStr">
        <is>
          <t>Сыровяленые колбасы</t>
        </is>
      </c>
      <c r="B377" s="314" t="n"/>
      <c r="C377" s="314" t="n"/>
      <c r="D377" s="314" t="n"/>
      <c r="E377" s="314" t="n"/>
      <c r="F377" s="314" t="n"/>
      <c r="G377" s="314" t="n"/>
      <c r="H377" s="314" t="n"/>
      <c r="I377" s="314" t="n"/>
      <c r="J377" s="314" t="n"/>
      <c r="K377" s="314" t="n"/>
      <c r="L377" s="314" t="n"/>
      <c r="M377" s="314" t="n"/>
      <c r="N377" s="314" t="n"/>
      <c r="O377" s="314" t="n"/>
      <c r="P377" s="314" t="n"/>
      <c r="Q377" s="314" t="n"/>
      <c r="R377" s="314" t="n"/>
      <c r="S377" s="314" t="n"/>
      <c r="T377" s="314" t="n"/>
      <c r="U377" s="314" t="n"/>
      <c r="V377" s="314" t="n"/>
      <c r="W377" s="314" t="n"/>
      <c r="X377" s="326" t="n"/>
      <c r="Y377" s="326" t="n"/>
    </row>
    <row r="378" ht="27" customHeight="1">
      <c r="A378" s="55" t="inlineStr">
        <is>
          <t>SU003060</t>
        </is>
      </c>
      <c r="B378" s="55" t="inlineStr">
        <is>
          <t>P003624</t>
        </is>
      </c>
      <c r="C378" s="32" t="n">
        <v>4301170009</v>
      </c>
      <c r="D378" s="316" t="n">
        <v>4680115882997</v>
      </c>
      <c r="E378" s="317" t="n"/>
      <c r="F378" s="645" t="n">
        <v>0.13</v>
      </c>
      <c r="G378" s="33" t="n">
        <v>10</v>
      </c>
      <c r="H378" s="645" t="n">
        <v>1.3</v>
      </c>
      <c r="I378" s="645" t="n">
        <v>1.46</v>
      </c>
      <c r="J378" s="33" t="n">
        <v>200</v>
      </c>
      <c r="K378" s="34" t="inlineStr">
        <is>
          <t>ДК</t>
        </is>
      </c>
      <c r="L378" s="33" t="n">
        <v>150</v>
      </c>
      <c r="M378" s="573" t="inlineStr">
        <is>
          <t>с/в колбасы «Филейбургская с филе сочного окорока» ф/в 0,13 н/о ТМ «Баварушка»</t>
        </is>
      </c>
      <c r="N378" s="319" t="n"/>
      <c r="O378" s="319" t="n"/>
      <c r="P378" s="319" t="n"/>
      <c r="Q378" s="317" t="n"/>
      <c r="R378" s="35" t="n"/>
      <c r="S378" s="35" t="n"/>
      <c r="T378" s="36" t="inlineStr">
        <is>
          <t>кг</t>
        </is>
      </c>
      <c r="U378" s="646" t="n">
        <v>0</v>
      </c>
      <c r="V378" s="647">
        <f>IFERROR(IF(U378="",0,CEILING((U378/$H378),1)*$H378),"")</f>
        <v/>
      </c>
      <c r="W378" s="37">
        <f>IFERROR(IF(V378=0,"",ROUNDUP(V378/H378,0)*0.00673),"")</f>
        <v/>
      </c>
      <c r="X378" s="57" t="n"/>
      <c r="Y378" s="58" t="n"/>
      <c r="AC378" s="59" t="n"/>
      <c r="AZ378" s="261" t="inlineStr">
        <is>
          <t>КИ</t>
        </is>
      </c>
    </row>
    <row r="379">
      <c r="A379" s="313" t="n"/>
      <c r="B379" s="314" t="n"/>
      <c r="C379" s="314" t="n"/>
      <c r="D379" s="314" t="n"/>
      <c r="E379" s="314" t="n"/>
      <c r="F379" s="314" t="n"/>
      <c r="G379" s="314" t="n"/>
      <c r="H379" s="314" t="n"/>
      <c r="I379" s="314" t="n"/>
      <c r="J379" s="314" t="n"/>
      <c r="K379" s="314" t="n"/>
      <c r="L379" s="315" t="n"/>
      <c r="M379" s="328" t="inlineStr">
        <is>
          <t>Итого</t>
        </is>
      </c>
      <c r="N379" s="329" t="n"/>
      <c r="O379" s="329" t="n"/>
      <c r="P379" s="329" t="n"/>
      <c r="Q379" s="329" t="n"/>
      <c r="R379" s="329" t="n"/>
      <c r="S379" s="330" t="n"/>
      <c r="T379" s="38" t="inlineStr">
        <is>
          <t>кор</t>
        </is>
      </c>
      <c r="U379" s="648">
        <f>IFERROR(U378/H378,"0")</f>
        <v/>
      </c>
      <c r="V379" s="648">
        <f>IFERROR(V378/H378,"0")</f>
        <v/>
      </c>
      <c r="W379" s="648">
        <f>IFERROR(IF(W378="",0,W378),"0")</f>
        <v/>
      </c>
      <c r="X379" s="649" t="n"/>
      <c r="Y379" s="649" t="n"/>
    </row>
    <row r="380">
      <c r="A380" s="314" t="n"/>
      <c r="B380" s="314" t="n"/>
      <c r="C380" s="314" t="n"/>
      <c r="D380" s="314" t="n"/>
      <c r="E380" s="314" t="n"/>
      <c r="F380" s="314" t="n"/>
      <c r="G380" s="314" t="n"/>
      <c r="H380" s="314" t="n"/>
      <c r="I380" s="314" t="n"/>
      <c r="J380" s="314" t="n"/>
      <c r="K380" s="314" t="n"/>
      <c r="L380" s="315" t="n"/>
      <c r="M380" s="328" t="inlineStr">
        <is>
          <t>Итого</t>
        </is>
      </c>
      <c r="N380" s="329" t="n"/>
      <c r="O380" s="329" t="n"/>
      <c r="P380" s="329" t="n"/>
      <c r="Q380" s="329" t="n"/>
      <c r="R380" s="329" t="n"/>
      <c r="S380" s="330" t="n"/>
      <c r="T380" s="38" t="inlineStr">
        <is>
          <t>кг</t>
        </is>
      </c>
      <c r="U380" s="648">
        <f>IFERROR(SUM(U378:U378),"0")</f>
        <v/>
      </c>
      <c r="V380" s="648">
        <f>IFERROR(SUM(V378:V378),"0")</f>
        <v/>
      </c>
      <c r="W380" s="38" t="n"/>
      <c r="X380" s="649" t="n"/>
      <c r="Y380" s="649" t="n"/>
    </row>
    <row r="381" ht="16.5" customHeight="1">
      <c r="A381" s="337" t="inlineStr">
        <is>
          <t>Балыкбургская</t>
        </is>
      </c>
      <c r="B381" s="314" t="n"/>
      <c r="C381" s="314" t="n"/>
      <c r="D381" s="314" t="n"/>
      <c r="E381" s="314" t="n"/>
      <c r="F381" s="314" t="n"/>
      <c r="G381" s="314" t="n"/>
      <c r="H381" s="314" t="n"/>
      <c r="I381" s="314" t="n"/>
      <c r="J381" s="314" t="n"/>
      <c r="K381" s="314" t="n"/>
      <c r="L381" s="314" t="n"/>
      <c r="M381" s="314" t="n"/>
      <c r="N381" s="314" t="n"/>
      <c r="O381" s="314" t="n"/>
      <c r="P381" s="314" t="n"/>
      <c r="Q381" s="314" t="n"/>
      <c r="R381" s="314" t="n"/>
      <c r="S381" s="314" t="n"/>
      <c r="T381" s="314" t="n"/>
      <c r="U381" s="314" t="n"/>
      <c r="V381" s="314" t="n"/>
      <c r="W381" s="314" t="n"/>
      <c r="X381" s="337" t="n"/>
      <c r="Y381" s="337" t="n"/>
    </row>
    <row r="382" ht="14.25" customHeight="1">
      <c r="A382" s="326" t="inlineStr">
        <is>
          <t>Ветчины</t>
        </is>
      </c>
      <c r="B382" s="314" t="n"/>
      <c r="C382" s="314" t="n"/>
      <c r="D382" s="314" t="n"/>
      <c r="E382" s="314" t="n"/>
      <c r="F382" s="314" t="n"/>
      <c r="G382" s="314" t="n"/>
      <c r="H382" s="314" t="n"/>
      <c r="I382" s="314" t="n"/>
      <c r="J382" s="314" t="n"/>
      <c r="K382" s="314" t="n"/>
      <c r="L382" s="314" t="n"/>
      <c r="M382" s="314" t="n"/>
      <c r="N382" s="314" t="n"/>
      <c r="O382" s="314" t="n"/>
      <c r="P382" s="314" t="n"/>
      <c r="Q382" s="314" t="n"/>
      <c r="R382" s="314" t="n"/>
      <c r="S382" s="314" t="n"/>
      <c r="T382" s="314" t="n"/>
      <c r="U382" s="314" t="n"/>
      <c r="V382" s="314" t="n"/>
      <c r="W382" s="314" t="n"/>
      <c r="X382" s="326" t="n"/>
      <c r="Y382" s="326" t="n"/>
    </row>
    <row r="383" ht="27" customHeight="1">
      <c r="A383" s="55" t="inlineStr">
        <is>
          <t>SU002542</t>
        </is>
      </c>
      <c r="B383" s="55" t="inlineStr">
        <is>
          <t>P002847</t>
        </is>
      </c>
      <c r="C383" s="32" t="n">
        <v>4301020196</v>
      </c>
      <c r="D383" s="316" t="n">
        <v>4607091389388</v>
      </c>
      <c r="E383" s="317" t="n"/>
      <c r="F383" s="645" t="n">
        <v>1.3</v>
      </c>
      <c r="G383" s="33" t="n">
        <v>4</v>
      </c>
      <c r="H383" s="645" t="n">
        <v>5.2</v>
      </c>
      <c r="I383" s="645" t="n">
        <v>5.608</v>
      </c>
      <c r="J383" s="33" t="n">
        <v>104</v>
      </c>
      <c r="K383" s="34" t="inlineStr">
        <is>
          <t>СК3</t>
        </is>
      </c>
      <c r="L383" s="33" t="n">
        <v>35</v>
      </c>
      <c r="M383" s="478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83" s="319" t="n"/>
      <c r="O383" s="319" t="n"/>
      <c r="P383" s="319" t="n"/>
      <c r="Q383" s="317" t="n"/>
      <c r="R383" s="35" t="n"/>
      <c r="S383" s="35" t="n"/>
      <c r="T383" s="36" t="inlineStr">
        <is>
          <t>кг</t>
        </is>
      </c>
      <c r="U383" s="646" t="n">
        <v>0</v>
      </c>
      <c r="V383" s="647">
        <f>IFERROR(IF(U383="",0,CEILING((U383/$H383),1)*$H383),"")</f>
        <v/>
      </c>
      <c r="W383" s="37">
        <f>IFERROR(IF(V383=0,"",ROUNDUP(V383/H383,0)*0.01196),"")</f>
        <v/>
      </c>
      <c r="X383" s="57" t="n"/>
      <c r="Y383" s="58" t="n"/>
      <c r="AC383" s="59" t="n"/>
      <c r="AZ383" s="262" t="inlineStr">
        <is>
          <t>КИ</t>
        </is>
      </c>
    </row>
    <row r="384" ht="27" customHeight="1">
      <c r="A384" s="55" t="inlineStr">
        <is>
          <t>SU002319</t>
        </is>
      </c>
      <c r="B384" s="55" t="inlineStr">
        <is>
          <t>P002597</t>
        </is>
      </c>
      <c r="C384" s="32" t="n">
        <v>4301020185</v>
      </c>
      <c r="D384" s="316" t="n">
        <v>4607091389364</v>
      </c>
      <c r="E384" s="317" t="n"/>
      <c r="F384" s="645" t="n">
        <v>0.42</v>
      </c>
      <c r="G384" s="33" t="n">
        <v>6</v>
      </c>
      <c r="H384" s="645" t="n">
        <v>2.52</v>
      </c>
      <c r="I384" s="645" t="n">
        <v>2.75</v>
      </c>
      <c r="J384" s="33" t="n">
        <v>156</v>
      </c>
      <c r="K384" s="34" t="inlineStr">
        <is>
          <t>СК3</t>
        </is>
      </c>
      <c r="L384" s="33" t="n">
        <v>35</v>
      </c>
      <c r="M384" s="374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84" s="319" t="n"/>
      <c r="O384" s="319" t="n"/>
      <c r="P384" s="319" t="n"/>
      <c r="Q384" s="317" t="n"/>
      <c r="R384" s="35" t="n"/>
      <c r="S384" s="35" t="n"/>
      <c r="T384" s="36" t="inlineStr">
        <is>
          <t>кг</t>
        </is>
      </c>
      <c r="U384" s="646" t="n">
        <v>0</v>
      </c>
      <c r="V384" s="647">
        <f>IFERROR(IF(U384="",0,CEILING((U384/$H384),1)*$H384),"")</f>
        <v/>
      </c>
      <c r="W384" s="37">
        <f>IFERROR(IF(V384=0,"",ROUNDUP(V384/H384,0)*0.00753),"")</f>
        <v/>
      </c>
      <c r="X384" s="57" t="n"/>
      <c r="Y384" s="58" t="n"/>
      <c r="AC384" s="59" t="n"/>
      <c r="AZ384" s="263" t="inlineStr">
        <is>
          <t>КИ</t>
        </is>
      </c>
    </row>
    <row r="385">
      <c r="A385" s="313" t="n"/>
      <c r="B385" s="314" t="n"/>
      <c r="C385" s="314" t="n"/>
      <c r="D385" s="314" t="n"/>
      <c r="E385" s="314" t="n"/>
      <c r="F385" s="314" t="n"/>
      <c r="G385" s="314" t="n"/>
      <c r="H385" s="314" t="n"/>
      <c r="I385" s="314" t="n"/>
      <c r="J385" s="314" t="n"/>
      <c r="K385" s="314" t="n"/>
      <c r="L385" s="315" t="n"/>
      <c r="M385" s="328" t="inlineStr">
        <is>
          <t>Итого</t>
        </is>
      </c>
      <c r="N385" s="329" t="n"/>
      <c r="O385" s="329" t="n"/>
      <c r="P385" s="329" t="n"/>
      <c r="Q385" s="329" t="n"/>
      <c r="R385" s="329" t="n"/>
      <c r="S385" s="330" t="n"/>
      <c r="T385" s="38" t="inlineStr">
        <is>
          <t>кор</t>
        </is>
      </c>
      <c r="U385" s="648">
        <f>IFERROR(U383/H383,"0")+IFERROR(U384/H384,"0")</f>
        <v/>
      </c>
      <c r="V385" s="648">
        <f>IFERROR(V383/H383,"0")+IFERROR(V384/H384,"0")</f>
        <v/>
      </c>
      <c r="W385" s="648">
        <f>IFERROR(IF(W383="",0,W383),"0")+IFERROR(IF(W384="",0,W384),"0")</f>
        <v/>
      </c>
      <c r="X385" s="649" t="n"/>
      <c r="Y385" s="649" t="n"/>
    </row>
    <row r="386">
      <c r="A386" s="314" t="n"/>
      <c r="B386" s="314" t="n"/>
      <c r="C386" s="314" t="n"/>
      <c r="D386" s="314" t="n"/>
      <c r="E386" s="314" t="n"/>
      <c r="F386" s="314" t="n"/>
      <c r="G386" s="314" t="n"/>
      <c r="H386" s="314" t="n"/>
      <c r="I386" s="314" t="n"/>
      <c r="J386" s="314" t="n"/>
      <c r="K386" s="314" t="n"/>
      <c r="L386" s="315" t="n"/>
      <c r="M386" s="328" t="inlineStr">
        <is>
          <t>Итого</t>
        </is>
      </c>
      <c r="N386" s="329" t="n"/>
      <c r="O386" s="329" t="n"/>
      <c r="P386" s="329" t="n"/>
      <c r="Q386" s="329" t="n"/>
      <c r="R386" s="329" t="n"/>
      <c r="S386" s="330" t="n"/>
      <c r="T386" s="38" t="inlineStr">
        <is>
          <t>кг</t>
        </is>
      </c>
      <c r="U386" s="648">
        <f>IFERROR(SUM(U383:U384),"0")</f>
        <v/>
      </c>
      <c r="V386" s="648">
        <f>IFERROR(SUM(V383:V384),"0")</f>
        <v/>
      </c>
      <c r="W386" s="38" t="n"/>
      <c r="X386" s="649" t="n"/>
      <c r="Y386" s="649" t="n"/>
    </row>
    <row r="387" ht="14.25" customHeight="1">
      <c r="A387" s="326" t="inlineStr">
        <is>
          <t>Копченые колбасы</t>
        </is>
      </c>
      <c r="B387" s="314" t="n"/>
      <c r="C387" s="314" t="n"/>
      <c r="D387" s="314" t="n"/>
      <c r="E387" s="314" t="n"/>
      <c r="F387" s="314" t="n"/>
      <c r="G387" s="314" t="n"/>
      <c r="H387" s="314" t="n"/>
      <c r="I387" s="314" t="n"/>
      <c r="J387" s="314" t="n"/>
      <c r="K387" s="314" t="n"/>
      <c r="L387" s="314" t="n"/>
      <c r="M387" s="314" t="n"/>
      <c r="N387" s="314" t="n"/>
      <c r="O387" s="314" t="n"/>
      <c r="P387" s="314" t="n"/>
      <c r="Q387" s="314" t="n"/>
      <c r="R387" s="314" t="n"/>
      <c r="S387" s="314" t="n"/>
      <c r="T387" s="314" t="n"/>
      <c r="U387" s="314" t="n"/>
      <c r="V387" s="314" t="n"/>
      <c r="W387" s="314" t="n"/>
      <c r="X387" s="326" t="n"/>
      <c r="Y387" s="326" t="n"/>
    </row>
    <row r="388" ht="27" customHeight="1">
      <c r="A388" s="55" t="inlineStr">
        <is>
          <t>SU002612</t>
        </is>
      </c>
      <c r="B388" s="55" t="inlineStr">
        <is>
          <t>P003140</t>
        </is>
      </c>
      <c r="C388" s="32" t="n">
        <v>4301031212</v>
      </c>
      <c r="D388" s="316" t="n">
        <v>4607091389739</v>
      </c>
      <c r="E388" s="317" t="n"/>
      <c r="F388" s="645" t="n">
        <v>0.7</v>
      </c>
      <c r="G388" s="33" t="n">
        <v>6</v>
      </c>
      <c r="H388" s="645" t="n">
        <v>4.2</v>
      </c>
      <c r="I388" s="645" t="n">
        <v>4.43</v>
      </c>
      <c r="J388" s="33" t="n">
        <v>156</v>
      </c>
      <c r="K388" s="34" t="inlineStr">
        <is>
          <t>СК1</t>
        </is>
      </c>
      <c r="L388" s="33" t="n">
        <v>45</v>
      </c>
      <c r="M388" s="637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88" s="319" t="n"/>
      <c r="O388" s="319" t="n"/>
      <c r="P388" s="319" t="n"/>
      <c r="Q388" s="317" t="n"/>
      <c r="R388" s="35" t="n"/>
      <c r="S388" s="35" t="n"/>
      <c r="T388" s="36" t="inlineStr">
        <is>
          <t>кг</t>
        </is>
      </c>
      <c r="U388" s="646" t="n">
        <v>50</v>
      </c>
      <c r="V388" s="647">
        <f>IFERROR(IF(U388="",0,CEILING((U388/$H388),1)*$H388),"")</f>
        <v/>
      </c>
      <c r="W388" s="37">
        <f>IFERROR(IF(V388=0,"",ROUNDUP(V388/H388,0)*0.00753),"")</f>
        <v/>
      </c>
      <c r="X388" s="57" t="n"/>
      <c r="Y388" s="58" t="n"/>
      <c r="AC388" s="59" t="n"/>
      <c r="AZ388" s="264" t="inlineStr">
        <is>
          <t>КИ</t>
        </is>
      </c>
    </row>
    <row r="389" ht="27" customHeight="1">
      <c r="A389" s="55" t="inlineStr">
        <is>
          <t>SU003071</t>
        </is>
      </c>
      <c r="B389" s="55" t="inlineStr">
        <is>
          <t>P003612</t>
        </is>
      </c>
      <c r="C389" s="32" t="n">
        <v>4301031247</v>
      </c>
      <c r="D389" s="316" t="n">
        <v>4680115883048</v>
      </c>
      <c r="E389" s="317" t="n"/>
      <c r="F389" s="645" t="n">
        <v>1</v>
      </c>
      <c r="G389" s="33" t="n">
        <v>4</v>
      </c>
      <c r="H389" s="645" t="n">
        <v>4</v>
      </c>
      <c r="I389" s="645" t="n">
        <v>4.21</v>
      </c>
      <c r="J389" s="33" t="n">
        <v>120</v>
      </c>
      <c r="K389" s="34" t="inlineStr">
        <is>
          <t>СК2</t>
        </is>
      </c>
      <c r="L389" s="33" t="n">
        <v>40</v>
      </c>
      <c r="M389" s="346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N389" s="319" t="n"/>
      <c r="O389" s="319" t="n"/>
      <c r="P389" s="319" t="n"/>
      <c r="Q389" s="317" t="n"/>
      <c r="R389" s="35" t="n"/>
      <c r="S389" s="35" t="n"/>
      <c r="T389" s="36" t="inlineStr">
        <is>
          <t>кг</t>
        </is>
      </c>
      <c r="U389" s="646" t="n">
        <v>0</v>
      </c>
      <c r="V389" s="647">
        <f>IFERROR(IF(U389="",0,CEILING((U389/$H389),1)*$H389),"")</f>
        <v/>
      </c>
      <c r="W389" s="37">
        <f>IFERROR(IF(V389=0,"",ROUNDUP(V389/H389,0)*0.00937),"")</f>
        <v/>
      </c>
      <c r="X389" s="57" t="n"/>
      <c r="Y389" s="58" t="n"/>
      <c r="AC389" s="59" t="n"/>
      <c r="AZ389" s="265" t="inlineStr">
        <is>
          <t>КИ</t>
        </is>
      </c>
    </row>
    <row r="390" ht="27" customHeight="1">
      <c r="A390" s="55" t="inlineStr">
        <is>
          <t>SU002545</t>
        </is>
      </c>
      <c r="B390" s="55" t="inlineStr">
        <is>
          <t>P003137</t>
        </is>
      </c>
      <c r="C390" s="32" t="n">
        <v>4301031176</v>
      </c>
      <c r="D390" s="316" t="n">
        <v>4607091389425</v>
      </c>
      <c r="E390" s="317" t="n"/>
      <c r="F390" s="645" t="n">
        <v>0.35</v>
      </c>
      <c r="G390" s="33" t="n">
        <v>6</v>
      </c>
      <c r="H390" s="645" t="n">
        <v>2.1</v>
      </c>
      <c r="I390" s="645" t="n">
        <v>2.23</v>
      </c>
      <c r="J390" s="33" t="n">
        <v>234</v>
      </c>
      <c r="K390" s="34" t="inlineStr">
        <is>
          <t>СК2</t>
        </is>
      </c>
      <c r="L390" s="33" t="n">
        <v>45</v>
      </c>
      <c r="M390" s="344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90" s="319" t="n"/>
      <c r="O390" s="319" t="n"/>
      <c r="P390" s="319" t="n"/>
      <c r="Q390" s="317" t="n"/>
      <c r="R390" s="35" t="n"/>
      <c r="S390" s="35" t="n"/>
      <c r="T390" s="36" t="inlineStr">
        <is>
          <t>кг</t>
        </is>
      </c>
      <c r="U390" s="646" t="n">
        <v>0</v>
      </c>
      <c r="V390" s="647">
        <f>IFERROR(IF(U390="",0,CEILING((U390/$H390),1)*$H390),"")</f>
        <v/>
      </c>
      <c r="W390" s="37">
        <f>IFERROR(IF(V390=0,"",ROUNDUP(V390/H390,0)*0.00502),"")</f>
        <v/>
      </c>
      <c r="X390" s="57" t="n"/>
      <c r="Y390" s="58" t="n"/>
      <c r="AC390" s="59" t="n"/>
      <c r="AZ390" s="266" t="inlineStr">
        <is>
          <t>КИ</t>
        </is>
      </c>
    </row>
    <row r="391" ht="27" customHeight="1">
      <c r="A391" s="55" t="inlineStr">
        <is>
          <t>SU002917</t>
        </is>
      </c>
      <c r="B391" s="55" t="inlineStr">
        <is>
          <t>P003343</t>
        </is>
      </c>
      <c r="C391" s="32" t="n">
        <v>4301031215</v>
      </c>
      <c r="D391" s="316" t="n">
        <v>4680115882911</v>
      </c>
      <c r="E391" s="317" t="n"/>
      <c r="F391" s="645" t="n">
        <v>0.4</v>
      </c>
      <c r="G391" s="33" t="n">
        <v>6</v>
      </c>
      <c r="H391" s="645" t="n">
        <v>2.4</v>
      </c>
      <c r="I391" s="645" t="n">
        <v>2.53</v>
      </c>
      <c r="J391" s="33" t="n">
        <v>234</v>
      </c>
      <c r="K391" s="34" t="inlineStr">
        <is>
          <t>СК2</t>
        </is>
      </c>
      <c r="L391" s="33" t="n">
        <v>40</v>
      </c>
      <c r="M391" s="352" t="inlineStr">
        <is>
          <t>П/к колбасы «Балыкбургская по-баварски» Фикс.вес 0,4 н/о мгс ТМ «Баварушка»</t>
        </is>
      </c>
      <c r="N391" s="319" t="n"/>
      <c r="O391" s="319" t="n"/>
      <c r="P391" s="319" t="n"/>
      <c r="Q391" s="317" t="n"/>
      <c r="R391" s="35" t="n"/>
      <c r="S391" s="35" t="n"/>
      <c r="T391" s="36" t="inlineStr">
        <is>
          <t>кг</t>
        </is>
      </c>
      <c r="U391" s="646" t="n">
        <v>0</v>
      </c>
      <c r="V391" s="647">
        <f>IFERROR(IF(U391="",0,CEILING((U391/$H391),1)*$H391),"")</f>
        <v/>
      </c>
      <c r="W391" s="37">
        <f>IFERROR(IF(V391=0,"",ROUNDUP(V391/H391,0)*0.00502),"")</f>
        <v/>
      </c>
      <c r="X391" s="57" t="n"/>
      <c r="Y391" s="58" t="n"/>
      <c r="AC391" s="59" t="n"/>
      <c r="AZ391" s="267" t="inlineStr">
        <is>
          <t>КИ</t>
        </is>
      </c>
    </row>
    <row r="392" ht="27" customHeight="1">
      <c r="A392" s="55" t="inlineStr">
        <is>
          <t>SU002726</t>
        </is>
      </c>
      <c r="B392" s="55" t="inlineStr">
        <is>
          <t>P003095</t>
        </is>
      </c>
      <c r="C392" s="32" t="n">
        <v>4301031167</v>
      </c>
      <c r="D392" s="316" t="n">
        <v>4680115880771</v>
      </c>
      <c r="E392" s="317" t="n"/>
      <c r="F392" s="645" t="n">
        <v>0.28</v>
      </c>
      <c r="G392" s="33" t="n">
        <v>6</v>
      </c>
      <c r="H392" s="645" t="n">
        <v>1.68</v>
      </c>
      <c r="I392" s="645" t="n">
        <v>1.81</v>
      </c>
      <c r="J392" s="33" t="n">
        <v>234</v>
      </c>
      <c r="K392" s="34" t="inlineStr">
        <is>
          <t>СК2</t>
        </is>
      </c>
      <c r="L392" s="33" t="n">
        <v>45</v>
      </c>
      <c r="M392" s="497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92" s="319" t="n"/>
      <c r="O392" s="319" t="n"/>
      <c r="P392" s="319" t="n"/>
      <c r="Q392" s="317" t="n"/>
      <c r="R392" s="35" t="n"/>
      <c r="S392" s="35" t="n"/>
      <c r="T392" s="36" t="inlineStr">
        <is>
          <t>кг</t>
        </is>
      </c>
      <c r="U392" s="646" t="n">
        <v>0</v>
      </c>
      <c r="V392" s="647">
        <f>IFERROR(IF(U392="",0,CEILING((U392/$H392),1)*$H392),"")</f>
        <v/>
      </c>
      <c r="W392" s="37">
        <f>IFERROR(IF(V392=0,"",ROUNDUP(V392/H392,0)*0.00502),"")</f>
        <v/>
      </c>
      <c r="X392" s="57" t="n"/>
      <c r="Y392" s="58" t="n"/>
      <c r="AC392" s="59" t="n"/>
      <c r="AZ392" s="268" t="inlineStr">
        <is>
          <t>КИ</t>
        </is>
      </c>
    </row>
    <row r="393" ht="27" customHeight="1">
      <c r="A393" s="55" t="inlineStr">
        <is>
          <t>SU002604</t>
        </is>
      </c>
      <c r="B393" s="55" t="inlineStr">
        <is>
          <t>P003135</t>
        </is>
      </c>
      <c r="C393" s="32" t="n">
        <v>4301031173</v>
      </c>
      <c r="D393" s="316" t="n">
        <v>4607091389500</v>
      </c>
      <c r="E393" s="317" t="n"/>
      <c r="F393" s="645" t="n">
        <v>0.35</v>
      </c>
      <c r="G393" s="33" t="n">
        <v>6</v>
      </c>
      <c r="H393" s="645" t="n">
        <v>2.1</v>
      </c>
      <c r="I393" s="645" t="n">
        <v>2.23</v>
      </c>
      <c r="J393" s="33" t="n">
        <v>234</v>
      </c>
      <c r="K393" s="34" t="inlineStr">
        <is>
          <t>СК2</t>
        </is>
      </c>
      <c r="L393" s="33" t="n">
        <v>45</v>
      </c>
      <c r="M393" s="529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93" s="319" t="n"/>
      <c r="O393" s="319" t="n"/>
      <c r="P393" s="319" t="n"/>
      <c r="Q393" s="317" t="n"/>
      <c r="R393" s="35" t="n"/>
      <c r="S393" s="35" t="n"/>
      <c r="T393" s="36" t="inlineStr">
        <is>
          <t>кг</t>
        </is>
      </c>
      <c r="U393" s="646" t="n">
        <v>0</v>
      </c>
      <c r="V393" s="647">
        <f>IFERROR(IF(U393="",0,CEILING((U393/$H393),1)*$H393),"")</f>
        <v/>
      </c>
      <c r="W393" s="37">
        <f>IFERROR(IF(V393=0,"",ROUNDUP(V393/H393,0)*0.00502),"")</f>
        <v/>
      </c>
      <c r="X393" s="57" t="n"/>
      <c r="Y393" s="58" t="n"/>
      <c r="AC393" s="59" t="n"/>
      <c r="AZ393" s="269" t="inlineStr">
        <is>
          <t>КИ</t>
        </is>
      </c>
    </row>
    <row r="394" ht="27" customHeight="1">
      <c r="A394" s="55" t="inlineStr">
        <is>
          <t>SU002358</t>
        </is>
      </c>
      <c r="B394" s="55" t="inlineStr">
        <is>
          <t>P002642</t>
        </is>
      </c>
      <c r="C394" s="32" t="n">
        <v>4301031103</v>
      </c>
      <c r="D394" s="316" t="n">
        <v>4680115881983</v>
      </c>
      <c r="E394" s="317" t="n"/>
      <c r="F394" s="645" t="n">
        <v>0.28</v>
      </c>
      <c r="G394" s="33" t="n">
        <v>4</v>
      </c>
      <c r="H394" s="645" t="n">
        <v>1.12</v>
      </c>
      <c r="I394" s="645" t="n">
        <v>1.252</v>
      </c>
      <c r="J394" s="33" t="n">
        <v>234</v>
      </c>
      <c r="K394" s="34" t="inlineStr">
        <is>
          <t>СК2</t>
        </is>
      </c>
      <c r="L394" s="33" t="n">
        <v>40</v>
      </c>
      <c r="M394" s="502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94" s="319" t="n"/>
      <c r="O394" s="319" t="n"/>
      <c r="P394" s="319" t="n"/>
      <c r="Q394" s="317" t="n"/>
      <c r="R394" s="35" t="n"/>
      <c r="S394" s="35" t="n"/>
      <c r="T394" s="36" t="inlineStr">
        <is>
          <t>кг</t>
        </is>
      </c>
      <c r="U394" s="646" t="n">
        <v>0</v>
      </c>
      <c r="V394" s="647">
        <f>IFERROR(IF(U394="",0,CEILING((U394/$H394),1)*$H394),"")</f>
        <v/>
      </c>
      <c r="W394" s="37">
        <f>IFERROR(IF(V394=0,"",ROUNDUP(V394/H394,0)*0.00502),"")</f>
        <v/>
      </c>
      <c r="X394" s="57" t="n"/>
      <c r="Y394" s="58" t="n"/>
      <c r="AC394" s="59" t="n"/>
      <c r="AZ394" s="270" t="inlineStr">
        <is>
          <t>КИ</t>
        </is>
      </c>
    </row>
    <row r="395">
      <c r="A395" s="313" t="n"/>
      <c r="B395" s="314" t="n"/>
      <c r="C395" s="314" t="n"/>
      <c r="D395" s="314" t="n"/>
      <c r="E395" s="314" t="n"/>
      <c r="F395" s="314" t="n"/>
      <c r="G395" s="314" t="n"/>
      <c r="H395" s="314" t="n"/>
      <c r="I395" s="314" t="n"/>
      <c r="J395" s="314" t="n"/>
      <c r="K395" s="314" t="n"/>
      <c r="L395" s="315" t="n"/>
      <c r="M395" s="328" t="inlineStr">
        <is>
          <t>Итого</t>
        </is>
      </c>
      <c r="N395" s="329" t="n"/>
      <c r="O395" s="329" t="n"/>
      <c r="P395" s="329" t="n"/>
      <c r="Q395" s="329" t="n"/>
      <c r="R395" s="329" t="n"/>
      <c r="S395" s="330" t="n"/>
      <c r="T395" s="38" t="inlineStr">
        <is>
          <t>кор</t>
        </is>
      </c>
      <c r="U395" s="648">
        <f>IFERROR(U388/H388,"0")+IFERROR(U389/H389,"0")+IFERROR(U390/H390,"0")+IFERROR(U391/H391,"0")+IFERROR(U392/H392,"0")+IFERROR(U393/H393,"0")+IFERROR(U394/H394,"0")</f>
        <v/>
      </c>
      <c r="V395" s="648">
        <f>IFERROR(V388/H388,"0")+IFERROR(V389/H389,"0")+IFERROR(V390/H390,"0")+IFERROR(V391/H391,"0")+IFERROR(V392/H392,"0")+IFERROR(V393/H393,"0")+IFERROR(V394/H394,"0")</f>
        <v/>
      </c>
      <c r="W395" s="648">
        <f>IFERROR(IF(W388="",0,W388),"0")+IFERROR(IF(W389="",0,W389),"0")+IFERROR(IF(W390="",0,W390),"0")+IFERROR(IF(W391="",0,W391),"0")+IFERROR(IF(W392="",0,W392),"0")+IFERROR(IF(W393="",0,W393),"0")+IFERROR(IF(W394="",0,W394),"0")</f>
        <v/>
      </c>
      <c r="X395" s="649" t="n"/>
      <c r="Y395" s="649" t="n"/>
    </row>
    <row r="396">
      <c r="A396" s="314" t="n"/>
      <c r="B396" s="314" t="n"/>
      <c r="C396" s="314" t="n"/>
      <c r="D396" s="314" t="n"/>
      <c r="E396" s="314" t="n"/>
      <c r="F396" s="314" t="n"/>
      <c r="G396" s="314" t="n"/>
      <c r="H396" s="314" t="n"/>
      <c r="I396" s="314" t="n"/>
      <c r="J396" s="314" t="n"/>
      <c r="K396" s="314" t="n"/>
      <c r="L396" s="315" t="n"/>
      <c r="M396" s="328" t="inlineStr">
        <is>
          <t>Итого</t>
        </is>
      </c>
      <c r="N396" s="329" t="n"/>
      <c r="O396" s="329" t="n"/>
      <c r="P396" s="329" t="n"/>
      <c r="Q396" s="329" t="n"/>
      <c r="R396" s="329" t="n"/>
      <c r="S396" s="330" t="n"/>
      <c r="T396" s="38" t="inlineStr">
        <is>
          <t>кг</t>
        </is>
      </c>
      <c r="U396" s="648">
        <f>IFERROR(SUM(U388:U394),"0")</f>
        <v/>
      </c>
      <c r="V396" s="648">
        <f>IFERROR(SUM(V388:V394),"0")</f>
        <v/>
      </c>
      <c r="W396" s="38" t="n"/>
      <c r="X396" s="649" t="n"/>
      <c r="Y396" s="649" t="n"/>
    </row>
    <row r="397" ht="14.25" customHeight="1">
      <c r="A397" s="326" t="inlineStr">
        <is>
          <t>Сырокопченые колбасы</t>
        </is>
      </c>
      <c r="B397" s="314" t="n"/>
      <c r="C397" s="314" t="n"/>
      <c r="D397" s="314" t="n"/>
      <c r="E397" s="314" t="n"/>
      <c r="F397" s="314" t="n"/>
      <c r="G397" s="314" t="n"/>
      <c r="H397" s="314" t="n"/>
      <c r="I397" s="314" t="n"/>
      <c r="J397" s="314" t="n"/>
      <c r="K397" s="314" t="n"/>
      <c r="L397" s="314" t="n"/>
      <c r="M397" s="314" t="n"/>
      <c r="N397" s="314" t="n"/>
      <c r="O397" s="314" t="n"/>
      <c r="P397" s="314" t="n"/>
      <c r="Q397" s="314" t="n"/>
      <c r="R397" s="314" t="n"/>
      <c r="S397" s="314" t="n"/>
      <c r="T397" s="314" t="n"/>
      <c r="U397" s="314" t="n"/>
      <c r="V397" s="314" t="n"/>
      <c r="W397" s="314" t="n"/>
      <c r="X397" s="326" t="n"/>
      <c r="Y397" s="326" t="n"/>
    </row>
    <row r="398" ht="27" customHeight="1">
      <c r="A398" s="55" t="inlineStr">
        <is>
          <t>SU003059</t>
        </is>
      </c>
      <c r="B398" s="55" t="inlineStr">
        <is>
          <t>P003623</t>
        </is>
      </c>
      <c r="C398" s="32" t="n">
        <v>4301032044</v>
      </c>
      <c r="D398" s="316" t="n">
        <v>4680115883000</v>
      </c>
      <c r="E398" s="317" t="n"/>
      <c r="F398" s="645" t="n">
        <v>0.03</v>
      </c>
      <c r="G398" s="33" t="n">
        <v>20</v>
      </c>
      <c r="H398" s="645" t="n">
        <v>0.6</v>
      </c>
      <c r="I398" s="645" t="n">
        <v>0.9</v>
      </c>
      <c r="J398" s="33" t="n">
        <v>350</v>
      </c>
      <c r="K398" s="34" t="inlineStr">
        <is>
          <t>ДК</t>
        </is>
      </c>
      <c r="L398" s="33" t="n">
        <v>60</v>
      </c>
      <c r="M398" s="560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/>
      </c>
      <c r="N398" s="319" t="n"/>
      <c r="O398" s="319" t="n"/>
      <c r="P398" s="319" t="n"/>
      <c r="Q398" s="317" t="n"/>
      <c r="R398" s="35" t="n"/>
      <c r="S398" s="35" t="n"/>
      <c r="T398" s="36" t="inlineStr">
        <is>
          <t>кг</t>
        </is>
      </c>
      <c r="U398" s="646" t="n">
        <v>0</v>
      </c>
      <c r="V398" s="647">
        <f>IFERROR(IF(U398="",0,CEILING((U398/$H398),1)*$H398),"")</f>
        <v/>
      </c>
      <c r="W398" s="37">
        <f>IFERROR(IF(V398=0,"",ROUNDUP(V398/H398,0)*0.00349),"")</f>
        <v/>
      </c>
      <c r="X398" s="57" t="n"/>
      <c r="Y398" s="58" t="n"/>
      <c r="AC398" s="59" t="n"/>
      <c r="AZ398" s="271" t="inlineStr">
        <is>
          <t>КИ</t>
        </is>
      </c>
    </row>
    <row r="399">
      <c r="A399" s="313" t="n"/>
      <c r="B399" s="314" t="n"/>
      <c r="C399" s="314" t="n"/>
      <c r="D399" s="314" t="n"/>
      <c r="E399" s="314" t="n"/>
      <c r="F399" s="314" t="n"/>
      <c r="G399" s="314" t="n"/>
      <c r="H399" s="314" t="n"/>
      <c r="I399" s="314" t="n"/>
      <c r="J399" s="314" t="n"/>
      <c r="K399" s="314" t="n"/>
      <c r="L399" s="315" t="n"/>
      <c r="M399" s="328" t="inlineStr">
        <is>
          <t>Итого</t>
        </is>
      </c>
      <c r="N399" s="329" t="n"/>
      <c r="O399" s="329" t="n"/>
      <c r="P399" s="329" t="n"/>
      <c r="Q399" s="329" t="n"/>
      <c r="R399" s="329" t="n"/>
      <c r="S399" s="330" t="n"/>
      <c r="T399" s="38" t="inlineStr">
        <is>
          <t>кор</t>
        </is>
      </c>
      <c r="U399" s="648">
        <f>IFERROR(U398/H398,"0")</f>
        <v/>
      </c>
      <c r="V399" s="648">
        <f>IFERROR(V398/H398,"0")</f>
        <v/>
      </c>
      <c r="W399" s="648">
        <f>IFERROR(IF(W398="",0,W398),"0")</f>
        <v/>
      </c>
      <c r="X399" s="649" t="n"/>
      <c r="Y399" s="649" t="n"/>
    </row>
    <row r="400">
      <c r="A400" s="314" t="n"/>
      <c r="B400" s="314" t="n"/>
      <c r="C400" s="314" t="n"/>
      <c r="D400" s="314" t="n"/>
      <c r="E400" s="314" t="n"/>
      <c r="F400" s="314" t="n"/>
      <c r="G400" s="314" t="n"/>
      <c r="H400" s="314" t="n"/>
      <c r="I400" s="314" t="n"/>
      <c r="J400" s="314" t="n"/>
      <c r="K400" s="314" t="n"/>
      <c r="L400" s="315" t="n"/>
      <c r="M400" s="328" t="inlineStr">
        <is>
          <t>Итого</t>
        </is>
      </c>
      <c r="N400" s="329" t="n"/>
      <c r="O400" s="329" t="n"/>
      <c r="P400" s="329" t="n"/>
      <c r="Q400" s="329" t="n"/>
      <c r="R400" s="329" t="n"/>
      <c r="S400" s="330" t="n"/>
      <c r="T400" s="38" t="inlineStr">
        <is>
          <t>кг</t>
        </is>
      </c>
      <c r="U400" s="648">
        <f>IFERROR(SUM(U398:U398),"0")</f>
        <v/>
      </c>
      <c r="V400" s="648">
        <f>IFERROR(SUM(V398:V398),"0")</f>
        <v/>
      </c>
      <c r="W400" s="38" t="n"/>
      <c r="X400" s="649" t="n"/>
      <c r="Y400" s="649" t="n"/>
    </row>
    <row r="401" ht="14.25" customHeight="1">
      <c r="A401" s="326" t="inlineStr">
        <is>
          <t>Сыровяленые колбасы</t>
        </is>
      </c>
      <c r="B401" s="314" t="n"/>
      <c r="C401" s="314" t="n"/>
      <c r="D401" s="314" t="n"/>
      <c r="E401" s="314" t="n"/>
      <c r="F401" s="314" t="n"/>
      <c r="G401" s="314" t="n"/>
      <c r="H401" s="314" t="n"/>
      <c r="I401" s="314" t="n"/>
      <c r="J401" s="314" t="n"/>
      <c r="K401" s="314" t="n"/>
      <c r="L401" s="314" t="n"/>
      <c r="M401" s="314" t="n"/>
      <c r="N401" s="314" t="n"/>
      <c r="O401" s="314" t="n"/>
      <c r="P401" s="314" t="n"/>
      <c r="Q401" s="314" t="n"/>
      <c r="R401" s="314" t="n"/>
      <c r="S401" s="314" t="n"/>
      <c r="T401" s="314" t="n"/>
      <c r="U401" s="314" t="n"/>
      <c r="V401" s="314" t="n"/>
      <c r="W401" s="314" t="n"/>
      <c r="X401" s="326" t="n"/>
      <c r="Y401" s="326" t="n"/>
    </row>
    <row r="402" ht="27" customHeight="1">
      <c r="A402" s="55" t="inlineStr">
        <is>
          <t>SU003056</t>
        </is>
      </c>
      <c r="B402" s="55" t="inlineStr">
        <is>
          <t>P003622</t>
        </is>
      </c>
      <c r="C402" s="32" t="n">
        <v>4301170008</v>
      </c>
      <c r="D402" s="316" t="n">
        <v>4680115882980</v>
      </c>
      <c r="E402" s="317" t="n"/>
      <c r="F402" s="645" t="n">
        <v>0.13</v>
      </c>
      <c r="G402" s="33" t="n">
        <v>10</v>
      </c>
      <c r="H402" s="645" t="n">
        <v>1.3</v>
      </c>
      <c r="I402" s="645" t="n">
        <v>1.46</v>
      </c>
      <c r="J402" s="33" t="n">
        <v>200</v>
      </c>
      <c r="K402" s="34" t="inlineStr">
        <is>
          <t>ДК</t>
        </is>
      </c>
      <c r="L402" s="33" t="n">
        <v>150</v>
      </c>
      <c r="M402" s="455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N402" s="319" t="n"/>
      <c r="O402" s="319" t="n"/>
      <c r="P402" s="319" t="n"/>
      <c r="Q402" s="317" t="n"/>
      <c r="R402" s="35" t="n"/>
      <c r="S402" s="35" t="n"/>
      <c r="T402" s="36" t="inlineStr">
        <is>
          <t>кг</t>
        </is>
      </c>
      <c r="U402" s="646" t="n">
        <v>0</v>
      </c>
      <c r="V402" s="647">
        <f>IFERROR(IF(U402="",0,CEILING((U402/$H402),1)*$H402),"")</f>
        <v/>
      </c>
      <c r="W402" s="37">
        <f>IFERROR(IF(V402=0,"",ROUNDUP(V402/H402,0)*0.00673),"")</f>
        <v/>
      </c>
      <c r="X402" s="57" t="n"/>
      <c r="Y402" s="58" t="n"/>
      <c r="AC402" s="59" t="n"/>
      <c r="AZ402" s="272" t="inlineStr">
        <is>
          <t>КИ</t>
        </is>
      </c>
    </row>
    <row r="403">
      <c r="A403" s="313" t="n"/>
      <c r="B403" s="314" t="n"/>
      <c r="C403" s="314" t="n"/>
      <c r="D403" s="314" t="n"/>
      <c r="E403" s="314" t="n"/>
      <c r="F403" s="314" t="n"/>
      <c r="G403" s="314" t="n"/>
      <c r="H403" s="314" t="n"/>
      <c r="I403" s="314" t="n"/>
      <c r="J403" s="314" t="n"/>
      <c r="K403" s="314" t="n"/>
      <c r="L403" s="315" t="n"/>
      <c r="M403" s="328" t="inlineStr">
        <is>
          <t>Итого</t>
        </is>
      </c>
      <c r="N403" s="329" t="n"/>
      <c r="O403" s="329" t="n"/>
      <c r="P403" s="329" t="n"/>
      <c r="Q403" s="329" t="n"/>
      <c r="R403" s="329" t="n"/>
      <c r="S403" s="330" t="n"/>
      <c r="T403" s="38" t="inlineStr">
        <is>
          <t>кор</t>
        </is>
      </c>
      <c r="U403" s="648">
        <f>IFERROR(U402/H402,"0")</f>
        <v/>
      </c>
      <c r="V403" s="648">
        <f>IFERROR(V402/H402,"0")</f>
        <v/>
      </c>
      <c r="W403" s="648">
        <f>IFERROR(IF(W402="",0,W402),"0")</f>
        <v/>
      </c>
      <c r="X403" s="649" t="n"/>
      <c r="Y403" s="649" t="n"/>
    </row>
    <row r="404">
      <c r="A404" s="314" t="n"/>
      <c r="B404" s="314" t="n"/>
      <c r="C404" s="314" t="n"/>
      <c r="D404" s="314" t="n"/>
      <c r="E404" s="314" t="n"/>
      <c r="F404" s="314" t="n"/>
      <c r="G404" s="314" t="n"/>
      <c r="H404" s="314" t="n"/>
      <c r="I404" s="314" t="n"/>
      <c r="J404" s="314" t="n"/>
      <c r="K404" s="314" t="n"/>
      <c r="L404" s="315" t="n"/>
      <c r="M404" s="328" t="inlineStr">
        <is>
          <t>Итого</t>
        </is>
      </c>
      <c r="N404" s="329" t="n"/>
      <c r="O404" s="329" t="n"/>
      <c r="P404" s="329" t="n"/>
      <c r="Q404" s="329" t="n"/>
      <c r="R404" s="329" t="n"/>
      <c r="S404" s="330" t="n"/>
      <c r="T404" s="38" t="inlineStr">
        <is>
          <t>кг</t>
        </is>
      </c>
      <c r="U404" s="648">
        <f>IFERROR(SUM(U402:U402),"0")</f>
        <v/>
      </c>
      <c r="V404" s="648">
        <f>IFERROR(SUM(V402:V402),"0")</f>
        <v/>
      </c>
      <c r="W404" s="38" t="n"/>
      <c r="X404" s="649" t="n"/>
      <c r="Y404" s="649" t="n"/>
    </row>
    <row r="405" ht="27.75" customHeight="1">
      <c r="A405" s="357" t="inlineStr">
        <is>
          <t>Дугушка</t>
        </is>
      </c>
      <c r="B405" s="358" t="n"/>
      <c r="C405" s="358" t="n"/>
      <c r="D405" s="358" t="n"/>
      <c r="E405" s="358" t="n"/>
      <c r="F405" s="358" t="n"/>
      <c r="G405" s="358" t="n"/>
      <c r="H405" s="358" t="n"/>
      <c r="I405" s="358" t="n"/>
      <c r="J405" s="358" t="n"/>
      <c r="K405" s="358" t="n"/>
      <c r="L405" s="358" t="n"/>
      <c r="M405" s="358" t="n"/>
      <c r="N405" s="358" t="n"/>
      <c r="O405" s="358" t="n"/>
      <c r="P405" s="358" t="n"/>
      <c r="Q405" s="358" t="n"/>
      <c r="R405" s="358" t="n"/>
      <c r="S405" s="358" t="n"/>
      <c r="T405" s="358" t="n"/>
      <c r="U405" s="358" t="n"/>
      <c r="V405" s="358" t="n"/>
      <c r="W405" s="358" t="n"/>
      <c r="X405" s="49" t="n"/>
      <c r="Y405" s="49" t="n"/>
    </row>
    <row r="406" ht="16.5" customHeight="1">
      <c r="A406" s="337" t="inlineStr">
        <is>
          <t>Дугушка</t>
        </is>
      </c>
      <c r="B406" s="314" t="n"/>
      <c r="C406" s="314" t="n"/>
      <c r="D406" s="314" t="n"/>
      <c r="E406" s="314" t="n"/>
      <c r="F406" s="314" t="n"/>
      <c r="G406" s="314" t="n"/>
      <c r="H406" s="314" t="n"/>
      <c r="I406" s="314" t="n"/>
      <c r="J406" s="314" t="n"/>
      <c r="K406" s="314" t="n"/>
      <c r="L406" s="314" t="n"/>
      <c r="M406" s="314" t="n"/>
      <c r="N406" s="314" t="n"/>
      <c r="O406" s="314" t="n"/>
      <c r="P406" s="314" t="n"/>
      <c r="Q406" s="314" t="n"/>
      <c r="R406" s="314" t="n"/>
      <c r="S406" s="314" t="n"/>
      <c r="T406" s="314" t="n"/>
      <c r="U406" s="314" t="n"/>
      <c r="V406" s="314" t="n"/>
      <c r="W406" s="314" t="n"/>
      <c r="X406" s="337" t="n"/>
      <c r="Y406" s="337" t="n"/>
    </row>
    <row r="407" ht="14.25" customHeight="1">
      <c r="A407" s="326" t="inlineStr">
        <is>
          <t>Вареные колбасы</t>
        </is>
      </c>
      <c r="B407" s="314" t="n"/>
      <c r="C407" s="314" t="n"/>
      <c r="D407" s="314" t="n"/>
      <c r="E407" s="314" t="n"/>
      <c r="F407" s="314" t="n"/>
      <c r="G407" s="314" t="n"/>
      <c r="H407" s="314" t="n"/>
      <c r="I407" s="314" t="n"/>
      <c r="J407" s="314" t="n"/>
      <c r="K407" s="314" t="n"/>
      <c r="L407" s="314" t="n"/>
      <c r="M407" s="314" t="n"/>
      <c r="N407" s="314" t="n"/>
      <c r="O407" s="314" t="n"/>
      <c r="P407" s="314" t="n"/>
      <c r="Q407" s="314" t="n"/>
      <c r="R407" s="314" t="n"/>
      <c r="S407" s="314" t="n"/>
      <c r="T407" s="314" t="n"/>
      <c r="U407" s="314" t="n"/>
      <c r="V407" s="314" t="n"/>
      <c r="W407" s="314" t="n"/>
      <c r="X407" s="326" t="n"/>
      <c r="Y407" s="326" t="n"/>
    </row>
    <row r="408" ht="27" customHeight="1">
      <c r="A408" s="55" t="inlineStr">
        <is>
          <t>SU002011</t>
        </is>
      </c>
      <c r="B408" s="55" t="inlineStr">
        <is>
          <t>P002991</t>
        </is>
      </c>
      <c r="C408" s="32" t="n">
        <v>4301011371</v>
      </c>
      <c r="D408" s="316" t="n">
        <v>4607091389067</v>
      </c>
      <c r="E408" s="317" t="n"/>
      <c r="F408" s="645" t="n">
        <v>0.88</v>
      </c>
      <c r="G408" s="33" t="n">
        <v>6</v>
      </c>
      <c r="H408" s="645" t="n">
        <v>5.28</v>
      </c>
      <c r="I408" s="645" t="n">
        <v>5.64</v>
      </c>
      <c r="J408" s="33" t="n">
        <v>104</v>
      </c>
      <c r="K408" s="34" t="inlineStr">
        <is>
          <t>СК3</t>
        </is>
      </c>
      <c r="L408" s="33" t="n">
        <v>55</v>
      </c>
      <c r="M408" s="454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08" s="319" t="n"/>
      <c r="O408" s="319" t="n"/>
      <c r="P408" s="319" t="n"/>
      <c r="Q408" s="317" t="n"/>
      <c r="R408" s="35" t="n"/>
      <c r="S408" s="35" t="n"/>
      <c r="T408" s="36" t="inlineStr">
        <is>
          <t>кг</t>
        </is>
      </c>
      <c r="U408" s="646" t="n">
        <v>100</v>
      </c>
      <c r="V408" s="647">
        <f>IFERROR(IF(U408="",0,CEILING((U408/$H408),1)*$H408),"")</f>
        <v/>
      </c>
      <c r="W408" s="37">
        <f>IFERROR(IF(V408=0,"",ROUNDUP(V408/H408,0)*0.01196),"")</f>
        <v/>
      </c>
      <c r="X408" s="57" t="n"/>
      <c r="Y408" s="58" t="n"/>
      <c r="AC408" s="59" t="n"/>
      <c r="AZ408" s="273" t="inlineStr">
        <is>
          <t>КИ</t>
        </is>
      </c>
    </row>
    <row r="409" ht="27" customHeight="1">
      <c r="A409" s="55" t="inlineStr">
        <is>
          <t>SU002094</t>
        </is>
      </c>
      <c r="B409" s="55" t="inlineStr">
        <is>
          <t>P002975</t>
        </is>
      </c>
      <c r="C409" s="32" t="n">
        <v>4301011363</v>
      </c>
      <c r="D409" s="316" t="n">
        <v>4607091383522</v>
      </c>
      <c r="E409" s="317" t="n"/>
      <c r="F409" s="645" t="n">
        <v>0.88</v>
      </c>
      <c r="G409" s="33" t="n">
        <v>6</v>
      </c>
      <c r="H409" s="645" t="n">
        <v>5.28</v>
      </c>
      <c r="I409" s="645" t="n">
        <v>5.64</v>
      </c>
      <c r="J409" s="33" t="n">
        <v>104</v>
      </c>
      <c r="K409" s="34" t="inlineStr">
        <is>
          <t>СК1</t>
        </is>
      </c>
      <c r="L409" s="33" t="n">
        <v>55</v>
      </c>
      <c r="M409" s="372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09" s="319" t="n"/>
      <c r="O409" s="319" t="n"/>
      <c r="P409" s="319" t="n"/>
      <c r="Q409" s="317" t="n"/>
      <c r="R409" s="35" t="n"/>
      <c r="S409" s="35" t="n"/>
      <c r="T409" s="36" t="inlineStr">
        <is>
          <t>кг</t>
        </is>
      </c>
      <c r="U409" s="646" t="n">
        <v>0</v>
      </c>
      <c r="V409" s="647">
        <f>IFERROR(IF(U409="",0,CEILING((U409/$H409),1)*$H409),"")</f>
        <v/>
      </c>
      <c r="W409" s="37">
        <f>IFERROR(IF(V409=0,"",ROUNDUP(V409/H409,0)*0.01196),"")</f>
        <v/>
      </c>
      <c r="X409" s="57" t="n"/>
      <c r="Y409" s="58" t="n"/>
      <c r="AC409" s="59" t="n"/>
      <c r="AZ409" s="274" t="inlineStr">
        <is>
          <t>КИ</t>
        </is>
      </c>
    </row>
    <row r="410" ht="27" customHeight="1">
      <c r="A410" s="55" t="inlineStr">
        <is>
          <t>SU002182</t>
        </is>
      </c>
      <c r="B410" s="55" t="inlineStr">
        <is>
          <t>P002990</t>
        </is>
      </c>
      <c r="C410" s="32" t="n">
        <v>4301011431</v>
      </c>
      <c r="D410" s="316" t="n">
        <v>4607091384437</v>
      </c>
      <c r="E410" s="317" t="n"/>
      <c r="F410" s="645" t="n">
        <v>0.88</v>
      </c>
      <c r="G410" s="33" t="n">
        <v>6</v>
      </c>
      <c r="H410" s="645" t="n">
        <v>5.28</v>
      </c>
      <c r="I410" s="645" t="n">
        <v>5.64</v>
      </c>
      <c r="J410" s="33" t="n">
        <v>104</v>
      </c>
      <c r="K410" s="34" t="inlineStr">
        <is>
          <t>СК1</t>
        </is>
      </c>
      <c r="L410" s="33" t="n">
        <v>50</v>
      </c>
      <c r="M410" s="457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N410" s="319" t="n"/>
      <c r="O410" s="319" t="n"/>
      <c r="P410" s="319" t="n"/>
      <c r="Q410" s="317" t="n"/>
      <c r="R410" s="35" t="n"/>
      <c r="S410" s="35" t="n"/>
      <c r="T410" s="36" t="inlineStr">
        <is>
          <t>кг</t>
        </is>
      </c>
      <c r="U410" s="646" t="n">
        <v>300</v>
      </c>
      <c r="V410" s="647">
        <f>IFERROR(IF(U410="",0,CEILING((U410/$H410),1)*$H410),"")</f>
        <v/>
      </c>
      <c r="W410" s="37">
        <f>IFERROR(IF(V410=0,"",ROUNDUP(V410/H410,0)*0.01196),"")</f>
        <v/>
      </c>
      <c r="X410" s="57" t="n"/>
      <c r="Y410" s="58" t="n"/>
      <c r="AC410" s="59" t="n"/>
      <c r="AZ410" s="275" t="inlineStr">
        <is>
          <t>КИ</t>
        </is>
      </c>
    </row>
    <row r="411" ht="27" customHeight="1">
      <c r="A411" s="55" t="inlineStr">
        <is>
          <t>SU002010</t>
        </is>
      </c>
      <c r="B411" s="55" t="inlineStr">
        <is>
          <t>P002979</t>
        </is>
      </c>
      <c r="C411" s="32" t="n">
        <v>4301011365</v>
      </c>
      <c r="D411" s="316" t="n">
        <v>4607091389104</v>
      </c>
      <c r="E411" s="317" t="n"/>
      <c r="F411" s="645" t="n">
        <v>0.88</v>
      </c>
      <c r="G411" s="33" t="n">
        <v>6</v>
      </c>
      <c r="H411" s="645" t="n">
        <v>5.28</v>
      </c>
      <c r="I411" s="645" t="n">
        <v>5.64</v>
      </c>
      <c r="J411" s="33" t="n">
        <v>104</v>
      </c>
      <c r="K411" s="34" t="inlineStr">
        <is>
          <t>СК1</t>
        </is>
      </c>
      <c r="L411" s="33" t="n">
        <v>55</v>
      </c>
      <c r="M411" s="482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11" s="319" t="n"/>
      <c r="O411" s="319" t="n"/>
      <c r="P411" s="319" t="n"/>
      <c r="Q411" s="317" t="n"/>
      <c r="R411" s="35" t="n"/>
      <c r="S411" s="35" t="n"/>
      <c r="T411" s="36" t="inlineStr">
        <is>
          <t>кг</t>
        </is>
      </c>
      <c r="U411" s="646" t="n">
        <v>0</v>
      </c>
      <c r="V411" s="647">
        <f>IFERROR(IF(U411="",0,CEILING((U411/$H411),1)*$H411),"")</f>
        <v/>
      </c>
      <c r="W411" s="37">
        <f>IFERROR(IF(V411=0,"",ROUNDUP(V411/H411,0)*0.01196),"")</f>
        <v/>
      </c>
      <c r="X411" s="57" t="n"/>
      <c r="Y411" s="58" t="n"/>
      <c r="AC411" s="59" t="n"/>
      <c r="AZ411" s="276" t="inlineStr">
        <is>
          <t>КИ</t>
        </is>
      </c>
    </row>
    <row r="412" ht="27" customHeight="1">
      <c r="A412" s="55" t="inlineStr">
        <is>
          <t>SU002632</t>
        </is>
      </c>
      <c r="B412" s="55" t="inlineStr">
        <is>
          <t>P002982</t>
        </is>
      </c>
      <c r="C412" s="32" t="n">
        <v>4301011367</v>
      </c>
      <c r="D412" s="316" t="n">
        <v>4680115880603</v>
      </c>
      <c r="E412" s="317" t="n"/>
      <c r="F412" s="645" t="n">
        <v>0.6</v>
      </c>
      <c r="G412" s="33" t="n">
        <v>6</v>
      </c>
      <c r="H412" s="645" t="n">
        <v>3.6</v>
      </c>
      <c r="I412" s="645" t="n">
        <v>3.84</v>
      </c>
      <c r="J412" s="33" t="n">
        <v>120</v>
      </c>
      <c r="K412" s="34" t="inlineStr">
        <is>
          <t>СК1</t>
        </is>
      </c>
      <c r="L412" s="33" t="n">
        <v>55</v>
      </c>
      <c r="M412" s="423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N412" s="319" t="n"/>
      <c r="O412" s="319" t="n"/>
      <c r="P412" s="319" t="n"/>
      <c r="Q412" s="317" t="n"/>
      <c r="R412" s="35" t="n"/>
      <c r="S412" s="35" t="n"/>
      <c r="T412" s="36" t="inlineStr">
        <is>
          <t>кг</t>
        </is>
      </c>
      <c r="U412" s="646" t="n">
        <v>0</v>
      </c>
      <c r="V412" s="647">
        <f>IFERROR(IF(U412="",0,CEILING((U412/$H412),1)*$H412),"")</f>
        <v/>
      </c>
      <c r="W412" s="37">
        <f>IFERROR(IF(V412=0,"",ROUNDUP(V412/H412,0)*0.00937),"")</f>
        <v/>
      </c>
      <c r="X412" s="57" t="n"/>
      <c r="Y412" s="58" t="n"/>
      <c r="AC412" s="59" t="n"/>
      <c r="AZ412" s="277" t="inlineStr">
        <is>
          <t>КИ</t>
        </is>
      </c>
    </row>
    <row r="413" ht="27" customHeight="1">
      <c r="A413" s="55" t="inlineStr">
        <is>
          <t>SU002220</t>
        </is>
      </c>
      <c r="B413" s="55" t="inlineStr">
        <is>
          <t>P002404</t>
        </is>
      </c>
      <c r="C413" s="32" t="n">
        <v>4301011168</v>
      </c>
      <c r="D413" s="316" t="n">
        <v>4607091389999</v>
      </c>
      <c r="E413" s="317" t="n"/>
      <c r="F413" s="645" t="n">
        <v>0.6</v>
      </c>
      <c r="G413" s="33" t="n">
        <v>6</v>
      </c>
      <c r="H413" s="645" t="n">
        <v>3.6</v>
      </c>
      <c r="I413" s="645" t="n">
        <v>3.84</v>
      </c>
      <c r="J413" s="33" t="n">
        <v>120</v>
      </c>
      <c r="K413" s="34" t="inlineStr">
        <is>
          <t>СК1</t>
        </is>
      </c>
      <c r="L413" s="33" t="n">
        <v>55</v>
      </c>
      <c r="M413" s="442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N413" s="319" t="n"/>
      <c r="O413" s="319" t="n"/>
      <c r="P413" s="319" t="n"/>
      <c r="Q413" s="317" t="n"/>
      <c r="R413" s="35" t="n"/>
      <c r="S413" s="35" t="n"/>
      <c r="T413" s="36" t="inlineStr">
        <is>
          <t>кг</t>
        </is>
      </c>
      <c r="U413" s="646" t="n">
        <v>0</v>
      </c>
      <c r="V413" s="647">
        <f>IFERROR(IF(U413="",0,CEILING((U413/$H413),1)*$H413),"")</f>
        <v/>
      </c>
      <c r="W413" s="37">
        <f>IFERROR(IF(V413=0,"",ROUNDUP(V413/H413,0)*0.00937),"")</f>
        <v/>
      </c>
      <c r="X413" s="57" t="n"/>
      <c r="Y413" s="58" t="n"/>
      <c r="AC413" s="59" t="n"/>
      <c r="AZ413" s="278" t="inlineStr">
        <is>
          <t>КИ</t>
        </is>
      </c>
    </row>
    <row r="414" ht="27" customHeight="1">
      <c r="A414" s="55" t="inlineStr">
        <is>
          <t>SU002635</t>
        </is>
      </c>
      <c r="B414" s="55" t="inlineStr">
        <is>
          <t>P002992</t>
        </is>
      </c>
      <c r="C414" s="32" t="n">
        <v>4301011372</v>
      </c>
      <c r="D414" s="316" t="n">
        <v>4680115882782</v>
      </c>
      <c r="E414" s="317" t="n"/>
      <c r="F414" s="645" t="n">
        <v>0.6</v>
      </c>
      <c r="G414" s="33" t="n">
        <v>6</v>
      </c>
      <c r="H414" s="645" t="n">
        <v>3.6</v>
      </c>
      <c r="I414" s="645" t="n">
        <v>3.84</v>
      </c>
      <c r="J414" s="33" t="n">
        <v>120</v>
      </c>
      <c r="K414" s="34" t="inlineStr">
        <is>
          <t>СК1</t>
        </is>
      </c>
      <c r="L414" s="33" t="n">
        <v>50</v>
      </c>
      <c r="M414" s="565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N414" s="319" t="n"/>
      <c r="O414" s="319" t="n"/>
      <c r="P414" s="319" t="n"/>
      <c r="Q414" s="317" t="n"/>
      <c r="R414" s="35" t="n"/>
      <c r="S414" s="35" t="n"/>
      <c r="T414" s="36" t="inlineStr">
        <is>
          <t>кг</t>
        </is>
      </c>
      <c r="U414" s="646" t="n">
        <v>0</v>
      </c>
      <c r="V414" s="647">
        <f>IFERROR(IF(U414="",0,CEILING((U414/$H414),1)*$H414),"")</f>
        <v/>
      </c>
      <c r="W414" s="37">
        <f>IFERROR(IF(V414=0,"",ROUNDUP(V414/H414,0)*0.00937),"")</f>
        <v/>
      </c>
      <c r="X414" s="57" t="n"/>
      <c r="Y414" s="58" t="n"/>
      <c r="AC414" s="59" t="n"/>
      <c r="AZ414" s="279" t="inlineStr">
        <is>
          <t>КИ</t>
        </is>
      </c>
    </row>
    <row r="415" ht="27" customHeight="1">
      <c r="A415" s="55" t="inlineStr">
        <is>
          <t>SU002020</t>
        </is>
      </c>
      <c r="B415" s="55" t="inlineStr">
        <is>
          <t>P002308</t>
        </is>
      </c>
      <c r="C415" s="32" t="n">
        <v>4301011190</v>
      </c>
      <c r="D415" s="316" t="n">
        <v>4607091389098</v>
      </c>
      <c r="E415" s="317" t="n"/>
      <c r="F415" s="645" t="n">
        <v>0.4</v>
      </c>
      <c r="G415" s="33" t="n">
        <v>6</v>
      </c>
      <c r="H415" s="645" t="n">
        <v>2.4</v>
      </c>
      <c r="I415" s="645" t="n">
        <v>2.6</v>
      </c>
      <c r="J415" s="33" t="n">
        <v>156</v>
      </c>
      <c r="K415" s="34" t="inlineStr">
        <is>
          <t>СК3</t>
        </is>
      </c>
      <c r="L415" s="33" t="n">
        <v>50</v>
      </c>
      <c r="M415" s="447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15" s="319" t="n"/>
      <c r="O415" s="319" t="n"/>
      <c r="P415" s="319" t="n"/>
      <c r="Q415" s="317" t="n"/>
      <c r="R415" s="35" t="n"/>
      <c r="S415" s="35" t="n"/>
      <c r="T415" s="36" t="inlineStr">
        <is>
          <t>кг</t>
        </is>
      </c>
      <c r="U415" s="646" t="n">
        <v>0</v>
      </c>
      <c r="V415" s="647">
        <f>IFERROR(IF(U415="",0,CEILING((U415/$H415),1)*$H415),"")</f>
        <v/>
      </c>
      <c r="W415" s="37">
        <f>IFERROR(IF(V415=0,"",ROUNDUP(V415/H415,0)*0.00753),"")</f>
        <v/>
      </c>
      <c r="X415" s="57" t="n"/>
      <c r="Y415" s="58" t="n"/>
      <c r="AC415" s="59" t="n"/>
      <c r="AZ415" s="280" t="inlineStr">
        <is>
          <t>КИ</t>
        </is>
      </c>
    </row>
    <row r="416" ht="27" customHeight="1">
      <c r="A416" s="55" t="inlineStr">
        <is>
          <t>SU002631</t>
        </is>
      </c>
      <c r="B416" s="55" t="inlineStr">
        <is>
          <t>P002981</t>
        </is>
      </c>
      <c r="C416" s="32" t="n">
        <v>4301011366</v>
      </c>
      <c r="D416" s="316" t="n">
        <v>4607091389982</v>
      </c>
      <c r="E416" s="317" t="n"/>
      <c r="F416" s="645" t="n">
        <v>0.6</v>
      </c>
      <c r="G416" s="33" t="n">
        <v>6</v>
      </c>
      <c r="H416" s="645" t="n">
        <v>3.6</v>
      </c>
      <c r="I416" s="645" t="n">
        <v>3.84</v>
      </c>
      <c r="J416" s="33" t="n">
        <v>120</v>
      </c>
      <c r="K416" s="34" t="inlineStr">
        <is>
          <t>СК1</t>
        </is>
      </c>
      <c r="L416" s="33" t="n">
        <v>55</v>
      </c>
      <c r="M416" s="568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N416" s="319" t="n"/>
      <c r="O416" s="319" t="n"/>
      <c r="P416" s="319" t="n"/>
      <c r="Q416" s="317" t="n"/>
      <c r="R416" s="35" t="n"/>
      <c r="S416" s="35" t="n"/>
      <c r="T416" s="36" t="inlineStr">
        <is>
          <t>кг</t>
        </is>
      </c>
      <c r="U416" s="646" t="n">
        <v>0</v>
      </c>
      <c r="V416" s="647">
        <f>IFERROR(IF(U416="",0,CEILING((U416/$H416),1)*$H416),"")</f>
        <v/>
      </c>
      <c r="W416" s="37">
        <f>IFERROR(IF(V416=0,"",ROUNDUP(V416/H416,0)*0.00937),"")</f>
        <v/>
      </c>
      <c r="X416" s="57" t="n"/>
      <c r="Y416" s="58" t="n"/>
      <c r="AC416" s="59" t="n"/>
      <c r="AZ416" s="281" t="inlineStr">
        <is>
          <t>КИ</t>
        </is>
      </c>
    </row>
    <row r="417">
      <c r="A417" s="313" t="n"/>
      <c r="B417" s="314" t="n"/>
      <c r="C417" s="314" t="n"/>
      <c r="D417" s="314" t="n"/>
      <c r="E417" s="314" t="n"/>
      <c r="F417" s="314" t="n"/>
      <c r="G417" s="314" t="n"/>
      <c r="H417" s="314" t="n"/>
      <c r="I417" s="314" t="n"/>
      <c r="J417" s="314" t="n"/>
      <c r="K417" s="314" t="n"/>
      <c r="L417" s="315" t="n"/>
      <c r="M417" s="328" t="inlineStr">
        <is>
          <t>Итого</t>
        </is>
      </c>
      <c r="N417" s="329" t="n"/>
      <c r="O417" s="329" t="n"/>
      <c r="P417" s="329" t="n"/>
      <c r="Q417" s="329" t="n"/>
      <c r="R417" s="329" t="n"/>
      <c r="S417" s="330" t="n"/>
      <c r="T417" s="38" t="inlineStr">
        <is>
          <t>кор</t>
        </is>
      </c>
      <c r="U417" s="648">
        <f>IFERROR(U408/H408,"0")+IFERROR(U409/H409,"0")+IFERROR(U410/H410,"0")+IFERROR(U411/H411,"0")+IFERROR(U412/H412,"0")+IFERROR(U413/H413,"0")+IFERROR(U414/H414,"0")+IFERROR(U415/H415,"0")+IFERROR(U416/H416,"0")</f>
        <v/>
      </c>
      <c r="V417" s="648">
        <f>IFERROR(V408/H408,"0")+IFERROR(V409/H409,"0")+IFERROR(V410/H410,"0")+IFERROR(V411/H411,"0")+IFERROR(V412/H412,"0")+IFERROR(V413/H413,"0")+IFERROR(V414/H414,"0")+IFERROR(V415/H415,"0")+IFERROR(V416/H416,"0")</f>
        <v/>
      </c>
      <c r="W417" s="648">
        <f>IFERROR(IF(W408="",0,W408),"0")+IFERROR(IF(W409="",0,W409),"0")+IFERROR(IF(W410="",0,W410),"0")+IFERROR(IF(W411="",0,W411),"0")+IFERROR(IF(W412="",0,W412),"0")+IFERROR(IF(W413="",0,W413),"0")+IFERROR(IF(W414="",0,W414),"0")+IFERROR(IF(W415="",0,W415),"0")+IFERROR(IF(W416="",0,W416),"0")</f>
        <v/>
      </c>
      <c r="X417" s="649" t="n"/>
      <c r="Y417" s="649" t="n"/>
    </row>
    <row r="418">
      <c r="A418" s="314" t="n"/>
      <c r="B418" s="314" t="n"/>
      <c r="C418" s="314" t="n"/>
      <c r="D418" s="314" t="n"/>
      <c r="E418" s="314" t="n"/>
      <c r="F418" s="314" t="n"/>
      <c r="G418" s="314" t="n"/>
      <c r="H418" s="314" t="n"/>
      <c r="I418" s="314" t="n"/>
      <c r="J418" s="314" t="n"/>
      <c r="K418" s="314" t="n"/>
      <c r="L418" s="315" t="n"/>
      <c r="M418" s="328" t="inlineStr">
        <is>
          <t>Итого</t>
        </is>
      </c>
      <c r="N418" s="329" t="n"/>
      <c r="O418" s="329" t="n"/>
      <c r="P418" s="329" t="n"/>
      <c r="Q418" s="329" t="n"/>
      <c r="R418" s="329" t="n"/>
      <c r="S418" s="330" t="n"/>
      <c r="T418" s="38" t="inlineStr">
        <is>
          <t>кг</t>
        </is>
      </c>
      <c r="U418" s="648">
        <f>IFERROR(SUM(U408:U416),"0")</f>
        <v/>
      </c>
      <c r="V418" s="648">
        <f>IFERROR(SUM(V408:V416),"0")</f>
        <v/>
      </c>
      <c r="W418" s="38" t="n"/>
      <c r="X418" s="649" t="n"/>
      <c r="Y418" s="649" t="n"/>
    </row>
    <row r="419" ht="14.25" customHeight="1">
      <c r="A419" s="326" t="inlineStr">
        <is>
          <t>Ветчины</t>
        </is>
      </c>
      <c r="B419" s="314" t="n"/>
      <c r="C419" s="314" t="n"/>
      <c r="D419" s="314" t="n"/>
      <c r="E419" s="314" t="n"/>
      <c r="F419" s="314" t="n"/>
      <c r="G419" s="314" t="n"/>
      <c r="H419" s="314" t="n"/>
      <c r="I419" s="314" t="n"/>
      <c r="J419" s="314" t="n"/>
      <c r="K419" s="314" t="n"/>
      <c r="L419" s="314" t="n"/>
      <c r="M419" s="314" t="n"/>
      <c r="N419" s="314" t="n"/>
      <c r="O419" s="314" t="n"/>
      <c r="P419" s="314" t="n"/>
      <c r="Q419" s="314" t="n"/>
      <c r="R419" s="314" t="n"/>
      <c r="S419" s="314" t="n"/>
      <c r="T419" s="314" t="n"/>
      <c r="U419" s="314" t="n"/>
      <c r="V419" s="314" t="n"/>
      <c r="W419" s="314" t="n"/>
      <c r="X419" s="326" t="n"/>
      <c r="Y419" s="326" t="n"/>
    </row>
    <row r="420" ht="16.5" customHeight="1">
      <c r="A420" s="55" t="inlineStr">
        <is>
          <t>SU002035</t>
        </is>
      </c>
      <c r="B420" s="55" t="inlineStr">
        <is>
          <t>P003146</t>
        </is>
      </c>
      <c r="C420" s="32" t="n">
        <v>4301020222</v>
      </c>
      <c r="D420" s="316" t="n">
        <v>4607091388930</v>
      </c>
      <c r="E420" s="317" t="n"/>
      <c r="F420" s="645" t="n">
        <v>0.88</v>
      </c>
      <c r="G420" s="33" t="n">
        <v>6</v>
      </c>
      <c r="H420" s="645" t="n">
        <v>5.28</v>
      </c>
      <c r="I420" s="645" t="n">
        <v>5.64</v>
      </c>
      <c r="J420" s="33" t="n">
        <v>104</v>
      </c>
      <c r="K420" s="34" t="inlineStr">
        <is>
          <t>СК1</t>
        </is>
      </c>
      <c r="L420" s="33" t="n">
        <v>55</v>
      </c>
      <c r="M420" s="622">
        <f>HYPERLINK("https://abi.ru/products/Охлажденные/Дугушка/Дугушка/Ветчины/P003146/","Ветчины Дугушка Дугушка Вес б/о Дугушка")</f>
        <v/>
      </c>
      <c r="N420" s="319" t="n"/>
      <c r="O420" s="319" t="n"/>
      <c r="P420" s="319" t="n"/>
      <c r="Q420" s="317" t="n"/>
      <c r="R420" s="35" t="n"/>
      <c r="S420" s="35" t="n"/>
      <c r="T420" s="36" t="inlineStr">
        <is>
          <t>кг</t>
        </is>
      </c>
      <c r="U420" s="646" t="n">
        <v>1000</v>
      </c>
      <c r="V420" s="647">
        <f>IFERROR(IF(U420="",0,CEILING((U420/$H420),1)*$H420),"")</f>
        <v/>
      </c>
      <c r="W420" s="37">
        <f>IFERROR(IF(V420=0,"",ROUNDUP(V420/H420,0)*0.01196),"")</f>
        <v/>
      </c>
      <c r="X420" s="57" t="n"/>
      <c r="Y420" s="58" t="n"/>
      <c r="AC420" s="59" t="n"/>
      <c r="AZ420" s="282" t="inlineStr">
        <is>
          <t>КИ</t>
        </is>
      </c>
    </row>
    <row r="421" ht="16.5" customHeight="1">
      <c r="A421" s="55" t="inlineStr">
        <is>
          <t>SU002643</t>
        </is>
      </c>
      <c r="B421" s="55" t="inlineStr">
        <is>
          <t>P002993</t>
        </is>
      </c>
      <c r="C421" s="32" t="n">
        <v>4301020206</v>
      </c>
      <c r="D421" s="316" t="n">
        <v>4680115880054</v>
      </c>
      <c r="E421" s="317" t="n"/>
      <c r="F421" s="645" t="n">
        <v>0.6</v>
      </c>
      <c r="G421" s="33" t="n">
        <v>6</v>
      </c>
      <c r="H421" s="645" t="n">
        <v>3.6</v>
      </c>
      <c r="I421" s="645" t="n">
        <v>3.84</v>
      </c>
      <c r="J421" s="33" t="n">
        <v>120</v>
      </c>
      <c r="K421" s="34" t="inlineStr">
        <is>
          <t>СК1</t>
        </is>
      </c>
      <c r="L421" s="33" t="n">
        <v>55</v>
      </c>
      <c r="M421" s="543">
        <f>HYPERLINK("https://abi.ru/products/Охлажденные/Дугушка/Дугушка/Ветчины/P002993/","Ветчины «Дугушка» Фикс.вес 0,6 П/а ТМ «Дугушка»")</f>
        <v/>
      </c>
      <c r="N421" s="319" t="n"/>
      <c r="O421" s="319" t="n"/>
      <c r="P421" s="319" t="n"/>
      <c r="Q421" s="317" t="n"/>
      <c r="R421" s="35" t="n"/>
      <c r="S421" s="35" t="n"/>
      <c r="T421" s="36" t="inlineStr">
        <is>
          <t>кг</t>
        </is>
      </c>
      <c r="U421" s="646" t="n">
        <v>0</v>
      </c>
      <c r="V421" s="647">
        <f>IFERROR(IF(U421="",0,CEILING((U421/$H421),1)*$H421),"")</f>
        <v/>
      </c>
      <c r="W421" s="37">
        <f>IFERROR(IF(V421=0,"",ROUNDUP(V421/H421,0)*0.00937),"")</f>
        <v/>
      </c>
      <c r="X421" s="57" t="n"/>
      <c r="Y421" s="58" t="n"/>
      <c r="AC421" s="59" t="n"/>
      <c r="AZ421" s="283" t="inlineStr">
        <is>
          <t>КИ</t>
        </is>
      </c>
    </row>
    <row r="422">
      <c r="A422" s="313" t="n"/>
      <c r="B422" s="314" t="n"/>
      <c r="C422" s="314" t="n"/>
      <c r="D422" s="314" t="n"/>
      <c r="E422" s="314" t="n"/>
      <c r="F422" s="314" t="n"/>
      <c r="G422" s="314" t="n"/>
      <c r="H422" s="314" t="n"/>
      <c r="I422" s="314" t="n"/>
      <c r="J422" s="314" t="n"/>
      <c r="K422" s="314" t="n"/>
      <c r="L422" s="315" t="n"/>
      <c r="M422" s="328" t="inlineStr">
        <is>
          <t>Итого</t>
        </is>
      </c>
      <c r="N422" s="329" t="n"/>
      <c r="O422" s="329" t="n"/>
      <c r="P422" s="329" t="n"/>
      <c r="Q422" s="329" t="n"/>
      <c r="R422" s="329" t="n"/>
      <c r="S422" s="330" t="n"/>
      <c r="T422" s="38" t="inlineStr">
        <is>
          <t>кор</t>
        </is>
      </c>
      <c r="U422" s="648">
        <f>IFERROR(U420/H420,"0")+IFERROR(U421/H421,"0")</f>
        <v/>
      </c>
      <c r="V422" s="648">
        <f>IFERROR(V420/H420,"0")+IFERROR(V421/H421,"0")</f>
        <v/>
      </c>
      <c r="W422" s="648">
        <f>IFERROR(IF(W420="",0,W420),"0")+IFERROR(IF(W421="",0,W421),"0")</f>
        <v/>
      </c>
      <c r="X422" s="649" t="n"/>
      <c r="Y422" s="649" t="n"/>
    </row>
    <row r="423">
      <c r="A423" s="314" t="n"/>
      <c r="B423" s="314" t="n"/>
      <c r="C423" s="314" t="n"/>
      <c r="D423" s="314" t="n"/>
      <c r="E423" s="314" t="n"/>
      <c r="F423" s="314" t="n"/>
      <c r="G423" s="314" t="n"/>
      <c r="H423" s="314" t="n"/>
      <c r="I423" s="314" t="n"/>
      <c r="J423" s="314" t="n"/>
      <c r="K423" s="314" t="n"/>
      <c r="L423" s="315" t="n"/>
      <c r="M423" s="328" t="inlineStr">
        <is>
          <t>Итого</t>
        </is>
      </c>
      <c r="N423" s="329" t="n"/>
      <c r="O423" s="329" t="n"/>
      <c r="P423" s="329" t="n"/>
      <c r="Q423" s="329" t="n"/>
      <c r="R423" s="329" t="n"/>
      <c r="S423" s="330" t="n"/>
      <c r="T423" s="38" t="inlineStr">
        <is>
          <t>кг</t>
        </is>
      </c>
      <c r="U423" s="648">
        <f>IFERROR(SUM(U420:U421),"0")</f>
        <v/>
      </c>
      <c r="V423" s="648">
        <f>IFERROR(SUM(V420:V421),"0")</f>
        <v/>
      </c>
      <c r="W423" s="38" t="n"/>
      <c r="X423" s="649" t="n"/>
      <c r="Y423" s="649" t="n"/>
    </row>
    <row r="424" ht="14.25" customHeight="1">
      <c r="A424" s="326" t="inlineStr">
        <is>
          <t>Копченые колбасы</t>
        </is>
      </c>
      <c r="B424" s="314" t="n"/>
      <c r="C424" s="314" t="n"/>
      <c r="D424" s="314" t="n"/>
      <c r="E424" s="314" t="n"/>
      <c r="F424" s="314" t="n"/>
      <c r="G424" s="314" t="n"/>
      <c r="H424" s="314" t="n"/>
      <c r="I424" s="314" t="n"/>
      <c r="J424" s="314" t="n"/>
      <c r="K424" s="314" t="n"/>
      <c r="L424" s="314" t="n"/>
      <c r="M424" s="314" t="n"/>
      <c r="N424" s="314" t="n"/>
      <c r="O424" s="314" t="n"/>
      <c r="P424" s="314" t="n"/>
      <c r="Q424" s="314" t="n"/>
      <c r="R424" s="314" t="n"/>
      <c r="S424" s="314" t="n"/>
      <c r="T424" s="314" t="n"/>
      <c r="U424" s="314" t="n"/>
      <c r="V424" s="314" t="n"/>
      <c r="W424" s="314" t="n"/>
      <c r="X424" s="326" t="n"/>
      <c r="Y424" s="326" t="n"/>
    </row>
    <row r="425" ht="27" customHeight="1">
      <c r="A425" s="55" t="inlineStr">
        <is>
          <t>SU002150</t>
        </is>
      </c>
      <c r="B425" s="55" t="inlineStr">
        <is>
          <t>P003636</t>
        </is>
      </c>
      <c r="C425" s="32" t="n">
        <v>4301031252</v>
      </c>
      <c r="D425" s="316" t="n">
        <v>4680115883116</v>
      </c>
      <c r="E425" s="317" t="n"/>
      <c r="F425" s="645" t="n">
        <v>0.88</v>
      </c>
      <c r="G425" s="33" t="n">
        <v>6</v>
      </c>
      <c r="H425" s="645" t="n">
        <v>5.28</v>
      </c>
      <c r="I425" s="645" t="n">
        <v>5.64</v>
      </c>
      <c r="J425" s="33" t="n">
        <v>104</v>
      </c>
      <c r="K425" s="34" t="inlineStr">
        <is>
          <t>СК1</t>
        </is>
      </c>
      <c r="L425" s="33" t="n">
        <v>60</v>
      </c>
      <c r="M425" s="613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N425" s="319" t="n"/>
      <c r="O425" s="319" t="n"/>
      <c r="P425" s="319" t="n"/>
      <c r="Q425" s="317" t="n"/>
      <c r="R425" s="35" t="n"/>
      <c r="S425" s="35" t="n"/>
      <c r="T425" s="36" t="inlineStr">
        <is>
          <t>кг</t>
        </is>
      </c>
      <c r="U425" s="646" t="n">
        <v>300</v>
      </c>
      <c r="V425" s="647">
        <f>IFERROR(IF(U425="",0,CEILING((U425/$H425),1)*$H425),"")</f>
        <v/>
      </c>
      <c r="W425" s="37">
        <f>IFERROR(IF(V425=0,"",ROUNDUP(V425/H425,0)*0.01196),"")</f>
        <v/>
      </c>
      <c r="X425" s="57" t="n"/>
      <c r="Y425" s="58" t="n"/>
      <c r="AC425" s="59" t="n"/>
      <c r="AZ425" s="284" t="inlineStr">
        <is>
          <t>КИ</t>
        </is>
      </c>
    </row>
    <row r="426" ht="27" customHeight="1">
      <c r="A426" s="55" t="inlineStr">
        <is>
          <t>SU002158</t>
        </is>
      </c>
      <c r="B426" s="55" t="inlineStr">
        <is>
          <t>P003632</t>
        </is>
      </c>
      <c r="C426" s="32" t="n">
        <v>4301031248</v>
      </c>
      <c r="D426" s="316" t="n">
        <v>4680115883093</v>
      </c>
      <c r="E426" s="317" t="n"/>
      <c r="F426" s="645" t="n">
        <v>0.88</v>
      </c>
      <c r="G426" s="33" t="n">
        <v>6</v>
      </c>
      <c r="H426" s="645" t="n">
        <v>5.28</v>
      </c>
      <c r="I426" s="645" t="n">
        <v>5.64</v>
      </c>
      <c r="J426" s="33" t="n">
        <v>104</v>
      </c>
      <c r="K426" s="34" t="inlineStr">
        <is>
          <t>СК2</t>
        </is>
      </c>
      <c r="L426" s="33" t="n">
        <v>60</v>
      </c>
      <c r="M426" s="439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N426" s="319" t="n"/>
      <c r="O426" s="319" t="n"/>
      <c r="P426" s="319" t="n"/>
      <c r="Q426" s="317" t="n"/>
      <c r="R426" s="35" t="n"/>
      <c r="S426" s="35" t="n"/>
      <c r="T426" s="36" t="inlineStr">
        <is>
          <t>кг</t>
        </is>
      </c>
      <c r="U426" s="646" t="n">
        <v>300</v>
      </c>
      <c r="V426" s="647">
        <f>IFERROR(IF(U426="",0,CEILING((U426/$H426),1)*$H426),"")</f>
        <v/>
      </c>
      <c r="W426" s="37">
        <f>IFERROR(IF(V426=0,"",ROUNDUP(V426/H426,0)*0.01196),"")</f>
        <v/>
      </c>
      <c r="X426" s="57" t="n"/>
      <c r="Y426" s="58" t="n"/>
      <c r="AC426" s="59" t="n"/>
      <c r="AZ426" s="285" t="inlineStr">
        <is>
          <t>КИ</t>
        </is>
      </c>
    </row>
    <row r="427" ht="27" customHeight="1">
      <c r="A427" s="55" t="inlineStr">
        <is>
          <t>SU002151</t>
        </is>
      </c>
      <c r="B427" s="55" t="inlineStr">
        <is>
          <t>P003634</t>
        </is>
      </c>
      <c r="C427" s="32" t="n">
        <v>4301031250</v>
      </c>
      <c r="D427" s="316" t="n">
        <v>4680115883109</v>
      </c>
      <c r="E427" s="317" t="n"/>
      <c r="F427" s="645" t="n">
        <v>0.88</v>
      </c>
      <c r="G427" s="33" t="n">
        <v>6</v>
      </c>
      <c r="H427" s="645" t="n">
        <v>5.28</v>
      </c>
      <c r="I427" s="645" t="n">
        <v>5.64</v>
      </c>
      <c r="J427" s="33" t="n">
        <v>104</v>
      </c>
      <c r="K427" s="34" t="inlineStr">
        <is>
          <t>СК2</t>
        </is>
      </c>
      <c r="L427" s="33" t="n">
        <v>60</v>
      </c>
      <c r="M427" s="619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N427" s="319" t="n"/>
      <c r="O427" s="319" t="n"/>
      <c r="P427" s="319" t="n"/>
      <c r="Q427" s="317" t="n"/>
      <c r="R427" s="35" t="n"/>
      <c r="S427" s="35" t="n"/>
      <c r="T427" s="36" t="inlineStr">
        <is>
          <t>кг</t>
        </is>
      </c>
      <c r="U427" s="646" t="n">
        <v>300</v>
      </c>
      <c r="V427" s="647">
        <f>IFERROR(IF(U427="",0,CEILING((U427/$H427),1)*$H427),"")</f>
        <v/>
      </c>
      <c r="W427" s="37">
        <f>IFERROR(IF(V427=0,"",ROUNDUP(V427/H427,0)*0.01196),"")</f>
        <v/>
      </c>
      <c r="X427" s="57" t="n"/>
      <c r="Y427" s="58" t="n"/>
      <c r="AC427" s="59" t="n"/>
      <c r="AZ427" s="286" t="inlineStr">
        <is>
          <t>КИ</t>
        </is>
      </c>
    </row>
    <row r="428" ht="27" customHeight="1">
      <c r="A428" s="55" t="inlineStr">
        <is>
          <t>SU002916</t>
        </is>
      </c>
      <c r="B428" s="55" t="inlineStr">
        <is>
          <t>P003633</t>
        </is>
      </c>
      <c r="C428" s="32" t="n">
        <v>4301031249</v>
      </c>
      <c r="D428" s="316" t="n">
        <v>4680115882072</v>
      </c>
      <c r="E428" s="317" t="n"/>
      <c r="F428" s="645" t="n">
        <v>0.6</v>
      </c>
      <c r="G428" s="33" t="n">
        <v>6</v>
      </c>
      <c r="H428" s="645" t="n">
        <v>3.6</v>
      </c>
      <c r="I428" s="645" t="n">
        <v>3.84</v>
      </c>
      <c r="J428" s="33" t="n">
        <v>120</v>
      </c>
      <c r="K428" s="34" t="inlineStr">
        <is>
          <t>СК1</t>
        </is>
      </c>
      <c r="L428" s="33" t="n">
        <v>60</v>
      </c>
      <c r="M428" s="446" t="inlineStr">
        <is>
          <t>В/к колбасы «Рубленая Запеченная» Фикс.вес 0,6 Вектор ТМ «Дугушка»</t>
        </is>
      </c>
      <c r="N428" s="319" t="n"/>
      <c r="O428" s="319" t="n"/>
      <c r="P428" s="319" t="n"/>
      <c r="Q428" s="317" t="n"/>
      <c r="R428" s="35" t="n"/>
      <c r="S428" s="35" t="n"/>
      <c r="T428" s="36" t="inlineStr">
        <is>
          <t>кг</t>
        </is>
      </c>
      <c r="U428" s="646" t="n">
        <v>0</v>
      </c>
      <c r="V428" s="647">
        <f>IFERROR(IF(U428="",0,CEILING((U428/$H428),1)*$H428),"")</f>
        <v/>
      </c>
      <c r="W428" s="37">
        <f>IFERROR(IF(V428=0,"",ROUNDUP(V428/H428,0)*0.00937),"")</f>
        <v/>
      </c>
      <c r="X428" s="57" t="n"/>
      <c r="Y428" s="58" t="n"/>
      <c r="AC428" s="59" t="n"/>
      <c r="AZ428" s="287" t="inlineStr">
        <is>
          <t>КИ</t>
        </is>
      </c>
    </row>
    <row r="429" ht="27" customHeight="1">
      <c r="A429" s="55" t="inlineStr">
        <is>
          <t>SU002919</t>
        </is>
      </c>
      <c r="B429" s="55" t="inlineStr">
        <is>
          <t>P003635</t>
        </is>
      </c>
      <c r="C429" s="32" t="n">
        <v>4301031251</v>
      </c>
      <c r="D429" s="316" t="n">
        <v>4680115882102</v>
      </c>
      <c r="E429" s="317" t="n"/>
      <c r="F429" s="645" t="n">
        <v>0.6</v>
      </c>
      <c r="G429" s="33" t="n">
        <v>6</v>
      </c>
      <c r="H429" s="645" t="n">
        <v>3.6</v>
      </c>
      <c r="I429" s="645" t="n">
        <v>3.81</v>
      </c>
      <c r="J429" s="33" t="n">
        <v>120</v>
      </c>
      <c r="K429" s="34" t="inlineStr">
        <is>
          <t>СК2</t>
        </is>
      </c>
      <c r="L429" s="33" t="n">
        <v>60</v>
      </c>
      <c r="M429" s="491" t="inlineStr">
        <is>
          <t>В/к колбасы «Салями Запеченая» Фикс.вес 0,6 Вектор ТМ «Дугушка»</t>
        </is>
      </c>
      <c r="N429" s="319" t="n"/>
      <c r="O429" s="319" t="n"/>
      <c r="P429" s="319" t="n"/>
      <c r="Q429" s="317" t="n"/>
      <c r="R429" s="35" t="n"/>
      <c r="S429" s="35" t="n"/>
      <c r="T429" s="36" t="inlineStr">
        <is>
          <t>кг</t>
        </is>
      </c>
      <c r="U429" s="646" t="n">
        <v>0</v>
      </c>
      <c r="V429" s="647">
        <f>IFERROR(IF(U429="",0,CEILING((U429/$H429),1)*$H429),"")</f>
        <v/>
      </c>
      <c r="W429" s="37">
        <f>IFERROR(IF(V429=0,"",ROUNDUP(V429/H429,0)*0.00937),"")</f>
        <v/>
      </c>
      <c r="X429" s="57" t="n"/>
      <c r="Y429" s="58" t="n"/>
      <c r="AC429" s="59" t="n"/>
      <c r="AZ429" s="288" t="inlineStr">
        <is>
          <t>КИ</t>
        </is>
      </c>
    </row>
    <row r="430" ht="27" customHeight="1">
      <c r="A430" s="55" t="inlineStr">
        <is>
          <t>SU002918</t>
        </is>
      </c>
      <c r="B430" s="55" t="inlineStr">
        <is>
          <t>P003637</t>
        </is>
      </c>
      <c r="C430" s="32" t="n">
        <v>4301031253</v>
      </c>
      <c r="D430" s="316" t="n">
        <v>4680115882096</v>
      </c>
      <c r="E430" s="317" t="n"/>
      <c r="F430" s="645" t="n">
        <v>0.6</v>
      </c>
      <c r="G430" s="33" t="n">
        <v>6</v>
      </c>
      <c r="H430" s="645" t="n">
        <v>3.6</v>
      </c>
      <c r="I430" s="645" t="n">
        <v>3.81</v>
      </c>
      <c r="J430" s="33" t="n">
        <v>120</v>
      </c>
      <c r="K430" s="34" t="inlineStr">
        <is>
          <t>СК2</t>
        </is>
      </c>
      <c r="L430" s="33" t="n">
        <v>60</v>
      </c>
      <c r="M430" s="593" t="inlineStr">
        <is>
          <t>В/к колбасы «Сервелат Запеченный» Фикс.вес 0,6 Вектор ТМ «Дугушка»</t>
        </is>
      </c>
      <c r="N430" s="319" t="n"/>
      <c r="O430" s="319" t="n"/>
      <c r="P430" s="319" t="n"/>
      <c r="Q430" s="317" t="n"/>
      <c r="R430" s="35" t="n"/>
      <c r="S430" s="35" t="n"/>
      <c r="T430" s="36" t="inlineStr">
        <is>
          <t>кг</t>
        </is>
      </c>
      <c r="U430" s="646" t="n">
        <v>0</v>
      </c>
      <c r="V430" s="647">
        <f>IFERROR(IF(U430="",0,CEILING((U430/$H430),1)*$H430),"")</f>
        <v/>
      </c>
      <c r="W430" s="37">
        <f>IFERROR(IF(V430=0,"",ROUNDUP(V430/H430,0)*0.00937),"")</f>
        <v/>
      </c>
      <c r="X430" s="57" t="n"/>
      <c r="Y430" s="58" t="n"/>
      <c r="AC430" s="59" t="n"/>
      <c r="AZ430" s="289" t="inlineStr">
        <is>
          <t>КИ</t>
        </is>
      </c>
    </row>
    <row r="431">
      <c r="A431" s="313" t="n"/>
      <c r="B431" s="314" t="n"/>
      <c r="C431" s="314" t="n"/>
      <c r="D431" s="314" t="n"/>
      <c r="E431" s="314" t="n"/>
      <c r="F431" s="314" t="n"/>
      <c r="G431" s="314" t="n"/>
      <c r="H431" s="314" t="n"/>
      <c r="I431" s="314" t="n"/>
      <c r="J431" s="314" t="n"/>
      <c r="K431" s="314" t="n"/>
      <c r="L431" s="315" t="n"/>
      <c r="M431" s="328" t="inlineStr">
        <is>
          <t>Итого</t>
        </is>
      </c>
      <c r="N431" s="329" t="n"/>
      <c r="O431" s="329" t="n"/>
      <c r="P431" s="329" t="n"/>
      <c r="Q431" s="329" t="n"/>
      <c r="R431" s="329" t="n"/>
      <c r="S431" s="330" t="n"/>
      <c r="T431" s="38" t="inlineStr">
        <is>
          <t>кор</t>
        </is>
      </c>
      <c r="U431" s="648">
        <f>IFERROR(U425/H425,"0")+IFERROR(U426/H426,"0")+IFERROR(U427/H427,"0")+IFERROR(U428/H428,"0")+IFERROR(U429/H429,"0")+IFERROR(U430/H430,"0")</f>
        <v/>
      </c>
      <c r="V431" s="648">
        <f>IFERROR(V425/H425,"0")+IFERROR(V426/H426,"0")+IFERROR(V427/H427,"0")+IFERROR(V428/H428,"0")+IFERROR(V429/H429,"0")+IFERROR(V430/H430,"0")</f>
        <v/>
      </c>
      <c r="W431" s="648">
        <f>IFERROR(IF(W425="",0,W425),"0")+IFERROR(IF(W426="",0,W426),"0")+IFERROR(IF(W427="",0,W427),"0")+IFERROR(IF(W428="",0,W428),"0")+IFERROR(IF(W429="",0,W429),"0")+IFERROR(IF(W430="",0,W430),"0")</f>
        <v/>
      </c>
      <c r="X431" s="649" t="n"/>
      <c r="Y431" s="649" t="n"/>
    </row>
    <row r="432">
      <c r="A432" s="314" t="n"/>
      <c r="B432" s="314" t="n"/>
      <c r="C432" s="314" t="n"/>
      <c r="D432" s="314" t="n"/>
      <c r="E432" s="314" t="n"/>
      <c r="F432" s="314" t="n"/>
      <c r="G432" s="314" t="n"/>
      <c r="H432" s="314" t="n"/>
      <c r="I432" s="314" t="n"/>
      <c r="J432" s="314" t="n"/>
      <c r="K432" s="314" t="n"/>
      <c r="L432" s="315" t="n"/>
      <c r="M432" s="328" t="inlineStr">
        <is>
          <t>Итого</t>
        </is>
      </c>
      <c r="N432" s="329" t="n"/>
      <c r="O432" s="329" t="n"/>
      <c r="P432" s="329" t="n"/>
      <c r="Q432" s="329" t="n"/>
      <c r="R432" s="329" t="n"/>
      <c r="S432" s="330" t="n"/>
      <c r="T432" s="38" t="inlineStr">
        <is>
          <t>кг</t>
        </is>
      </c>
      <c r="U432" s="648">
        <f>IFERROR(SUM(U425:U430),"0")</f>
        <v/>
      </c>
      <c r="V432" s="648">
        <f>IFERROR(SUM(V425:V430),"0")</f>
        <v/>
      </c>
      <c r="W432" s="38" t="n"/>
      <c r="X432" s="649" t="n"/>
      <c r="Y432" s="649" t="n"/>
    </row>
    <row r="433" ht="14.25" customHeight="1">
      <c r="A433" s="326" t="inlineStr">
        <is>
          <t>Сосиски</t>
        </is>
      </c>
      <c r="B433" s="314" t="n"/>
      <c r="C433" s="314" t="n"/>
      <c r="D433" s="314" t="n"/>
      <c r="E433" s="314" t="n"/>
      <c r="F433" s="314" t="n"/>
      <c r="G433" s="314" t="n"/>
      <c r="H433" s="314" t="n"/>
      <c r="I433" s="314" t="n"/>
      <c r="J433" s="314" t="n"/>
      <c r="K433" s="314" t="n"/>
      <c r="L433" s="314" t="n"/>
      <c r="M433" s="314" t="n"/>
      <c r="N433" s="314" t="n"/>
      <c r="O433" s="314" t="n"/>
      <c r="P433" s="314" t="n"/>
      <c r="Q433" s="314" t="n"/>
      <c r="R433" s="314" t="n"/>
      <c r="S433" s="314" t="n"/>
      <c r="T433" s="314" t="n"/>
      <c r="U433" s="314" t="n"/>
      <c r="V433" s="314" t="n"/>
      <c r="W433" s="314" t="n"/>
      <c r="X433" s="326" t="n"/>
      <c r="Y433" s="326" t="n"/>
    </row>
    <row r="434" ht="16.5" customHeight="1">
      <c r="A434" s="55" t="inlineStr">
        <is>
          <t>SU002218</t>
        </is>
      </c>
      <c r="B434" s="55" t="inlineStr">
        <is>
          <t>P002854</t>
        </is>
      </c>
      <c r="C434" s="32" t="n">
        <v>4301051230</v>
      </c>
      <c r="D434" s="316" t="n">
        <v>4607091383409</v>
      </c>
      <c r="E434" s="317" t="n"/>
      <c r="F434" s="645" t="n">
        <v>1.3</v>
      </c>
      <c r="G434" s="33" t="n">
        <v>6</v>
      </c>
      <c r="H434" s="645" t="n">
        <v>7.8</v>
      </c>
      <c r="I434" s="645" t="n">
        <v>8.346</v>
      </c>
      <c r="J434" s="33" t="n">
        <v>56</v>
      </c>
      <c r="K434" s="34" t="inlineStr">
        <is>
          <t>СК2</t>
        </is>
      </c>
      <c r="L434" s="33" t="n">
        <v>45</v>
      </c>
      <c r="M434" s="461">
        <f>HYPERLINK("https://abi.ru/products/Охлажденные/Дугушка/Дугушка/Сосиски/P002854/","Сосиски Молочные Дугушки Дугушка Весовые П/а мгс Дугушка")</f>
        <v/>
      </c>
      <c r="N434" s="319" t="n"/>
      <c r="O434" s="319" t="n"/>
      <c r="P434" s="319" t="n"/>
      <c r="Q434" s="317" t="n"/>
      <c r="R434" s="35" t="n"/>
      <c r="S434" s="35" t="n"/>
      <c r="T434" s="36" t="inlineStr">
        <is>
          <t>кг</t>
        </is>
      </c>
      <c r="U434" s="646" t="n">
        <v>0</v>
      </c>
      <c r="V434" s="647">
        <f>IFERROR(IF(U434="",0,CEILING((U434/$H434),1)*$H434),"")</f>
        <v/>
      </c>
      <c r="W434" s="37">
        <f>IFERROR(IF(V434=0,"",ROUNDUP(V434/H434,0)*0.02175),"")</f>
        <v/>
      </c>
      <c r="X434" s="57" t="n"/>
      <c r="Y434" s="58" t="n"/>
      <c r="AC434" s="59" t="n"/>
      <c r="AZ434" s="290" t="inlineStr">
        <is>
          <t>КИ</t>
        </is>
      </c>
    </row>
    <row r="435" ht="16.5" customHeight="1">
      <c r="A435" s="55" t="inlineStr">
        <is>
          <t>SU002219</t>
        </is>
      </c>
      <c r="B435" s="55" t="inlineStr">
        <is>
          <t>P002855</t>
        </is>
      </c>
      <c r="C435" s="32" t="n">
        <v>4301051231</v>
      </c>
      <c r="D435" s="316" t="n">
        <v>4607091383416</v>
      </c>
      <c r="E435" s="317" t="n"/>
      <c r="F435" s="645" t="n">
        <v>1.3</v>
      </c>
      <c r="G435" s="33" t="n">
        <v>6</v>
      </c>
      <c r="H435" s="645" t="n">
        <v>7.8</v>
      </c>
      <c r="I435" s="645" t="n">
        <v>8.346</v>
      </c>
      <c r="J435" s="33" t="n">
        <v>56</v>
      </c>
      <c r="K435" s="34" t="inlineStr">
        <is>
          <t>СК2</t>
        </is>
      </c>
      <c r="L435" s="33" t="n">
        <v>45</v>
      </c>
      <c r="M435" s="624">
        <f>HYPERLINK("https://abi.ru/products/Охлажденные/Дугушка/Дугушка/Сосиски/P002855/","Сосиски Сливочные Дугушки Дугушка Весовые П/а мгс Дугушка")</f>
        <v/>
      </c>
      <c r="N435" s="319" t="n"/>
      <c r="O435" s="319" t="n"/>
      <c r="P435" s="319" t="n"/>
      <c r="Q435" s="317" t="n"/>
      <c r="R435" s="35" t="n"/>
      <c r="S435" s="35" t="n"/>
      <c r="T435" s="36" t="inlineStr">
        <is>
          <t>кг</t>
        </is>
      </c>
      <c r="U435" s="646" t="n">
        <v>0</v>
      </c>
      <c r="V435" s="647">
        <f>IFERROR(IF(U435="",0,CEILING((U435/$H435),1)*$H435),"")</f>
        <v/>
      </c>
      <c r="W435" s="37">
        <f>IFERROR(IF(V435=0,"",ROUNDUP(V435/H435,0)*0.02175),"")</f>
        <v/>
      </c>
      <c r="X435" s="57" t="n"/>
      <c r="Y435" s="58" t="n"/>
      <c r="AC435" s="59" t="n"/>
      <c r="AZ435" s="291" t="inlineStr">
        <is>
          <t>КИ</t>
        </is>
      </c>
    </row>
    <row r="436">
      <c r="A436" s="313" t="n"/>
      <c r="B436" s="314" t="n"/>
      <c r="C436" s="314" t="n"/>
      <c r="D436" s="314" t="n"/>
      <c r="E436" s="314" t="n"/>
      <c r="F436" s="314" t="n"/>
      <c r="G436" s="314" t="n"/>
      <c r="H436" s="314" t="n"/>
      <c r="I436" s="314" t="n"/>
      <c r="J436" s="314" t="n"/>
      <c r="K436" s="314" t="n"/>
      <c r="L436" s="315" t="n"/>
      <c r="M436" s="328" t="inlineStr">
        <is>
          <t>Итого</t>
        </is>
      </c>
      <c r="N436" s="329" t="n"/>
      <c r="O436" s="329" t="n"/>
      <c r="P436" s="329" t="n"/>
      <c r="Q436" s="329" t="n"/>
      <c r="R436" s="329" t="n"/>
      <c r="S436" s="330" t="n"/>
      <c r="T436" s="38" t="inlineStr">
        <is>
          <t>кор</t>
        </is>
      </c>
      <c r="U436" s="648">
        <f>IFERROR(U434/H434,"0")+IFERROR(U435/H435,"0")</f>
        <v/>
      </c>
      <c r="V436" s="648">
        <f>IFERROR(V434/H434,"0")+IFERROR(V435/H435,"0")</f>
        <v/>
      </c>
      <c r="W436" s="648">
        <f>IFERROR(IF(W434="",0,W434),"0")+IFERROR(IF(W435="",0,W435),"0")</f>
        <v/>
      </c>
      <c r="X436" s="649" t="n"/>
      <c r="Y436" s="649" t="n"/>
    </row>
    <row r="437">
      <c r="A437" s="314" t="n"/>
      <c r="B437" s="314" t="n"/>
      <c r="C437" s="314" t="n"/>
      <c r="D437" s="314" t="n"/>
      <c r="E437" s="314" t="n"/>
      <c r="F437" s="314" t="n"/>
      <c r="G437" s="314" t="n"/>
      <c r="H437" s="314" t="n"/>
      <c r="I437" s="314" t="n"/>
      <c r="J437" s="314" t="n"/>
      <c r="K437" s="314" t="n"/>
      <c r="L437" s="315" t="n"/>
      <c r="M437" s="328" t="inlineStr">
        <is>
          <t>Итого</t>
        </is>
      </c>
      <c r="N437" s="329" t="n"/>
      <c r="O437" s="329" t="n"/>
      <c r="P437" s="329" t="n"/>
      <c r="Q437" s="329" t="n"/>
      <c r="R437" s="329" t="n"/>
      <c r="S437" s="330" t="n"/>
      <c r="T437" s="38" t="inlineStr">
        <is>
          <t>кг</t>
        </is>
      </c>
      <c r="U437" s="648">
        <f>IFERROR(SUM(U434:U435),"0")</f>
        <v/>
      </c>
      <c r="V437" s="648">
        <f>IFERROR(SUM(V434:V435),"0")</f>
        <v/>
      </c>
      <c r="W437" s="38" t="n"/>
      <c r="X437" s="649" t="n"/>
      <c r="Y437" s="649" t="n"/>
    </row>
    <row r="438" ht="27.75" customHeight="1">
      <c r="A438" s="357" t="inlineStr">
        <is>
          <t>Зареченские</t>
        </is>
      </c>
      <c r="B438" s="358" t="n"/>
      <c r="C438" s="358" t="n"/>
      <c r="D438" s="358" t="n"/>
      <c r="E438" s="358" t="n"/>
      <c r="F438" s="358" t="n"/>
      <c r="G438" s="358" t="n"/>
      <c r="H438" s="358" t="n"/>
      <c r="I438" s="358" t="n"/>
      <c r="J438" s="358" t="n"/>
      <c r="K438" s="358" t="n"/>
      <c r="L438" s="358" t="n"/>
      <c r="M438" s="358" t="n"/>
      <c r="N438" s="358" t="n"/>
      <c r="O438" s="358" t="n"/>
      <c r="P438" s="358" t="n"/>
      <c r="Q438" s="358" t="n"/>
      <c r="R438" s="358" t="n"/>
      <c r="S438" s="358" t="n"/>
      <c r="T438" s="358" t="n"/>
      <c r="U438" s="358" t="n"/>
      <c r="V438" s="358" t="n"/>
      <c r="W438" s="358" t="n"/>
      <c r="X438" s="49" t="n"/>
      <c r="Y438" s="49" t="n"/>
    </row>
    <row r="439" ht="16.5" customHeight="1">
      <c r="A439" s="337" t="inlineStr">
        <is>
          <t>Зареченские продукты</t>
        </is>
      </c>
      <c r="B439" s="314" t="n"/>
      <c r="C439" s="314" t="n"/>
      <c r="D439" s="314" t="n"/>
      <c r="E439" s="314" t="n"/>
      <c r="F439" s="314" t="n"/>
      <c r="G439" s="314" t="n"/>
      <c r="H439" s="314" t="n"/>
      <c r="I439" s="314" t="n"/>
      <c r="J439" s="314" t="n"/>
      <c r="K439" s="314" t="n"/>
      <c r="L439" s="314" t="n"/>
      <c r="M439" s="314" t="n"/>
      <c r="N439" s="314" t="n"/>
      <c r="O439" s="314" t="n"/>
      <c r="P439" s="314" t="n"/>
      <c r="Q439" s="314" t="n"/>
      <c r="R439" s="314" t="n"/>
      <c r="S439" s="314" t="n"/>
      <c r="T439" s="314" t="n"/>
      <c r="U439" s="314" t="n"/>
      <c r="V439" s="314" t="n"/>
      <c r="W439" s="314" t="n"/>
      <c r="X439" s="337" t="n"/>
      <c r="Y439" s="337" t="n"/>
    </row>
    <row r="440" ht="14.25" customHeight="1">
      <c r="A440" s="326" t="inlineStr">
        <is>
          <t>Вареные колбасы</t>
        </is>
      </c>
      <c r="B440" s="314" t="n"/>
      <c r="C440" s="314" t="n"/>
      <c r="D440" s="314" t="n"/>
      <c r="E440" s="314" t="n"/>
      <c r="F440" s="314" t="n"/>
      <c r="G440" s="314" t="n"/>
      <c r="H440" s="314" t="n"/>
      <c r="I440" s="314" t="n"/>
      <c r="J440" s="314" t="n"/>
      <c r="K440" s="314" t="n"/>
      <c r="L440" s="314" t="n"/>
      <c r="M440" s="314" t="n"/>
      <c r="N440" s="314" t="n"/>
      <c r="O440" s="314" t="n"/>
      <c r="P440" s="314" t="n"/>
      <c r="Q440" s="314" t="n"/>
      <c r="R440" s="314" t="n"/>
      <c r="S440" s="314" t="n"/>
      <c r="T440" s="314" t="n"/>
      <c r="U440" s="314" t="n"/>
      <c r="V440" s="314" t="n"/>
      <c r="W440" s="314" t="n"/>
      <c r="X440" s="326" t="n"/>
      <c r="Y440" s="326" t="n"/>
    </row>
    <row r="441" ht="27" customHeight="1">
      <c r="A441" s="55" t="inlineStr">
        <is>
          <t>SU002807</t>
        </is>
      </c>
      <c r="B441" s="55" t="inlineStr">
        <is>
          <t>P003210</t>
        </is>
      </c>
      <c r="C441" s="32" t="n">
        <v>4301011434</v>
      </c>
      <c r="D441" s="316" t="n">
        <v>4680115881099</v>
      </c>
      <c r="E441" s="317" t="n"/>
      <c r="F441" s="645" t="n">
        <v>1.5</v>
      </c>
      <c r="G441" s="33" t="n">
        <v>8</v>
      </c>
      <c r="H441" s="645" t="n">
        <v>12</v>
      </c>
      <c r="I441" s="645" t="n">
        <v>12.48</v>
      </c>
      <c r="J441" s="33" t="n">
        <v>56</v>
      </c>
      <c r="K441" s="34" t="inlineStr">
        <is>
          <t>СК1</t>
        </is>
      </c>
      <c r="L441" s="33" t="n">
        <v>50</v>
      </c>
      <c r="M441" s="320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41" s="319" t="n"/>
      <c r="O441" s="319" t="n"/>
      <c r="P441" s="319" t="n"/>
      <c r="Q441" s="317" t="n"/>
      <c r="R441" s="35" t="n"/>
      <c r="S441" s="35" t="n"/>
      <c r="T441" s="36" t="inlineStr">
        <is>
          <t>кг</t>
        </is>
      </c>
      <c r="U441" s="646" t="n">
        <v>0</v>
      </c>
      <c r="V441" s="647">
        <f>IFERROR(IF(U441="",0,CEILING((U441/$H441),1)*$H441),"")</f>
        <v/>
      </c>
      <c r="W441" s="37">
        <f>IFERROR(IF(V441=0,"",ROUNDUP(V441/H441,0)*0.02175),"")</f>
        <v/>
      </c>
      <c r="X441" s="57" t="n"/>
      <c r="Y441" s="58" t="n"/>
      <c r="AC441" s="59" t="n"/>
      <c r="AZ441" s="292" t="inlineStr">
        <is>
          <t>КИ</t>
        </is>
      </c>
    </row>
    <row r="442" ht="27" customHeight="1">
      <c r="A442" s="55" t="inlineStr">
        <is>
          <t>SU002808</t>
        </is>
      </c>
      <c r="B442" s="55" t="inlineStr">
        <is>
          <t>P003214</t>
        </is>
      </c>
      <c r="C442" s="32" t="n">
        <v>4301011435</v>
      </c>
      <c r="D442" s="316" t="n">
        <v>4680115881150</v>
      </c>
      <c r="E442" s="317" t="n"/>
      <c r="F442" s="645" t="n">
        <v>1.5</v>
      </c>
      <c r="G442" s="33" t="n">
        <v>8</v>
      </c>
      <c r="H442" s="645" t="n">
        <v>12</v>
      </c>
      <c r="I442" s="645" t="n">
        <v>12.48</v>
      </c>
      <c r="J442" s="33" t="n">
        <v>56</v>
      </c>
      <c r="K442" s="34" t="inlineStr">
        <is>
          <t>СК1</t>
        </is>
      </c>
      <c r="L442" s="33" t="n">
        <v>50</v>
      </c>
      <c r="M442" s="577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42" s="319" t="n"/>
      <c r="O442" s="319" t="n"/>
      <c r="P442" s="319" t="n"/>
      <c r="Q442" s="317" t="n"/>
      <c r="R442" s="35" t="n"/>
      <c r="S442" s="35" t="n"/>
      <c r="T442" s="36" t="inlineStr">
        <is>
          <t>кг</t>
        </is>
      </c>
      <c r="U442" s="646" t="n">
        <v>0</v>
      </c>
      <c r="V442" s="647">
        <f>IFERROR(IF(U442="",0,CEILING((U442/$H442),1)*$H442),"")</f>
        <v/>
      </c>
      <c r="W442" s="37">
        <f>IFERROR(IF(V442=0,"",ROUNDUP(V442/H442,0)*0.02175),"")</f>
        <v/>
      </c>
      <c r="X442" s="57" t="n"/>
      <c r="Y442" s="58" t="n"/>
      <c r="AC442" s="59" t="n"/>
      <c r="AZ442" s="293" t="inlineStr">
        <is>
          <t>КИ</t>
        </is>
      </c>
    </row>
    <row r="443">
      <c r="A443" s="313" t="n"/>
      <c r="B443" s="314" t="n"/>
      <c r="C443" s="314" t="n"/>
      <c r="D443" s="314" t="n"/>
      <c r="E443" s="314" t="n"/>
      <c r="F443" s="314" t="n"/>
      <c r="G443" s="314" t="n"/>
      <c r="H443" s="314" t="n"/>
      <c r="I443" s="314" t="n"/>
      <c r="J443" s="314" t="n"/>
      <c r="K443" s="314" t="n"/>
      <c r="L443" s="315" t="n"/>
      <c r="M443" s="328" t="inlineStr">
        <is>
          <t>Итого</t>
        </is>
      </c>
      <c r="N443" s="329" t="n"/>
      <c r="O443" s="329" t="n"/>
      <c r="P443" s="329" t="n"/>
      <c r="Q443" s="329" t="n"/>
      <c r="R443" s="329" t="n"/>
      <c r="S443" s="330" t="n"/>
      <c r="T443" s="38" t="inlineStr">
        <is>
          <t>кор</t>
        </is>
      </c>
      <c r="U443" s="648">
        <f>IFERROR(U441/H441,"0")+IFERROR(U442/H442,"0")</f>
        <v/>
      </c>
      <c r="V443" s="648">
        <f>IFERROR(V441/H441,"0")+IFERROR(V442/H442,"0")</f>
        <v/>
      </c>
      <c r="W443" s="648">
        <f>IFERROR(IF(W441="",0,W441),"0")+IFERROR(IF(W442="",0,W442),"0")</f>
        <v/>
      </c>
      <c r="X443" s="649" t="n"/>
      <c r="Y443" s="649" t="n"/>
    </row>
    <row r="444">
      <c r="A444" s="314" t="n"/>
      <c r="B444" s="314" t="n"/>
      <c r="C444" s="314" t="n"/>
      <c r="D444" s="314" t="n"/>
      <c r="E444" s="314" t="n"/>
      <c r="F444" s="314" t="n"/>
      <c r="G444" s="314" t="n"/>
      <c r="H444" s="314" t="n"/>
      <c r="I444" s="314" t="n"/>
      <c r="J444" s="314" t="n"/>
      <c r="K444" s="314" t="n"/>
      <c r="L444" s="315" t="n"/>
      <c r="M444" s="328" t="inlineStr">
        <is>
          <t>Итого</t>
        </is>
      </c>
      <c r="N444" s="329" t="n"/>
      <c r="O444" s="329" t="n"/>
      <c r="P444" s="329" t="n"/>
      <c r="Q444" s="329" t="n"/>
      <c r="R444" s="329" t="n"/>
      <c r="S444" s="330" t="n"/>
      <c r="T444" s="38" t="inlineStr">
        <is>
          <t>кг</t>
        </is>
      </c>
      <c r="U444" s="648">
        <f>IFERROR(SUM(U441:U442),"0")</f>
        <v/>
      </c>
      <c r="V444" s="648">
        <f>IFERROR(SUM(V441:V442),"0")</f>
        <v/>
      </c>
      <c r="W444" s="38" t="n"/>
      <c r="X444" s="649" t="n"/>
      <c r="Y444" s="649" t="n"/>
    </row>
    <row r="445" ht="14.25" customHeight="1">
      <c r="A445" s="326" t="inlineStr">
        <is>
          <t>Ветчины</t>
        </is>
      </c>
      <c r="B445" s="314" t="n"/>
      <c r="C445" s="314" t="n"/>
      <c r="D445" s="314" t="n"/>
      <c r="E445" s="314" t="n"/>
      <c r="F445" s="314" t="n"/>
      <c r="G445" s="314" t="n"/>
      <c r="H445" s="314" t="n"/>
      <c r="I445" s="314" t="n"/>
      <c r="J445" s="314" t="n"/>
      <c r="K445" s="314" t="n"/>
      <c r="L445" s="314" t="n"/>
      <c r="M445" s="314" t="n"/>
      <c r="N445" s="314" t="n"/>
      <c r="O445" s="314" t="n"/>
      <c r="P445" s="314" t="n"/>
      <c r="Q445" s="314" t="n"/>
      <c r="R445" s="314" t="n"/>
      <c r="S445" s="314" t="n"/>
      <c r="T445" s="314" t="n"/>
      <c r="U445" s="314" t="n"/>
      <c r="V445" s="314" t="n"/>
      <c r="W445" s="314" t="n"/>
      <c r="X445" s="326" t="n"/>
      <c r="Y445" s="326" t="n"/>
    </row>
    <row r="446" ht="27" customHeight="1">
      <c r="A446" s="55" t="inlineStr">
        <is>
          <t>SU002811</t>
        </is>
      </c>
      <c r="B446" s="55" t="inlineStr">
        <is>
          <t>P003588</t>
        </is>
      </c>
      <c r="C446" s="32" t="n">
        <v>4301020260</v>
      </c>
      <c r="D446" s="316" t="n">
        <v>4640242180526</v>
      </c>
      <c r="E446" s="317" t="n"/>
      <c r="F446" s="645" t="n">
        <v>1.8</v>
      </c>
      <c r="G446" s="33" t="n">
        <v>6</v>
      </c>
      <c r="H446" s="645" t="n">
        <v>10.8</v>
      </c>
      <c r="I446" s="645" t="n">
        <v>11.28</v>
      </c>
      <c r="J446" s="33" t="n">
        <v>56</v>
      </c>
      <c r="K446" s="34" t="inlineStr">
        <is>
          <t>СК1</t>
        </is>
      </c>
      <c r="L446" s="33" t="n">
        <v>50</v>
      </c>
      <c r="M446" s="542" t="inlineStr">
        <is>
          <t>Ветчины «Нежная» Весовой п/а ТМ «Зареченские» большой батон</t>
        </is>
      </c>
      <c r="N446" s="319" t="n"/>
      <c r="O446" s="319" t="n"/>
      <c r="P446" s="319" t="n"/>
      <c r="Q446" s="317" t="n"/>
      <c r="R446" s="35" t="n"/>
      <c r="S446" s="35" t="n"/>
      <c r="T446" s="36" t="inlineStr">
        <is>
          <t>кг</t>
        </is>
      </c>
      <c r="U446" s="646" t="n">
        <v>0</v>
      </c>
      <c r="V446" s="647">
        <f>IFERROR(IF(U446="",0,CEILING((U446/$H446),1)*$H446),"")</f>
        <v/>
      </c>
      <c r="W446" s="37">
        <f>IFERROR(IF(V446=0,"",ROUNDUP(V446/H446,0)*0.02175),"")</f>
        <v/>
      </c>
      <c r="X446" s="57" t="n"/>
      <c r="Y446" s="58" t="n"/>
      <c r="AC446" s="59" t="n"/>
      <c r="AZ446" s="294" t="inlineStr">
        <is>
          <t>КИ</t>
        </is>
      </c>
    </row>
    <row r="447" ht="16.5" customHeight="1">
      <c r="A447" s="55" t="inlineStr">
        <is>
          <t>SU002806</t>
        </is>
      </c>
      <c r="B447" s="55" t="inlineStr">
        <is>
          <t>P003591</t>
        </is>
      </c>
      <c r="C447" s="32" t="n">
        <v>4301020269</v>
      </c>
      <c r="D447" s="316" t="n">
        <v>4640242180519</v>
      </c>
      <c r="E447" s="317" t="n"/>
      <c r="F447" s="645" t="n">
        <v>1.35</v>
      </c>
      <c r="G447" s="33" t="n">
        <v>8</v>
      </c>
      <c r="H447" s="645" t="n">
        <v>10.8</v>
      </c>
      <c r="I447" s="645" t="n">
        <v>11.28</v>
      </c>
      <c r="J447" s="33" t="n">
        <v>56</v>
      </c>
      <c r="K447" s="34" t="inlineStr">
        <is>
          <t>СК3</t>
        </is>
      </c>
      <c r="L447" s="33" t="n">
        <v>50</v>
      </c>
      <c r="M447" s="480" t="inlineStr">
        <is>
          <t>Ветчины «Нежная» Весовой п/а ТМ «Зареченские»</t>
        </is>
      </c>
      <c r="N447" s="319" t="n"/>
      <c r="O447" s="319" t="n"/>
      <c r="P447" s="319" t="n"/>
      <c r="Q447" s="317" t="n"/>
      <c r="R447" s="35" t="n"/>
      <c r="S447" s="35" t="n"/>
      <c r="T447" s="36" t="inlineStr">
        <is>
          <t>кг</t>
        </is>
      </c>
      <c r="U447" s="646" t="n">
        <v>0</v>
      </c>
      <c r="V447" s="647">
        <f>IFERROR(IF(U447="",0,CEILING((U447/$H447),1)*$H447),"")</f>
        <v/>
      </c>
      <c r="W447" s="37">
        <f>IFERROR(IF(V447=0,"",ROUNDUP(V447/H447,0)*0.02175),"")</f>
        <v/>
      </c>
      <c r="X447" s="57" t="n"/>
      <c r="Y447" s="58" t="n"/>
      <c r="AC447" s="59" t="n"/>
      <c r="AZ447" s="295" t="inlineStr">
        <is>
          <t>КИ</t>
        </is>
      </c>
    </row>
    <row r="448" ht="16.5" customHeight="1">
      <c r="A448" s="55" t="inlineStr">
        <is>
          <t>SU002806</t>
        </is>
      </c>
      <c r="B448" s="55" t="inlineStr">
        <is>
          <t>P003207</t>
        </is>
      </c>
      <c r="C448" s="32" t="n">
        <v>4301020230</v>
      </c>
      <c r="D448" s="316" t="n">
        <v>4680115881112</v>
      </c>
      <c r="E448" s="317" t="n"/>
      <c r="F448" s="645" t="n">
        <v>1.35</v>
      </c>
      <c r="G448" s="33" t="n">
        <v>8</v>
      </c>
      <c r="H448" s="645" t="n">
        <v>10.8</v>
      </c>
      <c r="I448" s="645" t="n">
        <v>11.28</v>
      </c>
      <c r="J448" s="33" t="n">
        <v>56</v>
      </c>
      <c r="K448" s="34" t="inlineStr">
        <is>
          <t>СК1</t>
        </is>
      </c>
      <c r="L448" s="33" t="n">
        <v>50</v>
      </c>
      <c r="M448" s="544">
        <f>HYPERLINK("https://abi.ru/products/Охлажденные/Зареченские/Зареченские продукты/Ветчины/P003207/","Ветчины «Нежная» Весовой п/а ТМ «Зареченские»")</f>
        <v/>
      </c>
      <c r="N448" s="319" t="n"/>
      <c r="O448" s="319" t="n"/>
      <c r="P448" s="319" t="n"/>
      <c r="Q448" s="317" t="n"/>
      <c r="R448" s="35" t="n"/>
      <c r="S448" s="35" t="n"/>
      <c r="T448" s="36" t="inlineStr">
        <is>
          <t>кг</t>
        </is>
      </c>
      <c r="U448" s="646" t="n">
        <v>0</v>
      </c>
      <c r="V448" s="647">
        <f>IFERROR(IF(U448="",0,CEILING((U448/$H448),1)*$H448),"")</f>
        <v/>
      </c>
      <c r="W448" s="37">
        <f>IFERROR(IF(V448=0,"",ROUNDUP(V448/H448,0)*0.02175),"")</f>
        <v/>
      </c>
      <c r="X448" s="57" t="n"/>
      <c r="Y448" s="58" t="n"/>
      <c r="AC448" s="59" t="n"/>
      <c r="AZ448" s="296" t="inlineStr">
        <is>
          <t>КИ</t>
        </is>
      </c>
    </row>
    <row r="449">
      <c r="A449" s="313" t="n"/>
      <c r="B449" s="314" t="n"/>
      <c r="C449" s="314" t="n"/>
      <c r="D449" s="314" t="n"/>
      <c r="E449" s="314" t="n"/>
      <c r="F449" s="314" t="n"/>
      <c r="G449" s="314" t="n"/>
      <c r="H449" s="314" t="n"/>
      <c r="I449" s="314" t="n"/>
      <c r="J449" s="314" t="n"/>
      <c r="K449" s="314" t="n"/>
      <c r="L449" s="315" t="n"/>
      <c r="M449" s="328" t="inlineStr">
        <is>
          <t>Итого</t>
        </is>
      </c>
      <c r="N449" s="329" t="n"/>
      <c r="O449" s="329" t="n"/>
      <c r="P449" s="329" t="n"/>
      <c r="Q449" s="329" t="n"/>
      <c r="R449" s="329" t="n"/>
      <c r="S449" s="330" t="n"/>
      <c r="T449" s="38" t="inlineStr">
        <is>
          <t>кор</t>
        </is>
      </c>
      <c r="U449" s="648">
        <f>IFERROR(U446/H446,"0")+IFERROR(U447/H447,"0")+IFERROR(U448/H448,"0")</f>
        <v/>
      </c>
      <c r="V449" s="648">
        <f>IFERROR(V446/H446,"0")+IFERROR(V447/H447,"0")+IFERROR(V448/H448,"0")</f>
        <v/>
      </c>
      <c r="W449" s="648">
        <f>IFERROR(IF(W446="",0,W446),"0")+IFERROR(IF(W447="",0,W447),"0")+IFERROR(IF(W448="",0,W448),"0")</f>
        <v/>
      </c>
      <c r="X449" s="649" t="n"/>
      <c r="Y449" s="649" t="n"/>
    </row>
    <row r="450">
      <c r="A450" s="314" t="n"/>
      <c r="B450" s="314" t="n"/>
      <c r="C450" s="314" t="n"/>
      <c r="D450" s="314" t="n"/>
      <c r="E450" s="314" t="n"/>
      <c r="F450" s="314" t="n"/>
      <c r="G450" s="314" t="n"/>
      <c r="H450" s="314" t="n"/>
      <c r="I450" s="314" t="n"/>
      <c r="J450" s="314" t="n"/>
      <c r="K450" s="314" t="n"/>
      <c r="L450" s="315" t="n"/>
      <c r="M450" s="328" t="inlineStr">
        <is>
          <t>Итого</t>
        </is>
      </c>
      <c r="N450" s="329" t="n"/>
      <c r="O450" s="329" t="n"/>
      <c r="P450" s="329" t="n"/>
      <c r="Q450" s="329" t="n"/>
      <c r="R450" s="329" t="n"/>
      <c r="S450" s="330" t="n"/>
      <c r="T450" s="38" t="inlineStr">
        <is>
          <t>кг</t>
        </is>
      </c>
      <c r="U450" s="648">
        <f>IFERROR(SUM(U446:U448),"0")</f>
        <v/>
      </c>
      <c r="V450" s="648">
        <f>IFERROR(SUM(V446:V448),"0")</f>
        <v/>
      </c>
      <c r="W450" s="38" t="n"/>
      <c r="X450" s="649" t="n"/>
      <c r="Y450" s="649" t="n"/>
    </row>
    <row r="451" ht="14.25" customHeight="1">
      <c r="A451" s="326" t="inlineStr">
        <is>
          <t>Копченые колбасы</t>
        </is>
      </c>
      <c r="B451" s="314" t="n"/>
      <c r="C451" s="314" t="n"/>
      <c r="D451" s="314" t="n"/>
      <c r="E451" s="314" t="n"/>
      <c r="F451" s="314" t="n"/>
      <c r="G451" s="314" t="n"/>
      <c r="H451" s="314" t="n"/>
      <c r="I451" s="314" t="n"/>
      <c r="J451" s="314" t="n"/>
      <c r="K451" s="314" t="n"/>
      <c r="L451" s="314" t="n"/>
      <c r="M451" s="314" t="n"/>
      <c r="N451" s="314" t="n"/>
      <c r="O451" s="314" t="n"/>
      <c r="P451" s="314" t="n"/>
      <c r="Q451" s="314" t="n"/>
      <c r="R451" s="314" t="n"/>
      <c r="S451" s="314" t="n"/>
      <c r="T451" s="314" t="n"/>
      <c r="U451" s="314" t="n"/>
      <c r="V451" s="314" t="n"/>
      <c r="W451" s="314" t="n"/>
      <c r="X451" s="326" t="n"/>
      <c r="Y451" s="326" t="n"/>
    </row>
    <row r="452" ht="27" customHeight="1">
      <c r="A452" s="55" t="inlineStr">
        <is>
          <t>SU002805</t>
        </is>
      </c>
      <c r="B452" s="55" t="inlineStr">
        <is>
          <t>P003206</t>
        </is>
      </c>
      <c r="C452" s="32" t="n">
        <v>4301031192</v>
      </c>
      <c r="D452" s="316" t="n">
        <v>4680115881167</v>
      </c>
      <c r="E452" s="317" t="n"/>
      <c r="F452" s="645" t="n">
        <v>0.73</v>
      </c>
      <c r="G452" s="33" t="n">
        <v>6</v>
      </c>
      <c r="H452" s="645" t="n">
        <v>4.38</v>
      </c>
      <c r="I452" s="645" t="n">
        <v>4.64</v>
      </c>
      <c r="J452" s="33" t="n">
        <v>156</v>
      </c>
      <c r="K452" s="34" t="inlineStr">
        <is>
          <t>СК2</t>
        </is>
      </c>
      <c r="L452" s="33" t="n">
        <v>40</v>
      </c>
      <c r="M452" s="504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52" s="319" t="n"/>
      <c r="O452" s="319" t="n"/>
      <c r="P452" s="319" t="n"/>
      <c r="Q452" s="317" t="n"/>
      <c r="R452" s="35" t="n"/>
      <c r="S452" s="35" t="n"/>
      <c r="T452" s="36" t="inlineStr">
        <is>
          <t>кг</t>
        </is>
      </c>
      <c r="U452" s="646" t="n">
        <v>0</v>
      </c>
      <c r="V452" s="647">
        <f>IFERROR(IF(U452="",0,CEILING((U452/$H452),1)*$H452),"")</f>
        <v/>
      </c>
      <c r="W452" s="37">
        <f>IFERROR(IF(V452=0,"",ROUNDUP(V452/H452,0)*0.00753),"")</f>
        <v/>
      </c>
      <c r="X452" s="57" t="n"/>
      <c r="Y452" s="58" t="n"/>
      <c r="AC452" s="59" t="n"/>
      <c r="AZ452" s="297" t="inlineStr">
        <is>
          <t>КИ</t>
        </is>
      </c>
    </row>
    <row r="453" ht="27" customHeight="1">
      <c r="A453" s="55" t="inlineStr">
        <is>
          <t>SU002809</t>
        </is>
      </c>
      <c r="B453" s="55" t="inlineStr">
        <is>
          <t>P003586</t>
        </is>
      </c>
      <c r="C453" s="32" t="n">
        <v>4301031244</v>
      </c>
      <c r="D453" s="316" t="n">
        <v>4640242180595</v>
      </c>
      <c r="E453" s="317" t="n"/>
      <c r="F453" s="645" t="n">
        <v>0.7</v>
      </c>
      <c r="G453" s="33" t="n">
        <v>6</v>
      </c>
      <c r="H453" s="645" t="n">
        <v>4.2</v>
      </c>
      <c r="I453" s="645" t="n">
        <v>4.46</v>
      </c>
      <c r="J453" s="33" t="n">
        <v>156</v>
      </c>
      <c r="K453" s="34" t="inlineStr">
        <is>
          <t>СК2</t>
        </is>
      </c>
      <c r="L453" s="33" t="n">
        <v>40</v>
      </c>
      <c r="M453" s="628" t="inlineStr">
        <is>
          <t>В/к колбасы «Сервелат Рижский» НТУ Весовые Фиброуз в/у ТМ «Зареченские»</t>
        </is>
      </c>
      <c r="N453" s="319" t="n"/>
      <c r="O453" s="319" t="n"/>
      <c r="P453" s="319" t="n"/>
      <c r="Q453" s="317" t="n"/>
      <c r="R453" s="35" t="n"/>
      <c r="S453" s="35" t="n"/>
      <c r="T453" s="36" t="inlineStr">
        <is>
          <t>кг</t>
        </is>
      </c>
      <c r="U453" s="646" t="n">
        <v>0</v>
      </c>
      <c r="V453" s="647">
        <f>IFERROR(IF(U453="",0,CEILING((U453/$H453),1)*$H453),"")</f>
        <v/>
      </c>
      <c r="W453" s="37">
        <f>IFERROR(IF(V453=0,"",ROUNDUP(V453/H453,0)*0.00753),"")</f>
        <v/>
      </c>
      <c r="X453" s="57" t="n"/>
      <c r="Y453" s="58" t="n"/>
      <c r="AC453" s="59" t="n"/>
      <c r="AZ453" s="298" t="inlineStr">
        <is>
          <t>КИ</t>
        </is>
      </c>
    </row>
    <row r="454" ht="27" customHeight="1">
      <c r="A454" s="55" t="inlineStr">
        <is>
          <t>SU002809</t>
        </is>
      </c>
      <c r="B454" s="55" t="inlineStr">
        <is>
          <t>P003216</t>
        </is>
      </c>
      <c r="C454" s="32" t="n">
        <v>4301031193</v>
      </c>
      <c r="D454" s="316" t="n">
        <v>4680115881136</v>
      </c>
      <c r="E454" s="317" t="n"/>
      <c r="F454" s="645" t="n">
        <v>0.73</v>
      </c>
      <c r="G454" s="33" t="n">
        <v>6</v>
      </c>
      <c r="H454" s="645" t="n">
        <v>4.38</v>
      </c>
      <c r="I454" s="645" t="n">
        <v>4.64</v>
      </c>
      <c r="J454" s="33" t="n">
        <v>156</v>
      </c>
      <c r="K454" s="34" t="inlineStr">
        <is>
          <t>СК2</t>
        </is>
      </c>
      <c r="L454" s="33" t="n">
        <v>40</v>
      </c>
      <c r="M454" s="348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/>
      </c>
      <c r="N454" s="319" t="n"/>
      <c r="O454" s="319" t="n"/>
      <c r="P454" s="319" t="n"/>
      <c r="Q454" s="317" t="n"/>
      <c r="R454" s="35" t="n"/>
      <c r="S454" s="35" t="n"/>
      <c r="T454" s="36" t="inlineStr">
        <is>
          <t>кг</t>
        </is>
      </c>
      <c r="U454" s="646" t="n">
        <v>0</v>
      </c>
      <c r="V454" s="647">
        <f>IFERROR(IF(U454="",0,CEILING((U454/$H454),1)*$H454),"")</f>
        <v/>
      </c>
      <c r="W454" s="37">
        <f>IFERROR(IF(V454=0,"",ROUNDUP(V454/H454,0)*0.00753),"")</f>
        <v/>
      </c>
      <c r="X454" s="57" t="n"/>
      <c r="Y454" s="58" t="n"/>
      <c r="AC454" s="59" t="n"/>
      <c r="AZ454" s="299" t="inlineStr">
        <is>
          <t>КИ</t>
        </is>
      </c>
    </row>
    <row r="455">
      <c r="A455" s="313" t="n"/>
      <c r="B455" s="314" t="n"/>
      <c r="C455" s="314" t="n"/>
      <c r="D455" s="314" t="n"/>
      <c r="E455" s="314" t="n"/>
      <c r="F455" s="314" t="n"/>
      <c r="G455" s="314" t="n"/>
      <c r="H455" s="314" t="n"/>
      <c r="I455" s="314" t="n"/>
      <c r="J455" s="314" t="n"/>
      <c r="K455" s="314" t="n"/>
      <c r="L455" s="315" t="n"/>
      <c r="M455" s="328" t="inlineStr">
        <is>
          <t>Итого</t>
        </is>
      </c>
      <c r="N455" s="329" t="n"/>
      <c r="O455" s="329" t="n"/>
      <c r="P455" s="329" t="n"/>
      <c r="Q455" s="329" t="n"/>
      <c r="R455" s="329" t="n"/>
      <c r="S455" s="330" t="n"/>
      <c r="T455" s="38" t="inlineStr">
        <is>
          <t>кор</t>
        </is>
      </c>
      <c r="U455" s="648">
        <f>IFERROR(U452/H452,"0")+IFERROR(U453/H453,"0")+IFERROR(U454/H454,"0")</f>
        <v/>
      </c>
      <c r="V455" s="648">
        <f>IFERROR(V452/H452,"0")+IFERROR(V453/H453,"0")+IFERROR(V454/H454,"0")</f>
        <v/>
      </c>
      <c r="W455" s="648">
        <f>IFERROR(IF(W452="",0,W452),"0")+IFERROR(IF(W453="",0,W453),"0")+IFERROR(IF(W454="",0,W454),"0")</f>
        <v/>
      </c>
      <c r="X455" s="649" t="n"/>
      <c r="Y455" s="649" t="n"/>
    </row>
    <row r="456">
      <c r="A456" s="314" t="n"/>
      <c r="B456" s="314" t="n"/>
      <c r="C456" s="314" t="n"/>
      <c r="D456" s="314" t="n"/>
      <c r="E456" s="314" t="n"/>
      <c r="F456" s="314" t="n"/>
      <c r="G456" s="314" t="n"/>
      <c r="H456" s="314" t="n"/>
      <c r="I456" s="314" t="n"/>
      <c r="J456" s="314" t="n"/>
      <c r="K456" s="314" t="n"/>
      <c r="L456" s="315" t="n"/>
      <c r="M456" s="328" t="inlineStr">
        <is>
          <t>Итого</t>
        </is>
      </c>
      <c r="N456" s="329" t="n"/>
      <c r="O456" s="329" t="n"/>
      <c r="P456" s="329" t="n"/>
      <c r="Q456" s="329" t="n"/>
      <c r="R456" s="329" t="n"/>
      <c r="S456" s="330" t="n"/>
      <c r="T456" s="38" t="inlineStr">
        <is>
          <t>кг</t>
        </is>
      </c>
      <c r="U456" s="648">
        <f>IFERROR(SUM(U452:U454),"0")</f>
        <v/>
      </c>
      <c r="V456" s="648">
        <f>IFERROR(SUM(V452:V454),"0")</f>
        <v/>
      </c>
      <c r="W456" s="38" t="n"/>
      <c r="X456" s="649" t="n"/>
      <c r="Y456" s="649" t="n"/>
    </row>
    <row r="457" ht="14.25" customHeight="1">
      <c r="A457" s="326" t="inlineStr">
        <is>
          <t>Сосиски</t>
        </is>
      </c>
      <c r="B457" s="314" t="n"/>
      <c r="C457" s="314" t="n"/>
      <c r="D457" s="314" t="n"/>
      <c r="E457" s="314" t="n"/>
      <c r="F457" s="314" t="n"/>
      <c r="G457" s="314" t="n"/>
      <c r="H457" s="314" t="n"/>
      <c r="I457" s="314" t="n"/>
      <c r="J457" s="314" t="n"/>
      <c r="K457" s="314" t="n"/>
      <c r="L457" s="314" t="n"/>
      <c r="M457" s="314" t="n"/>
      <c r="N457" s="314" t="n"/>
      <c r="O457" s="314" t="n"/>
      <c r="P457" s="314" t="n"/>
      <c r="Q457" s="314" t="n"/>
      <c r="R457" s="314" t="n"/>
      <c r="S457" s="314" t="n"/>
      <c r="T457" s="314" t="n"/>
      <c r="U457" s="314" t="n"/>
      <c r="V457" s="314" t="n"/>
      <c r="W457" s="314" t="n"/>
      <c r="X457" s="326" t="n"/>
      <c r="Y457" s="326" t="n"/>
    </row>
    <row r="458" ht="27" customHeight="1">
      <c r="A458" s="55" t="inlineStr">
        <is>
          <t>SU002803</t>
        </is>
      </c>
      <c r="B458" s="55" t="inlineStr">
        <is>
          <t>P003204</t>
        </is>
      </c>
      <c r="C458" s="32" t="n">
        <v>4301051381</v>
      </c>
      <c r="D458" s="316" t="n">
        <v>4680115881068</v>
      </c>
      <c r="E458" s="317" t="n"/>
      <c r="F458" s="645" t="n">
        <v>1.3</v>
      </c>
      <c r="G458" s="33" t="n">
        <v>6</v>
      </c>
      <c r="H458" s="645" t="n">
        <v>7.8</v>
      </c>
      <c r="I458" s="645" t="n">
        <v>8.279999999999999</v>
      </c>
      <c r="J458" s="33" t="n">
        <v>56</v>
      </c>
      <c r="K458" s="34" t="inlineStr">
        <is>
          <t>СК2</t>
        </is>
      </c>
      <c r="L458" s="33" t="n">
        <v>30</v>
      </c>
      <c r="M458" s="521">
        <f>HYPERLINK("https://abi.ru/products/Охлажденные/Зареченские/Зареченские продукты/Сосиски/P003204/","Сосиски «Сочные» Весовой п/а ТМ «Зареченские»")</f>
        <v/>
      </c>
      <c r="N458" s="319" t="n"/>
      <c r="O458" s="319" t="n"/>
      <c r="P458" s="319" t="n"/>
      <c r="Q458" s="317" t="n"/>
      <c r="R458" s="35" t="n"/>
      <c r="S458" s="35" t="n"/>
      <c r="T458" s="36" t="inlineStr">
        <is>
          <t>кг</t>
        </is>
      </c>
      <c r="U458" s="646" t="n">
        <v>0</v>
      </c>
      <c r="V458" s="647">
        <f>IFERROR(IF(U458="",0,CEILING((U458/$H458),1)*$H458),"")</f>
        <v/>
      </c>
      <c r="W458" s="37">
        <f>IFERROR(IF(V458=0,"",ROUNDUP(V458/H458,0)*0.02175),"")</f>
        <v/>
      </c>
      <c r="X458" s="57" t="n"/>
      <c r="Y458" s="58" t="n"/>
      <c r="AC458" s="59" t="n"/>
      <c r="AZ458" s="300" t="inlineStr">
        <is>
          <t>КИ</t>
        </is>
      </c>
    </row>
    <row r="459" ht="27" customHeight="1">
      <c r="A459" s="55" t="inlineStr">
        <is>
          <t>SU002804</t>
        </is>
      </c>
      <c r="B459" s="55" t="inlineStr">
        <is>
          <t>P003205</t>
        </is>
      </c>
      <c r="C459" s="32" t="n">
        <v>4301051382</v>
      </c>
      <c r="D459" s="316" t="n">
        <v>4680115881075</v>
      </c>
      <c r="E459" s="317" t="n"/>
      <c r="F459" s="645" t="n">
        <v>0.5</v>
      </c>
      <c r="G459" s="33" t="n">
        <v>6</v>
      </c>
      <c r="H459" s="645" t="n">
        <v>3</v>
      </c>
      <c r="I459" s="645" t="n">
        <v>3.2</v>
      </c>
      <c r="J459" s="33" t="n">
        <v>156</v>
      </c>
      <c r="K459" s="34" t="inlineStr">
        <is>
          <t>СК2</t>
        </is>
      </c>
      <c r="L459" s="33" t="n">
        <v>30</v>
      </c>
      <c r="M459" s="339">
        <f>HYPERLINK("https://abi.ru/products/Охлажденные/Зареченские/Зареченские продукты/Сосиски/P003205/","Сосиски «Сочные» Фикс.вес 0,5 п/а ТМ «Зареченские»")</f>
        <v/>
      </c>
      <c r="N459" s="319" t="n"/>
      <c r="O459" s="319" t="n"/>
      <c r="P459" s="319" t="n"/>
      <c r="Q459" s="317" t="n"/>
      <c r="R459" s="35" t="n"/>
      <c r="S459" s="35" t="n"/>
      <c r="T459" s="36" t="inlineStr">
        <is>
          <t>кг</t>
        </is>
      </c>
      <c r="U459" s="646" t="n">
        <v>0</v>
      </c>
      <c r="V459" s="647">
        <f>IFERROR(IF(U459="",0,CEILING((U459/$H459),1)*$H459),"")</f>
        <v/>
      </c>
      <c r="W459" s="37">
        <f>IFERROR(IF(V459=0,"",ROUNDUP(V459/H459,0)*0.00753),"")</f>
        <v/>
      </c>
      <c r="X459" s="57" t="n"/>
      <c r="Y459" s="58" t="n"/>
      <c r="AC459" s="59" t="n"/>
      <c r="AZ459" s="301" t="inlineStr">
        <is>
          <t>КИ</t>
        </is>
      </c>
    </row>
    <row r="460">
      <c r="A460" s="313" t="n"/>
      <c r="B460" s="314" t="n"/>
      <c r="C460" s="314" t="n"/>
      <c r="D460" s="314" t="n"/>
      <c r="E460" s="314" t="n"/>
      <c r="F460" s="314" t="n"/>
      <c r="G460" s="314" t="n"/>
      <c r="H460" s="314" t="n"/>
      <c r="I460" s="314" t="n"/>
      <c r="J460" s="314" t="n"/>
      <c r="K460" s="314" t="n"/>
      <c r="L460" s="315" t="n"/>
      <c r="M460" s="328" t="inlineStr">
        <is>
          <t>Итого</t>
        </is>
      </c>
      <c r="N460" s="329" t="n"/>
      <c r="O460" s="329" t="n"/>
      <c r="P460" s="329" t="n"/>
      <c r="Q460" s="329" t="n"/>
      <c r="R460" s="329" t="n"/>
      <c r="S460" s="330" t="n"/>
      <c r="T460" s="38" t="inlineStr">
        <is>
          <t>кор</t>
        </is>
      </c>
      <c r="U460" s="648">
        <f>IFERROR(U458/H458,"0")+IFERROR(U459/H459,"0")</f>
        <v/>
      </c>
      <c r="V460" s="648">
        <f>IFERROR(V458/H458,"0")+IFERROR(V459/H459,"0")</f>
        <v/>
      </c>
      <c r="W460" s="648">
        <f>IFERROR(IF(W458="",0,W458),"0")+IFERROR(IF(W459="",0,W459),"0")</f>
        <v/>
      </c>
      <c r="X460" s="649" t="n"/>
      <c r="Y460" s="649" t="n"/>
    </row>
    <row r="461">
      <c r="A461" s="314" t="n"/>
      <c r="B461" s="314" t="n"/>
      <c r="C461" s="314" t="n"/>
      <c r="D461" s="314" t="n"/>
      <c r="E461" s="314" t="n"/>
      <c r="F461" s="314" t="n"/>
      <c r="G461" s="314" t="n"/>
      <c r="H461" s="314" t="n"/>
      <c r="I461" s="314" t="n"/>
      <c r="J461" s="314" t="n"/>
      <c r="K461" s="314" t="n"/>
      <c r="L461" s="315" t="n"/>
      <c r="M461" s="328" t="inlineStr">
        <is>
          <t>Итого</t>
        </is>
      </c>
      <c r="N461" s="329" t="n"/>
      <c r="O461" s="329" t="n"/>
      <c r="P461" s="329" t="n"/>
      <c r="Q461" s="329" t="n"/>
      <c r="R461" s="329" t="n"/>
      <c r="S461" s="330" t="n"/>
      <c r="T461" s="38" t="inlineStr">
        <is>
          <t>кг</t>
        </is>
      </c>
      <c r="U461" s="648">
        <f>IFERROR(SUM(U458:U459),"0")</f>
        <v/>
      </c>
      <c r="V461" s="648">
        <f>IFERROR(SUM(V458:V459),"0")</f>
        <v/>
      </c>
      <c r="W461" s="38" t="n"/>
      <c r="X461" s="649" t="n"/>
      <c r="Y461" s="649" t="n"/>
    </row>
    <row r="462" ht="16.5" customHeight="1">
      <c r="A462" s="337" t="inlineStr">
        <is>
          <t>Выгодная цена</t>
        </is>
      </c>
      <c r="B462" s="314" t="n"/>
      <c r="C462" s="314" t="n"/>
      <c r="D462" s="314" t="n"/>
      <c r="E462" s="314" t="n"/>
      <c r="F462" s="314" t="n"/>
      <c r="G462" s="314" t="n"/>
      <c r="H462" s="314" t="n"/>
      <c r="I462" s="314" t="n"/>
      <c r="J462" s="314" t="n"/>
      <c r="K462" s="314" t="n"/>
      <c r="L462" s="314" t="n"/>
      <c r="M462" s="314" t="n"/>
      <c r="N462" s="314" t="n"/>
      <c r="O462" s="314" t="n"/>
      <c r="P462" s="314" t="n"/>
      <c r="Q462" s="314" t="n"/>
      <c r="R462" s="314" t="n"/>
      <c r="S462" s="314" t="n"/>
      <c r="T462" s="314" t="n"/>
      <c r="U462" s="314" t="n"/>
      <c r="V462" s="314" t="n"/>
      <c r="W462" s="314" t="n"/>
      <c r="X462" s="337" t="n"/>
      <c r="Y462" s="337" t="n"/>
    </row>
    <row r="463" ht="14.25" customHeight="1">
      <c r="A463" s="326" t="inlineStr">
        <is>
          <t>Сосиски</t>
        </is>
      </c>
      <c r="B463" s="314" t="n"/>
      <c r="C463" s="314" t="n"/>
      <c r="D463" s="314" t="n"/>
      <c r="E463" s="314" t="n"/>
      <c r="F463" s="314" t="n"/>
      <c r="G463" s="314" t="n"/>
      <c r="H463" s="314" t="n"/>
      <c r="I463" s="314" t="n"/>
      <c r="J463" s="314" t="n"/>
      <c r="K463" s="314" t="n"/>
      <c r="L463" s="314" t="n"/>
      <c r="M463" s="314" t="n"/>
      <c r="N463" s="314" t="n"/>
      <c r="O463" s="314" t="n"/>
      <c r="P463" s="314" t="n"/>
      <c r="Q463" s="314" t="n"/>
      <c r="R463" s="314" t="n"/>
      <c r="S463" s="314" t="n"/>
      <c r="T463" s="314" t="n"/>
      <c r="U463" s="314" t="n"/>
      <c r="V463" s="314" t="n"/>
      <c r="W463" s="314" t="n"/>
      <c r="X463" s="326" t="n"/>
      <c r="Y463" s="326" t="n"/>
    </row>
    <row r="464" ht="16.5" customHeight="1">
      <c r="A464" s="55" t="inlineStr">
        <is>
          <t>SU002655</t>
        </is>
      </c>
      <c r="B464" s="55" t="inlineStr">
        <is>
          <t>P003022</t>
        </is>
      </c>
      <c r="C464" s="32" t="n">
        <v>4301051310</v>
      </c>
      <c r="D464" s="316" t="n">
        <v>4680115880870</v>
      </c>
      <c r="E464" s="317" t="n"/>
      <c r="F464" s="645" t="n">
        <v>1.3</v>
      </c>
      <c r="G464" s="33" t="n">
        <v>6</v>
      </c>
      <c r="H464" s="645" t="n">
        <v>7.8</v>
      </c>
      <c r="I464" s="645" t="n">
        <v>8.364000000000001</v>
      </c>
      <c r="J464" s="33" t="n">
        <v>56</v>
      </c>
      <c r="K464" s="34" t="inlineStr">
        <is>
          <t>СК3</t>
        </is>
      </c>
      <c r="L464" s="33" t="n">
        <v>40</v>
      </c>
      <c r="M464" s="640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N464" s="319" t="n"/>
      <c r="O464" s="319" t="n"/>
      <c r="P464" s="319" t="n"/>
      <c r="Q464" s="317" t="n"/>
      <c r="R464" s="35" t="n"/>
      <c r="S464" s="35" t="n"/>
      <c r="T464" s="36" t="inlineStr">
        <is>
          <t>кг</t>
        </is>
      </c>
      <c r="U464" s="646" t="n">
        <v>0</v>
      </c>
      <c r="V464" s="647">
        <f>IFERROR(IF(U464="",0,CEILING((U464/$H464),1)*$H464),"")</f>
        <v/>
      </c>
      <c r="W464" s="37">
        <f>IFERROR(IF(V464=0,"",ROUNDUP(V464/H464,0)*0.02175),"")</f>
        <v/>
      </c>
      <c r="X464" s="57" t="n"/>
      <c r="Y464" s="58" t="n"/>
      <c r="AC464" s="59" t="n"/>
      <c r="AZ464" s="302" t="inlineStr">
        <is>
          <t>КИ</t>
        </is>
      </c>
    </row>
    <row r="465">
      <c r="A465" s="313" t="n"/>
      <c r="B465" s="314" t="n"/>
      <c r="C465" s="314" t="n"/>
      <c r="D465" s="314" t="n"/>
      <c r="E465" s="314" t="n"/>
      <c r="F465" s="314" t="n"/>
      <c r="G465" s="314" t="n"/>
      <c r="H465" s="314" t="n"/>
      <c r="I465" s="314" t="n"/>
      <c r="J465" s="314" t="n"/>
      <c r="K465" s="314" t="n"/>
      <c r="L465" s="315" t="n"/>
      <c r="M465" s="328" t="inlineStr">
        <is>
          <t>Итого</t>
        </is>
      </c>
      <c r="N465" s="329" t="n"/>
      <c r="O465" s="329" t="n"/>
      <c r="P465" s="329" t="n"/>
      <c r="Q465" s="329" t="n"/>
      <c r="R465" s="329" t="n"/>
      <c r="S465" s="330" t="n"/>
      <c r="T465" s="38" t="inlineStr">
        <is>
          <t>кор</t>
        </is>
      </c>
      <c r="U465" s="648">
        <f>IFERROR(U464/H464,"0")</f>
        <v/>
      </c>
      <c r="V465" s="648">
        <f>IFERROR(V464/H464,"0")</f>
        <v/>
      </c>
      <c r="W465" s="648">
        <f>IFERROR(IF(W464="",0,W464),"0")</f>
        <v/>
      </c>
      <c r="X465" s="649" t="n"/>
      <c r="Y465" s="649" t="n"/>
    </row>
    <row r="466">
      <c r="A466" s="314" t="n"/>
      <c r="B466" s="314" t="n"/>
      <c r="C466" s="314" t="n"/>
      <c r="D466" s="314" t="n"/>
      <c r="E466" s="314" t="n"/>
      <c r="F466" s="314" t="n"/>
      <c r="G466" s="314" t="n"/>
      <c r="H466" s="314" t="n"/>
      <c r="I466" s="314" t="n"/>
      <c r="J466" s="314" t="n"/>
      <c r="K466" s="314" t="n"/>
      <c r="L466" s="315" t="n"/>
      <c r="M466" s="328" t="inlineStr">
        <is>
          <t>Итого</t>
        </is>
      </c>
      <c r="N466" s="329" t="n"/>
      <c r="O466" s="329" t="n"/>
      <c r="P466" s="329" t="n"/>
      <c r="Q466" s="329" t="n"/>
      <c r="R466" s="329" t="n"/>
      <c r="S466" s="330" t="n"/>
      <c r="T466" s="38" t="inlineStr">
        <is>
          <t>кг</t>
        </is>
      </c>
      <c r="U466" s="648">
        <f>IFERROR(SUM(U464:U464),"0")</f>
        <v/>
      </c>
      <c r="V466" s="648">
        <f>IFERROR(SUM(V464:V464),"0")</f>
        <v/>
      </c>
      <c r="W466" s="38" t="n"/>
      <c r="X466" s="649" t="n"/>
      <c r="Y466" s="649" t="n"/>
    </row>
    <row r="467" ht="15" customHeight="1">
      <c r="A467" s="445" t="n"/>
      <c r="B467" s="314" t="n"/>
      <c r="C467" s="314" t="n"/>
      <c r="D467" s="314" t="n"/>
      <c r="E467" s="314" t="n"/>
      <c r="F467" s="314" t="n"/>
      <c r="G467" s="314" t="n"/>
      <c r="H467" s="314" t="n"/>
      <c r="I467" s="314" t="n"/>
      <c r="J467" s="314" t="n"/>
      <c r="K467" s="314" t="n"/>
      <c r="L467" s="360" t="n"/>
      <c r="M467" s="350" t="inlineStr">
        <is>
          <t>ИТОГО НЕТТО</t>
        </is>
      </c>
      <c r="N467" s="323" t="n"/>
      <c r="O467" s="323" t="n"/>
      <c r="P467" s="323" t="n"/>
      <c r="Q467" s="323" t="n"/>
      <c r="R467" s="323" t="n"/>
      <c r="S467" s="324" t="n"/>
      <c r="T467" s="38" t="inlineStr">
        <is>
          <t>кг</t>
        </is>
      </c>
      <c r="U467" s="648">
        <f>IFERROR(U24+U33+U37+U41+U45+U52+U60+U79+U88+U102+U114+U122+U130+U138+U150+U156+U161+U168+U189+U194+U213+U217+U224+U233+U239+U245+U251+U262+U267+U272+U278+U282+U286+U299+U304+U308+U312+U320+U325+U332+U336+U343+U359+U366+U370+U376+U380+U386+U396+U400+U404+U418+U423+U432+U437+U444+U450+U456+U461+U466,"0")</f>
        <v/>
      </c>
      <c r="V467" s="648">
        <f>IFERROR(V24+V33+V37+V41+V45+V52+V60+V79+V88+V102+V114+V122+V130+V138+V150+V156+V161+V168+V189+V194+V213+V217+V224+V233+V239+V245+V251+V262+V267+V272+V278+V282+V286+V299+V304+V308+V312+V320+V325+V332+V336+V343+V359+V366+V370+V376+V380+V386+V396+V400+V404+V418+V423+V432+V437+V444+V450+V456+V461+V466,"0")</f>
        <v/>
      </c>
      <c r="W467" s="38" t="n"/>
      <c r="X467" s="649" t="n"/>
      <c r="Y467" s="649" t="n"/>
    </row>
    <row r="468">
      <c r="A468" s="314" t="n"/>
      <c r="B468" s="314" t="n"/>
      <c r="C468" s="314" t="n"/>
      <c r="D468" s="314" t="n"/>
      <c r="E468" s="314" t="n"/>
      <c r="F468" s="314" t="n"/>
      <c r="G468" s="314" t="n"/>
      <c r="H468" s="314" t="n"/>
      <c r="I468" s="314" t="n"/>
      <c r="J468" s="314" t="n"/>
      <c r="K468" s="314" t="n"/>
      <c r="L468" s="360" t="n"/>
      <c r="M468" s="350" t="inlineStr">
        <is>
          <t>ИТОГО БРУТТО</t>
        </is>
      </c>
      <c r="N468" s="323" t="n"/>
      <c r="O468" s="323" t="n"/>
      <c r="P468" s="323" t="n"/>
      <c r="Q468" s="323" t="n"/>
      <c r="R468" s="323" t="n"/>
      <c r="S468" s="324" t="n"/>
      <c r="T468" s="38" t="inlineStr">
        <is>
          <t>кг</t>
        </is>
      </c>
      <c r="U468" s="648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81*I81/H81,"0")+IFERROR(U82*I82/H82,"0")+IFERROR(U83*I83/H83,"0")+IFERROR(U84*I84/H84,"0")+IFERROR(U85*I85/H85,"0")+IFERROR(U86*I86/H86,"0")+IFERROR(U90*I90/H90,"0")+IFERROR(U91*I91/H91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111*I111/H111,"0")+IFERROR(U112*I112/H112,"0")+IFERROR(U116*I116/H116,"0")+IFERROR(U117*I117/H117,"0")+IFERROR(U118*I118/H118,"0")+IFERROR(U119*I119/H119,"0")+IFERROR(U120*I120/H120,"0")+IFERROR(U125*I125/H125,"0")+IFERROR(U126*I126/H126,"0")+IFERROR(U127*I127/H127,"0")+IFERROR(U128*I128/H128,"0")+IFERROR(U134*I134/H134,"0")+IFERROR(U135*I135/H135,"0")+IFERROR(U136*I136/H136,"0")+IFERROR(U141*I141/H141,"0")+IFERROR(U142*I142/H142,"0")+IFERROR(U143*I143/H143,"0")+IFERROR(U144*I144/H144,"0")+IFERROR(U145*I145/H145,"0")+IFERROR(U146*I146/H146,"0")+IFERROR(U147*I147/H147,"0")+IFERROR(U148*I148/H148,"0")+IFERROR(U153*I153/H153,"0")+IFERROR(U154*I154/H154,"0")+IFERROR(U158*I158/H158,"0")+IFERROR(U159*I159/H159,"0")+IFERROR(U163*I163/H163,"0")+IFERROR(U164*I164/H164,"0")+IFERROR(U165*I165/H165,"0")+IFERROR(U166*I166/H166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191*I191/H191,"0")+IFERROR(U192*I192/H192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210*I210/H210,"0")+IFERROR(U211*I211/H211,"0")+IFERROR(U215*I215/H215,"0")+IFERROR(U219*I219/H219,"0")+IFERROR(U220*I220/H220,"0")+IFERROR(U221*I221/H221,"0")+IFERROR(U222*I222/H222,"0")+IFERROR(U226*I226/H226,"0")+IFERROR(U227*I227/H227,"0")+IFERROR(U228*I228/H228,"0")+IFERROR(U229*I229/H229,"0")+IFERROR(U230*I230/H230,"0")+IFERROR(U231*I231/H231,"0")+IFERROR(U235*I235/H235,"0")+IFERROR(U236*I236/H236,"0")+IFERROR(U237*I237/H237,"0")+IFERROR(U241*I241/H241,"0")+IFERROR(U242*I242/H242,"0")+IFERROR(U243*I243/H243,"0")+IFERROR(U247*I247/H247,"0")+IFERROR(U248*I248/H248,"0")+IFERROR(U249*I249/H249,"0")+IFERROR(U254*I254/H254,"0")+IFERROR(U255*I255/H255,"0")+IFERROR(U256*I256/H256,"0")+IFERROR(U257*I257/H257,"0")+IFERROR(U258*I258/H258,"0")+IFERROR(U259*I259/H259,"0")+IFERROR(U260*I260/H260,"0")+IFERROR(U264*I264/H264,"0")+IFERROR(U265*I265/H265,"0")+IFERROR(U270*I270/H270,"0")+IFERROR(U274*I274/H274,"0")+IFERROR(U275*I275/H275,"0")+IFERROR(U276*I276/H276,"0")+IFERROR(U280*I280/H280,"0")+IFERROR(U284*I284/H284,"0")+IFERROR(U290*I290/H290,"0")+IFERROR(U291*I291/H291,"0")+IFERROR(U292*I292/H292,"0")+IFERROR(U293*I293/H293,"0")+IFERROR(U294*I294/H294,"0")+IFERROR(U295*I295/H295,"0")+IFERROR(U296*I296/H296,"0")+IFERROR(U297*I297/H297,"0")+IFERROR(U301*I301/H301,"0")+IFERROR(U302*I302/H302,"0")+IFERROR(U306*I306/H306,"0")+IFERROR(U310*I310/H310,"0")+IFERROR(U315*I315/H315,"0")+IFERROR(U316*I316/H316,"0")+IFERROR(U317*I317/H317,"0")+IFERROR(U318*I318/H318,"0")+IFERROR(U322*I322/H322,"0")+IFERROR(U323*I323/H323,"0")+IFERROR(U327*I327/H327,"0")+IFERROR(U328*I328/H328,"0")+IFERROR(U329*I329/H329,"0")+IFERROR(U330*I330/H330,"0")+IFERROR(U334*I334/H334,"0")+IFERROR(U340*I340/H340,"0")+IFERROR(U341*I341/H341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361*I361/H361,"0")+IFERROR(U362*I362/H362,"0")+IFERROR(U363*I363/H363,"0")+IFERROR(U364*I364/H364,"0")+IFERROR(U368*I368/H368,"0")+IFERROR(U372*I372/H372,"0")+IFERROR(U373*I373/H373,"0")+IFERROR(U374*I374/H374,"0")+IFERROR(U378*I378/H378,"0")+IFERROR(U383*I383/H383,"0")+IFERROR(U384*I384/H384,"0")+IFERROR(U388*I388/H388,"0")+IFERROR(U389*I389/H389,"0")+IFERROR(U390*I390/H390,"0")+IFERROR(U391*I391/H391,"0")+IFERROR(U392*I392/H392,"0")+IFERROR(U393*I393/H393,"0")+IFERROR(U394*I394/H394,"0")+IFERROR(U398*I398/H398,"0")+IFERROR(U402*I402/H402,"0")+IFERROR(U408*I408/H408,"0")+IFERROR(U409*I409/H409,"0")+IFERROR(U410*I410/H410,"0")+IFERROR(U411*I411/H411,"0")+IFERROR(U412*I412/H412,"0")+IFERROR(U413*I413/H413,"0")+IFERROR(U414*I414/H414,"0")+IFERROR(U415*I415/H415,"0")+IFERROR(U416*I416/H416,"0")+IFERROR(U420*I420/H420,"0")+IFERROR(U421*I421/H421,"0")+IFERROR(U425*I425/H425,"0")+IFERROR(U426*I426/H426,"0")+IFERROR(U427*I427/H427,"0")+IFERROR(U428*I428/H428,"0")+IFERROR(U429*I429/H429,"0")+IFERROR(U430*I430/H430,"0")+IFERROR(U434*I434/H434,"0")+IFERROR(U435*I435/H435,"0")+IFERROR(U441*I441/H441,"0")+IFERROR(U442*I442/H442,"0")+IFERROR(U446*I446/H446,"0")+IFERROR(U447*I447/H447,"0")+IFERROR(U448*I448/H448,"0")+IFERROR(U452*I452/H452,"0")+IFERROR(U453*I453/H453,"0")+IFERROR(U454*I454/H454,"0")+IFERROR(U458*I458/H458,"0")+IFERROR(U459*I459/H459,"0")+IFERROR(U464*I464/H464,"0"),"0")</f>
        <v/>
      </c>
      <c r="V468" s="648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81*I81/H81,"0")+IFERROR(V82*I82/H82,"0")+IFERROR(V83*I83/H83,"0")+IFERROR(V84*I84/H84,"0")+IFERROR(V85*I85/H85,"0")+IFERROR(V86*I86/H86,"0")+IFERROR(V90*I90/H90,"0")+IFERROR(V91*I91/H91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111*I111/H111,"0")+IFERROR(V112*I112/H112,"0")+IFERROR(V116*I116/H116,"0")+IFERROR(V117*I117/H117,"0")+IFERROR(V118*I118/H118,"0")+IFERROR(V119*I119/H119,"0")+IFERROR(V120*I120/H120,"0")+IFERROR(V125*I125/H125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191*I191/H191,"0")+IFERROR(V192*I192/H192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215*I215/H215,"0")+IFERROR(V219*I219/H219,"0")+IFERROR(V220*I220/H220,"0")+IFERROR(V221*I221/H221,"0")+IFERROR(V222*I222/H222,"0")+IFERROR(V226*I226/H226,"0")+IFERROR(V227*I227/H227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247*I247/H247,"0")+IFERROR(V248*I248/H248,"0")+IFERROR(V249*I249/H249,"0")+IFERROR(V254*I254/H254,"0")+IFERROR(V255*I255/H255,"0")+IFERROR(V256*I256/H256,"0")+IFERROR(V257*I257/H257,"0")+IFERROR(V258*I258/H258,"0")+IFERROR(V259*I259/H259,"0")+IFERROR(V260*I260/H260,"0")+IFERROR(V264*I264/H264,"0")+IFERROR(V265*I265/H265,"0")+IFERROR(V270*I270/H270,"0")+IFERROR(V274*I274/H274,"0")+IFERROR(V275*I275/H275,"0")+IFERROR(V276*I276/H276,"0")+IFERROR(V280*I280/H280,"0")+IFERROR(V284*I284/H284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306*I306/H306,"0")+IFERROR(V310*I310/H310,"0")+IFERROR(V315*I315/H315,"0")+IFERROR(V316*I316/H316,"0")+IFERROR(V317*I317/H317,"0")+IFERROR(V318*I318/H318,"0")+IFERROR(V322*I322/H322,"0")+IFERROR(V323*I323/H323,"0")+IFERROR(V327*I327/H327,"0")+IFERROR(V328*I328/H328,"0")+IFERROR(V329*I329/H329,"0")+IFERROR(V330*I330/H330,"0")+IFERROR(V334*I334/H334,"0")+IFERROR(V340*I340/H340,"0")+IFERROR(V341*I341/H341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361*I361/H361,"0")+IFERROR(V362*I362/H362,"0")+IFERROR(V363*I363/H363,"0")+IFERROR(V364*I364/H364,"0")+IFERROR(V368*I368/H368,"0")+IFERROR(V372*I372/H372,"0")+IFERROR(V373*I373/H373,"0")+IFERROR(V374*I374/H374,"0")+IFERROR(V378*I378/H378,"0")+IFERROR(V383*I383/H383,"0")+IFERROR(V384*I384/H384,"0")+IFERROR(V388*I388/H388,"0")+IFERROR(V389*I389/H389,"0")+IFERROR(V390*I390/H390,"0")+IFERROR(V391*I391/H391,"0")+IFERROR(V392*I392/H392,"0")+IFERROR(V393*I393/H393,"0")+IFERROR(V394*I394/H394,"0")+IFERROR(V398*I398/H398,"0")+IFERROR(V402*I402/H402,"0")+IFERROR(V408*I408/H408,"0")+IFERROR(V409*I409/H409,"0")+IFERROR(V410*I410/H410,"0")+IFERROR(V411*I411/H411,"0")+IFERROR(V412*I412/H412,"0")+IFERROR(V413*I413/H413,"0")+IFERROR(V414*I414/H414,"0")+IFERROR(V415*I415/H415,"0")+IFERROR(V416*I416/H416,"0")+IFERROR(V420*I420/H420,"0")+IFERROR(V421*I421/H421,"0")+IFERROR(V425*I425/H425,"0")+IFERROR(V426*I426/H426,"0")+IFERROR(V427*I427/H427,"0")+IFERROR(V428*I428/H428,"0")+IFERROR(V429*I429/H429,"0")+IFERROR(V430*I430/H430,"0")+IFERROR(V434*I434/H434,"0")+IFERROR(V435*I435/H435,"0")+IFERROR(V441*I441/H441,"0")+IFERROR(V442*I442/H442,"0")+IFERROR(V446*I446/H446,"0")+IFERROR(V447*I447/H447,"0")+IFERROR(V448*I448/H448,"0")+IFERROR(V452*I452/H452,"0")+IFERROR(V453*I453/H453,"0")+IFERROR(V454*I454/H454,"0")+IFERROR(V458*I458/H458,"0")+IFERROR(V459*I459/H459,"0")+IFERROR(V464*I464/H464,"0"),"0")</f>
        <v/>
      </c>
      <c r="W468" s="38" t="n"/>
      <c r="X468" s="649" t="n"/>
      <c r="Y468" s="649" t="n"/>
    </row>
    <row r="469">
      <c r="A469" s="314" t="n"/>
      <c r="B469" s="314" t="n"/>
      <c r="C469" s="314" t="n"/>
      <c r="D469" s="314" t="n"/>
      <c r="E469" s="314" t="n"/>
      <c r="F469" s="314" t="n"/>
      <c r="G469" s="314" t="n"/>
      <c r="H469" s="314" t="n"/>
      <c r="I469" s="314" t="n"/>
      <c r="J469" s="314" t="n"/>
      <c r="K469" s="314" t="n"/>
      <c r="L469" s="360" t="n"/>
      <c r="M469" s="350" t="inlineStr">
        <is>
          <t>Кол-во паллет</t>
        </is>
      </c>
      <c r="N469" s="323" t="n"/>
      <c r="O469" s="323" t="n"/>
      <c r="P469" s="323" t="n"/>
      <c r="Q469" s="323" t="n"/>
      <c r="R469" s="323" t="n"/>
      <c r="S469" s="324" t="n"/>
      <c r="T469" s="38" t="inlineStr">
        <is>
          <t>шт</t>
        </is>
      </c>
      <c r="U469" s="39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77*(U63:U77/H63:H77)),"0")+IFERROR(SUMPRODUCT(1/J81:J86*(U81:U86/H81:H86)),"0")+IFERROR(SUMPRODUCT(1/J90:J100*(U90:U100/H90:H100)),"0")+IFERROR(SUMPRODUCT(1/J104:J112*(U104:U112/H104:H112)),"0")+IFERROR(SUMPRODUCT(1/J116:J120*(U116:U120/H116:H120)),"0")+IFERROR(SUMPRODUCT(1/J125:J128*(U125:U128/H125:H128)),"0")+IFERROR(SUMPRODUCT(1/J134:J136*(U134:U136/H134:H136)),"0")+IFERROR(SUMPRODUCT(1/J141:J148*(U141:U148/H141:H148)),"0")+IFERROR(SUMPRODUCT(1/J153:J154*(U153:U154/H153:H154)),"0")+IFERROR(SUMPRODUCT(1/J158:J159*(U158:U159/H158:H159)),"0")+IFERROR(SUMPRODUCT(1/J163:J166*(U163:U166/H163:H166)),"0")+IFERROR(SUMPRODUCT(1/J170:J187*(U170:U187/H170:H187)),"0")+IFERROR(SUMPRODUCT(1/J191:J192*(U191:U192/H191:H192)),"0")+IFERROR(SUMPRODUCT(1/J197:J211*(U197:U211/H197:H211)),"0")+IFERROR(SUMPRODUCT(1/J215:J215*(U215:U215/H215:H215)),"0")+IFERROR(SUMPRODUCT(1/J219:J222*(U219:U222/H219:H222)),"0")+IFERROR(SUMPRODUCT(1/J226:J231*(U226:U231/H226:H231)),"0")+IFERROR(SUMPRODUCT(1/J235:J237*(U235:U237/H235:H237)),"0")+IFERROR(SUMPRODUCT(1/J241:J243*(U241:U243/H241:H243)),"0")+IFERROR(SUMPRODUCT(1/J247:J249*(U247:U249/H247:H249)),"0")+IFERROR(SUMPRODUCT(1/J254:J260*(U254:U260/H254:H260)),"0")+IFERROR(SUMPRODUCT(1/J264:J265*(U264:U265/H264:H265)),"0")+IFERROR(SUMPRODUCT(1/J270:J270*(U270:U270/H270:H270)),"0")+IFERROR(SUMPRODUCT(1/J274:J276*(U274:U276/H274:H276)),"0")+IFERROR(SUMPRODUCT(1/J280:J280*(U280:U280/H280:H280)),"0")+IFERROR(SUMPRODUCT(1/J284:J284*(U284:U284/H284:H284)),"0")+IFERROR(SUMPRODUCT(1/J290:J297*(U290:U297/H290:H297)),"0")+IFERROR(SUMPRODUCT(1/J301:J302*(U301:U302/H301:H302)),"0")+IFERROR(SUMPRODUCT(1/J306:J306*(U306:U306/H306:H306)),"0")+IFERROR(SUMPRODUCT(1/J310:J310*(U310:U310/H310:H310)),"0")+IFERROR(SUMPRODUCT(1/J315:J318*(U315:U318/H315:H318)),"0")+IFERROR(SUMPRODUCT(1/J322:J323*(U322:U323/H322:H323)),"0")+IFERROR(SUMPRODUCT(1/J327:J330*(U327:U330/H327:H330)),"0")+IFERROR(SUMPRODUCT(1/J334:J334*(U334:U334/H334:H334)),"0")+IFERROR(SUMPRODUCT(1/J340:J341*(U340:U341/H340:H341)),"0")+IFERROR(SUMPRODUCT(1/J345:J357*(U345:U357/H345:H357)),"0")+IFERROR(SUMPRODUCT(1/J361:J364*(U361:U364/H361:H364)),"0")+IFERROR(SUMPRODUCT(1/J368:J368*(U368:U368/H368:H368)),"0")+IFERROR(SUMPRODUCT(1/J372:J374*(U372:U374/H372:H374)),"0")+IFERROR(SUMPRODUCT(1/J378:J378*(U378:U378/H378:H378)),"0")+IFERROR(SUMPRODUCT(1/J383:J384*(U383:U384/H383:H384)),"0")+IFERROR(SUMPRODUCT(1/J388:J394*(U388:U394/H388:H394)),"0")+IFERROR(SUMPRODUCT(1/J398:J398*(U398:U398/H398:H398)),"0")+IFERROR(SUMPRODUCT(1/J402:J402*(U402:U402/H402:H402)),"0")+IFERROR(SUMPRODUCT(1/J408:J416*(U408:U416/H408:H416)),"0")+IFERROR(SUMPRODUCT(1/J420:J421*(U420:U421/H420:H421)),"0")+IFERROR(SUMPRODUCT(1/J425:J430*(U425:U430/H425:H430)),"0")+IFERROR(SUMPRODUCT(1/J434:J435*(U434:U435/H434:H435)),"0")+IFERROR(SUMPRODUCT(1/J441:J442*(U441:U442/H441:H442)),"0")+IFERROR(SUMPRODUCT(1/J446:J448*(U446:U448/H446:H448)),"0")+IFERROR(SUMPRODUCT(1/J452:J454*(U452:U454/H452:H454)),"0")+IFERROR(SUMPRODUCT(1/J458:J459*(U458:U459/H458:H459)),"0")+IFERROR(SUMPRODUCT(1/J464:J464*(U464:U464/H464:H464)),"0"),0)</f>
        <v/>
      </c>
      <c r="V469" s="39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77*(V63:V77/H63:H77)),"0")+IFERROR(SUMPRODUCT(1/J81:J86*(V81:V86/H81:H86)),"0")+IFERROR(SUMPRODUCT(1/J90:J100*(V90:V100/H90:H100)),"0")+IFERROR(SUMPRODUCT(1/J104:J112*(V104:V112/H104:H112)),"0")+IFERROR(SUMPRODUCT(1/J116:J120*(V116:V120/H116:H120)),"0")+IFERROR(SUMPRODUCT(1/J125:J128*(V125:V128/H125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187*(V170:V187/H170:H187)),"0")+IFERROR(SUMPRODUCT(1/J191:J192*(V191:V192/H191:H192)),"0")+IFERROR(SUMPRODUCT(1/J197:J211*(V197:V211/H197:H211)),"0")+IFERROR(SUMPRODUCT(1/J215:J215*(V215:V215/H215:H215)),"0")+IFERROR(SUMPRODUCT(1/J219:J222*(V219:V222/H219:H222)),"0")+IFERROR(SUMPRODUCT(1/J226:J231*(V226:V231/H226:H231)),"0")+IFERROR(SUMPRODUCT(1/J235:J237*(V235:V237/H235:H237)),"0")+IFERROR(SUMPRODUCT(1/J241:J243*(V241:V243/H241:H243)),"0")+IFERROR(SUMPRODUCT(1/J247:J249*(V247:V249/H247:H249)),"0")+IFERROR(SUMPRODUCT(1/J254:J260*(V254:V260/H254:H260)),"0")+IFERROR(SUMPRODUCT(1/J264:J265*(V264:V265/H264:H265)),"0")+IFERROR(SUMPRODUCT(1/J270:J270*(V270:V270/H270:H270)),"0")+IFERROR(SUMPRODUCT(1/J274:J276*(V274:V276/H274:H276)),"0")+IFERROR(SUMPRODUCT(1/J280:J280*(V280:V280/H280:H280)),"0")+IFERROR(SUMPRODUCT(1/J284:J284*(V284:V284/H284:H284)),"0")+IFERROR(SUMPRODUCT(1/J290:J297*(V290:V297/H290:H297)),"0")+IFERROR(SUMPRODUCT(1/J301:J302*(V301:V302/H301:H302)),"0")+IFERROR(SUMPRODUCT(1/J306:J306*(V306:V306/H306:H306)),"0")+IFERROR(SUMPRODUCT(1/J310:J310*(V310:V310/H310:H310)),"0")+IFERROR(SUMPRODUCT(1/J315:J318*(V315:V318/H315:H318)),"0")+IFERROR(SUMPRODUCT(1/J322:J323*(V322:V323/H322:H323)),"0")+IFERROR(SUMPRODUCT(1/J327:J330*(V327:V330/H327:H330)),"0")+IFERROR(SUMPRODUCT(1/J334:J334*(V334:V334/H334:H334)),"0")+IFERROR(SUMPRODUCT(1/J340:J341*(V340:V341/H340:H341)),"0")+IFERROR(SUMPRODUCT(1/J345:J357*(V345:V357/H345:H357)),"0")+IFERROR(SUMPRODUCT(1/J361:J364*(V361:V364/H361:H364)),"0")+IFERROR(SUMPRODUCT(1/J368:J368*(V368:V368/H368:H368)),"0")+IFERROR(SUMPRODUCT(1/J372:J374*(V372:V374/H372:H374)),"0")+IFERROR(SUMPRODUCT(1/J378:J378*(V378:V378/H378:H378)),"0")+IFERROR(SUMPRODUCT(1/J383:J384*(V383:V384/H383:H384)),"0")+IFERROR(SUMPRODUCT(1/J388:J394*(V388:V394/H388:H394)),"0")+IFERROR(SUMPRODUCT(1/J398:J398*(V398:V398/H398:H398)),"0")+IFERROR(SUMPRODUCT(1/J402:J402*(V402:V402/H402:H402)),"0")+IFERROR(SUMPRODUCT(1/J408:J416*(V408:V416/H408:H416)),"0")+IFERROR(SUMPRODUCT(1/J420:J421*(V420:V421/H420:H421)),"0")+IFERROR(SUMPRODUCT(1/J425:J430*(V425:V430/H425:H430)),"0")+IFERROR(SUMPRODUCT(1/J434:J435*(V434:V435/H434:H435)),"0")+IFERROR(SUMPRODUCT(1/J441:J442*(V441:V442/H441:H442)),"0")+IFERROR(SUMPRODUCT(1/J446:J448*(V446:V448/H446:H448)),"0")+IFERROR(SUMPRODUCT(1/J452:J454*(V452:V454/H452:H454)),"0")+IFERROR(SUMPRODUCT(1/J458:J459*(V458:V459/H458:H459)),"0")+IFERROR(SUMPRODUCT(1/J464:J464*(V464:V464/H464:H464)),"0"),0)</f>
        <v/>
      </c>
      <c r="W469" s="38" t="n"/>
      <c r="X469" s="649" t="n"/>
      <c r="Y469" s="649" t="n"/>
    </row>
    <row r="470">
      <c r="A470" s="314" t="n"/>
      <c r="B470" s="314" t="n"/>
      <c r="C470" s="314" t="n"/>
      <c r="D470" s="314" t="n"/>
      <c r="E470" s="314" t="n"/>
      <c r="F470" s="314" t="n"/>
      <c r="G470" s="314" t="n"/>
      <c r="H470" s="314" t="n"/>
      <c r="I470" s="314" t="n"/>
      <c r="J470" s="314" t="n"/>
      <c r="K470" s="314" t="n"/>
      <c r="L470" s="360" t="n"/>
      <c r="M470" s="350" t="inlineStr">
        <is>
          <t>Вес брутто  с паллетами</t>
        </is>
      </c>
      <c r="N470" s="323" t="n"/>
      <c r="O470" s="323" t="n"/>
      <c r="P470" s="323" t="n"/>
      <c r="Q470" s="323" t="n"/>
      <c r="R470" s="323" t="n"/>
      <c r="S470" s="324" t="n"/>
      <c r="T470" s="38" t="inlineStr">
        <is>
          <t>кг</t>
        </is>
      </c>
      <c r="U470" s="648">
        <f>GrossWeightTotal+PalletQtyTotal*25</f>
        <v/>
      </c>
      <c r="V470" s="648">
        <f>GrossWeightTotalR+PalletQtyTotalR*25</f>
        <v/>
      </c>
      <c r="W470" s="38" t="n"/>
      <c r="X470" s="649" t="n"/>
      <c r="Y470" s="649" t="n"/>
    </row>
    <row r="471">
      <c r="A471" s="314" t="n"/>
      <c r="B471" s="314" t="n"/>
      <c r="C471" s="314" t="n"/>
      <c r="D471" s="314" t="n"/>
      <c r="E471" s="314" t="n"/>
      <c r="F471" s="314" t="n"/>
      <c r="G471" s="314" t="n"/>
      <c r="H471" s="314" t="n"/>
      <c r="I471" s="314" t="n"/>
      <c r="J471" s="314" t="n"/>
      <c r="K471" s="314" t="n"/>
      <c r="L471" s="360" t="n"/>
      <c r="M471" s="350" t="inlineStr">
        <is>
          <t>Кол-во коробок</t>
        </is>
      </c>
      <c r="N471" s="323" t="n"/>
      <c r="O471" s="323" t="n"/>
      <c r="P471" s="323" t="n"/>
      <c r="Q471" s="323" t="n"/>
      <c r="R471" s="323" t="n"/>
      <c r="S471" s="324" t="n"/>
      <c r="T471" s="38" t="inlineStr">
        <is>
          <t>шт</t>
        </is>
      </c>
      <c r="U471" s="648">
        <f>IFERROR(U23+U32+U36+U40+U44+U51+U59+U78+U87+U101+U113+U121+U129+U137+U149+U155+U160+U167+U188+U193+U212+U216+U223+U232+U238+U244+U250+U261+U266+U271+U277+U281+U285+U298+U303+U307+U311+U319+U324+U331+U335+U342+U358+U365+U369+U375+U379+U385+U395+U399+U403+U417+U422+U431+U436+U443+U449+U455+U460+U465,"0")</f>
        <v/>
      </c>
      <c r="V471" s="648">
        <f>IFERROR(V23+V32+V36+V40+V44+V51+V59+V78+V87+V101+V113+V121+V129+V137+V149+V155+V160+V167+V188+V193+V212+V216+V223+V232+V238+V244+V250+V261+V266+V271+V277+V281+V285+V298+V303+V307+V311+V319+V324+V331+V335+V342+V358+V365+V369+V375+V379+V385+V395+V399+V403+V417+V422+V431+V436+V443+V449+V455+V460+V465,"0")</f>
        <v/>
      </c>
      <c r="W471" s="38" t="n"/>
      <c r="X471" s="649" t="n"/>
      <c r="Y471" s="649" t="n"/>
    </row>
    <row r="472" ht="14.25" customHeight="1">
      <c r="A472" s="314" t="n"/>
      <c r="B472" s="314" t="n"/>
      <c r="C472" s="314" t="n"/>
      <c r="D472" s="314" t="n"/>
      <c r="E472" s="314" t="n"/>
      <c r="F472" s="314" t="n"/>
      <c r="G472" s="314" t="n"/>
      <c r="H472" s="314" t="n"/>
      <c r="I472" s="314" t="n"/>
      <c r="J472" s="314" t="n"/>
      <c r="K472" s="314" t="n"/>
      <c r="L472" s="360" t="n"/>
      <c r="M472" s="350" t="inlineStr">
        <is>
          <t>Объем заказа</t>
        </is>
      </c>
      <c r="N472" s="323" t="n"/>
      <c r="O472" s="323" t="n"/>
      <c r="P472" s="323" t="n"/>
      <c r="Q472" s="323" t="n"/>
      <c r="R472" s="323" t="n"/>
      <c r="S472" s="324" t="n"/>
      <c r="T472" s="40" t="inlineStr">
        <is>
          <t>м3</t>
        </is>
      </c>
      <c r="U472" s="38" t="n"/>
      <c r="V472" s="38" t="n"/>
      <c r="W472" s="38">
        <f>IFERROR(W23+W32+W36+W40+W44+W51+W59+W78+W87+W101+W113+W121+W129+W137+W149+W155+W160+W167+W188+W193+W212+W216+W223+W232+W238+W244+W250+W261+W266+W271+W277+W281+W285+W298+W303+W307+W311+W319+W324+W331+W335+W342+W358+W365+W369+W375+W379+W385+W395+W399+W403+W417+W422+W431+W436+W443+W449+W455+W460+W465,"0")</f>
        <v/>
      </c>
      <c r="X472" s="649" t="n"/>
      <c r="Y472" s="649" t="n"/>
    </row>
    <row r="473" ht="13.5" customHeight="1" thickBot="1"/>
    <row r="474" ht="27" customHeight="1" thickBot="1" thickTop="1">
      <c r="A474" s="41" t="inlineStr">
        <is>
          <t>ТОРГОВАЯ МАРКА</t>
        </is>
      </c>
      <c r="B474" s="342" t="inlineStr">
        <is>
          <t>Ядрена копоть</t>
        </is>
      </c>
      <c r="C474" s="342" t="inlineStr">
        <is>
          <t>Вязанка</t>
        </is>
      </c>
      <c r="D474" s="403" t="n"/>
      <c r="E474" s="403" t="n"/>
      <c r="F474" s="404" t="n"/>
      <c r="G474" s="342" t="inlineStr">
        <is>
          <t>Стародворье</t>
        </is>
      </c>
      <c r="H474" s="403" t="n"/>
      <c r="I474" s="403" t="n"/>
      <c r="J474" s="403" t="n"/>
      <c r="K474" s="403" t="n"/>
      <c r="L474" s="404" t="n"/>
      <c r="M474" s="342" t="inlineStr">
        <is>
          <t>Особый рецепт</t>
        </is>
      </c>
      <c r="N474" s="404" t="n"/>
      <c r="O474" s="342" t="inlineStr">
        <is>
          <t>Баварушка</t>
        </is>
      </c>
      <c r="P474" s="404" t="n"/>
      <c r="Q474" s="342" t="inlineStr">
        <is>
          <t>Дугушка</t>
        </is>
      </c>
      <c r="R474" s="342" t="inlineStr">
        <is>
          <t>Зареченские</t>
        </is>
      </c>
      <c r="S474" s="404" t="n"/>
      <c r="T474" s="314" t="n"/>
      <c r="Y474" s="53" t="n"/>
      <c r="AB474" s="314" t="n"/>
    </row>
    <row r="475" ht="14.25" customHeight="1" thickTop="1">
      <c r="A475" s="550" t="inlineStr">
        <is>
          <t>СЕРИЯ</t>
        </is>
      </c>
      <c r="B475" s="342" t="inlineStr">
        <is>
          <t>Ядрена копоть</t>
        </is>
      </c>
      <c r="C475" s="342" t="inlineStr">
        <is>
          <t>Столичная</t>
        </is>
      </c>
      <c r="D475" s="342" t="inlineStr">
        <is>
          <t>Классическая</t>
        </is>
      </c>
      <c r="E475" s="342" t="inlineStr">
        <is>
          <t>Вязанка</t>
        </is>
      </c>
      <c r="F475" s="342" t="inlineStr">
        <is>
          <t>Сливушки</t>
        </is>
      </c>
      <c r="G475" s="342" t="inlineStr">
        <is>
          <t>Золоченная в печи</t>
        </is>
      </c>
      <c r="H475" s="342" t="inlineStr">
        <is>
          <t>Мясорубская</t>
        </is>
      </c>
      <c r="I475" s="342" t="inlineStr">
        <is>
          <t>Сочинка</t>
        </is>
      </c>
      <c r="J475" s="342" t="inlineStr">
        <is>
          <t>Бордо</t>
        </is>
      </c>
      <c r="K475" s="342" t="inlineStr">
        <is>
          <t>Фирменная</t>
        </is>
      </c>
      <c r="L475" s="342" t="inlineStr">
        <is>
          <t>Бавария</t>
        </is>
      </c>
      <c r="M475" s="342" t="inlineStr">
        <is>
          <t>Особая</t>
        </is>
      </c>
      <c r="N475" s="342" t="inlineStr">
        <is>
          <t>Особая Без свинины</t>
        </is>
      </c>
      <c r="O475" s="342" t="inlineStr">
        <is>
          <t>Филейбургская</t>
        </is>
      </c>
      <c r="P475" s="342" t="inlineStr">
        <is>
          <t>Балыкбургская</t>
        </is>
      </c>
      <c r="Q475" s="342" t="inlineStr">
        <is>
          <t>Дугушка</t>
        </is>
      </c>
      <c r="R475" s="342" t="inlineStr">
        <is>
          <t>Зареченские продукты</t>
        </is>
      </c>
      <c r="S475" s="342" t="inlineStr">
        <is>
          <t>Выгодная цена</t>
        </is>
      </c>
      <c r="T475" s="314" t="n"/>
      <c r="Y475" s="53" t="n"/>
      <c r="AB475" s="314" t="n"/>
    </row>
    <row r="476" ht="13.5" customHeight="1" thickBot="1">
      <c r="A476" s="551" t="n"/>
      <c r="B476" s="343" t="n"/>
      <c r="C476" s="343" t="n"/>
      <c r="D476" s="343" t="n"/>
      <c r="E476" s="343" t="n"/>
      <c r="F476" s="343" t="n"/>
      <c r="G476" s="343" t="n"/>
      <c r="H476" s="343" t="n"/>
      <c r="I476" s="343" t="n"/>
      <c r="J476" s="343" t="n"/>
      <c r="K476" s="343" t="n"/>
      <c r="L476" s="343" t="n"/>
      <c r="M476" s="343" t="n"/>
      <c r="N476" s="343" t="n"/>
      <c r="O476" s="343" t="n"/>
      <c r="P476" s="343" t="n"/>
      <c r="Q476" s="343" t="n"/>
      <c r="R476" s="343" t="n"/>
      <c r="S476" s="343" t="n"/>
      <c r="T476" s="314" t="n"/>
      <c r="Y476" s="53" t="n"/>
      <c r="AB476" s="314" t="n"/>
    </row>
    <row r="477" ht="18" customHeight="1" thickBot="1" thickTop="1">
      <c r="A477" s="41" t="inlineStr">
        <is>
          <t>ИТОГО, кг</t>
        </is>
      </c>
      <c r="B477" s="47">
        <f>IFERROR(V22*1,"0")+IFERROR(V26*1,"0")+IFERROR(V27*1,"0")+IFERROR(V28*1,"0")+IFERROR(V29*1,"0")+IFERROR(V30*1,"0")+IFERROR(V31*1,"0")+IFERROR(V35*1,"0")+IFERROR(V39*1,"0")+IFERROR(V43*1,"0")</f>
        <v/>
      </c>
      <c r="C477" s="47">
        <f>IFERROR(V49*1,"0")+IFERROR(V50*1,"0")</f>
        <v/>
      </c>
      <c r="D477" s="47">
        <f>IFERROR(V55*1,"0")+IFERROR(V56*1,"0")+IFERROR(V57*1,"0")+IFERROR(V58*1,"0")</f>
        <v/>
      </c>
      <c r="E477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81*1,"0")+IFERROR(V82*1,"0")+IFERROR(V83*1,"0")+IFERROR(V84*1,"0")+IFERROR(V85*1,"0")+IFERROR(V86*1,"0")+IFERROR(V90*1,"0")+IFERROR(V91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111*1,"0")+IFERROR(V112*1,"0")+IFERROR(V116*1,"0")+IFERROR(V117*1,"0")+IFERROR(V118*1,"0")+IFERROR(V119*1,"0")+IFERROR(V120*1,"0")</f>
        <v/>
      </c>
      <c r="F477" s="47">
        <f>IFERROR(V125*1,"0")+IFERROR(V126*1,"0")+IFERROR(V127*1,"0")+IFERROR(V128*1,"0")</f>
        <v/>
      </c>
      <c r="G477" s="47">
        <f>IFERROR(V134*1,"0")+IFERROR(V135*1,"0")+IFERROR(V136*1,"0")</f>
        <v/>
      </c>
      <c r="H477" s="47">
        <f>IFERROR(V141*1,"0")+IFERROR(V142*1,"0")+IFERROR(V143*1,"0")+IFERROR(V144*1,"0")+IFERROR(V145*1,"0")+IFERROR(V146*1,"0")+IFERROR(V147*1,"0")+IFERROR(V148*1,"0")</f>
        <v/>
      </c>
      <c r="I477" s="47">
        <f>IFERROR(V153*1,"0")+IFERROR(V154*1,"0")+IFERROR(V158*1,"0")+IFERROR(V159*1,"0")+IFERROR(V163*1,"0")+IFERROR(V164*1,"0")+IFERROR(V165*1,"0")+IFERROR(V166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186*1,"0")+IFERROR(V187*1,"0")+IFERROR(V191*1,"0")+IFERROR(V192*1,"0")</f>
        <v/>
      </c>
      <c r="J477" s="47">
        <f>IFERROR(V197*1,"0")+IFERROR(V198*1,"0")+IFERROR(V199*1,"0")+IFERROR(V200*1,"0")+IFERROR(V201*1,"0")+IFERROR(V202*1,"0")+IFERROR(V203*1,"0")+IFERROR(V204*1,"0")+IFERROR(V205*1,"0")+IFERROR(V206*1,"0")+IFERROR(V207*1,"0")+IFERROR(V208*1,"0")+IFERROR(V209*1,"0")+IFERROR(V210*1,"0")+IFERROR(V211*1,"0")+IFERROR(V215*1,"0")+IFERROR(V219*1,"0")+IFERROR(V220*1,"0")+IFERROR(V221*1,"0")+IFERROR(V222*1,"0")+IFERROR(V226*1,"0")+IFERROR(V227*1,"0")+IFERROR(V228*1,"0")+IFERROR(V229*1,"0")+IFERROR(V230*1,"0")+IFERROR(V231*1,"0")+IFERROR(V235*1,"0")+IFERROR(V236*1,"0")+IFERROR(V237*1,"0")+IFERROR(V241*1,"0")+IFERROR(V242*1,"0")+IFERROR(V243*1,"0")+IFERROR(V247*1,"0")+IFERROR(V248*1,"0")+IFERROR(V249*1,"0")</f>
        <v/>
      </c>
      <c r="K477" s="47">
        <f>IFERROR(V254*1,"0")+IFERROR(V255*1,"0")+IFERROR(V256*1,"0")+IFERROR(V257*1,"0")+IFERROR(V258*1,"0")+IFERROR(V259*1,"0")+IFERROR(V260*1,"0")+IFERROR(V264*1,"0")+IFERROR(V265*1,"0")</f>
        <v/>
      </c>
      <c r="L477" s="47">
        <f>IFERROR(V270*1,"0")+IFERROR(V274*1,"0")+IFERROR(V275*1,"0")+IFERROR(V276*1,"0")+IFERROR(V280*1,"0")+IFERROR(V284*1,"0")</f>
        <v/>
      </c>
      <c r="M477" s="47">
        <f>IFERROR(V290*1,"0")+IFERROR(V291*1,"0")+IFERROR(V292*1,"0")+IFERROR(V293*1,"0")+IFERROR(V294*1,"0")+IFERROR(V295*1,"0")+IFERROR(V296*1,"0")+IFERROR(V297*1,"0")+IFERROR(V301*1,"0")+IFERROR(V302*1,"0")+IFERROR(V306*1,"0")+IFERROR(V310*1,"0")</f>
        <v/>
      </c>
      <c r="N477" s="47">
        <f>IFERROR(V315*1,"0")+IFERROR(V316*1,"0")+IFERROR(V317*1,"0")+IFERROR(V318*1,"0")+IFERROR(V322*1,"0")+IFERROR(V323*1,"0")+IFERROR(V327*1,"0")+IFERROR(V328*1,"0")+IFERROR(V329*1,"0")+IFERROR(V330*1,"0")+IFERROR(V334*1,"0")</f>
        <v/>
      </c>
      <c r="O477" s="47">
        <f>IFERROR(V340*1,"0")+IFERROR(V341*1,"0")+IFERROR(V345*1,"0")+IFERROR(V346*1,"0")+IFERROR(V347*1,"0")+IFERROR(V348*1,"0")+IFERROR(V349*1,"0")+IFERROR(V350*1,"0")+IFERROR(V351*1,"0")+IFERROR(V352*1,"0")+IFERROR(V353*1,"0")+IFERROR(V354*1,"0")+IFERROR(V355*1,"0")+IFERROR(V356*1,"0")+IFERROR(V357*1,"0")+IFERROR(V361*1,"0")+IFERROR(V362*1,"0")+IFERROR(V363*1,"0")+IFERROR(V364*1,"0")+IFERROR(V368*1,"0")+IFERROR(V372*1,"0")+IFERROR(V373*1,"0")+IFERROR(V374*1,"0")+IFERROR(V378*1,"0")</f>
        <v/>
      </c>
      <c r="P477" s="47">
        <f>IFERROR(V383*1,"0")+IFERROR(V384*1,"0")+IFERROR(V388*1,"0")+IFERROR(V389*1,"0")+IFERROR(V390*1,"0")+IFERROR(V391*1,"0")+IFERROR(V392*1,"0")+IFERROR(V393*1,"0")+IFERROR(V394*1,"0")+IFERROR(V398*1,"0")+IFERROR(V402*1,"0")</f>
        <v/>
      </c>
      <c r="Q477" s="47">
        <f>IFERROR(V408*1,"0")+IFERROR(V409*1,"0")+IFERROR(V410*1,"0")+IFERROR(V411*1,"0")+IFERROR(V412*1,"0")+IFERROR(V413*1,"0")+IFERROR(V414*1,"0")+IFERROR(V415*1,"0")+IFERROR(V416*1,"0")+IFERROR(V420*1,"0")+IFERROR(V421*1,"0")+IFERROR(V425*1,"0")+IFERROR(V426*1,"0")+IFERROR(V427*1,"0")+IFERROR(V428*1,"0")+IFERROR(V429*1,"0")+IFERROR(V430*1,"0")+IFERROR(V434*1,"0")+IFERROR(V435*1,"0")</f>
        <v/>
      </c>
      <c r="R477" s="47">
        <f>IFERROR(V441*1,"0")+IFERROR(V442*1,"0")+IFERROR(V446*1,"0")+IFERROR(V447*1,"0")+IFERROR(V448*1,"0")+IFERROR(V452*1,"0")+IFERROR(V453*1,"0")+IFERROR(V454*1,"0")+IFERROR(V458*1,"0")+IFERROR(V459*1,"0")</f>
        <v/>
      </c>
      <c r="S477" s="47">
        <f>IFERROR(V464*1,"0")</f>
        <v/>
      </c>
      <c r="T477" s="314" t="n"/>
      <c r="Y477" s="53" t="n"/>
      <c r="AB477" s="314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CDZ8kw/bszBFeI4yTLex9Q==" formatRows="1" sort="0" spinCount="100000" hashValue="4xwo/Hd/hA/pGcEXUwzVVGkIhWdECu7AlOzojQwPj7qpt/t5lmlj/s4DD7OFiYbvAB5Iubu+zdx3WCP/BHTJLw=="/>
  <autoFilter ref="B18:W18">
    <filterColumn colId="2" hiddenButton="0" showButton="0"/>
    <filterColumn colId="11" hiddenButton="0" showButton="0"/>
    <filterColumn colId="12" hiddenButton="0" showButton="0"/>
    <filterColumn colId="13" hiddenButton="0" showButton="0"/>
    <filterColumn colId="14" hiddenButton="0" showButton="0"/>
  </autoFilter>
  <mergeCells count="846">
    <mergeCell ref="A160:L161"/>
    <mergeCell ref="D187:E187"/>
    <mergeCell ref="M143:Q143"/>
    <mergeCell ref="M441:Q441"/>
    <mergeCell ref="M270:Q270"/>
    <mergeCell ref="A15:K15"/>
    <mergeCell ref="D174:E174"/>
    <mergeCell ref="M368:Q368"/>
    <mergeCell ref="A48:W48"/>
    <mergeCell ref="D410:E410"/>
    <mergeCell ref="M49:Q49"/>
    <mergeCell ref="M455:S455"/>
    <mergeCell ref="M207:Q207"/>
    <mergeCell ref="M334:Q334"/>
    <mergeCell ref="H9:I9"/>
    <mergeCell ref="J9:K9"/>
    <mergeCell ref="M150:S150"/>
    <mergeCell ref="M386:S386"/>
    <mergeCell ref="D297:E297"/>
    <mergeCell ref="D70:E70"/>
    <mergeCell ref="M450:S450"/>
    <mergeCell ref="H1:N1"/>
    <mergeCell ref="A268:W268"/>
    <mergeCell ref="D426:E426"/>
    <mergeCell ref="M296:Q296"/>
    <mergeCell ref="M216:S216"/>
    <mergeCell ref="D134:E134"/>
    <mergeCell ref="D205:E205"/>
    <mergeCell ref="M281:S281"/>
    <mergeCell ref="M459:Q459"/>
    <mergeCell ref="A139:W139"/>
    <mergeCell ref="D363:E363"/>
    <mergeCell ref="A381:W381"/>
    <mergeCell ref="D357:E357"/>
    <mergeCell ref="D71:E71"/>
    <mergeCell ref="M27:Q27"/>
    <mergeCell ref="M154:Q154"/>
    <mergeCell ref="P475:P476"/>
    <mergeCell ref="M390:Q390"/>
    <mergeCell ref="R475:R476"/>
    <mergeCell ref="A375:L376"/>
    <mergeCell ref="M91:Q91"/>
    <mergeCell ref="D98:E98"/>
    <mergeCell ref="D73:E73"/>
    <mergeCell ref="M389:Q389"/>
    <mergeCell ref="M327:Q327"/>
    <mergeCell ref="A140:W140"/>
    <mergeCell ref="M454:Q454"/>
    <mergeCell ref="A285:L286"/>
    <mergeCell ref="M373:Q373"/>
    <mergeCell ref="M468:S468"/>
    <mergeCell ref="M93:Q93"/>
    <mergeCell ref="M391:Q391"/>
    <mergeCell ref="M220:Q220"/>
    <mergeCell ref="M307:S307"/>
    <mergeCell ref="M101:S101"/>
    <mergeCell ref="B17:B18"/>
    <mergeCell ref="M380:S380"/>
    <mergeCell ref="A279:W279"/>
    <mergeCell ref="M180:Q180"/>
    <mergeCell ref="D258:E258"/>
    <mergeCell ref="A300:W300"/>
    <mergeCell ref="A59:L60"/>
    <mergeCell ref="A287:W287"/>
    <mergeCell ref="Q6:R9"/>
    <mergeCell ref="S6:T9"/>
    <mergeCell ref="A367:W367"/>
    <mergeCell ref="M109:Q109"/>
    <mergeCell ref="A232:L233"/>
    <mergeCell ref="M84:Q84"/>
    <mergeCell ref="D66:E66"/>
    <mergeCell ref="M22:Q22"/>
    <mergeCell ref="D126:E126"/>
    <mergeCell ref="D197:E197"/>
    <mergeCell ref="A133:W133"/>
    <mergeCell ref="M75:Q75"/>
    <mergeCell ref="H10:K10"/>
    <mergeCell ref="D351:E351"/>
    <mergeCell ref="D411:E411"/>
    <mergeCell ref="M409:Q409"/>
    <mergeCell ref="A89:W89"/>
    <mergeCell ref="M86:Q86"/>
    <mergeCell ref="M384:Q384"/>
    <mergeCell ref="W17:W18"/>
    <mergeCell ref="M104:Q104"/>
    <mergeCell ref="M340:Q340"/>
    <mergeCell ref="A298:L299"/>
    <mergeCell ref="M302:Q302"/>
    <mergeCell ref="M106:Q106"/>
    <mergeCell ref="A234:W234"/>
    <mergeCell ref="D142:E142"/>
    <mergeCell ref="D378:E378"/>
    <mergeCell ref="A38:W38"/>
    <mergeCell ref="A451:W451"/>
    <mergeCell ref="A445:W445"/>
    <mergeCell ref="M168:S168"/>
    <mergeCell ref="M239:S239"/>
    <mergeCell ref="M331:S331"/>
    <mergeCell ref="D315:E315"/>
    <mergeCell ref="M282:S282"/>
    <mergeCell ref="M160:S160"/>
    <mergeCell ref="D442:E442"/>
    <mergeCell ref="D144:E144"/>
    <mergeCell ref="A382:W382"/>
    <mergeCell ref="D302:E302"/>
    <mergeCell ref="A338:W338"/>
    <mergeCell ref="D429:E429"/>
    <mergeCell ref="M177:Q177"/>
    <mergeCell ref="D81:E81"/>
    <mergeCell ref="M226:Q226"/>
    <mergeCell ref="D208:E208"/>
    <mergeCell ref="M291:Q291"/>
    <mergeCell ref="M170:Q170"/>
    <mergeCell ref="H5:K5"/>
    <mergeCell ref="M241:Q241"/>
    <mergeCell ref="M328:Q328"/>
    <mergeCell ref="M35:Q35"/>
    <mergeCell ref="M228:Q228"/>
    <mergeCell ref="M222:Q222"/>
    <mergeCell ref="M17:Q18"/>
    <mergeCell ref="D6:K6"/>
    <mergeCell ref="M342:S342"/>
    <mergeCell ref="M172:Q172"/>
    <mergeCell ref="M99:Q99"/>
    <mergeCell ref="O475:O476"/>
    <mergeCell ref="Q475:Q476"/>
    <mergeCell ref="A271:L272"/>
    <mergeCell ref="M113:S113"/>
    <mergeCell ref="M471:S471"/>
    <mergeCell ref="D284:E284"/>
    <mergeCell ref="M30:Q30"/>
    <mergeCell ref="D259:E259"/>
    <mergeCell ref="M250:S250"/>
    <mergeCell ref="M317:Q317"/>
    <mergeCell ref="D28:E28"/>
    <mergeCell ref="M212:S212"/>
    <mergeCell ref="G474:L474"/>
    <mergeCell ref="Z17:AB18"/>
    <mergeCell ref="M254:Q254"/>
    <mergeCell ref="D236:E236"/>
    <mergeCell ref="D117:E117"/>
    <mergeCell ref="D92:E92"/>
    <mergeCell ref="D55:E55"/>
    <mergeCell ref="D30:E30"/>
    <mergeCell ref="M346:Q346"/>
    <mergeCell ref="D353:E353"/>
    <mergeCell ref="M175:Q175"/>
    <mergeCell ref="D67:E67"/>
    <mergeCell ref="D5:E5"/>
    <mergeCell ref="M125:Q125"/>
    <mergeCell ref="M318:Q318"/>
    <mergeCell ref="M256:Q256"/>
    <mergeCell ref="M112:Q112"/>
    <mergeCell ref="D290:E290"/>
    <mergeCell ref="D94:E94"/>
    <mergeCell ref="D361:E361"/>
    <mergeCell ref="M348:Q348"/>
    <mergeCell ref="A288:W288"/>
    <mergeCell ref="D69:E69"/>
    <mergeCell ref="M56:Q56"/>
    <mergeCell ref="M323:Q323"/>
    <mergeCell ref="M127:Q127"/>
    <mergeCell ref="A460:L461"/>
    <mergeCell ref="M176:Q176"/>
    <mergeCell ref="D354:E354"/>
    <mergeCell ref="M412:Q412"/>
    <mergeCell ref="A155:L156"/>
    <mergeCell ref="M32:S32"/>
    <mergeCell ref="M303:S303"/>
    <mergeCell ref="D356:E356"/>
    <mergeCell ref="M395:S395"/>
    <mergeCell ref="M201:Q201"/>
    <mergeCell ref="A455:L456"/>
    <mergeCell ref="M167:S167"/>
    <mergeCell ref="M332:S332"/>
    <mergeCell ref="D316:E316"/>
    <mergeCell ref="M161:S161"/>
    <mergeCell ref="D145:E145"/>
    <mergeCell ref="A54:W54"/>
    <mergeCell ref="M203:Q203"/>
    <mergeCell ref="D210:E210"/>
    <mergeCell ref="M403:S403"/>
    <mergeCell ref="A283:W283"/>
    <mergeCell ref="M304:S304"/>
    <mergeCell ref="M243:Q243"/>
    <mergeCell ref="D209:E209"/>
    <mergeCell ref="D147:E147"/>
    <mergeCell ref="M292:Q292"/>
    <mergeCell ref="M461:S461"/>
    <mergeCell ref="D274:E274"/>
    <mergeCell ref="D301:E301"/>
    <mergeCell ref="A214:W214"/>
    <mergeCell ref="M242:Q242"/>
    <mergeCell ref="D211:E211"/>
    <mergeCell ref="AZ17:AZ18"/>
    <mergeCell ref="D1:F1"/>
    <mergeCell ref="M100:Q100"/>
    <mergeCell ref="J17:J18"/>
    <mergeCell ref="D82:E82"/>
    <mergeCell ref="M231:Q231"/>
    <mergeCell ref="L17:L18"/>
    <mergeCell ref="A223:L224"/>
    <mergeCell ref="M423:S423"/>
    <mergeCell ref="M472:S472"/>
    <mergeCell ref="D334:E334"/>
    <mergeCell ref="A401:W401"/>
    <mergeCell ref="M251:S251"/>
    <mergeCell ref="M189:S189"/>
    <mergeCell ref="M431:S431"/>
    <mergeCell ref="M45:S45"/>
    <mergeCell ref="M238:S238"/>
    <mergeCell ref="D100:E100"/>
    <mergeCell ref="D31:E31"/>
    <mergeCell ref="D329:E329"/>
    <mergeCell ref="M247:Q247"/>
    <mergeCell ref="D229:E229"/>
    <mergeCell ref="D158:E158"/>
    <mergeCell ref="A169:W169"/>
    <mergeCell ref="A225:W225"/>
    <mergeCell ref="D77:E77"/>
    <mergeCell ref="D108:E108"/>
    <mergeCell ref="M64:Q64"/>
    <mergeCell ref="M362:Q362"/>
    <mergeCell ref="M191:Q191"/>
    <mergeCell ref="M349:Q349"/>
    <mergeCell ref="M178:Q178"/>
    <mergeCell ref="A162:W162"/>
    <mergeCell ref="M376:S376"/>
    <mergeCell ref="I17:I18"/>
    <mergeCell ref="D141:E141"/>
    <mergeCell ref="M128:Q128"/>
    <mergeCell ref="N5:O5"/>
    <mergeCell ref="A399:L400"/>
    <mergeCell ref="D306:E306"/>
    <mergeCell ref="M426:Q426"/>
    <mergeCell ref="M255:Q255"/>
    <mergeCell ref="M364:Q364"/>
    <mergeCell ref="A51:L52"/>
    <mergeCell ref="M44:S44"/>
    <mergeCell ref="M413:Q413"/>
    <mergeCell ref="D135:E135"/>
    <mergeCell ref="D72:E72"/>
    <mergeCell ref="M129:S129"/>
    <mergeCell ref="M192:Q192"/>
    <mergeCell ref="A467:L472"/>
    <mergeCell ref="M428:Q428"/>
    <mergeCell ref="D235:E235"/>
    <mergeCell ref="M415:Q415"/>
    <mergeCell ref="D475:D476"/>
    <mergeCell ref="F475:F476"/>
    <mergeCell ref="D255:E255"/>
    <mergeCell ref="M474:N474"/>
    <mergeCell ref="A465:L466"/>
    <mergeCell ref="O474:P474"/>
    <mergeCell ref="A113:L114"/>
    <mergeCell ref="M233:S233"/>
    <mergeCell ref="D322:E322"/>
    <mergeCell ref="D260:E260"/>
    <mergeCell ref="M469:S469"/>
    <mergeCell ref="D453:E453"/>
    <mergeCell ref="A6:C6"/>
    <mergeCell ref="M335:S335"/>
    <mergeCell ref="D148:E148"/>
    <mergeCell ref="D26:E26"/>
    <mergeCell ref="M146:Q146"/>
    <mergeCell ref="M181:Q181"/>
    <mergeCell ref="M41:S41"/>
    <mergeCell ref="M83:Q83"/>
    <mergeCell ref="D90:E90"/>
    <mergeCell ref="S12:T12"/>
    <mergeCell ref="D388:E388"/>
    <mergeCell ref="D448:E448"/>
    <mergeCell ref="A157:W157"/>
    <mergeCell ref="M24:S24"/>
    <mergeCell ref="M39:Q39"/>
    <mergeCell ref="A19:W19"/>
    <mergeCell ref="M110:Q110"/>
    <mergeCell ref="C475:C476"/>
    <mergeCell ref="M408:Q408"/>
    <mergeCell ref="E475:E476"/>
    <mergeCell ref="M402:Q402"/>
    <mergeCell ref="D390:E390"/>
    <mergeCell ref="A457:W457"/>
    <mergeCell ref="M324:S324"/>
    <mergeCell ref="A5:C5"/>
    <mergeCell ref="M422:S422"/>
    <mergeCell ref="M174:Q174"/>
    <mergeCell ref="T17:T18"/>
    <mergeCell ref="M130:S130"/>
    <mergeCell ref="M410:Q410"/>
    <mergeCell ref="M432:S432"/>
    <mergeCell ref="M261:S261"/>
    <mergeCell ref="D179:E179"/>
    <mergeCell ref="M188:S188"/>
    <mergeCell ref="A246:W246"/>
    <mergeCell ref="D166:E166"/>
    <mergeCell ref="D464:E464"/>
    <mergeCell ref="D402:E402"/>
    <mergeCell ref="A17:A18"/>
    <mergeCell ref="K17:K18"/>
    <mergeCell ref="M199:Q199"/>
    <mergeCell ref="M319:S319"/>
    <mergeCell ref="C17:C18"/>
    <mergeCell ref="M417:S417"/>
    <mergeCell ref="D230:E230"/>
    <mergeCell ref="A406:W406"/>
    <mergeCell ref="D9:E9"/>
    <mergeCell ref="D180:E180"/>
    <mergeCell ref="M136:Q136"/>
    <mergeCell ref="F9:G9"/>
    <mergeCell ref="D118:E118"/>
    <mergeCell ref="M434:Q434"/>
    <mergeCell ref="M57:Q57"/>
    <mergeCell ref="M355:Q355"/>
    <mergeCell ref="N6:O6"/>
    <mergeCell ref="M200:Q200"/>
    <mergeCell ref="M134:Q134"/>
    <mergeCell ref="M29:Q29"/>
    <mergeCell ref="M265:Q265"/>
    <mergeCell ref="M357:Q357"/>
    <mergeCell ref="A244:L245"/>
    <mergeCell ref="M37:S37"/>
    <mergeCell ref="M379:S379"/>
    <mergeCell ref="M71:Q71"/>
    <mergeCell ref="A342:L343"/>
    <mergeCell ref="M202:Q202"/>
    <mergeCell ref="M58:Q58"/>
    <mergeCell ref="M294:Q294"/>
    <mergeCell ref="D63:E63"/>
    <mergeCell ref="D330:E330"/>
    <mergeCell ref="M272:S272"/>
    <mergeCell ref="M443:S443"/>
    <mergeCell ref="M260:Q260"/>
    <mergeCell ref="D96:E96"/>
    <mergeCell ref="L475:L476"/>
    <mergeCell ref="N475:N476"/>
    <mergeCell ref="M470:S470"/>
    <mergeCell ref="M276:Q276"/>
    <mergeCell ref="A132:W132"/>
    <mergeCell ref="M122:S122"/>
    <mergeCell ref="D350:E350"/>
    <mergeCell ref="D27:E27"/>
    <mergeCell ref="M383:Q383"/>
    <mergeCell ref="A196:W196"/>
    <mergeCell ref="A463:W463"/>
    <mergeCell ref="D116:E116"/>
    <mergeCell ref="A25:W25"/>
    <mergeCell ref="D414:E414"/>
    <mergeCell ref="D352:E352"/>
    <mergeCell ref="D91:E91"/>
    <mergeCell ref="A419:W419"/>
    <mergeCell ref="M293:Q293"/>
    <mergeCell ref="D327:E327"/>
    <mergeCell ref="A36:L37"/>
    <mergeCell ref="M447:Q447"/>
    <mergeCell ref="D454:E454"/>
    <mergeCell ref="D398:E398"/>
    <mergeCell ref="D106:E106"/>
    <mergeCell ref="D416:E416"/>
    <mergeCell ref="D264:E264"/>
    <mergeCell ref="D93:E93"/>
    <mergeCell ref="M206:Q206"/>
    <mergeCell ref="D391:E391"/>
    <mergeCell ref="D220:E220"/>
    <mergeCell ref="M138:S138"/>
    <mergeCell ref="M126:Q126"/>
    <mergeCell ref="D328:E328"/>
    <mergeCell ref="M411:Q411"/>
    <mergeCell ref="A129:L130"/>
    <mergeCell ref="M2:T3"/>
    <mergeCell ref="A20:W20"/>
    <mergeCell ref="A365:L366"/>
    <mergeCell ref="M15:Q16"/>
    <mergeCell ref="M375:S375"/>
    <mergeCell ref="M369:S369"/>
    <mergeCell ref="D182:E182"/>
    <mergeCell ref="D280:E280"/>
    <mergeCell ref="D109:E109"/>
    <mergeCell ref="M363:Q363"/>
    <mergeCell ref="D345:E345"/>
    <mergeCell ref="A314:W314"/>
    <mergeCell ref="D119:E119"/>
    <mergeCell ref="U17:U18"/>
    <mergeCell ref="M329:Q329"/>
    <mergeCell ref="A431:L432"/>
    <mergeCell ref="D111:E111"/>
    <mergeCell ref="D409:E409"/>
    <mergeCell ref="M343:S343"/>
    <mergeCell ref="D183:E183"/>
    <mergeCell ref="M73:Q73"/>
    <mergeCell ref="M315:Q315"/>
    <mergeCell ref="M70:Q70"/>
    <mergeCell ref="D248:E248"/>
    <mergeCell ref="D219:E219"/>
    <mergeCell ref="D275:E275"/>
    <mergeCell ref="D104:E104"/>
    <mergeCell ref="M429:Q429"/>
    <mergeCell ref="D340:E340"/>
    <mergeCell ref="M87:S87"/>
    <mergeCell ref="D185:E185"/>
    <mergeCell ref="M59:S59"/>
    <mergeCell ref="A252:W252"/>
    <mergeCell ref="A358:L359"/>
    <mergeCell ref="A78:L79"/>
    <mergeCell ref="M74:Q74"/>
    <mergeCell ref="A149:L150"/>
    <mergeCell ref="M310:Q310"/>
    <mergeCell ref="A385:L386"/>
    <mergeCell ref="D43:E43"/>
    <mergeCell ref="A438:W438"/>
    <mergeCell ref="M88:S88"/>
    <mergeCell ref="M359:S359"/>
    <mergeCell ref="A422:L423"/>
    <mergeCell ref="M311:S311"/>
    <mergeCell ref="A440:W440"/>
    <mergeCell ref="A269:W269"/>
    <mergeCell ref="M361:Q361"/>
    <mergeCell ref="D74:E74"/>
    <mergeCell ref="D372:E372"/>
    <mergeCell ref="M277:S277"/>
    <mergeCell ref="D201:E201"/>
    <mergeCell ref="M284:Q284"/>
    <mergeCell ref="D68:E68"/>
    <mergeCell ref="A439:W439"/>
    <mergeCell ref="A377:W377"/>
    <mergeCell ref="A433:W433"/>
    <mergeCell ref="A62:W62"/>
    <mergeCell ref="A333:W333"/>
    <mergeCell ref="M63:Q63"/>
    <mergeCell ref="M221:Q221"/>
    <mergeCell ref="K475:K476"/>
    <mergeCell ref="M50:Q50"/>
    <mergeCell ref="M215:Q215"/>
    <mergeCell ref="M475:M476"/>
    <mergeCell ref="M392:Q392"/>
    <mergeCell ref="D295:E295"/>
    <mergeCell ref="D178:E178"/>
    <mergeCell ref="A436:L437"/>
    <mergeCell ref="M400:S400"/>
    <mergeCell ref="D172:E172"/>
    <mergeCell ref="M92:Q92"/>
    <mergeCell ref="M394:Q394"/>
    <mergeCell ref="M229:Q229"/>
    <mergeCell ref="M452:Q452"/>
    <mergeCell ref="A266:L267"/>
    <mergeCell ref="A61:W61"/>
    <mergeCell ref="M224:S224"/>
    <mergeCell ref="M466:S466"/>
    <mergeCell ref="D254:E254"/>
    <mergeCell ref="A137:L138"/>
    <mergeCell ref="M232:S232"/>
    <mergeCell ref="D346:E346"/>
    <mergeCell ref="D125:E125"/>
    <mergeCell ref="M81:Q81"/>
    <mergeCell ref="S10:T10"/>
    <mergeCell ref="M105:Q105"/>
    <mergeCell ref="D112:E112"/>
    <mergeCell ref="M341:Q341"/>
    <mergeCell ref="D348:E348"/>
    <mergeCell ref="M78:S78"/>
    <mergeCell ref="M316:Q316"/>
    <mergeCell ref="M145:Q145"/>
    <mergeCell ref="D127:E127"/>
    <mergeCell ref="M120:Q120"/>
    <mergeCell ref="D56:E56"/>
    <mergeCell ref="D347:E347"/>
    <mergeCell ref="D176:E176"/>
    <mergeCell ref="M163:Q163"/>
    <mergeCell ref="D412:E412"/>
    <mergeCell ref="D64:E64"/>
    <mergeCell ref="M209:Q209"/>
    <mergeCell ref="M76:Q76"/>
    <mergeCell ref="S5:T5"/>
    <mergeCell ref="M147:Q147"/>
    <mergeCell ref="A131:W131"/>
    <mergeCell ref="A449:L450"/>
    <mergeCell ref="D362:E362"/>
    <mergeCell ref="D349:E349"/>
    <mergeCell ref="M165:Q165"/>
    <mergeCell ref="A101:L102"/>
    <mergeCell ref="M211:Q211"/>
    <mergeCell ref="M298:S298"/>
    <mergeCell ref="M325:S325"/>
    <mergeCell ref="M396:S396"/>
    <mergeCell ref="M456:S456"/>
    <mergeCell ref="D374:E374"/>
    <mergeCell ref="D203:E203"/>
    <mergeCell ref="A34:W34"/>
    <mergeCell ref="M236:Q236"/>
    <mergeCell ref="M156:S156"/>
    <mergeCell ref="D425:E425"/>
    <mergeCell ref="M155:S155"/>
    <mergeCell ref="H17:H18"/>
    <mergeCell ref="D204:E204"/>
    <mergeCell ref="M94:Q94"/>
    <mergeCell ref="M458:Q458"/>
    <mergeCell ref="D198:E198"/>
    <mergeCell ref="D296:E296"/>
    <mergeCell ref="D427:E427"/>
    <mergeCell ref="M237:Q237"/>
    <mergeCell ref="D75:E75"/>
    <mergeCell ref="M31:Q31"/>
    <mergeCell ref="S475:S476"/>
    <mergeCell ref="A216:L217"/>
    <mergeCell ref="D206:E206"/>
    <mergeCell ref="M158:Q158"/>
    <mergeCell ref="A80:W80"/>
    <mergeCell ref="A281:L282"/>
    <mergeCell ref="A273:W273"/>
    <mergeCell ref="D7:K7"/>
    <mergeCell ref="D181:E181"/>
    <mergeCell ref="M95:Q95"/>
    <mergeCell ref="A87:L88"/>
    <mergeCell ref="M393:Q393"/>
    <mergeCell ref="A13:K13"/>
    <mergeCell ref="M467:S467"/>
    <mergeCell ref="A307:L308"/>
    <mergeCell ref="D39:E39"/>
    <mergeCell ref="M26:Q26"/>
    <mergeCell ref="M97:Q97"/>
    <mergeCell ref="M271:S271"/>
    <mergeCell ref="D8:K8"/>
    <mergeCell ref="AC17:AC18"/>
    <mergeCell ref="M40:S40"/>
    <mergeCell ref="D393:E393"/>
    <mergeCell ref="M444:S444"/>
    <mergeCell ref="M184:Q184"/>
    <mergeCell ref="A311:L312"/>
    <mergeCell ref="M171:Q171"/>
    <mergeCell ref="D153:E153"/>
    <mergeCell ref="D420:E420"/>
    <mergeCell ref="D128:E128"/>
    <mergeCell ref="D199:E199"/>
    <mergeCell ref="D364:E364"/>
    <mergeCell ref="D435:E435"/>
    <mergeCell ref="D186:E186"/>
    <mergeCell ref="D413:E413"/>
    <mergeCell ref="M404:S404"/>
    <mergeCell ref="M173:Q173"/>
    <mergeCell ref="B475:B476"/>
    <mergeCell ref="D65:E65"/>
    <mergeCell ref="M148:Q148"/>
    <mergeCell ref="M446:Q446"/>
    <mergeCell ref="M421:Q421"/>
    <mergeCell ref="D428:E428"/>
    <mergeCell ref="D415:E415"/>
    <mergeCell ref="M460:S460"/>
    <mergeCell ref="M448:Q448"/>
    <mergeCell ref="M299:S299"/>
    <mergeCell ref="M108:Q108"/>
    <mergeCell ref="M227:Q227"/>
    <mergeCell ref="D446:E446"/>
    <mergeCell ref="A193:L194"/>
    <mergeCell ref="M399:S399"/>
    <mergeCell ref="D317:E317"/>
    <mergeCell ref="M28:Q28"/>
    <mergeCell ref="D146:E146"/>
    <mergeCell ref="M85:Q85"/>
    <mergeCell ref="A331:L332"/>
    <mergeCell ref="A151:W151"/>
    <mergeCell ref="M301:Q301"/>
    <mergeCell ref="D83:E83"/>
    <mergeCell ref="A475:A476"/>
    <mergeCell ref="D143:E143"/>
    <mergeCell ref="M166:Q166"/>
    <mergeCell ref="N9:O9"/>
    <mergeCell ref="D441:E441"/>
    <mergeCell ref="A321:W321"/>
    <mergeCell ref="D368:E368"/>
    <mergeCell ref="M330:Q330"/>
    <mergeCell ref="D256:E256"/>
    <mergeCell ref="M230:Q230"/>
    <mergeCell ref="M223:S223"/>
    <mergeCell ref="D383:E383"/>
    <mergeCell ref="D207:E207"/>
    <mergeCell ref="M159:Q159"/>
    <mergeCell ref="A152:W152"/>
    <mergeCell ref="D85:E85"/>
    <mergeCell ref="M118:Q118"/>
    <mergeCell ref="D222:E222"/>
    <mergeCell ref="M96:Q96"/>
    <mergeCell ref="G17:G18"/>
    <mergeCell ref="A289:W289"/>
    <mergeCell ref="A23:L24"/>
    <mergeCell ref="A121:L122"/>
    <mergeCell ref="M111:Q111"/>
    <mergeCell ref="D159:E159"/>
    <mergeCell ref="M98:Q98"/>
    <mergeCell ref="A462:W462"/>
    <mergeCell ref="M312:S312"/>
    <mergeCell ref="D459:E459"/>
    <mergeCell ref="M398:Q398"/>
    <mergeCell ref="D136:E136"/>
    <mergeCell ref="D434:E434"/>
    <mergeCell ref="A212:L213"/>
    <mergeCell ref="M285:S285"/>
    <mergeCell ref="M114:S114"/>
    <mergeCell ref="D154:E154"/>
    <mergeCell ref="A305:W305"/>
    <mergeCell ref="A397:W397"/>
    <mergeCell ref="D200:E200"/>
    <mergeCell ref="M187:Q187"/>
    <mergeCell ref="M258:Q258"/>
    <mergeCell ref="D292:E292"/>
    <mergeCell ref="M350:Q350"/>
    <mergeCell ref="D227:E227"/>
    <mergeCell ref="A9:C9"/>
    <mergeCell ref="D373:E373"/>
    <mergeCell ref="D202:E202"/>
    <mergeCell ref="D58:E58"/>
    <mergeCell ref="M116:Q116"/>
    <mergeCell ref="D294:E294"/>
    <mergeCell ref="M414:Q414"/>
    <mergeCell ref="M352:Q352"/>
    <mergeCell ref="D231:E231"/>
    <mergeCell ref="A238:L239"/>
    <mergeCell ref="M345:Q345"/>
    <mergeCell ref="M416:Q416"/>
    <mergeCell ref="A303:L304"/>
    <mergeCell ref="M267:S267"/>
    <mergeCell ref="A32:L33"/>
    <mergeCell ref="M264:Q264"/>
    <mergeCell ref="A395:L396"/>
    <mergeCell ref="M36:S36"/>
    <mergeCell ref="M33:S33"/>
    <mergeCell ref="D318:E318"/>
    <mergeCell ref="D389:E389"/>
    <mergeCell ref="M465:S465"/>
    <mergeCell ref="M205:Q205"/>
    <mergeCell ref="N11:O11"/>
    <mergeCell ref="M244:S244"/>
    <mergeCell ref="D84:E84"/>
    <mergeCell ref="D22:E22"/>
    <mergeCell ref="M336:S336"/>
    <mergeCell ref="M142:Q142"/>
    <mergeCell ref="D447:E447"/>
    <mergeCell ref="M378:Q378"/>
    <mergeCell ref="A387:W387"/>
    <mergeCell ref="M182:Q182"/>
    <mergeCell ref="M102:S102"/>
    <mergeCell ref="D257:E257"/>
    <mergeCell ref="D86:E86"/>
    <mergeCell ref="N12:O12"/>
    <mergeCell ref="D384:E384"/>
    <mergeCell ref="M144:Q144"/>
    <mergeCell ref="M442:Q442"/>
    <mergeCell ref="A218:W218"/>
    <mergeCell ref="A250:L251"/>
    <mergeCell ref="D215:E215"/>
    <mergeCell ref="A46:W46"/>
    <mergeCell ref="M193:S193"/>
    <mergeCell ref="M183:Q183"/>
    <mergeCell ref="M418:S418"/>
    <mergeCell ref="M248:Q248"/>
    <mergeCell ref="M297:Q297"/>
    <mergeCell ref="M164:Q164"/>
    <mergeCell ref="M235:Q235"/>
    <mergeCell ref="M262:S262"/>
    <mergeCell ref="M51:S51"/>
    <mergeCell ref="A313:W313"/>
    <mergeCell ref="A405:W405"/>
    <mergeCell ref="D177:E177"/>
    <mergeCell ref="M322:Q322"/>
    <mergeCell ref="D226:E226"/>
    <mergeCell ref="D164:E164"/>
    <mergeCell ref="A371:W371"/>
    <mergeCell ref="A407:W407"/>
    <mergeCell ref="M66:Q66"/>
    <mergeCell ref="M259:Q259"/>
    <mergeCell ref="D241:E241"/>
    <mergeCell ref="M197:Q197"/>
    <mergeCell ref="A115:W115"/>
    <mergeCell ref="D35:E35"/>
    <mergeCell ref="M351:Q351"/>
    <mergeCell ref="D228:E228"/>
    <mergeCell ref="A344:W344"/>
    <mergeCell ref="D10:E10"/>
    <mergeCell ref="F10:G10"/>
    <mergeCell ref="M68:Q68"/>
    <mergeCell ref="D243:E243"/>
    <mergeCell ref="M117:Q117"/>
    <mergeCell ref="D270:E270"/>
    <mergeCell ref="D99:E99"/>
    <mergeCell ref="M55:Q55"/>
    <mergeCell ref="M353:Q353"/>
    <mergeCell ref="A337:W337"/>
    <mergeCell ref="A44:L45"/>
    <mergeCell ref="M67:Q67"/>
    <mergeCell ref="A167:L168"/>
    <mergeCell ref="A403:L404"/>
    <mergeCell ref="D310:E310"/>
    <mergeCell ref="M430:Q430"/>
    <mergeCell ref="M290:Q290"/>
    <mergeCell ref="M119:Q119"/>
    <mergeCell ref="A103:W103"/>
    <mergeCell ref="A339:W339"/>
    <mergeCell ref="M69:Q69"/>
    <mergeCell ref="D76:E76"/>
    <mergeCell ref="F5:G5"/>
    <mergeCell ref="M354:Q354"/>
    <mergeCell ref="A319:L320"/>
    <mergeCell ref="M308:S308"/>
    <mergeCell ref="G475:G476"/>
    <mergeCell ref="A417:L418"/>
    <mergeCell ref="I475:I476"/>
    <mergeCell ref="D430:E430"/>
    <mergeCell ref="R474:S474"/>
    <mergeCell ref="M52:S52"/>
    <mergeCell ref="M245:S245"/>
    <mergeCell ref="A326:W326"/>
    <mergeCell ref="D175:E175"/>
    <mergeCell ref="D392:E392"/>
    <mergeCell ref="D221:E221"/>
    <mergeCell ref="M208:Q208"/>
    <mergeCell ref="A335:L336"/>
    <mergeCell ref="A21:W21"/>
    <mergeCell ref="D165:E165"/>
    <mergeCell ref="N13:O13"/>
    <mergeCell ref="D323:E323"/>
    <mergeCell ref="D394:E394"/>
    <mergeCell ref="M210:Q210"/>
    <mergeCell ref="M185:Q185"/>
    <mergeCell ref="D29:E29"/>
    <mergeCell ref="D265:E265"/>
    <mergeCell ref="M274:Q274"/>
    <mergeCell ref="D452:E452"/>
    <mergeCell ref="A188:L189"/>
    <mergeCell ref="M249:Q249"/>
    <mergeCell ref="M217:S217"/>
    <mergeCell ref="A324:L325"/>
    <mergeCell ref="M347:Q347"/>
    <mergeCell ref="M43:Q43"/>
    <mergeCell ref="O1:Q1"/>
    <mergeCell ref="D247:E247"/>
    <mergeCell ref="M186:Q186"/>
    <mergeCell ref="A261:L262"/>
    <mergeCell ref="M107:Q107"/>
    <mergeCell ref="M365:S365"/>
    <mergeCell ref="M194:S194"/>
    <mergeCell ref="M436:S436"/>
    <mergeCell ref="D249:E249"/>
    <mergeCell ref="M121:S121"/>
    <mergeCell ref="D276:E276"/>
    <mergeCell ref="A123:W123"/>
    <mergeCell ref="D105:E105"/>
    <mergeCell ref="M23:S23"/>
    <mergeCell ref="D341:E341"/>
    <mergeCell ref="D170:E170"/>
    <mergeCell ref="D49:E49"/>
    <mergeCell ref="Q5:R5"/>
    <mergeCell ref="D242:E242"/>
    <mergeCell ref="D120:E120"/>
    <mergeCell ref="F17:F18"/>
    <mergeCell ref="M374:Q374"/>
    <mergeCell ref="D107:E107"/>
    <mergeCell ref="D163:E163"/>
    <mergeCell ref="N8:O8"/>
    <mergeCell ref="A12:K12"/>
    <mergeCell ref="D171:E171"/>
    <mergeCell ref="M425:Q425"/>
    <mergeCell ref="M77:Q77"/>
    <mergeCell ref="N10:O10"/>
    <mergeCell ref="M204:Q204"/>
    <mergeCell ref="A379:L380"/>
    <mergeCell ref="M198:Q198"/>
    <mergeCell ref="R17:S17"/>
    <mergeCell ref="A14:K14"/>
    <mergeCell ref="M356:Q356"/>
    <mergeCell ref="A47:W47"/>
    <mergeCell ref="M427:Q427"/>
    <mergeCell ref="M278:S278"/>
    <mergeCell ref="A443:L444"/>
    <mergeCell ref="M306:Q306"/>
    <mergeCell ref="M370:S370"/>
    <mergeCell ref="A263:W263"/>
    <mergeCell ref="M135:Q135"/>
    <mergeCell ref="M420:Q420"/>
    <mergeCell ref="M320:S320"/>
    <mergeCell ref="M149:S149"/>
    <mergeCell ref="M72:Q72"/>
    <mergeCell ref="M385:S385"/>
    <mergeCell ref="M435:Q435"/>
    <mergeCell ref="M286:S286"/>
    <mergeCell ref="M213:S213"/>
    <mergeCell ref="D191:E191"/>
    <mergeCell ref="D458:E458"/>
    <mergeCell ref="M449:S449"/>
    <mergeCell ref="M280:Q280"/>
    <mergeCell ref="M372:Q372"/>
    <mergeCell ref="D237:E237"/>
    <mergeCell ref="M295:Q295"/>
    <mergeCell ref="H475:H476"/>
    <mergeCell ref="M453:Q453"/>
    <mergeCell ref="J475:J476"/>
    <mergeCell ref="D291:E291"/>
    <mergeCell ref="M257:Q257"/>
    <mergeCell ref="D95:E95"/>
    <mergeCell ref="M82:Q82"/>
    <mergeCell ref="M219:Q219"/>
    <mergeCell ref="S11:T11"/>
    <mergeCell ref="Y17:Y18"/>
    <mergeCell ref="M275:Q275"/>
    <mergeCell ref="M153:Q153"/>
    <mergeCell ref="A8:C8"/>
    <mergeCell ref="A40:L41"/>
    <mergeCell ref="D355:E355"/>
    <mergeCell ref="D57:E57"/>
    <mergeCell ref="D293:E293"/>
    <mergeCell ref="A124:W124"/>
    <mergeCell ref="A360:W360"/>
    <mergeCell ref="M90:Q90"/>
    <mergeCell ref="D97:E97"/>
    <mergeCell ref="M388:Q388"/>
    <mergeCell ref="M65:Q65"/>
    <mergeCell ref="A10:C10"/>
    <mergeCell ref="M79:S79"/>
    <mergeCell ref="A277:L278"/>
    <mergeCell ref="M266:S266"/>
    <mergeCell ref="D184:E184"/>
    <mergeCell ref="M437:S437"/>
    <mergeCell ref="M60:S60"/>
    <mergeCell ref="A195:W195"/>
    <mergeCell ref="M358:S358"/>
    <mergeCell ref="A369:L370"/>
    <mergeCell ref="A42:W42"/>
    <mergeCell ref="A309:W309"/>
    <mergeCell ref="M137:S137"/>
    <mergeCell ref="D192:E192"/>
    <mergeCell ref="M179:Q179"/>
    <mergeCell ref="M366:S366"/>
    <mergeCell ref="A253:W253"/>
    <mergeCell ref="D173:E173"/>
    <mergeCell ref="A424:W424"/>
    <mergeCell ref="M464:Q464"/>
    <mergeCell ref="A53:W53"/>
    <mergeCell ref="C474:F474"/>
    <mergeCell ref="A240:W240"/>
    <mergeCell ref="V17:V18"/>
    <mergeCell ref="M141:Q141"/>
    <mergeCell ref="D17:E18"/>
    <mergeCell ref="X17:X18"/>
    <mergeCell ref="D421:E421"/>
    <mergeCell ref="D50:E50"/>
    <mergeCell ref="A190:W190"/>
    <mergeCell ref="D110:E110"/>
    <mergeCell ref="D408:E408"/>
  </mergeCells>
  <conditionalFormatting sqref="A8:K8 A9:C10 M9:O13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DropDown="0" showInputMessage="1" showErrorMessage="1" allowBlank="0" prompt="День недели загрузки. Считается сам."/>
    <dataValidation sqref="U16:Y16" showDropDown="0" showInputMessage="1" showErrorMessage="1" allowBlank="0" type="list">
      <formula1>"80-60,60-40,40-10,70-10"</formula1>
    </dataValidation>
    <dataValidation sqref="N5:O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DropDown="0" showInputMessage="1" showErrorMessage="1" allowBlank="0" prompt="Введите название вашей фирмы."/>
    <dataValidation sqref="S10" showDropDown="0" showInputMessage="1" showErrorMessage="1" allowBlank="0" prompt="Введите код клиента в системе Axapta"/>
    <dataValidation sqref="S11:T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K6" showDropDown="0" showInputMessage="1" showErrorMessage="1" allowBlank="0" type="list">
      <formula1>DeliveryAdressList</formula1>
    </dataValidation>
    <dataValidation sqref="S5:T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DropDown="0" showInputMessage="1" showErrorMessage="1" allowBlank="0" type="list">
      <formula1>CHOOSE($D$7,UnloadAdressList0001,UnloadAdressList0002)</formula1>
    </dataValidation>
    <dataValidation sqref="N8:O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W22:Y22" showDropDown="0" showInputMessage="1" showErrorMessage="1" allowBlank="0" error="укажите вес, кратный весу коробки" operator="equal"/>
    <dataValidation sqref="S12" showDropDown="0" showInputMessage="1" showErrorMessage="1" allowBlank="0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53" t="n"/>
    </row>
    <row r="3">
      <c r="B3" s="48" t="inlineStr">
        <is>
          <t>Доставка</t>
        </is>
      </c>
      <c r="C3" s="48" t="n"/>
      <c r="D3" s="48" t="n"/>
      <c r="E3" s="48" t="n"/>
    </row>
    <row r="4">
      <c r="B4" s="48" t="inlineStr">
        <is>
          <t>Самовывоз</t>
        </is>
      </c>
      <c r="C4" s="48" t="n"/>
      <c r="D4" s="48" t="n"/>
      <c r="E4" s="48" t="n"/>
    </row>
    <row r="6">
      <c r="B6" s="48" t="inlineStr">
        <is>
          <t>ЛП, ООО, Краснодарский край, Сочи г, Строительный пер, д. 10А,</t>
        </is>
      </c>
      <c r="C6" s="48" t="inlineStr">
        <is>
          <t>590704_7</t>
        </is>
      </c>
      <c r="D6" s="48" t="inlineStr">
        <is>
          <t>1</t>
        </is>
      </c>
      <c r="E6" s="48" t="n"/>
    </row>
    <row r="7">
      <c r="B7" s="48" t="inlineStr">
        <is>
          <t>ЛП, ООО, Краснодарский край, Краснодар г, им Вишняковой проезд, д. 1/5,</t>
        </is>
      </c>
      <c r="C7" s="48" t="inlineStr">
        <is>
          <t>590704_8</t>
        </is>
      </c>
      <c r="D7" s="48" t="inlineStr">
        <is>
          <t>2</t>
        </is>
      </c>
      <c r="E7" s="48" t="n"/>
    </row>
    <row r="9">
      <c r="B9" s="48" t="inlineStr">
        <is>
          <t>354068Российская Федерация, Краснодарский край, Сочи г, Строительный пер, д. 10А,</t>
        </is>
      </c>
      <c r="C9" s="48" t="inlineStr">
        <is>
          <t>590704_7</t>
        </is>
      </c>
      <c r="D9" s="48" t="n"/>
      <c r="E9" s="48" t="n"/>
    </row>
    <row r="11">
      <c r="B11" s="48" t="inlineStr">
        <is>
          <t>350001Российская Федерация, Краснодарский край, Краснодар г, им Вишняковой проезд, д. 1/5,</t>
        </is>
      </c>
      <c r="C11" s="48" t="inlineStr">
        <is>
          <t>590704_8</t>
        </is>
      </c>
      <c r="D11" s="48" t="n"/>
      <c r="E11" s="48" t="n"/>
    </row>
    <row r="13">
      <c r="B13" s="48" t="inlineStr">
        <is>
          <t>CFR</t>
        </is>
      </c>
      <c r="C13" s="48" t="n"/>
      <c r="D13" s="48" t="n"/>
      <c r="E13" s="48" t="n"/>
    </row>
    <row r="14">
      <c r="B14" s="48" t="inlineStr">
        <is>
          <t>CIF</t>
        </is>
      </c>
      <c r="C14" s="48" t="n"/>
      <c r="D14" s="48" t="n"/>
      <c r="E14" s="48" t="n"/>
    </row>
    <row r="15">
      <c r="B15" s="48" t="inlineStr">
        <is>
          <t>CIP</t>
        </is>
      </c>
      <c r="C15" s="48" t="n"/>
      <c r="D15" s="48" t="n"/>
      <c r="E15" s="48" t="n"/>
    </row>
    <row r="16">
      <c r="B16" s="48" t="inlineStr">
        <is>
          <t>CPT</t>
        </is>
      </c>
      <c r="C16" s="48" t="n"/>
      <c r="D16" s="48" t="n"/>
      <c r="E16" s="48" t="n"/>
    </row>
    <row r="17">
      <c r="B17" s="48" t="inlineStr">
        <is>
          <t>DAP</t>
        </is>
      </c>
      <c r="C17" s="48" t="n"/>
      <c r="D17" s="48" t="n"/>
      <c r="E17" s="48" t="n"/>
    </row>
    <row r="18">
      <c r="B18" s="48" t="inlineStr">
        <is>
          <t>DAT</t>
        </is>
      </c>
      <c r="C18" s="48" t="n"/>
      <c r="D18" s="48" t="n"/>
      <c r="E18" s="48" t="n"/>
    </row>
    <row r="19">
      <c r="B19" s="48" t="inlineStr">
        <is>
          <t>DDP</t>
        </is>
      </c>
      <c r="C19" s="48" t="n"/>
      <c r="D19" s="48" t="n"/>
      <c r="E19" s="48" t="n"/>
    </row>
    <row r="20">
      <c r="B20" s="48" t="inlineStr">
        <is>
          <t>EXW</t>
        </is>
      </c>
      <c r="C20" s="48" t="n"/>
      <c r="D20" s="48" t="n"/>
      <c r="E20" s="48" t="n"/>
    </row>
    <row r="21">
      <c r="B21" s="48" t="inlineStr">
        <is>
          <t>FAS</t>
        </is>
      </c>
      <c r="C21" s="48" t="n"/>
      <c r="D21" s="48" t="n"/>
      <c r="E21" s="48" t="n"/>
    </row>
    <row r="22">
      <c r="B22" s="48" t="inlineStr">
        <is>
          <t>FCA</t>
        </is>
      </c>
      <c r="C22" s="48" t="n"/>
      <c r="D22" s="48" t="n"/>
      <c r="E22" s="48" t="n"/>
    </row>
    <row r="23">
      <c r="B23" s="48" t="inlineStr">
        <is>
          <t>FOB</t>
        </is>
      </c>
      <c r="C23" s="48" t="n"/>
      <c r="D23" s="48" t="n"/>
      <c r="E23" s="48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WmUDQdi7asiFD5DFeqmehw==" formatRows="1" sort="0" spinCount="100000" hashValue="C4IT06rxNSwaClFSE7j00w4ERH9lO1cF/EFU5Lptv9/XsygvAhTFOgnSf6M6mNtujL6P02STIxC8CVVzIIiVy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2023-10-19T09:32:07Z</dcterms:modified>
  <cp:lastModifiedBy>Uaer4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