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2260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заказа'!$V$494:$V$494</definedName>
    <definedName name="GrossWeightTotalR">'Бланк заказа'!$W$494:$W$494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заказа'!$V$495:$V$495</definedName>
    <definedName name="PalletQtyTotalR">'Бланк заказа'!$W$495:$W$495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заказа'!$B$216:$B$216</definedName>
    <definedName name="ProductId118">'Бланк заказа'!$B$217:$B$217</definedName>
    <definedName name="ProductId119">'Бланк заказа'!$B$218:$B$218</definedName>
    <definedName name="ProductId12">'Бланк заказа'!$B$50:$B$50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заказа'!$B$55:$B$55</definedName>
    <definedName name="ProductId130">'Бланк заказа'!$B$229:$B$229</definedName>
    <definedName name="ProductId131">'Бланк заказа'!$B$230:$B$230</definedName>
    <definedName name="ProductId132">'Бланк заказа'!$B$234:$B$234</definedName>
    <definedName name="ProductId133">'Бланк заказа'!$B$238:$B$238</definedName>
    <definedName name="ProductId134">'Бланк заказа'!$B$239:$B$239</definedName>
    <definedName name="ProductId135">'Бланк заказа'!$B$240:$B$240</definedName>
    <definedName name="ProductId136">'Бланк заказа'!$B$241:$B$241</definedName>
    <definedName name="ProductId137">'Бланк заказа'!$B$245:$B$245</definedName>
    <definedName name="ProductId138">'Бланк заказа'!$B$246:$B$246</definedName>
    <definedName name="ProductId139">'Бланк заказа'!$B$247:$B$247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заказа'!$B$264:$B$264</definedName>
    <definedName name="ProductId151">'Бланк заказа'!$B$265:$B$265</definedName>
    <definedName name="ProductId152">'Бланк заказа'!$B$266:$B$266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заказа'!$B$277:$B$277</definedName>
    <definedName name="ProductId157">'Бланк заказа'!$B$278:$B$278</definedName>
    <definedName name="ProductId158">'Бланк заказа'!$B$279:$B$279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заказа'!$B$288:$B$288</definedName>
    <definedName name="ProductId165">'Бланк заказа'!$B$289:$B$289</definedName>
    <definedName name="ProductId166">'Бланк заказа'!$B$294:$B$294</definedName>
    <definedName name="ProductId167">'Бланк заказа'!$B$298:$B$298</definedName>
    <definedName name="ProductId168">'Бланк заказа'!$B$302:$B$302</definedName>
    <definedName name="ProductId169">'Бланк заказа'!$B$306:$B$306</definedName>
    <definedName name="ProductId17">'Бланк заказа'!$B$63:$B$63</definedName>
    <definedName name="ProductId170">'Бланк заказа'!$B$312:$B$312</definedName>
    <definedName name="ProductId171">'Бланк заказа'!$B$313:$B$313</definedName>
    <definedName name="ProductId172">'Бланк заказа'!$B$314:$B$314</definedName>
    <definedName name="ProductId173">'Бланк заказа'!$B$315:$B$315</definedName>
    <definedName name="ProductId174">'Бланк заказа'!$B$316:$B$316</definedName>
    <definedName name="ProductId175">'Бланк заказа'!$B$317:$B$317</definedName>
    <definedName name="ProductId176">'Бланк заказа'!$B$318:$B$318</definedName>
    <definedName name="ProductId177">'Бланк заказа'!$B$319:$B$319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заказа'!$B$329:$B$329</definedName>
    <definedName name="ProductId182">'Бланк заказа'!$B$330:$B$330</definedName>
    <definedName name="ProductId183">'Бланк заказа'!$B$334:$B$334</definedName>
    <definedName name="ProductId184">'Бланк заказа'!$B$339:$B$339</definedName>
    <definedName name="ProductId185">'Бланк заказа'!$B$340:$B$340</definedName>
    <definedName name="ProductId186">'Бланк заказа'!$B$341:$B$341</definedName>
    <definedName name="ProductId187">'Бланк заказа'!$B$342:$B$342</definedName>
    <definedName name="ProductId188">'Бланк заказа'!$B$343:$B$343</definedName>
    <definedName name="ProductId189">'Бланк заказа'!$B$347:$B$347</definedName>
    <definedName name="ProductId19">'Бланк заказа'!$B$65:$B$65</definedName>
    <definedName name="ProductId190">'Бланк заказа'!$B$348:$B$348</definedName>
    <definedName name="ProductId191">'Бланк заказа'!$B$352:$B$352</definedName>
    <definedName name="ProductId192">'Бланк заказа'!$B$353:$B$353</definedName>
    <definedName name="ProductId193">'Бланк заказа'!$B$354:$B$354</definedName>
    <definedName name="ProductId194">'Бланк заказа'!$B$355:$B$355</definedName>
    <definedName name="ProductId195">'Бланк заказа'!$B$359:$B$359</definedName>
    <definedName name="ProductId196">'Бланк заказа'!$B$365:$B$365</definedName>
    <definedName name="ProductId197">'Бланк заказа'!$B$366:$B$366</definedName>
    <definedName name="ProductId198">'Бланк заказа'!$B$370:$B$370</definedName>
    <definedName name="ProductId199">'Бланк заказа'!$B$371:$B$371</definedName>
    <definedName name="ProductId2">'Бланк заказа'!$B$26:$B$26</definedName>
    <definedName name="ProductId20">'Бланк заказа'!$B$66:$B$66</definedName>
    <definedName name="ProductId200">'Бланк заказа'!$B$372:$B$372</definedName>
    <definedName name="ProductId201">'Бланк заказа'!$B$373:$B$373</definedName>
    <definedName name="ProductId202">'Бланк заказа'!$B$374:$B$374</definedName>
    <definedName name="ProductId203">'Бланк заказа'!$B$375:$B$375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заказа'!$B$393:$B$393</definedName>
    <definedName name="ProductId216">'Бланк заказа'!$B$397:$B$397</definedName>
    <definedName name="ProductId217">'Бланк заказа'!$B$398:$B$398</definedName>
    <definedName name="ProductId218">'Бланк заказа'!$B$399:$B$399</definedName>
    <definedName name="ProductId219">'Бланк заказа'!$B$400:$B$400</definedName>
    <definedName name="ProductId22">'Бланк заказа'!$B$68:$B$68</definedName>
    <definedName name="ProductId220">'Бланк заказа'!$B$405:$B$405</definedName>
    <definedName name="ProductId221">'Бланк заказа'!$B$406:$B$406</definedName>
    <definedName name="ProductId222">'Бланк заказа'!$B$410:$B$410</definedName>
    <definedName name="ProductId223">'Бланк заказа'!$B$411:$B$411</definedName>
    <definedName name="ProductId224">'Бланк заказа'!$B$412:$B$412</definedName>
    <definedName name="ProductId225">'Бланк заказа'!$B$413:$B$413</definedName>
    <definedName name="ProductId226">'Бланк заказа'!$B$414:$B$414</definedName>
    <definedName name="ProductId227">'Бланк заказа'!$B$415:$B$415</definedName>
    <definedName name="ProductId228">'Бланк заказа'!$B$416:$B$416</definedName>
    <definedName name="ProductId229">'Бланк заказа'!$B$420:$B$420</definedName>
    <definedName name="ProductId23">'Бланк заказа'!$B$69:$B$69</definedName>
    <definedName name="ProductId230">'Бланк заказа'!$B$424:$B$424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заказа'!$B$436:$B$436</definedName>
    <definedName name="ProductId235">'Бланк заказа'!$B$437:$B$437</definedName>
    <definedName name="ProductId236">'Бланк заказа'!$B$438:$B$438</definedName>
    <definedName name="ProductId237">'Бланк заказа'!$B$439:$B$439</definedName>
    <definedName name="ProductId238">'Бланк заказа'!$B$440:$B$440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заказа'!$B$446:$B$446</definedName>
    <definedName name="ProductId242">'Бланк заказа'!$B$447:$B$447</definedName>
    <definedName name="ProductId243">'Бланк заказа'!$B$451:$B$451</definedName>
    <definedName name="ProductId244">'Бланк заказа'!$B$452:$B$452</definedName>
    <definedName name="ProductId245">'Бланк заказа'!$B$453:$B$453</definedName>
    <definedName name="ProductId246">'Бланк заказа'!$B$454:$B$454</definedName>
    <definedName name="ProductId247">'Бланк заказа'!$B$455:$B$455</definedName>
    <definedName name="ProductId248">'Бланк заказа'!$B$456:$B$456</definedName>
    <definedName name="ProductId249">'Бланк заказа'!$B$460:$B$460</definedName>
    <definedName name="ProductId25">'Бланк заказа'!$B$71:$B$71</definedName>
    <definedName name="ProductId250">'Бланк заказа'!$B$461:$B$461</definedName>
    <definedName name="ProductId251">'Бланк заказа'!$B$462:$B$462</definedName>
    <definedName name="ProductId252">'Бланк заказа'!$B$468:$B$468</definedName>
    <definedName name="ProductId253">'Бланк заказа'!$B$469:$B$469</definedName>
    <definedName name="ProductId254">'Бланк заказа'!$B$470:$B$470</definedName>
    <definedName name="ProductId255">'Бланк заказа'!$B$474:$B$474</definedName>
    <definedName name="ProductId256">'Бланк заказа'!$B$475:$B$475</definedName>
    <definedName name="ProductId257">'Бланк заказа'!$B$479:$B$479</definedName>
    <definedName name="ProductId258">'Бланк заказа'!$B$480:$B$480</definedName>
    <definedName name="ProductId259">'Бланк заказа'!$B$481:$B$481</definedName>
    <definedName name="ProductId26">'Бланк заказа'!$B$72:$B$72</definedName>
    <definedName name="ProductId260">'Бланк заказа'!$B$482:$B$482</definedName>
    <definedName name="ProductId261">'Бланк заказа'!$B$486:$B$486</definedName>
    <definedName name="ProductId262">'Бланк заказа'!$B$487:$B$487</definedName>
    <definedName name="ProductId263">'Бланк заказа'!$B$488:$B$488</definedName>
    <definedName name="ProductId264">'Бланк заказа'!$B$489:$B$489</definedName>
    <definedName name="ProductId265">'Бланк заказа'!$B$490:$B$490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заказа'!$V$216:$V$216</definedName>
    <definedName name="SalesQty118">'Бланк заказа'!$V$217:$V$217</definedName>
    <definedName name="SalesQty119">'Бланк заказа'!$V$218:$V$218</definedName>
    <definedName name="SalesQty12">'Бланк заказа'!$V$50:$V$50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заказа'!$V$55:$V$55</definedName>
    <definedName name="SalesQty130">'Бланк заказа'!$V$229:$V$229</definedName>
    <definedName name="SalesQty131">'Бланк заказа'!$V$230:$V$230</definedName>
    <definedName name="SalesQty132">'Бланк заказа'!$V$234:$V$234</definedName>
    <definedName name="SalesQty133">'Бланк заказа'!$V$238:$V$238</definedName>
    <definedName name="SalesQty134">'Бланк заказа'!$V$239:$V$239</definedName>
    <definedName name="SalesQty135">'Бланк заказа'!$V$240:$V$240</definedName>
    <definedName name="SalesQty136">'Бланк заказа'!$V$241:$V$241</definedName>
    <definedName name="SalesQty137">'Бланк заказа'!$V$245:$V$245</definedName>
    <definedName name="SalesQty138">'Бланк заказа'!$V$246:$V$246</definedName>
    <definedName name="SalesQty139">'Бланк заказа'!$V$247:$V$247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заказа'!$V$264:$V$264</definedName>
    <definedName name="SalesQty151">'Бланк заказа'!$V$265:$V$265</definedName>
    <definedName name="SalesQty152">'Бланк заказа'!$V$266:$V$266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заказа'!$V$277:$V$277</definedName>
    <definedName name="SalesQty157">'Бланк заказа'!$V$278:$V$278</definedName>
    <definedName name="SalesQty158">'Бланк заказа'!$V$279:$V$279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заказа'!$V$288:$V$288</definedName>
    <definedName name="SalesQty165">'Бланк заказа'!$V$289:$V$289</definedName>
    <definedName name="SalesQty166">'Бланк заказа'!$V$294:$V$294</definedName>
    <definedName name="SalesQty167">'Бланк заказа'!$V$298:$V$298</definedName>
    <definedName name="SalesQty168">'Бланк заказа'!$V$302:$V$302</definedName>
    <definedName name="SalesQty169">'Бланк заказа'!$V$306:$V$306</definedName>
    <definedName name="SalesQty17">'Бланк заказа'!$V$63:$V$63</definedName>
    <definedName name="SalesQty170">'Бланк заказа'!$V$312:$V$312</definedName>
    <definedName name="SalesQty171">'Бланк заказа'!$V$313:$V$313</definedName>
    <definedName name="SalesQty172">'Бланк заказа'!$V$314:$V$314</definedName>
    <definedName name="SalesQty173">'Бланк заказа'!$V$315:$V$315</definedName>
    <definedName name="SalesQty174">'Бланк заказа'!$V$316:$V$316</definedName>
    <definedName name="SalesQty175">'Бланк заказа'!$V$317:$V$317</definedName>
    <definedName name="SalesQty176">'Бланк заказа'!$V$318:$V$318</definedName>
    <definedName name="SalesQty177">'Бланк заказа'!$V$319:$V$319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заказа'!$V$329:$V$329</definedName>
    <definedName name="SalesQty182">'Бланк заказа'!$V$330:$V$330</definedName>
    <definedName name="SalesQty183">'Бланк заказа'!$V$334:$V$334</definedName>
    <definedName name="SalesQty184">'Бланк заказа'!$V$339:$V$339</definedName>
    <definedName name="SalesQty185">'Бланк заказа'!$V$340:$V$340</definedName>
    <definedName name="SalesQty186">'Бланк заказа'!$V$341:$V$341</definedName>
    <definedName name="SalesQty187">'Бланк заказа'!$V$342:$V$342</definedName>
    <definedName name="SalesQty188">'Бланк заказа'!$V$343:$V$343</definedName>
    <definedName name="SalesQty189">'Бланк заказа'!$V$347:$V$347</definedName>
    <definedName name="SalesQty19">'Бланк заказа'!$V$65:$V$65</definedName>
    <definedName name="SalesQty190">'Бланк заказа'!$V$348:$V$348</definedName>
    <definedName name="SalesQty191">'Бланк заказа'!$V$352:$V$352</definedName>
    <definedName name="SalesQty192">'Бланк заказа'!$V$353:$V$353</definedName>
    <definedName name="SalesQty193">'Бланк заказа'!$V$354:$V$354</definedName>
    <definedName name="SalesQty194">'Бланк заказа'!$V$355:$V$355</definedName>
    <definedName name="SalesQty195">'Бланк заказа'!$V$359:$V$359</definedName>
    <definedName name="SalesQty196">'Бланк заказа'!$V$365:$V$365</definedName>
    <definedName name="SalesQty197">'Бланк заказа'!$V$366:$V$366</definedName>
    <definedName name="SalesQty198">'Бланк заказа'!$V$370:$V$370</definedName>
    <definedName name="SalesQty199">'Бланк заказа'!$V$371:$V$371</definedName>
    <definedName name="SalesQty2">'Бланк заказа'!$V$26:$V$26</definedName>
    <definedName name="SalesQty20">'Бланк заказа'!$V$66:$V$66</definedName>
    <definedName name="SalesQty200">'Бланк заказа'!$V$372:$V$372</definedName>
    <definedName name="SalesQty201">'Бланк заказа'!$V$373:$V$373</definedName>
    <definedName name="SalesQty202">'Бланк заказа'!$V$374:$V$374</definedName>
    <definedName name="SalesQty203">'Бланк заказа'!$V$375:$V$375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заказа'!$V$393:$V$393</definedName>
    <definedName name="SalesQty216">'Бланк заказа'!$V$397:$V$397</definedName>
    <definedName name="SalesQty217">'Бланк заказа'!$V$398:$V$398</definedName>
    <definedName name="SalesQty218">'Бланк заказа'!$V$399:$V$399</definedName>
    <definedName name="SalesQty219">'Бланк заказа'!$V$400:$V$400</definedName>
    <definedName name="SalesQty22">'Бланк заказа'!$V$68:$V$68</definedName>
    <definedName name="SalesQty220">'Бланк заказа'!$V$405:$V$405</definedName>
    <definedName name="SalesQty221">'Бланк заказа'!$V$406:$V$406</definedName>
    <definedName name="SalesQty222">'Бланк заказа'!$V$410:$V$410</definedName>
    <definedName name="SalesQty223">'Бланк заказа'!$V$411:$V$411</definedName>
    <definedName name="SalesQty224">'Бланк заказа'!$V$412:$V$412</definedName>
    <definedName name="SalesQty225">'Бланк заказа'!$V$413:$V$413</definedName>
    <definedName name="SalesQty226">'Бланк заказа'!$V$414:$V$414</definedName>
    <definedName name="SalesQty227">'Бланк заказа'!$V$415:$V$415</definedName>
    <definedName name="SalesQty228">'Бланк заказа'!$V$416:$V$416</definedName>
    <definedName name="SalesQty229">'Бланк заказа'!$V$420:$V$420</definedName>
    <definedName name="SalesQty23">'Бланк заказа'!$V$69:$V$69</definedName>
    <definedName name="SalesQty230">'Бланк заказа'!$V$424:$V$424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заказа'!$V$436:$V$436</definedName>
    <definedName name="SalesQty235">'Бланк заказа'!$V$437:$V$437</definedName>
    <definedName name="SalesQty236">'Бланк заказа'!$V$438:$V$438</definedName>
    <definedName name="SalesQty237">'Бланк заказа'!$V$439:$V$439</definedName>
    <definedName name="SalesQty238">'Бланк заказа'!$V$440:$V$440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заказа'!$V$446:$V$446</definedName>
    <definedName name="SalesQty242">'Бланк заказа'!$V$447:$V$447</definedName>
    <definedName name="SalesQty243">'Бланк заказа'!$V$451:$V$451</definedName>
    <definedName name="SalesQty244">'Бланк заказа'!$V$452:$V$452</definedName>
    <definedName name="SalesQty245">'Бланк заказа'!$V$453:$V$453</definedName>
    <definedName name="SalesQty246">'Бланк заказа'!$V$454:$V$454</definedName>
    <definedName name="SalesQty247">'Бланк заказа'!$V$455:$V$455</definedName>
    <definedName name="SalesQty248">'Бланк заказа'!$V$456:$V$456</definedName>
    <definedName name="SalesQty249">'Бланк заказа'!$V$460:$V$460</definedName>
    <definedName name="SalesQty25">'Бланк заказа'!$V$71:$V$71</definedName>
    <definedName name="SalesQty250">'Бланк заказа'!$V$461:$V$461</definedName>
    <definedName name="SalesQty251">'Бланк заказа'!$V$462:$V$462</definedName>
    <definedName name="SalesQty252">'Бланк заказа'!$V$468:$V$468</definedName>
    <definedName name="SalesQty253">'Бланк заказа'!$V$469:$V$469</definedName>
    <definedName name="SalesQty254">'Бланк заказа'!$V$470:$V$470</definedName>
    <definedName name="SalesQty255">'Бланк заказа'!$V$474:$V$474</definedName>
    <definedName name="SalesQty256">'Бланк заказа'!$V$475:$V$475</definedName>
    <definedName name="SalesQty257">'Бланк заказа'!$V$479:$V$479</definedName>
    <definedName name="SalesQty258">'Бланк заказа'!$V$480:$V$480</definedName>
    <definedName name="SalesQty259">'Бланк заказа'!$V$481:$V$481</definedName>
    <definedName name="SalesQty26">'Бланк заказа'!$V$72:$V$72</definedName>
    <definedName name="SalesQty260">'Бланк заказа'!$V$482:$V$482</definedName>
    <definedName name="SalesQty261">'Бланк заказа'!$V$486:$V$486</definedName>
    <definedName name="SalesQty262">'Бланк заказа'!$V$487:$V$487</definedName>
    <definedName name="SalesQty263">'Бланк заказа'!$V$488:$V$488</definedName>
    <definedName name="SalesQty264">'Бланк заказа'!$V$489:$V$489</definedName>
    <definedName name="SalesQty265">'Бланк заказа'!$V$490:$V$490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заказа'!$W$216:$W$216</definedName>
    <definedName name="SalesRoundBox118">'Бланк заказа'!$W$217:$W$217</definedName>
    <definedName name="SalesRoundBox119">'Бланк заказа'!$W$218:$W$218</definedName>
    <definedName name="SalesRoundBox12">'Бланк заказа'!$W$50:$W$50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заказа'!$W$55:$W$55</definedName>
    <definedName name="SalesRoundBox130">'Бланк заказа'!$W$229:$W$229</definedName>
    <definedName name="SalesRoundBox131">'Бланк заказа'!$W$230:$W$230</definedName>
    <definedName name="SalesRoundBox132">'Бланк заказа'!$W$234:$W$234</definedName>
    <definedName name="SalesRoundBox133">'Бланк заказа'!$W$238:$W$238</definedName>
    <definedName name="SalesRoundBox134">'Бланк заказа'!$W$239:$W$239</definedName>
    <definedName name="SalesRoundBox135">'Бланк заказа'!$W$240:$W$240</definedName>
    <definedName name="SalesRoundBox136">'Бланк заказа'!$W$241:$W$241</definedName>
    <definedName name="SalesRoundBox137">'Бланк заказа'!$W$245:$W$245</definedName>
    <definedName name="SalesRoundBox138">'Бланк заказа'!$W$246:$W$246</definedName>
    <definedName name="SalesRoundBox139">'Бланк заказа'!$W$247:$W$247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заказа'!$W$264:$W$264</definedName>
    <definedName name="SalesRoundBox151">'Бланк заказа'!$W$265:$W$265</definedName>
    <definedName name="SalesRoundBox152">'Бланк заказа'!$W$266:$W$266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заказа'!$W$277:$W$277</definedName>
    <definedName name="SalesRoundBox157">'Бланк заказа'!$W$278:$W$278</definedName>
    <definedName name="SalesRoundBox158">'Бланк заказа'!$W$279:$W$279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заказа'!$W$288:$W$288</definedName>
    <definedName name="SalesRoundBox165">'Бланк заказа'!$W$289:$W$289</definedName>
    <definedName name="SalesRoundBox166">'Бланк заказа'!$W$294:$W$294</definedName>
    <definedName name="SalesRoundBox167">'Бланк заказа'!$W$298:$W$298</definedName>
    <definedName name="SalesRoundBox168">'Бланк заказа'!$W$302:$W$302</definedName>
    <definedName name="SalesRoundBox169">'Бланк заказа'!$W$306:$W$306</definedName>
    <definedName name="SalesRoundBox17">'Бланк заказа'!$W$63:$W$63</definedName>
    <definedName name="SalesRoundBox170">'Бланк заказа'!$W$312:$W$312</definedName>
    <definedName name="SalesRoundBox171">'Бланк заказа'!$W$313:$W$313</definedName>
    <definedName name="SalesRoundBox172">'Бланк заказа'!$W$314:$W$314</definedName>
    <definedName name="SalesRoundBox173">'Бланк заказа'!$W$315:$W$315</definedName>
    <definedName name="SalesRoundBox174">'Бланк заказа'!$W$316:$W$316</definedName>
    <definedName name="SalesRoundBox175">'Бланк заказа'!$W$317:$W$317</definedName>
    <definedName name="SalesRoundBox176">'Бланк заказа'!$W$318:$W$318</definedName>
    <definedName name="SalesRoundBox177">'Бланк заказа'!$W$319:$W$319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заказа'!$W$329:$W$329</definedName>
    <definedName name="SalesRoundBox182">'Бланк заказа'!$W$330:$W$330</definedName>
    <definedName name="SalesRoundBox183">'Бланк заказа'!$W$334:$W$334</definedName>
    <definedName name="SalesRoundBox184">'Бланк заказа'!$W$339:$W$339</definedName>
    <definedName name="SalesRoundBox185">'Бланк заказа'!$W$340:$W$340</definedName>
    <definedName name="SalesRoundBox186">'Бланк заказа'!$W$341:$W$341</definedName>
    <definedName name="SalesRoundBox187">'Бланк заказа'!$W$342:$W$342</definedName>
    <definedName name="SalesRoundBox188">'Бланк заказа'!$W$343:$W$343</definedName>
    <definedName name="SalesRoundBox189">'Бланк заказа'!$W$347:$W$347</definedName>
    <definedName name="SalesRoundBox19">'Бланк заказа'!$W$65:$W$65</definedName>
    <definedName name="SalesRoundBox190">'Бланк заказа'!$W$348:$W$348</definedName>
    <definedName name="SalesRoundBox191">'Бланк заказа'!$W$352:$W$352</definedName>
    <definedName name="SalesRoundBox192">'Бланк заказа'!$W$353:$W$353</definedName>
    <definedName name="SalesRoundBox193">'Бланк заказа'!$W$354:$W$354</definedName>
    <definedName name="SalesRoundBox194">'Бланк заказа'!$W$355:$W$355</definedName>
    <definedName name="SalesRoundBox195">'Бланк заказа'!$W$359:$W$359</definedName>
    <definedName name="SalesRoundBox196">'Бланк заказа'!$W$365:$W$365</definedName>
    <definedName name="SalesRoundBox197">'Бланк заказа'!$W$366:$W$366</definedName>
    <definedName name="SalesRoundBox198">'Бланк заказа'!$W$370:$W$370</definedName>
    <definedName name="SalesRoundBox199">'Бланк заказа'!$W$371:$W$371</definedName>
    <definedName name="SalesRoundBox2">'Бланк заказа'!$W$26:$W$26</definedName>
    <definedName name="SalesRoundBox20">'Бланк заказа'!$W$66:$W$66</definedName>
    <definedName name="SalesRoundBox200">'Бланк заказа'!$W$372:$W$372</definedName>
    <definedName name="SalesRoundBox201">'Бланк заказа'!$W$373:$W$373</definedName>
    <definedName name="SalesRoundBox202">'Бланк заказа'!$W$374:$W$374</definedName>
    <definedName name="SalesRoundBox203">'Бланк заказа'!$W$375:$W$375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заказа'!$W$393:$W$393</definedName>
    <definedName name="SalesRoundBox216">'Бланк заказа'!$W$397:$W$397</definedName>
    <definedName name="SalesRoundBox217">'Бланк заказа'!$W$398:$W$398</definedName>
    <definedName name="SalesRoundBox218">'Бланк заказа'!$W$399:$W$399</definedName>
    <definedName name="SalesRoundBox219">'Бланк заказа'!$W$400:$W$400</definedName>
    <definedName name="SalesRoundBox22">'Бланк заказа'!$W$68:$W$68</definedName>
    <definedName name="SalesRoundBox220">'Бланк заказа'!$W$405:$W$405</definedName>
    <definedName name="SalesRoundBox221">'Бланк заказа'!$W$406:$W$406</definedName>
    <definedName name="SalesRoundBox222">'Бланк заказа'!$W$410:$W$410</definedName>
    <definedName name="SalesRoundBox223">'Бланк заказа'!$W$411:$W$411</definedName>
    <definedName name="SalesRoundBox224">'Бланк заказа'!$W$412:$W$412</definedName>
    <definedName name="SalesRoundBox225">'Бланк заказа'!$W$413:$W$413</definedName>
    <definedName name="SalesRoundBox226">'Бланк заказа'!$W$414:$W$414</definedName>
    <definedName name="SalesRoundBox227">'Бланк заказа'!$W$415:$W$415</definedName>
    <definedName name="SalesRoundBox228">'Бланк заказа'!$W$416:$W$416</definedName>
    <definedName name="SalesRoundBox229">'Бланк заказа'!$W$420:$W$420</definedName>
    <definedName name="SalesRoundBox23">'Бланк заказа'!$W$69:$W$69</definedName>
    <definedName name="SalesRoundBox230">'Бланк заказа'!$W$424:$W$424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заказа'!$W$436:$W$436</definedName>
    <definedName name="SalesRoundBox235">'Бланк заказа'!$W$437:$W$437</definedName>
    <definedName name="SalesRoundBox236">'Бланк заказа'!$W$438:$W$438</definedName>
    <definedName name="SalesRoundBox237">'Бланк заказа'!$W$439:$W$439</definedName>
    <definedName name="SalesRoundBox238">'Бланк заказа'!$W$440:$W$440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заказа'!$W$446:$W$446</definedName>
    <definedName name="SalesRoundBox242">'Бланк заказа'!$W$447:$W$447</definedName>
    <definedName name="SalesRoundBox243">'Бланк заказа'!$W$451:$W$451</definedName>
    <definedName name="SalesRoundBox244">'Бланк заказа'!$W$452:$W$452</definedName>
    <definedName name="SalesRoundBox245">'Бланк заказа'!$W$453:$W$453</definedName>
    <definedName name="SalesRoundBox246">'Бланк заказа'!$W$454:$W$454</definedName>
    <definedName name="SalesRoundBox247">'Бланк заказа'!$W$455:$W$455</definedName>
    <definedName name="SalesRoundBox248">'Бланк заказа'!$W$456:$W$456</definedName>
    <definedName name="SalesRoundBox249">'Бланк заказа'!$W$460:$W$460</definedName>
    <definedName name="SalesRoundBox25">'Бланк заказа'!$W$71:$W$71</definedName>
    <definedName name="SalesRoundBox250">'Бланк заказа'!$W$461:$W$461</definedName>
    <definedName name="SalesRoundBox251">'Бланк заказа'!$W$462:$W$462</definedName>
    <definedName name="SalesRoundBox252">'Бланк заказа'!$W$468:$W$468</definedName>
    <definedName name="SalesRoundBox253">'Бланк заказа'!$W$469:$W$469</definedName>
    <definedName name="SalesRoundBox254">'Бланк заказа'!$W$470:$W$470</definedName>
    <definedName name="SalesRoundBox255">'Бланк заказа'!$W$474:$W$474</definedName>
    <definedName name="SalesRoundBox256">'Бланк заказа'!$W$475:$W$475</definedName>
    <definedName name="SalesRoundBox257">'Бланк заказа'!$W$479:$W$479</definedName>
    <definedName name="SalesRoundBox258">'Бланк заказа'!$W$480:$W$480</definedName>
    <definedName name="SalesRoundBox259">'Бланк заказа'!$W$481:$W$481</definedName>
    <definedName name="SalesRoundBox26">'Бланк заказа'!$W$72:$W$72</definedName>
    <definedName name="SalesRoundBox260">'Бланк заказа'!$W$482:$W$482</definedName>
    <definedName name="SalesRoundBox261">'Бланк заказа'!$W$486:$W$486</definedName>
    <definedName name="SalesRoundBox262">'Бланк заказа'!$W$487:$W$487</definedName>
    <definedName name="SalesRoundBox263">'Бланк заказа'!$W$488:$W$488</definedName>
    <definedName name="SalesRoundBox264">'Бланк заказа'!$W$489:$W$489</definedName>
    <definedName name="SalesRoundBox265">'Бланк заказа'!$W$490:$W$490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заказа'!$U$216:$U$216</definedName>
    <definedName name="UnitOfMeasure118">'Бланк заказа'!$U$217:$U$217</definedName>
    <definedName name="UnitOfMeasure119">'Бланк заказа'!$U$218:$U$218</definedName>
    <definedName name="UnitOfMeasure12">'Бланк заказа'!$U$50:$U$50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заказа'!$U$55:$U$55</definedName>
    <definedName name="UnitOfMeasure130">'Бланк заказа'!$U$229:$U$229</definedName>
    <definedName name="UnitOfMeasure131">'Бланк заказа'!$U$230:$U$230</definedName>
    <definedName name="UnitOfMeasure132">'Бланк заказа'!$U$234:$U$234</definedName>
    <definedName name="UnitOfMeasure133">'Бланк заказа'!$U$238:$U$238</definedName>
    <definedName name="UnitOfMeasure134">'Бланк заказа'!$U$239:$U$239</definedName>
    <definedName name="UnitOfMeasure135">'Бланк заказа'!$U$240:$U$240</definedName>
    <definedName name="UnitOfMeasure136">'Бланк заказа'!$U$241:$U$241</definedName>
    <definedName name="UnitOfMeasure137">'Бланк заказа'!$U$245:$U$245</definedName>
    <definedName name="UnitOfMeasure138">'Бланк заказа'!$U$246:$U$246</definedName>
    <definedName name="UnitOfMeasure139">'Бланк заказа'!$U$247:$U$247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заказа'!$U$264:$U$264</definedName>
    <definedName name="UnitOfMeasure151">'Бланк заказа'!$U$265:$U$265</definedName>
    <definedName name="UnitOfMeasure152">'Бланк заказа'!$U$266:$U$266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заказа'!$U$277:$U$277</definedName>
    <definedName name="UnitOfMeasure157">'Бланк заказа'!$U$278:$U$278</definedName>
    <definedName name="UnitOfMeasure158">'Бланк заказа'!$U$279:$U$279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заказа'!$U$288:$U$288</definedName>
    <definedName name="UnitOfMeasure165">'Бланк заказа'!$U$289:$U$289</definedName>
    <definedName name="UnitOfMeasure166">'Бланк заказа'!$U$294:$U$294</definedName>
    <definedName name="UnitOfMeasure167">'Бланк заказа'!$U$298:$U$298</definedName>
    <definedName name="UnitOfMeasure168">'Бланк заказа'!$U$302:$U$302</definedName>
    <definedName name="UnitOfMeasure169">'Бланк заказа'!$U$306:$U$306</definedName>
    <definedName name="UnitOfMeasure17">'Бланк заказа'!$U$63:$U$63</definedName>
    <definedName name="UnitOfMeasure170">'Бланк заказа'!$U$312:$U$312</definedName>
    <definedName name="UnitOfMeasure171">'Бланк заказа'!$U$313:$U$313</definedName>
    <definedName name="UnitOfMeasure172">'Бланк заказа'!$U$314:$U$314</definedName>
    <definedName name="UnitOfMeasure173">'Бланк заказа'!$U$315:$U$315</definedName>
    <definedName name="UnitOfMeasure174">'Бланк заказа'!$U$316:$U$316</definedName>
    <definedName name="UnitOfMeasure175">'Бланк заказа'!$U$317:$U$317</definedName>
    <definedName name="UnitOfMeasure176">'Бланк заказа'!$U$318:$U$318</definedName>
    <definedName name="UnitOfMeasure177">'Бланк заказа'!$U$319:$U$319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заказа'!$U$329:$U$329</definedName>
    <definedName name="UnitOfMeasure182">'Бланк заказа'!$U$330:$U$330</definedName>
    <definedName name="UnitOfMeasure183">'Бланк заказа'!$U$334:$U$334</definedName>
    <definedName name="UnitOfMeasure184">'Бланк заказа'!$U$339:$U$339</definedName>
    <definedName name="UnitOfMeasure185">'Бланк заказа'!$U$340:$U$340</definedName>
    <definedName name="UnitOfMeasure186">'Бланк заказа'!$U$341:$U$341</definedName>
    <definedName name="UnitOfMeasure187">'Бланк заказа'!$U$342:$U$342</definedName>
    <definedName name="UnitOfMeasure188">'Бланк заказа'!$U$343:$U$343</definedName>
    <definedName name="UnitOfMeasure189">'Бланк заказа'!$U$347:$U$347</definedName>
    <definedName name="UnitOfMeasure19">'Бланк заказа'!$U$65:$U$65</definedName>
    <definedName name="UnitOfMeasure190">'Бланк заказа'!$U$348:$U$348</definedName>
    <definedName name="UnitOfMeasure191">'Бланк заказа'!$U$352:$U$352</definedName>
    <definedName name="UnitOfMeasure192">'Бланк заказа'!$U$353:$U$353</definedName>
    <definedName name="UnitOfMeasure193">'Бланк заказа'!$U$354:$U$354</definedName>
    <definedName name="UnitOfMeasure194">'Бланк заказа'!$U$355:$U$355</definedName>
    <definedName name="UnitOfMeasure195">'Бланк заказа'!$U$359:$U$359</definedName>
    <definedName name="UnitOfMeasure196">'Бланк заказа'!$U$365:$U$365</definedName>
    <definedName name="UnitOfMeasure197">'Бланк заказа'!$U$366:$U$366</definedName>
    <definedName name="UnitOfMeasure198">'Бланк заказа'!$U$370:$U$370</definedName>
    <definedName name="UnitOfMeasure199">'Бланк заказа'!$U$371:$U$371</definedName>
    <definedName name="UnitOfMeasure2">'Бланк заказа'!$U$26:$U$26</definedName>
    <definedName name="UnitOfMeasure20">'Бланк заказа'!$U$66:$U$66</definedName>
    <definedName name="UnitOfMeasure200">'Бланк заказа'!$U$372:$U$372</definedName>
    <definedName name="UnitOfMeasure201">'Бланк заказа'!$U$373:$U$373</definedName>
    <definedName name="UnitOfMeasure202">'Бланк заказа'!$U$374:$U$374</definedName>
    <definedName name="UnitOfMeasure203">'Бланк заказа'!$U$375:$U$375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заказа'!$U$393:$U$393</definedName>
    <definedName name="UnitOfMeasure216">'Бланк заказа'!$U$397:$U$397</definedName>
    <definedName name="UnitOfMeasure217">'Бланк заказа'!$U$398:$U$398</definedName>
    <definedName name="UnitOfMeasure218">'Бланк заказа'!$U$399:$U$399</definedName>
    <definedName name="UnitOfMeasure219">'Бланк заказа'!$U$400:$U$400</definedName>
    <definedName name="UnitOfMeasure22">'Бланк заказа'!$U$68:$U$68</definedName>
    <definedName name="UnitOfMeasure220">'Бланк заказа'!$U$405:$U$405</definedName>
    <definedName name="UnitOfMeasure221">'Бланк заказа'!$U$406:$U$406</definedName>
    <definedName name="UnitOfMeasure222">'Бланк заказа'!$U$410:$U$410</definedName>
    <definedName name="UnitOfMeasure223">'Бланк заказа'!$U$411:$U$411</definedName>
    <definedName name="UnitOfMeasure224">'Бланк заказа'!$U$412:$U$412</definedName>
    <definedName name="UnitOfMeasure225">'Бланк заказа'!$U$413:$U$413</definedName>
    <definedName name="UnitOfMeasure226">'Бланк заказа'!$U$414:$U$414</definedName>
    <definedName name="UnitOfMeasure227">'Бланк заказа'!$U$415:$U$415</definedName>
    <definedName name="UnitOfMeasure228">'Бланк заказа'!$U$416:$U$416</definedName>
    <definedName name="UnitOfMeasure229">'Бланк заказа'!$U$420:$U$420</definedName>
    <definedName name="UnitOfMeasure23">'Бланк заказа'!$U$69:$U$69</definedName>
    <definedName name="UnitOfMeasure230">'Бланк заказа'!$U$424:$U$424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заказа'!$U$436:$U$436</definedName>
    <definedName name="UnitOfMeasure235">'Бланк заказа'!$U$437:$U$437</definedName>
    <definedName name="UnitOfMeasure236">'Бланк заказа'!$U$438:$U$438</definedName>
    <definedName name="UnitOfMeasure237">'Бланк заказа'!$U$439:$U$439</definedName>
    <definedName name="UnitOfMeasure238">'Бланк заказа'!$U$440:$U$440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заказа'!$U$446:$U$446</definedName>
    <definedName name="UnitOfMeasure242">'Бланк заказа'!$U$447:$U$447</definedName>
    <definedName name="UnitOfMeasure243">'Бланк заказа'!$U$451:$U$451</definedName>
    <definedName name="UnitOfMeasure244">'Бланк заказа'!$U$452:$U$452</definedName>
    <definedName name="UnitOfMeasure245">'Бланк заказа'!$U$453:$U$453</definedName>
    <definedName name="UnitOfMeasure246">'Бланк заказа'!$U$454:$U$454</definedName>
    <definedName name="UnitOfMeasure247">'Бланк заказа'!$U$455:$U$455</definedName>
    <definedName name="UnitOfMeasure248">'Бланк заказа'!$U$456:$U$456</definedName>
    <definedName name="UnitOfMeasure249">'Бланк заказа'!$U$460:$U$460</definedName>
    <definedName name="UnitOfMeasure25">'Бланк заказа'!$U$71:$U$71</definedName>
    <definedName name="UnitOfMeasure250">'Бланк заказа'!$U$461:$U$461</definedName>
    <definedName name="UnitOfMeasure251">'Бланк заказа'!$U$462:$U$462</definedName>
    <definedName name="UnitOfMeasure252">'Бланк заказа'!$U$468:$U$468</definedName>
    <definedName name="UnitOfMeasure253">'Бланк заказа'!$U$469:$U$469</definedName>
    <definedName name="UnitOfMeasure254">'Бланк заказа'!$U$470:$U$470</definedName>
    <definedName name="UnitOfMeasure255">'Бланк заказа'!$U$474:$U$474</definedName>
    <definedName name="UnitOfMeasure256">'Бланк заказа'!$U$475:$U$475</definedName>
    <definedName name="UnitOfMeasure257">'Бланк заказа'!$U$479:$U$479</definedName>
    <definedName name="UnitOfMeasure258">'Бланк заказа'!$U$480:$U$480</definedName>
    <definedName name="UnitOfMeasure259">'Бланк заказа'!$U$481:$U$481</definedName>
    <definedName name="UnitOfMeasure26">'Бланк заказа'!$U$72:$U$72</definedName>
    <definedName name="UnitOfMeasure260">'Бланк заказа'!$U$482:$U$482</definedName>
    <definedName name="UnitOfMeasure261">'Бланк заказа'!$U$486:$U$486</definedName>
    <definedName name="UnitOfMeasure262">'Бланк заказа'!$U$487:$U$487</definedName>
    <definedName name="UnitOfMeasure263">'Бланк заказа'!$U$488:$U$488</definedName>
    <definedName name="UnitOfMeasure264">'Бланк заказа'!$U$489:$U$489</definedName>
    <definedName name="UnitOfMeasure265">'Бланк заказа'!$U$490:$U$490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9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9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04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677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677" min="16" max="16"/>
    <col width="6.140625" customWidth="1" style="677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677" min="22" max="22"/>
    <col width="11" customWidth="1" style="677" min="23" max="23"/>
    <col width="10" customWidth="1" style="677" min="24" max="24"/>
    <col width="11.5703125" customWidth="1" style="677" min="25" max="25"/>
    <col width="10.42578125" customWidth="1" style="677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677" min="30" max="30"/>
    <col width="9.140625" customWidth="1" style="677" min="31" max="16384"/>
  </cols>
  <sheetData>
    <row r="1" ht="45" customFormat="1" customHeight="1" s="376">
      <c r="A1" s="48" t="n"/>
      <c r="B1" s="48" t="n"/>
      <c r="C1" s="48" t="n"/>
      <c r="D1" s="338" t="inlineStr">
        <is>
          <t xml:space="preserve">  БЛАНК ЗАКАЗА </t>
        </is>
      </c>
      <c r="G1" s="14" t="inlineStr">
        <is>
          <t>КИ</t>
        </is>
      </c>
      <c r="H1" s="338" t="inlineStr">
        <is>
          <t>на отгрузку продукции с ООО Трейд-Сервис с</t>
        </is>
      </c>
      <c r="P1" s="339" t="inlineStr">
        <is>
          <t>29.01.2024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76">
      <c r="A2" s="34" t="inlineStr">
        <is>
          <t>бланк создан</t>
        </is>
      </c>
      <c r="B2" s="35" t="inlineStr">
        <is>
          <t>25.01.2024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4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77" t="n"/>
      <c r="P2" s="677" t="n"/>
      <c r="Q2" s="677" t="n"/>
      <c r="R2" s="677" t="n"/>
      <c r="S2" s="677" t="n"/>
      <c r="T2" s="677" t="n"/>
      <c r="U2" s="677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76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77" t="n"/>
      <c r="O3" s="677" t="n"/>
      <c r="P3" s="677" t="n"/>
      <c r="Q3" s="677" t="n"/>
      <c r="R3" s="677" t="n"/>
      <c r="S3" s="677" t="n"/>
      <c r="T3" s="677" t="n"/>
      <c r="U3" s="677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76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76">
      <c r="A5" s="342" t="inlineStr">
        <is>
          <t xml:space="preserve">Ваш контактный телефон и имя: </t>
        </is>
      </c>
      <c r="B5" s="680" t="n"/>
      <c r="C5" s="681" t="n"/>
      <c r="D5" s="343" t="n"/>
      <c r="E5" s="682" t="n"/>
      <c r="F5" s="344" t="inlineStr">
        <is>
          <t>Комментарий к заказу:</t>
        </is>
      </c>
      <c r="G5" s="681" t="n"/>
      <c r="H5" s="343" t="n"/>
      <c r="I5" s="683" t="n"/>
      <c r="J5" s="683" t="n"/>
      <c r="K5" s="683" t="n"/>
      <c r="L5" s="682" t="n"/>
      <c r="N5" s="29" t="inlineStr">
        <is>
          <t>Дата загрузки</t>
        </is>
      </c>
      <c r="O5" s="684" t="n">
        <v>45319</v>
      </c>
      <c r="P5" s="685" t="n"/>
      <c r="R5" s="347" t="inlineStr">
        <is>
          <t>Способ доставки (доставка/самовывоз)</t>
        </is>
      </c>
      <c r="S5" s="686" t="n"/>
      <c r="T5" s="687" t="inlineStr">
        <is>
          <t>Самовывоз</t>
        </is>
      </c>
      <c r="U5" s="685" t="n"/>
      <c r="Z5" s="60" t="n"/>
      <c r="AA5" s="60" t="n"/>
      <c r="AB5" s="60" t="n"/>
    </row>
    <row r="6" ht="24" customFormat="1" customHeight="1" s="376">
      <c r="A6" s="342" t="inlineStr">
        <is>
          <t>Адрес доставки:</t>
        </is>
      </c>
      <c r="B6" s="680" t="n"/>
      <c r="C6" s="681" t="n"/>
      <c r="D6" s="350" t="inlineStr">
        <is>
          <t>НВ, ООО 9001015535, Запорожская обл, Мелитополь г, 8 Марта ул, д. 43/1,</t>
        </is>
      </c>
      <c r="E6" s="688" t="n"/>
      <c r="F6" s="688" t="n"/>
      <c r="G6" s="688" t="n"/>
      <c r="H6" s="688" t="n"/>
      <c r="I6" s="688" t="n"/>
      <c r="J6" s="688" t="n"/>
      <c r="K6" s="688" t="n"/>
      <c r="L6" s="685" t="n"/>
      <c r="N6" s="29" t="inlineStr">
        <is>
          <t>День недели</t>
        </is>
      </c>
      <c r="O6" s="351">
        <f>IF(O5=0," ",CHOOSE(WEEKDAY(O5,2),"Понедельник","Вторник","Среда","Четверг","Пятница","Суббота","Воскресенье"))</f>
        <v/>
      </c>
      <c r="P6" s="689" t="n"/>
      <c r="R6" s="353" t="inlineStr">
        <is>
          <t>Наименование клиента</t>
        </is>
      </c>
      <c r="S6" s="686" t="n"/>
      <c r="T6" s="690" t="inlineStr">
        <is>
          <t>ОБЩЕСТВО С ОГРАНИЧЕННОЙ ОТВЕТСТВЕННОСТЬЮ "НОВОЕ ВРЕМЯ"</t>
        </is>
      </c>
      <c r="U6" s="691" t="n"/>
      <c r="Z6" s="60" t="n"/>
      <c r="AA6" s="60" t="n"/>
      <c r="AB6" s="60" t="n"/>
    </row>
    <row r="7" hidden="1" ht="21.75" customFormat="1" customHeight="1" s="376">
      <c r="A7" s="65" t="n"/>
      <c r="B7" s="65" t="n"/>
      <c r="C7" s="65" t="n"/>
      <c r="D7" s="692">
        <f>IFERROR(VLOOKUP(DeliveryAddress,Table,3,0),1)</f>
        <v/>
      </c>
      <c r="E7" s="693" t="n"/>
      <c r="F7" s="693" t="n"/>
      <c r="G7" s="693" t="n"/>
      <c r="H7" s="693" t="n"/>
      <c r="I7" s="693" t="n"/>
      <c r="J7" s="693" t="n"/>
      <c r="K7" s="693" t="n"/>
      <c r="L7" s="694" t="n"/>
      <c r="N7" s="29" t="n"/>
      <c r="O7" s="49" t="n"/>
      <c r="P7" s="49" t="n"/>
      <c r="R7" s="677" t="n"/>
      <c r="S7" s="686" t="n"/>
      <c r="T7" s="695" t="n"/>
      <c r="U7" s="696" t="n"/>
      <c r="Z7" s="60" t="n"/>
      <c r="AA7" s="60" t="n"/>
      <c r="AB7" s="60" t="n"/>
    </row>
    <row r="8" ht="25.5" customFormat="1" customHeight="1" s="376">
      <c r="A8" s="363" t="inlineStr">
        <is>
          <t>Адрес сдачи груза:</t>
        </is>
      </c>
      <c r="B8" s="697" t="n"/>
      <c r="C8" s="698" t="n"/>
      <c r="D8" s="364" t="n"/>
      <c r="E8" s="699" t="n"/>
      <c r="F8" s="699" t="n"/>
      <c r="G8" s="699" t="n"/>
      <c r="H8" s="699" t="n"/>
      <c r="I8" s="699" t="n"/>
      <c r="J8" s="699" t="n"/>
      <c r="K8" s="699" t="n"/>
      <c r="L8" s="700" t="n"/>
      <c r="N8" s="29" t="inlineStr">
        <is>
          <t>Время загрузки</t>
        </is>
      </c>
      <c r="O8" s="365" t="n">
        <v>0.4166666666666667</v>
      </c>
      <c r="P8" s="685" t="n"/>
      <c r="R8" s="677" t="n"/>
      <c r="S8" s="686" t="n"/>
      <c r="T8" s="695" t="n"/>
      <c r="U8" s="696" t="n"/>
      <c r="Z8" s="60" t="n"/>
      <c r="AA8" s="60" t="n"/>
      <c r="AB8" s="60" t="n"/>
    </row>
    <row r="9" ht="39.95" customFormat="1" customHeight="1" s="376">
      <c r="A9" s="366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77" t="n"/>
      <c r="C9" s="677" t="n"/>
      <c r="D9" s="367" t="inlineStr"/>
      <c r="E9" s="3" t="n"/>
      <c r="F9" s="366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77" t="n"/>
      <c r="H9" s="369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69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84" t="n"/>
      <c r="P9" s="685" t="n"/>
      <c r="R9" s="677" t="n"/>
      <c r="S9" s="686" t="n"/>
      <c r="T9" s="701" t="n"/>
      <c r="U9" s="702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76">
      <c r="A10" s="366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77" t="n"/>
      <c r="C10" s="677" t="n"/>
      <c r="D10" s="367" t="n"/>
      <c r="E10" s="3" t="n"/>
      <c r="F10" s="366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77" t="n"/>
      <c r="H10" s="370">
        <f>IFERROR(VLOOKUP($D$10,Proxy,2,FALSE),"")</f>
        <v/>
      </c>
      <c r="I10" s="677" t="n"/>
      <c r="J10" s="677" t="n"/>
      <c r="K10" s="677" t="n"/>
      <c r="L10" s="677" t="n"/>
      <c r="N10" s="31" t="inlineStr">
        <is>
          <t>Время доставки</t>
        </is>
      </c>
      <c r="O10" s="365" t="n"/>
      <c r="P10" s="685" t="n"/>
      <c r="S10" s="29" t="inlineStr">
        <is>
          <t>КОД Аксапты Клиента</t>
        </is>
      </c>
      <c r="T10" s="703" t="inlineStr">
        <is>
          <t>596383</t>
        </is>
      </c>
      <c r="U10" s="691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76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65" t="n"/>
      <c r="P11" s="685" t="n"/>
      <c r="S11" s="29" t="inlineStr">
        <is>
          <t>Тип заказа</t>
        </is>
      </c>
      <c r="T11" s="373" t="inlineStr">
        <is>
          <t>Основной заказ</t>
        </is>
      </c>
      <c r="U11" s="704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76">
      <c r="A12" s="374" t="inlineStr">
        <is>
          <t>Телефоны для заказов: 8(919)002-63-01  E-mail: kolbasa@abiproduct.ru  Телефон сотрудников склада: 8 (910) 775-52-91</t>
        </is>
      </c>
      <c r="B12" s="680" t="n"/>
      <c r="C12" s="680" t="n"/>
      <c r="D12" s="680" t="n"/>
      <c r="E12" s="680" t="n"/>
      <c r="F12" s="680" t="n"/>
      <c r="G12" s="680" t="n"/>
      <c r="H12" s="680" t="n"/>
      <c r="I12" s="680" t="n"/>
      <c r="J12" s="680" t="n"/>
      <c r="K12" s="680" t="n"/>
      <c r="L12" s="681" t="n"/>
      <c r="N12" s="29" t="inlineStr">
        <is>
          <t>Время доставки 3 машины</t>
        </is>
      </c>
      <c r="O12" s="375" t="n"/>
      <c r="P12" s="694" t="n"/>
      <c r="Q12" s="28" t="n"/>
      <c r="S12" s="29" t="inlineStr"/>
      <c r="T12" s="376" t="n"/>
      <c r="U12" s="677" t="n"/>
      <c r="Z12" s="60" t="n"/>
      <c r="AA12" s="60" t="n"/>
      <c r="AB12" s="60" t="n"/>
    </row>
    <row r="13" ht="23.25" customFormat="1" customHeight="1" s="376">
      <c r="A13" s="374" t="inlineStr">
        <is>
          <t>График приема заказов: Заказы принимаются за ДВА дня до отгрузки Пн-Пт: с 9:00 до 14:00, Суб., Вс. - до 12:00</t>
        </is>
      </c>
      <c r="B13" s="680" t="n"/>
      <c r="C13" s="680" t="n"/>
      <c r="D13" s="680" t="n"/>
      <c r="E13" s="680" t="n"/>
      <c r="F13" s="680" t="n"/>
      <c r="G13" s="680" t="n"/>
      <c r="H13" s="680" t="n"/>
      <c r="I13" s="680" t="n"/>
      <c r="J13" s="680" t="n"/>
      <c r="K13" s="680" t="n"/>
      <c r="L13" s="681" t="n"/>
      <c r="M13" s="31" t="n"/>
      <c r="N13" s="31" t="inlineStr">
        <is>
          <t>Время доставки 4 машины</t>
        </is>
      </c>
      <c r="O13" s="373" t="n"/>
      <c r="P13" s="704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76">
      <c r="A14" s="374" t="inlineStr">
        <is>
          <t>Телефон менеджера по логистике: 8 (919) 012-30-55 - по вопросам доставки продукции</t>
        </is>
      </c>
      <c r="B14" s="680" t="n"/>
      <c r="C14" s="680" t="n"/>
      <c r="D14" s="680" t="n"/>
      <c r="E14" s="680" t="n"/>
      <c r="F14" s="680" t="n"/>
      <c r="G14" s="680" t="n"/>
      <c r="H14" s="680" t="n"/>
      <c r="I14" s="680" t="n"/>
      <c r="J14" s="680" t="n"/>
      <c r="K14" s="680" t="n"/>
      <c r="L14" s="681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76">
      <c r="A15" s="377" t="inlineStr">
        <is>
          <t>Телефон по работе с претензиями/жалобами (WhatSapp): 8 (980) 757-69-93       E-mail: Claims@abiproduct.ru</t>
        </is>
      </c>
      <c r="B15" s="680" t="n"/>
      <c r="C15" s="680" t="n"/>
      <c r="D15" s="680" t="n"/>
      <c r="E15" s="680" t="n"/>
      <c r="F15" s="680" t="n"/>
      <c r="G15" s="680" t="n"/>
      <c r="H15" s="680" t="n"/>
      <c r="I15" s="680" t="n"/>
      <c r="J15" s="680" t="n"/>
      <c r="K15" s="680" t="n"/>
      <c r="L15" s="681" t="n"/>
      <c r="N15" s="379" t="inlineStr">
        <is>
          <t>Кликните на продукт, чтобы просмотреть изображение</t>
        </is>
      </c>
      <c r="V15" s="376" t="n"/>
      <c r="W15" s="376" t="n"/>
      <c r="X15" s="376" t="n"/>
      <c r="Y15" s="376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05" t="n"/>
      <c r="O16" s="705" t="n"/>
      <c r="P16" s="705" t="n"/>
      <c r="Q16" s="705" t="n"/>
      <c r="R16" s="705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81" t="inlineStr">
        <is>
          <t>Код единицы продаж</t>
        </is>
      </c>
      <c r="B17" s="381" t="inlineStr">
        <is>
          <t>Код продукта</t>
        </is>
      </c>
      <c r="C17" s="382" t="inlineStr">
        <is>
          <t>Номер варианта</t>
        </is>
      </c>
      <c r="D17" s="381" t="inlineStr">
        <is>
          <t xml:space="preserve">Штрих-код </t>
        </is>
      </c>
      <c r="E17" s="706" t="n"/>
      <c r="F17" s="381" t="inlineStr">
        <is>
          <t>Вес нетто штуки, кг</t>
        </is>
      </c>
      <c r="G17" s="381" t="inlineStr">
        <is>
          <t>Кол-во штук в коробе, шт</t>
        </is>
      </c>
      <c r="H17" s="381" t="inlineStr">
        <is>
          <t>Вес нетто короба, кг</t>
        </is>
      </c>
      <c r="I17" s="381" t="inlineStr">
        <is>
          <t>Вес брутто короба, кг</t>
        </is>
      </c>
      <c r="J17" s="381" t="inlineStr">
        <is>
          <t>Кол-во кор. на паллте, шт</t>
        </is>
      </c>
      <c r="K17" s="381" t="inlineStr">
        <is>
          <t>Коробок в слое</t>
        </is>
      </c>
      <c r="L17" s="381" t="inlineStr">
        <is>
          <t>Завод</t>
        </is>
      </c>
      <c r="M17" s="381" t="inlineStr">
        <is>
          <t>Срок годности, сут.</t>
        </is>
      </c>
      <c r="N17" s="381" t="inlineStr">
        <is>
          <t>Наименование</t>
        </is>
      </c>
      <c r="O17" s="707" t="n"/>
      <c r="P17" s="707" t="n"/>
      <c r="Q17" s="707" t="n"/>
      <c r="R17" s="706" t="n"/>
      <c r="S17" s="380" t="inlineStr">
        <is>
          <t>Доступно к отгрузке</t>
        </is>
      </c>
      <c r="T17" s="681" t="n"/>
      <c r="U17" s="381" t="inlineStr">
        <is>
          <t>Ед. изм.</t>
        </is>
      </c>
      <c r="V17" s="381" t="inlineStr">
        <is>
          <t>Заказ</t>
        </is>
      </c>
      <c r="W17" s="385" t="inlineStr">
        <is>
          <t>Заказ с округлением до короба</t>
        </is>
      </c>
      <c r="X17" s="381" t="inlineStr">
        <is>
          <t>Объём заказа, м3</t>
        </is>
      </c>
      <c r="Y17" s="387" t="inlineStr">
        <is>
          <t>Примечание по продуктку</t>
        </is>
      </c>
      <c r="Z17" s="387" t="inlineStr">
        <is>
          <t>Признак "НОВИНКА"</t>
        </is>
      </c>
      <c r="AA17" s="387" t="inlineStr">
        <is>
          <t>Для формул</t>
        </is>
      </c>
      <c r="AB17" s="708" t="n"/>
      <c r="AC17" s="709" t="n"/>
      <c r="AD17" s="394" t="n"/>
      <c r="BA17" s="395" t="inlineStr">
        <is>
          <t>Вид продукции</t>
        </is>
      </c>
    </row>
    <row r="18" ht="14.25" customHeight="1">
      <c r="A18" s="710" t="n"/>
      <c r="B18" s="710" t="n"/>
      <c r="C18" s="710" t="n"/>
      <c r="D18" s="711" t="n"/>
      <c r="E18" s="712" t="n"/>
      <c r="F18" s="710" t="n"/>
      <c r="G18" s="710" t="n"/>
      <c r="H18" s="710" t="n"/>
      <c r="I18" s="710" t="n"/>
      <c r="J18" s="710" t="n"/>
      <c r="K18" s="710" t="n"/>
      <c r="L18" s="710" t="n"/>
      <c r="M18" s="710" t="n"/>
      <c r="N18" s="711" t="n"/>
      <c r="O18" s="713" t="n"/>
      <c r="P18" s="713" t="n"/>
      <c r="Q18" s="713" t="n"/>
      <c r="R18" s="712" t="n"/>
      <c r="S18" s="380" t="inlineStr">
        <is>
          <t>начиная с</t>
        </is>
      </c>
      <c r="T18" s="380" t="inlineStr">
        <is>
          <t>до</t>
        </is>
      </c>
      <c r="U18" s="710" t="n"/>
      <c r="V18" s="710" t="n"/>
      <c r="W18" s="714" t="n"/>
      <c r="X18" s="710" t="n"/>
      <c r="Y18" s="715" t="n"/>
      <c r="Z18" s="715" t="n"/>
      <c r="AA18" s="716" t="n"/>
      <c r="AB18" s="717" t="n"/>
      <c r="AC18" s="718" t="n"/>
      <c r="AD18" s="719" t="n"/>
      <c r="BA18" s="677" t="n"/>
    </row>
    <row r="19" ht="27.75" customHeight="1">
      <c r="A19" s="396" t="inlineStr">
        <is>
          <t>Ядрена копоть</t>
        </is>
      </c>
      <c r="B19" s="720" t="n"/>
      <c r="C19" s="720" t="n"/>
      <c r="D19" s="720" t="n"/>
      <c r="E19" s="720" t="n"/>
      <c r="F19" s="720" t="n"/>
      <c r="G19" s="720" t="n"/>
      <c r="H19" s="720" t="n"/>
      <c r="I19" s="720" t="n"/>
      <c r="J19" s="720" t="n"/>
      <c r="K19" s="720" t="n"/>
      <c r="L19" s="720" t="n"/>
      <c r="M19" s="720" t="n"/>
      <c r="N19" s="720" t="n"/>
      <c r="O19" s="720" t="n"/>
      <c r="P19" s="720" t="n"/>
      <c r="Q19" s="720" t="n"/>
      <c r="R19" s="720" t="n"/>
      <c r="S19" s="720" t="n"/>
      <c r="T19" s="720" t="n"/>
      <c r="U19" s="720" t="n"/>
      <c r="V19" s="720" t="n"/>
      <c r="W19" s="720" t="n"/>
      <c r="X19" s="720" t="n"/>
      <c r="Y19" s="55" t="n"/>
      <c r="Z19" s="55" t="n"/>
    </row>
    <row r="20" ht="16.5" customHeight="1">
      <c r="A20" s="397" t="inlineStr">
        <is>
          <t>Ядрена копоть</t>
        </is>
      </c>
      <c r="B20" s="677" t="n"/>
      <c r="C20" s="677" t="n"/>
      <c r="D20" s="677" t="n"/>
      <c r="E20" s="677" t="n"/>
      <c r="F20" s="677" t="n"/>
      <c r="G20" s="677" t="n"/>
      <c r="H20" s="677" t="n"/>
      <c r="I20" s="677" t="n"/>
      <c r="J20" s="677" t="n"/>
      <c r="K20" s="677" t="n"/>
      <c r="L20" s="677" t="n"/>
      <c r="M20" s="677" t="n"/>
      <c r="N20" s="677" t="n"/>
      <c r="O20" s="677" t="n"/>
      <c r="P20" s="677" t="n"/>
      <c r="Q20" s="677" t="n"/>
      <c r="R20" s="677" t="n"/>
      <c r="S20" s="677" t="n"/>
      <c r="T20" s="677" t="n"/>
      <c r="U20" s="677" t="n"/>
      <c r="V20" s="677" t="n"/>
      <c r="W20" s="677" t="n"/>
      <c r="X20" s="677" t="n"/>
      <c r="Y20" s="397" t="n"/>
      <c r="Z20" s="397" t="n"/>
    </row>
    <row r="21" ht="14.25" customHeight="1">
      <c r="A21" s="398" t="inlineStr">
        <is>
          <t>Копченые колбасы</t>
        </is>
      </c>
      <c r="B21" s="677" t="n"/>
      <c r="C21" s="677" t="n"/>
      <c r="D21" s="677" t="n"/>
      <c r="E21" s="677" t="n"/>
      <c r="F21" s="677" t="n"/>
      <c r="G21" s="677" t="n"/>
      <c r="H21" s="677" t="n"/>
      <c r="I21" s="677" t="n"/>
      <c r="J21" s="677" t="n"/>
      <c r="K21" s="677" t="n"/>
      <c r="L21" s="677" t="n"/>
      <c r="M21" s="677" t="n"/>
      <c r="N21" s="677" t="n"/>
      <c r="O21" s="677" t="n"/>
      <c r="P21" s="677" t="n"/>
      <c r="Q21" s="677" t="n"/>
      <c r="R21" s="677" t="n"/>
      <c r="S21" s="677" t="n"/>
      <c r="T21" s="677" t="n"/>
      <c r="U21" s="677" t="n"/>
      <c r="V21" s="677" t="n"/>
      <c r="W21" s="677" t="n"/>
      <c r="X21" s="677" t="n"/>
      <c r="Y21" s="398" t="n"/>
      <c r="Z21" s="398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99" t="n">
        <v>4607091389258</v>
      </c>
      <c r="E22" s="689" t="n"/>
      <c r="F22" s="721" t="n">
        <v>0.3</v>
      </c>
      <c r="G22" s="38" t="n">
        <v>6</v>
      </c>
      <c r="H22" s="721" t="n">
        <v>1.8</v>
      </c>
      <c r="I22" s="721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22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23" t="n"/>
      <c r="P22" s="723" t="n"/>
      <c r="Q22" s="723" t="n"/>
      <c r="R22" s="689" t="n"/>
      <c r="S22" s="40" t="inlineStr"/>
      <c r="T22" s="40" t="inlineStr"/>
      <c r="U22" s="41" t="inlineStr">
        <is>
          <t>кг</t>
        </is>
      </c>
      <c r="V22" s="724" t="n">
        <v>0</v>
      </c>
      <c r="W22" s="725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407" t="n"/>
      <c r="B23" s="677" t="n"/>
      <c r="C23" s="677" t="n"/>
      <c r="D23" s="677" t="n"/>
      <c r="E23" s="677" t="n"/>
      <c r="F23" s="677" t="n"/>
      <c r="G23" s="677" t="n"/>
      <c r="H23" s="677" t="n"/>
      <c r="I23" s="677" t="n"/>
      <c r="J23" s="677" t="n"/>
      <c r="K23" s="677" t="n"/>
      <c r="L23" s="677" t="n"/>
      <c r="M23" s="726" t="n"/>
      <c r="N23" s="727" t="inlineStr">
        <is>
          <t>Итого</t>
        </is>
      </c>
      <c r="O23" s="697" t="n"/>
      <c r="P23" s="697" t="n"/>
      <c r="Q23" s="697" t="n"/>
      <c r="R23" s="697" t="n"/>
      <c r="S23" s="697" t="n"/>
      <c r="T23" s="698" t="n"/>
      <c r="U23" s="43" t="inlineStr">
        <is>
          <t>кор</t>
        </is>
      </c>
      <c r="V23" s="728">
        <f>IFERROR(V22/H22,"0")</f>
        <v/>
      </c>
      <c r="W23" s="728">
        <f>IFERROR(W22/H22,"0")</f>
        <v/>
      </c>
      <c r="X23" s="728">
        <f>IFERROR(IF(X22="",0,X22),"0")</f>
        <v/>
      </c>
      <c r="Y23" s="729" t="n"/>
      <c r="Z23" s="729" t="n"/>
    </row>
    <row r="24">
      <c r="A24" s="677" t="n"/>
      <c r="B24" s="677" t="n"/>
      <c r="C24" s="677" t="n"/>
      <c r="D24" s="677" t="n"/>
      <c r="E24" s="677" t="n"/>
      <c r="F24" s="677" t="n"/>
      <c r="G24" s="677" t="n"/>
      <c r="H24" s="677" t="n"/>
      <c r="I24" s="677" t="n"/>
      <c r="J24" s="677" t="n"/>
      <c r="K24" s="677" t="n"/>
      <c r="L24" s="677" t="n"/>
      <c r="M24" s="726" t="n"/>
      <c r="N24" s="727" t="inlineStr">
        <is>
          <t>Итого</t>
        </is>
      </c>
      <c r="O24" s="697" t="n"/>
      <c r="P24" s="697" t="n"/>
      <c r="Q24" s="697" t="n"/>
      <c r="R24" s="697" t="n"/>
      <c r="S24" s="697" t="n"/>
      <c r="T24" s="698" t="n"/>
      <c r="U24" s="43" t="inlineStr">
        <is>
          <t>кг</t>
        </is>
      </c>
      <c r="V24" s="728">
        <f>IFERROR(SUM(V22:V22),"0")</f>
        <v/>
      </c>
      <c r="W24" s="728">
        <f>IFERROR(SUM(W22:W22),"0")</f>
        <v/>
      </c>
      <c r="X24" s="43" t="n"/>
      <c r="Y24" s="729" t="n"/>
      <c r="Z24" s="729" t="n"/>
    </row>
    <row r="25" ht="14.25" customHeight="1">
      <c r="A25" s="398" t="inlineStr">
        <is>
          <t>Сосиски</t>
        </is>
      </c>
      <c r="B25" s="677" t="n"/>
      <c r="C25" s="677" t="n"/>
      <c r="D25" s="677" t="n"/>
      <c r="E25" s="677" t="n"/>
      <c r="F25" s="677" t="n"/>
      <c r="G25" s="677" t="n"/>
      <c r="H25" s="677" t="n"/>
      <c r="I25" s="677" t="n"/>
      <c r="J25" s="677" t="n"/>
      <c r="K25" s="677" t="n"/>
      <c r="L25" s="677" t="n"/>
      <c r="M25" s="677" t="n"/>
      <c r="N25" s="677" t="n"/>
      <c r="O25" s="677" t="n"/>
      <c r="P25" s="677" t="n"/>
      <c r="Q25" s="677" t="n"/>
      <c r="R25" s="677" t="n"/>
      <c r="S25" s="677" t="n"/>
      <c r="T25" s="677" t="n"/>
      <c r="U25" s="677" t="n"/>
      <c r="V25" s="677" t="n"/>
      <c r="W25" s="677" t="n"/>
      <c r="X25" s="677" t="n"/>
      <c r="Y25" s="398" t="n"/>
      <c r="Z25" s="398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99" t="n">
        <v>4607091383881</v>
      </c>
      <c r="E26" s="689" t="n"/>
      <c r="F26" s="721" t="n">
        <v>0.33</v>
      </c>
      <c r="G26" s="38" t="n">
        <v>6</v>
      </c>
      <c r="H26" s="721" t="n">
        <v>1.98</v>
      </c>
      <c r="I26" s="721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30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23" t="n"/>
      <c r="P26" s="723" t="n"/>
      <c r="Q26" s="723" t="n"/>
      <c r="R26" s="689" t="n"/>
      <c r="S26" s="40" t="inlineStr"/>
      <c r="T26" s="40" t="inlineStr"/>
      <c r="U26" s="41" t="inlineStr">
        <is>
          <t>кг</t>
        </is>
      </c>
      <c r="V26" s="724" t="n">
        <v>0</v>
      </c>
      <c r="W26" s="725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99" t="n">
        <v>4607091388237</v>
      </c>
      <c r="E27" s="689" t="n"/>
      <c r="F27" s="721" t="n">
        <v>0.42</v>
      </c>
      <c r="G27" s="38" t="n">
        <v>6</v>
      </c>
      <c r="H27" s="721" t="n">
        <v>2.52</v>
      </c>
      <c r="I27" s="721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731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723" t="n"/>
      <c r="P27" s="723" t="n"/>
      <c r="Q27" s="723" t="n"/>
      <c r="R27" s="689" t="n"/>
      <c r="S27" s="40" t="inlineStr"/>
      <c r="T27" s="40" t="inlineStr"/>
      <c r="U27" s="41" t="inlineStr">
        <is>
          <t>кг</t>
        </is>
      </c>
      <c r="V27" s="724" t="n">
        <v>0</v>
      </c>
      <c r="W27" s="725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99" t="n">
        <v>4607091383935</v>
      </c>
      <c r="E28" s="689" t="n"/>
      <c r="F28" s="721" t="n">
        <v>0.33</v>
      </c>
      <c r="G28" s="38" t="n">
        <v>6</v>
      </c>
      <c r="H28" s="721" t="n">
        <v>1.98</v>
      </c>
      <c r="I28" s="721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3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23" t="n"/>
      <c r="P28" s="723" t="n"/>
      <c r="Q28" s="723" t="n"/>
      <c r="R28" s="689" t="n"/>
      <c r="S28" s="40" t="inlineStr"/>
      <c r="T28" s="40" t="inlineStr"/>
      <c r="U28" s="41" t="inlineStr">
        <is>
          <t>кг</t>
        </is>
      </c>
      <c r="V28" s="724" t="n">
        <v>0</v>
      </c>
      <c r="W28" s="725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99" t="n">
        <v>4680115881853</v>
      </c>
      <c r="E29" s="689" t="n"/>
      <c r="F29" s="721" t="n">
        <v>0.33</v>
      </c>
      <c r="G29" s="38" t="n">
        <v>6</v>
      </c>
      <c r="H29" s="721" t="n">
        <v>1.98</v>
      </c>
      <c r="I29" s="721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33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23" t="n"/>
      <c r="P29" s="723" t="n"/>
      <c r="Q29" s="723" t="n"/>
      <c r="R29" s="689" t="n"/>
      <c r="S29" s="40" t="inlineStr"/>
      <c r="T29" s="40" t="inlineStr"/>
      <c r="U29" s="41" t="inlineStr">
        <is>
          <t>кг</t>
        </is>
      </c>
      <c r="V29" s="724" t="n">
        <v>0</v>
      </c>
      <c r="W29" s="725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99" t="n">
        <v>4607091383911</v>
      </c>
      <c r="E30" s="689" t="n"/>
      <c r="F30" s="721" t="n">
        <v>0.33</v>
      </c>
      <c r="G30" s="38" t="n">
        <v>6</v>
      </c>
      <c r="H30" s="721" t="n">
        <v>1.98</v>
      </c>
      <c r="I30" s="721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34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723" t="n"/>
      <c r="P30" s="723" t="n"/>
      <c r="Q30" s="723" t="n"/>
      <c r="R30" s="689" t="n"/>
      <c r="S30" s="40" t="inlineStr"/>
      <c r="T30" s="40" t="inlineStr"/>
      <c r="U30" s="41" t="inlineStr">
        <is>
          <t>кг</t>
        </is>
      </c>
      <c r="V30" s="724" t="n">
        <v>0</v>
      </c>
      <c r="W30" s="725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99" t="n">
        <v>4607091388244</v>
      </c>
      <c r="E31" s="689" t="n"/>
      <c r="F31" s="721" t="n">
        <v>0.42</v>
      </c>
      <c r="G31" s="38" t="n">
        <v>6</v>
      </c>
      <c r="H31" s="721" t="n">
        <v>2.52</v>
      </c>
      <c r="I31" s="721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35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723" t="n"/>
      <c r="P31" s="723" t="n"/>
      <c r="Q31" s="723" t="n"/>
      <c r="R31" s="689" t="n"/>
      <c r="S31" s="40" t="inlineStr"/>
      <c r="T31" s="40" t="inlineStr"/>
      <c r="U31" s="41" t="inlineStr">
        <is>
          <t>кг</t>
        </is>
      </c>
      <c r="V31" s="724" t="n">
        <v>0</v>
      </c>
      <c r="W31" s="725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407" t="n"/>
      <c r="B32" s="677" t="n"/>
      <c r="C32" s="677" t="n"/>
      <c r="D32" s="677" t="n"/>
      <c r="E32" s="677" t="n"/>
      <c r="F32" s="677" t="n"/>
      <c r="G32" s="677" t="n"/>
      <c r="H32" s="677" t="n"/>
      <c r="I32" s="677" t="n"/>
      <c r="J32" s="677" t="n"/>
      <c r="K32" s="677" t="n"/>
      <c r="L32" s="677" t="n"/>
      <c r="M32" s="726" t="n"/>
      <c r="N32" s="727" t="inlineStr">
        <is>
          <t>Итого</t>
        </is>
      </c>
      <c r="O32" s="697" t="n"/>
      <c r="P32" s="697" t="n"/>
      <c r="Q32" s="697" t="n"/>
      <c r="R32" s="697" t="n"/>
      <c r="S32" s="697" t="n"/>
      <c r="T32" s="698" t="n"/>
      <c r="U32" s="43" t="inlineStr">
        <is>
          <t>кор</t>
        </is>
      </c>
      <c r="V32" s="728">
        <f>IFERROR(V26/H26,"0")+IFERROR(V27/H27,"0")+IFERROR(V28/H28,"0")+IFERROR(V29/H29,"0")+IFERROR(V30/H30,"0")+IFERROR(V31/H31,"0")</f>
        <v/>
      </c>
      <c r="W32" s="728">
        <f>IFERROR(W26/H26,"0")+IFERROR(W27/H27,"0")+IFERROR(W28/H28,"0")+IFERROR(W29/H29,"0")+IFERROR(W30/H30,"0")+IFERROR(W31/H31,"0")</f>
        <v/>
      </c>
      <c r="X32" s="728">
        <f>IFERROR(IF(X26="",0,X26),"0")+IFERROR(IF(X27="",0,X27),"0")+IFERROR(IF(X28="",0,X28),"0")+IFERROR(IF(X29="",0,X29),"0")+IFERROR(IF(X30="",0,X30),"0")+IFERROR(IF(X31="",0,X31),"0")</f>
        <v/>
      </c>
      <c r="Y32" s="729" t="n"/>
      <c r="Z32" s="729" t="n"/>
    </row>
    <row r="33">
      <c r="A33" s="677" t="n"/>
      <c r="B33" s="677" t="n"/>
      <c r="C33" s="677" t="n"/>
      <c r="D33" s="677" t="n"/>
      <c r="E33" s="677" t="n"/>
      <c r="F33" s="677" t="n"/>
      <c r="G33" s="677" t="n"/>
      <c r="H33" s="677" t="n"/>
      <c r="I33" s="677" t="n"/>
      <c r="J33" s="677" t="n"/>
      <c r="K33" s="677" t="n"/>
      <c r="L33" s="677" t="n"/>
      <c r="M33" s="726" t="n"/>
      <c r="N33" s="727" t="inlineStr">
        <is>
          <t>Итого</t>
        </is>
      </c>
      <c r="O33" s="697" t="n"/>
      <c r="P33" s="697" t="n"/>
      <c r="Q33" s="697" t="n"/>
      <c r="R33" s="697" t="n"/>
      <c r="S33" s="697" t="n"/>
      <c r="T33" s="698" t="n"/>
      <c r="U33" s="43" t="inlineStr">
        <is>
          <t>кг</t>
        </is>
      </c>
      <c r="V33" s="728">
        <f>IFERROR(SUM(V26:V31),"0")</f>
        <v/>
      </c>
      <c r="W33" s="728">
        <f>IFERROR(SUM(W26:W31),"0")</f>
        <v/>
      </c>
      <c r="X33" s="43" t="n"/>
      <c r="Y33" s="729" t="n"/>
      <c r="Z33" s="729" t="n"/>
    </row>
    <row r="34" ht="14.25" customHeight="1">
      <c r="A34" s="398" t="inlineStr">
        <is>
          <t>Сырокопченые колбасы</t>
        </is>
      </c>
      <c r="B34" s="677" t="n"/>
      <c r="C34" s="677" t="n"/>
      <c r="D34" s="677" t="n"/>
      <c r="E34" s="677" t="n"/>
      <c r="F34" s="677" t="n"/>
      <c r="G34" s="677" t="n"/>
      <c r="H34" s="677" t="n"/>
      <c r="I34" s="677" t="n"/>
      <c r="J34" s="677" t="n"/>
      <c r="K34" s="677" t="n"/>
      <c r="L34" s="677" t="n"/>
      <c r="M34" s="677" t="n"/>
      <c r="N34" s="677" t="n"/>
      <c r="O34" s="677" t="n"/>
      <c r="P34" s="677" t="n"/>
      <c r="Q34" s="677" t="n"/>
      <c r="R34" s="677" t="n"/>
      <c r="S34" s="677" t="n"/>
      <c r="T34" s="677" t="n"/>
      <c r="U34" s="677" t="n"/>
      <c r="V34" s="677" t="n"/>
      <c r="W34" s="677" t="n"/>
      <c r="X34" s="677" t="n"/>
      <c r="Y34" s="398" t="n"/>
      <c r="Z34" s="398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99" t="n">
        <v>4607091388503</v>
      </c>
      <c r="E35" s="689" t="n"/>
      <c r="F35" s="721" t="n">
        <v>0.05</v>
      </c>
      <c r="G35" s="38" t="n">
        <v>12</v>
      </c>
      <c r="H35" s="721" t="n">
        <v>0.6</v>
      </c>
      <c r="I35" s="721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36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723" t="n"/>
      <c r="P35" s="723" t="n"/>
      <c r="Q35" s="723" t="n"/>
      <c r="R35" s="689" t="n"/>
      <c r="S35" s="40" t="inlineStr"/>
      <c r="T35" s="40" t="inlineStr"/>
      <c r="U35" s="41" t="inlineStr">
        <is>
          <t>кг</t>
        </is>
      </c>
      <c r="V35" s="724" t="n">
        <v>0</v>
      </c>
      <c r="W35" s="725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407" t="n"/>
      <c r="B36" s="677" t="n"/>
      <c r="C36" s="677" t="n"/>
      <c r="D36" s="677" t="n"/>
      <c r="E36" s="677" t="n"/>
      <c r="F36" s="677" t="n"/>
      <c r="G36" s="677" t="n"/>
      <c r="H36" s="677" t="n"/>
      <c r="I36" s="677" t="n"/>
      <c r="J36" s="677" t="n"/>
      <c r="K36" s="677" t="n"/>
      <c r="L36" s="677" t="n"/>
      <c r="M36" s="726" t="n"/>
      <c r="N36" s="727" t="inlineStr">
        <is>
          <t>Итого</t>
        </is>
      </c>
      <c r="O36" s="697" t="n"/>
      <c r="P36" s="697" t="n"/>
      <c r="Q36" s="697" t="n"/>
      <c r="R36" s="697" t="n"/>
      <c r="S36" s="697" t="n"/>
      <c r="T36" s="698" t="n"/>
      <c r="U36" s="43" t="inlineStr">
        <is>
          <t>кор</t>
        </is>
      </c>
      <c r="V36" s="728">
        <f>IFERROR(V35/H35,"0")</f>
        <v/>
      </c>
      <c r="W36" s="728">
        <f>IFERROR(W35/H35,"0")</f>
        <v/>
      </c>
      <c r="X36" s="728">
        <f>IFERROR(IF(X35="",0,X35),"0")</f>
        <v/>
      </c>
      <c r="Y36" s="729" t="n"/>
      <c r="Z36" s="729" t="n"/>
    </row>
    <row r="37">
      <c r="A37" s="677" t="n"/>
      <c r="B37" s="677" t="n"/>
      <c r="C37" s="677" t="n"/>
      <c r="D37" s="677" t="n"/>
      <c r="E37" s="677" t="n"/>
      <c r="F37" s="677" t="n"/>
      <c r="G37" s="677" t="n"/>
      <c r="H37" s="677" t="n"/>
      <c r="I37" s="677" t="n"/>
      <c r="J37" s="677" t="n"/>
      <c r="K37" s="677" t="n"/>
      <c r="L37" s="677" t="n"/>
      <c r="M37" s="726" t="n"/>
      <c r="N37" s="727" t="inlineStr">
        <is>
          <t>Итого</t>
        </is>
      </c>
      <c r="O37" s="697" t="n"/>
      <c r="P37" s="697" t="n"/>
      <c r="Q37" s="697" t="n"/>
      <c r="R37" s="697" t="n"/>
      <c r="S37" s="697" t="n"/>
      <c r="T37" s="698" t="n"/>
      <c r="U37" s="43" t="inlineStr">
        <is>
          <t>кг</t>
        </is>
      </c>
      <c r="V37" s="728">
        <f>IFERROR(SUM(V35:V35),"0")</f>
        <v/>
      </c>
      <c r="W37" s="728">
        <f>IFERROR(SUM(W35:W35),"0")</f>
        <v/>
      </c>
      <c r="X37" s="43" t="n"/>
      <c r="Y37" s="729" t="n"/>
      <c r="Z37" s="729" t="n"/>
    </row>
    <row r="38" ht="14.25" customHeight="1">
      <c r="A38" s="398" t="inlineStr">
        <is>
          <t>Продукты из мяса птицы копчено-вареные</t>
        </is>
      </c>
      <c r="B38" s="677" t="n"/>
      <c r="C38" s="677" t="n"/>
      <c r="D38" s="677" t="n"/>
      <c r="E38" s="677" t="n"/>
      <c r="F38" s="677" t="n"/>
      <c r="G38" s="677" t="n"/>
      <c r="H38" s="677" t="n"/>
      <c r="I38" s="677" t="n"/>
      <c r="J38" s="677" t="n"/>
      <c r="K38" s="677" t="n"/>
      <c r="L38" s="677" t="n"/>
      <c r="M38" s="677" t="n"/>
      <c r="N38" s="677" t="n"/>
      <c r="O38" s="677" t="n"/>
      <c r="P38" s="677" t="n"/>
      <c r="Q38" s="677" t="n"/>
      <c r="R38" s="677" t="n"/>
      <c r="S38" s="677" t="n"/>
      <c r="T38" s="677" t="n"/>
      <c r="U38" s="677" t="n"/>
      <c r="V38" s="677" t="n"/>
      <c r="W38" s="677" t="n"/>
      <c r="X38" s="677" t="n"/>
      <c r="Y38" s="398" t="n"/>
      <c r="Z38" s="398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99" t="n">
        <v>4607091388282</v>
      </c>
      <c r="E39" s="689" t="n"/>
      <c r="F39" s="721" t="n">
        <v>0.3</v>
      </c>
      <c r="G39" s="38" t="n">
        <v>6</v>
      </c>
      <c r="H39" s="721" t="n">
        <v>1.8</v>
      </c>
      <c r="I39" s="721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37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723" t="n"/>
      <c r="P39" s="723" t="n"/>
      <c r="Q39" s="723" t="n"/>
      <c r="R39" s="689" t="n"/>
      <c r="S39" s="40" t="inlineStr"/>
      <c r="T39" s="40" t="inlineStr"/>
      <c r="U39" s="41" t="inlineStr">
        <is>
          <t>кг</t>
        </is>
      </c>
      <c r="V39" s="724" t="n">
        <v>0</v>
      </c>
      <c r="W39" s="725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407" t="n"/>
      <c r="B40" s="677" t="n"/>
      <c r="C40" s="677" t="n"/>
      <c r="D40" s="677" t="n"/>
      <c r="E40" s="677" t="n"/>
      <c r="F40" s="677" t="n"/>
      <c r="G40" s="677" t="n"/>
      <c r="H40" s="677" t="n"/>
      <c r="I40" s="677" t="n"/>
      <c r="J40" s="677" t="n"/>
      <c r="K40" s="677" t="n"/>
      <c r="L40" s="677" t="n"/>
      <c r="M40" s="726" t="n"/>
      <c r="N40" s="727" t="inlineStr">
        <is>
          <t>Итого</t>
        </is>
      </c>
      <c r="O40" s="697" t="n"/>
      <c r="P40" s="697" t="n"/>
      <c r="Q40" s="697" t="n"/>
      <c r="R40" s="697" t="n"/>
      <c r="S40" s="697" t="n"/>
      <c r="T40" s="698" t="n"/>
      <c r="U40" s="43" t="inlineStr">
        <is>
          <t>кор</t>
        </is>
      </c>
      <c r="V40" s="728">
        <f>IFERROR(V39/H39,"0")</f>
        <v/>
      </c>
      <c r="W40" s="728">
        <f>IFERROR(W39/H39,"0")</f>
        <v/>
      </c>
      <c r="X40" s="728">
        <f>IFERROR(IF(X39="",0,X39),"0")</f>
        <v/>
      </c>
      <c r="Y40" s="729" t="n"/>
      <c r="Z40" s="729" t="n"/>
    </row>
    <row r="41">
      <c r="A41" s="677" t="n"/>
      <c r="B41" s="677" t="n"/>
      <c r="C41" s="677" t="n"/>
      <c r="D41" s="677" t="n"/>
      <c r="E41" s="677" t="n"/>
      <c r="F41" s="677" t="n"/>
      <c r="G41" s="677" t="n"/>
      <c r="H41" s="677" t="n"/>
      <c r="I41" s="677" t="n"/>
      <c r="J41" s="677" t="n"/>
      <c r="K41" s="677" t="n"/>
      <c r="L41" s="677" t="n"/>
      <c r="M41" s="726" t="n"/>
      <c r="N41" s="727" t="inlineStr">
        <is>
          <t>Итого</t>
        </is>
      </c>
      <c r="O41" s="697" t="n"/>
      <c r="P41" s="697" t="n"/>
      <c r="Q41" s="697" t="n"/>
      <c r="R41" s="697" t="n"/>
      <c r="S41" s="697" t="n"/>
      <c r="T41" s="698" t="n"/>
      <c r="U41" s="43" t="inlineStr">
        <is>
          <t>кг</t>
        </is>
      </c>
      <c r="V41" s="728">
        <f>IFERROR(SUM(V39:V39),"0")</f>
        <v/>
      </c>
      <c r="W41" s="728">
        <f>IFERROR(SUM(W39:W39),"0")</f>
        <v/>
      </c>
      <c r="X41" s="43" t="n"/>
      <c r="Y41" s="729" t="n"/>
      <c r="Z41" s="729" t="n"/>
    </row>
    <row r="42" ht="14.25" customHeight="1">
      <c r="A42" s="398" t="inlineStr">
        <is>
          <t>Сыровяленые колбасы</t>
        </is>
      </c>
      <c r="B42" s="677" t="n"/>
      <c r="C42" s="677" t="n"/>
      <c r="D42" s="677" t="n"/>
      <c r="E42" s="677" t="n"/>
      <c r="F42" s="677" t="n"/>
      <c r="G42" s="677" t="n"/>
      <c r="H42" s="677" t="n"/>
      <c r="I42" s="677" t="n"/>
      <c r="J42" s="677" t="n"/>
      <c r="K42" s="677" t="n"/>
      <c r="L42" s="677" t="n"/>
      <c r="M42" s="677" t="n"/>
      <c r="N42" s="677" t="n"/>
      <c r="O42" s="677" t="n"/>
      <c r="P42" s="677" t="n"/>
      <c r="Q42" s="677" t="n"/>
      <c r="R42" s="677" t="n"/>
      <c r="S42" s="677" t="n"/>
      <c r="T42" s="677" t="n"/>
      <c r="U42" s="677" t="n"/>
      <c r="V42" s="677" t="n"/>
      <c r="W42" s="677" t="n"/>
      <c r="X42" s="677" t="n"/>
      <c r="Y42" s="398" t="n"/>
      <c r="Z42" s="398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99" t="n">
        <v>4607091389111</v>
      </c>
      <c r="E43" s="689" t="n"/>
      <c r="F43" s="721" t="n">
        <v>0.025</v>
      </c>
      <c r="G43" s="38" t="n">
        <v>10</v>
      </c>
      <c r="H43" s="721" t="n">
        <v>0.25</v>
      </c>
      <c r="I43" s="721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38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723" t="n"/>
      <c r="P43" s="723" t="n"/>
      <c r="Q43" s="723" t="n"/>
      <c r="R43" s="689" t="n"/>
      <c r="S43" s="40" t="inlineStr"/>
      <c r="T43" s="40" t="inlineStr"/>
      <c r="U43" s="41" t="inlineStr">
        <is>
          <t>кг</t>
        </is>
      </c>
      <c r="V43" s="724" t="n">
        <v>0</v>
      </c>
      <c r="W43" s="725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407" t="n"/>
      <c r="B44" s="677" t="n"/>
      <c r="C44" s="677" t="n"/>
      <c r="D44" s="677" t="n"/>
      <c r="E44" s="677" t="n"/>
      <c r="F44" s="677" t="n"/>
      <c r="G44" s="677" t="n"/>
      <c r="H44" s="677" t="n"/>
      <c r="I44" s="677" t="n"/>
      <c r="J44" s="677" t="n"/>
      <c r="K44" s="677" t="n"/>
      <c r="L44" s="677" t="n"/>
      <c r="M44" s="726" t="n"/>
      <c r="N44" s="727" t="inlineStr">
        <is>
          <t>Итого</t>
        </is>
      </c>
      <c r="O44" s="697" t="n"/>
      <c r="P44" s="697" t="n"/>
      <c r="Q44" s="697" t="n"/>
      <c r="R44" s="697" t="n"/>
      <c r="S44" s="697" t="n"/>
      <c r="T44" s="698" t="n"/>
      <c r="U44" s="43" t="inlineStr">
        <is>
          <t>кор</t>
        </is>
      </c>
      <c r="V44" s="728">
        <f>IFERROR(V43/H43,"0")</f>
        <v/>
      </c>
      <c r="W44" s="728">
        <f>IFERROR(W43/H43,"0")</f>
        <v/>
      </c>
      <c r="X44" s="728">
        <f>IFERROR(IF(X43="",0,X43),"0")</f>
        <v/>
      </c>
      <c r="Y44" s="729" t="n"/>
      <c r="Z44" s="729" t="n"/>
    </row>
    <row r="45">
      <c r="A45" s="677" t="n"/>
      <c r="B45" s="677" t="n"/>
      <c r="C45" s="677" t="n"/>
      <c r="D45" s="677" t="n"/>
      <c r="E45" s="677" t="n"/>
      <c r="F45" s="677" t="n"/>
      <c r="G45" s="677" t="n"/>
      <c r="H45" s="677" t="n"/>
      <c r="I45" s="677" t="n"/>
      <c r="J45" s="677" t="n"/>
      <c r="K45" s="677" t="n"/>
      <c r="L45" s="677" t="n"/>
      <c r="M45" s="726" t="n"/>
      <c r="N45" s="727" t="inlineStr">
        <is>
          <t>Итого</t>
        </is>
      </c>
      <c r="O45" s="697" t="n"/>
      <c r="P45" s="697" t="n"/>
      <c r="Q45" s="697" t="n"/>
      <c r="R45" s="697" t="n"/>
      <c r="S45" s="697" t="n"/>
      <c r="T45" s="698" t="n"/>
      <c r="U45" s="43" t="inlineStr">
        <is>
          <t>кг</t>
        </is>
      </c>
      <c r="V45" s="728">
        <f>IFERROR(SUM(V43:V43),"0")</f>
        <v/>
      </c>
      <c r="W45" s="728">
        <f>IFERROR(SUM(W43:W43),"0")</f>
        <v/>
      </c>
      <c r="X45" s="43" t="n"/>
      <c r="Y45" s="729" t="n"/>
      <c r="Z45" s="729" t="n"/>
    </row>
    <row r="46" ht="27.75" customHeight="1">
      <c r="A46" s="396" t="inlineStr">
        <is>
          <t>Вязанка</t>
        </is>
      </c>
      <c r="B46" s="720" t="n"/>
      <c r="C46" s="720" t="n"/>
      <c r="D46" s="720" t="n"/>
      <c r="E46" s="720" t="n"/>
      <c r="F46" s="720" t="n"/>
      <c r="G46" s="720" t="n"/>
      <c r="H46" s="720" t="n"/>
      <c r="I46" s="720" t="n"/>
      <c r="J46" s="720" t="n"/>
      <c r="K46" s="720" t="n"/>
      <c r="L46" s="720" t="n"/>
      <c r="M46" s="720" t="n"/>
      <c r="N46" s="720" t="n"/>
      <c r="O46" s="720" t="n"/>
      <c r="P46" s="720" t="n"/>
      <c r="Q46" s="720" t="n"/>
      <c r="R46" s="720" t="n"/>
      <c r="S46" s="720" t="n"/>
      <c r="T46" s="720" t="n"/>
      <c r="U46" s="720" t="n"/>
      <c r="V46" s="720" t="n"/>
      <c r="W46" s="720" t="n"/>
      <c r="X46" s="720" t="n"/>
      <c r="Y46" s="55" t="n"/>
      <c r="Z46" s="55" t="n"/>
    </row>
    <row r="47" ht="16.5" customHeight="1">
      <c r="A47" s="397" t="inlineStr">
        <is>
          <t>Столичная</t>
        </is>
      </c>
      <c r="B47" s="677" t="n"/>
      <c r="C47" s="677" t="n"/>
      <c r="D47" s="677" t="n"/>
      <c r="E47" s="677" t="n"/>
      <c r="F47" s="677" t="n"/>
      <c r="G47" s="677" t="n"/>
      <c r="H47" s="677" t="n"/>
      <c r="I47" s="677" t="n"/>
      <c r="J47" s="677" t="n"/>
      <c r="K47" s="677" t="n"/>
      <c r="L47" s="677" t="n"/>
      <c r="M47" s="677" t="n"/>
      <c r="N47" s="677" t="n"/>
      <c r="O47" s="677" t="n"/>
      <c r="P47" s="677" t="n"/>
      <c r="Q47" s="677" t="n"/>
      <c r="R47" s="677" t="n"/>
      <c r="S47" s="677" t="n"/>
      <c r="T47" s="677" t="n"/>
      <c r="U47" s="677" t="n"/>
      <c r="V47" s="677" t="n"/>
      <c r="W47" s="677" t="n"/>
      <c r="X47" s="677" t="n"/>
      <c r="Y47" s="397" t="n"/>
      <c r="Z47" s="397" t="n"/>
    </row>
    <row r="48" ht="14.25" customHeight="1">
      <c r="A48" s="398" t="inlineStr">
        <is>
          <t>Ветчины</t>
        </is>
      </c>
      <c r="B48" s="677" t="n"/>
      <c r="C48" s="677" t="n"/>
      <c r="D48" s="677" t="n"/>
      <c r="E48" s="677" t="n"/>
      <c r="F48" s="677" t="n"/>
      <c r="G48" s="677" t="n"/>
      <c r="H48" s="677" t="n"/>
      <c r="I48" s="677" t="n"/>
      <c r="J48" s="677" t="n"/>
      <c r="K48" s="677" t="n"/>
      <c r="L48" s="677" t="n"/>
      <c r="M48" s="677" t="n"/>
      <c r="N48" s="677" t="n"/>
      <c r="O48" s="677" t="n"/>
      <c r="P48" s="677" t="n"/>
      <c r="Q48" s="677" t="n"/>
      <c r="R48" s="677" t="n"/>
      <c r="S48" s="677" t="n"/>
      <c r="T48" s="677" t="n"/>
      <c r="U48" s="677" t="n"/>
      <c r="V48" s="677" t="n"/>
      <c r="W48" s="677" t="n"/>
      <c r="X48" s="677" t="n"/>
      <c r="Y48" s="398" t="n"/>
      <c r="Z48" s="398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99" t="n">
        <v>4680115881440</v>
      </c>
      <c r="E49" s="689" t="n"/>
      <c r="F49" s="721" t="n">
        <v>1.35</v>
      </c>
      <c r="G49" s="38" t="n">
        <v>8</v>
      </c>
      <c r="H49" s="721" t="n">
        <v>10.8</v>
      </c>
      <c r="I49" s="721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39">
        <f>HYPERLINK("https://abi.ru/products/Охлажденные/Вязанка/Столичная/Ветчины/P003234/","Ветчины «Филейская» Весовые Вектор ТМ «Вязанка»")</f>
        <v/>
      </c>
      <c r="O49" s="723" t="n"/>
      <c r="P49" s="723" t="n"/>
      <c r="Q49" s="723" t="n"/>
      <c r="R49" s="689" t="n"/>
      <c r="S49" s="40" t="inlineStr"/>
      <c r="T49" s="40" t="inlineStr"/>
      <c r="U49" s="41" t="inlineStr">
        <is>
          <t>кг</t>
        </is>
      </c>
      <c r="V49" s="724" t="n">
        <v>0</v>
      </c>
      <c r="W49" s="725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99" t="n">
        <v>4680115881433</v>
      </c>
      <c r="E50" s="689" t="n"/>
      <c r="F50" s="721" t="n">
        <v>0.45</v>
      </c>
      <c r="G50" s="38" t="n">
        <v>6</v>
      </c>
      <c r="H50" s="721" t="n">
        <v>2.7</v>
      </c>
      <c r="I50" s="721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40">
        <f>HYPERLINK("https://abi.ru/products/Охлажденные/Вязанка/Столичная/Ветчины/P003226/","Ветчины «Филейская» Фикс.вес 0,45 Вектор ТМ «Вязанка»")</f>
        <v/>
      </c>
      <c r="O50" s="723" t="n"/>
      <c r="P50" s="723" t="n"/>
      <c r="Q50" s="723" t="n"/>
      <c r="R50" s="689" t="n"/>
      <c r="S50" s="40" t="inlineStr"/>
      <c r="T50" s="40" t="inlineStr"/>
      <c r="U50" s="41" t="inlineStr">
        <is>
          <t>кг</t>
        </is>
      </c>
      <c r="V50" s="724" t="n">
        <v>0</v>
      </c>
      <c r="W50" s="725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407" t="n"/>
      <c r="B51" s="677" t="n"/>
      <c r="C51" s="677" t="n"/>
      <c r="D51" s="677" t="n"/>
      <c r="E51" s="677" t="n"/>
      <c r="F51" s="677" t="n"/>
      <c r="G51" s="677" t="n"/>
      <c r="H51" s="677" t="n"/>
      <c r="I51" s="677" t="n"/>
      <c r="J51" s="677" t="n"/>
      <c r="K51" s="677" t="n"/>
      <c r="L51" s="677" t="n"/>
      <c r="M51" s="726" t="n"/>
      <c r="N51" s="727" t="inlineStr">
        <is>
          <t>Итого</t>
        </is>
      </c>
      <c r="O51" s="697" t="n"/>
      <c r="P51" s="697" t="n"/>
      <c r="Q51" s="697" t="n"/>
      <c r="R51" s="697" t="n"/>
      <c r="S51" s="697" t="n"/>
      <c r="T51" s="698" t="n"/>
      <c r="U51" s="43" t="inlineStr">
        <is>
          <t>кор</t>
        </is>
      </c>
      <c r="V51" s="728">
        <f>IFERROR(V49/H49,"0")+IFERROR(V50/H50,"0")</f>
        <v/>
      </c>
      <c r="W51" s="728">
        <f>IFERROR(W49/H49,"0")+IFERROR(W50/H50,"0")</f>
        <v/>
      </c>
      <c r="X51" s="728">
        <f>IFERROR(IF(X49="",0,X49),"0")+IFERROR(IF(X50="",0,X50),"0")</f>
        <v/>
      </c>
      <c r="Y51" s="729" t="n"/>
      <c r="Z51" s="729" t="n"/>
    </row>
    <row r="52">
      <c r="A52" s="677" t="n"/>
      <c r="B52" s="677" t="n"/>
      <c r="C52" s="677" t="n"/>
      <c r="D52" s="677" t="n"/>
      <c r="E52" s="677" t="n"/>
      <c r="F52" s="677" t="n"/>
      <c r="G52" s="677" t="n"/>
      <c r="H52" s="677" t="n"/>
      <c r="I52" s="677" t="n"/>
      <c r="J52" s="677" t="n"/>
      <c r="K52" s="677" t="n"/>
      <c r="L52" s="677" t="n"/>
      <c r="M52" s="726" t="n"/>
      <c r="N52" s="727" t="inlineStr">
        <is>
          <t>Итого</t>
        </is>
      </c>
      <c r="O52" s="697" t="n"/>
      <c r="P52" s="697" t="n"/>
      <c r="Q52" s="697" t="n"/>
      <c r="R52" s="697" t="n"/>
      <c r="S52" s="697" t="n"/>
      <c r="T52" s="698" t="n"/>
      <c r="U52" s="43" t="inlineStr">
        <is>
          <t>кг</t>
        </is>
      </c>
      <c r="V52" s="728">
        <f>IFERROR(SUM(V49:V50),"0")</f>
        <v/>
      </c>
      <c r="W52" s="728">
        <f>IFERROR(SUM(W49:W50),"0")</f>
        <v/>
      </c>
      <c r="X52" s="43" t="n"/>
      <c r="Y52" s="729" t="n"/>
      <c r="Z52" s="729" t="n"/>
    </row>
    <row r="53" ht="16.5" customHeight="1">
      <c r="A53" s="397" t="inlineStr">
        <is>
          <t>Классическая</t>
        </is>
      </c>
      <c r="B53" s="677" t="n"/>
      <c r="C53" s="677" t="n"/>
      <c r="D53" s="677" t="n"/>
      <c r="E53" s="677" t="n"/>
      <c r="F53" s="677" t="n"/>
      <c r="G53" s="677" t="n"/>
      <c r="H53" s="677" t="n"/>
      <c r="I53" s="677" t="n"/>
      <c r="J53" s="677" t="n"/>
      <c r="K53" s="677" t="n"/>
      <c r="L53" s="677" t="n"/>
      <c r="M53" s="677" t="n"/>
      <c r="N53" s="677" t="n"/>
      <c r="O53" s="677" t="n"/>
      <c r="P53" s="677" t="n"/>
      <c r="Q53" s="677" t="n"/>
      <c r="R53" s="677" t="n"/>
      <c r="S53" s="677" t="n"/>
      <c r="T53" s="677" t="n"/>
      <c r="U53" s="677" t="n"/>
      <c r="V53" s="677" t="n"/>
      <c r="W53" s="677" t="n"/>
      <c r="X53" s="677" t="n"/>
      <c r="Y53" s="397" t="n"/>
      <c r="Z53" s="397" t="n"/>
    </row>
    <row r="54" ht="14.25" customHeight="1">
      <c r="A54" s="398" t="inlineStr">
        <is>
          <t>Вареные колбасы</t>
        </is>
      </c>
      <c r="B54" s="677" t="n"/>
      <c r="C54" s="677" t="n"/>
      <c r="D54" s="677" t="n"/>
      <c r="E54" s="677" t="n"/>
      <c r="F54" s="677" t="n"/>
      <c r="G54" s="677" t="n"/>
      <c r="H54" s="677" t="n"/>
      <c r="I54" s="677" t="n"/>
      <c r="J54" s="677" t="n"/>
      <c r="K54" s="677" t="n"/>
      <c r="L54" s="677" t="n"/>
      <c r="M54" s="677" t="n"/>
      <c r="N54" s="677" t="n"/>
      <c r="O54" s="677" t="n"/>
      <c r="P54" s="677" t="n"/>
      <c r="Q54" s="677" t="n"/>
      <c r="R54" s="677" t="n"/>
      <c r="S54" s="677" t="n"/>
      <c r="T54" s="677" t="n"/>
      <c r="U54" s="677" t="n"/>
      <c r="V54" s="677" t="n"/>
      <c r="W54" s="677" t="n"/>
      <c r="X54" s="677" t="n"/>
      <c r="Y54" s="398" t="n"/>
      <c r="Z54" s="398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99" t="n">
        <v>4680115881426</v>
      </c>
      <c r="E55" s="689" t="n"/>
      <c r="F55" s="721" t="n">
        <v>1.35</v>
      </c>
      <c r="G55" s="38" t="n">
        <v>8</v>
      </c>
      <c r="H55" s="721" t="n">
        <v>10.8</v>
      </c>
      <c r="I55" s="721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41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723" t="n"/>
      <c r="P55" s="723" t="n"/>
      <c r="Q55" s="723" t="n"/>
      <c r="R55" s="689" t="n"/>
      <c r="S55" s="40" t="inlineStr"/>
      <c r="T55" s="40" t="inlineStr"/>
      <c r="U55" s="41" t="inlineStr">
        <is>
          <t>кг</t>
        </is>
      </c>
      <c r="V55" s="724" t="n">
        <v>185</v>
      </c>
      <c r="W55" s="725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99" t="n">
        <v>4680115881426</v>
      </c>
      <c r="E56" s="689" t="n"/>
      <c r="F56" s="721" t="n">
        <v>1.35</v>
      </c>
      <c r="G56" s="38" t="n">
        <v>8</v>
      </c>
      <c r="H56" s="721" t="n">
        <v>10.8</v>
      </c>
      <c r="I56" s="721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42" t="inlineStr">
        <is>
          <t>Вареные колбасы «Филейская» Весовые Вектор ТМ «Вязанка»</t>
        </is>
      </c>
      <c r="O56" s="723" t="n"/>
      <c r="P56" s="723" t="n"/>
      <c r="Q56" s="723" t="n"/>
      <c r="R56" s="689" t="n"/>
      <c r="S56" s="40" t="inlineStr"/>
      <c r="T56" s="40" t="inlineStr"/>
      <c r="U56" s="41" t="inlineStr">
        <is>
          <t>кг</t>
        </is>
      </c>
      <c r="V56" s="724" t="n">
        <v>0</v>
      </c>
      <c r="W56" s="725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99" t="n">
        <v>4680115881419</v>
      </c>
      <c r="E57" s="689" t="n"/>
      <c r="F57" s="721" t="n">
        <v>0.45</v>
      </c>
      <c r="G57" s="38" t="n">
        <v>10</v>
      </c>
      <c r="H57" s="721" t="n">
        <v>4.5</v>
      </c>
      <c r="I57" s="721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43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723" t="n"/>
      <c r="P57" s="723" t="n"/>
      <c r="Q57" s="723" t="n"/>
      <c r="R57" s="689" t="n"/>
      <c r="S57" s="40" t="inlineStr"/>
      <c r="T57" s="40" t="inlineStr"/>
      <c r="U57" s="41" t="inlineStr">
        <is>
          <t>кг</t>
        </is>
      </c>
      <c r="V57" s="724" t="n">
        <v>0</v>
      </c>
      <c r="W57" s="725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99" t="n">
        <v>4680115881525</v>
      </c>
      <c r="E58" s="689" t="n"/>
      <c r="F58" s="721" t="n">
        <v>0.4</v>
      </c>
      <c r="G58" s="38" t="n">
        <v>10</v>
      </c>
      <c r="H58" s="721" t="n">
        <v>4</v>
      </c>
      <c r="I58" s="721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44" t="inlineStr">
        <is>
          <t>Колбаса вареная Филейская ТМ Вязанка ТС Классическая полиамид ф/в 0,4 кг</t>
        </is>
      </c>
      <c r="O58" s="723" t="n"/>
      <c r="P58" s="723" t="n"/>
      <c r="Q58" s="723" t="n"/>
      <c r="R58" s="689" t="n"/>
      <c r="S58" s="40" t="inlineStr"/>
      <c r="T58" s="40" t="inlineStr"/>
      <c r="U58" s="41" t="inlineStr">
        <is>
          <t>кг</t>
        </is>
      </c>
      <c r="V58" s="724" t="n">
        <v>0</v>
      </c>
      <c r="W58" s="725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407" t="n"/>
      <c r="B59" s="677" t="n"/>
      <c r="C59" s="677" t="n"/>
      <c r="D59" s="677" t="n"/>
      <c r="E59" s="677" t="n"/>
      <c r="F59" s="677" t="n"/>
      <c r="G59" s="677" t="n"/>
      <c r="H59" s="677" t="n"/>
      <c r="I59" s="677" t="n"/>
      <c r="J59" s="677" t="n"/>
      <c r="K59" s="677" t="n"/>
      <c r="L59" s="677" t="n"/>
      <c r="M59" s="726" t="n"/>
      <c r="N59" s="727" t="inlineStr">
        <is>
          <t>Итого</t>
        </is>
      </c>
      <c r="O59" s="697" t="n"/>
      <c r="P59" s="697" t="n"/>
      <c r="Q59" s="697" t="n"/>
      <c r="R59" s="697" t="n"/>
      <c r="S59" s="697" t="n"/>
      <c r="T59" s="698" t="n"/>
      <c r="U59" s="43" t="inlineStr">
        <is>
          <t>кор</t>
        </is>
      </c>
      <c r="V59" s="728">
        <f>IFERROR(V55/H55,"0")+IFERROR(V56/H56,"0")+IFERROR(V57/H57,"0")+IFERROR(V58/H58,"0")</f>
        <v/>
      </c>
      <c r="W59" s="728">
        <f>IFERROR(W55/H55,"0")+IFERROR(W56/H56,"0")+IFERROR(W57/H57,"0")+IFERROR(W58/H58,"0")</f>
        <v/>
      </c>
      <c r="X59" s="728">
        <f>IFERROR(IF(X55="",0,X55),"0")+IFERROR(IF(X56="",0,X56),"0")+IFERROR(IF(X57="",0,X57),"0")+IFERROR(IF(X58="",0,X58),"0")</f>
        <v/>
      </c>
      <c r="Y59" s="729" t="n"/>
      <c r="Z59" s="729" t="n"/>
    </row>
    <row r="60">
      <c r="A60" s="677" t="n"/>
      <c r="B60" s="677" t="n"/>
      <c r="C60" s="677" t="n"/>
      <c r="D60" s="677" t="n"/>
      <c r="E60" s="677" t="n"/>
      <c r="F60" s="677" t="n"/>
      <c r="G60" s="677" t="n"/>
      <c r="H60" s="677" t="n"/>
      <c r="I60" s="677" t="n"/>
      <c r="J60" s="677" t="n"/>
      <c r="K60" s="677" t="n"/>
      <c r="L60" s="677" t="n"/>
      <c r="M60" s="726" t="n"/>
      <c r="N60" s="727" t="inlineStr">
        <is>
          <t>Итого</t>
        </is>
      </c>
      <c r="O60" s="697" t="n"/>
      <c r="P60" s="697" t="n"/>
      <c r="Q60" s="697" t="n"/>
      <c r="R60" s="697" t="n"/>
      <c r="S60" s="697" t="n"/>
      <c r="T60" s="698" t="n"/>
      <c r="U60" s="43" t="inlineStr">
        <is>
          <t>кг</t>
        </is>
      </c>
      <c r="V60" s="728">
        <f>IFERROR(SUM(V55:V58),"0")</f>
        <v/>
      </c>
      <c r="W60" s="728">
        <f>IFERROR(SUM(W55:W58),"0")</f>
        <v/>
      </c>
      <c r="X60" s="43" t="n"/>
      <c r="Y60" s="729" t="n"/>
      <c r="Z60" s="729" t="n"/>
    </row>
    <row r="61" ht="16.5" customHeight="1">
      <c r="A61" s="397" t="inlineStr">
        <is>
          <t>Вязанка</t>
        </is>
      </c>
      <c r="B61" s="677" t="n"/>
      <c r="C61" s="677" t="n"/>
      <c r="D61" s="677" t="n"/>
      <c r="E61" s="677" t="n"/>
      <c r="F61" s="677" t="n"/>
      <c r="G61" s="677" t="n"/>
      <c r="H61" s="677" t="n"/>
      <c r="I61" s="677" t="n"/>
      <c r="J61" s="677" t="n"/>
      <c r="K61" s="677" t="n"/>
      <c r="L61" s="677" t="n"/>
      <c r="M61" s="677" t="n"/>
      <c r="N61" s="677" t="n"/>
      <c r="O61" s="677" t="n"/>
      <c r="P61" s="677" t="n"/>
      <c r="Q61" s="677" t="n"/>
      <c r="R61" s="677" t="n"/>
      <c r="S61" s="677" t="n"/>
      <c r="T61" s="677" t="n"/>
      <c r="U61" s="677" t="n"/>
      <c r="V61" s="677" t="n"/>
      <c r="W61" s="677" t="n"/>
      <c r="X61" s="677" t="n"/>
      <c r="Y61" s="397" t="n"/>
      <c r="Z61" s="397" t="n"/>
    </row>
    <row r="62" ht="14.25" customHeight="1">
      <c r="A62" s="398" t="inlineStr">
        <is>
          <t>Вареные колбасы</t>
        </is>
      </c>
      <c r="B62" s="677" t="n"/>
      <c r="C62" s="677" t="n"/>
      <c r="D62" s="677" t="n"/>
      <c r="E62" s="677" t="n"/>
      <c r="F62" s="677" t="n"/>
      <c r="G62" s="677" t="n"/>
      <c r="H62" s="677" t="n"/>
      <c r="I62" s="677" t="n"/>
      <c r="J62" s="677" t="n"/>
      <c r="K62" s="677" t="n"/>
      <c r="L62" s="677" t="n"/>
      <c r="M62" s="677" t="n"/>
      <c r="N62" s="677" t="n"/>
      <c r="O62" s="677" t="n"/>
      <c r="P62" s="677" t="n"/>
      <c r="Q62" s="677" t="n"/>
      <c r="R62" s="677" t="n"/>
      <c r="S62" s="677" t="n"/>
      <c r="T62" s="677" t="n"/>
      <c r="U62" s="677" t="n"/>
      <c r="V62" s="677" t="n"/>
      <c r="W62" s="677" t="n"/>
      <c r="X62" s="677" t="n"/>
      <c r="Y62" s="398" t="n"/>
      <c r="Z62" s="398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99" t="n">
        <v>4607091382945</v>
      </c>
      <c r="E63" s="689" t="n"/>
      <c r="F63" s="721" t="n">
        <v>1.4</v>
      </c>
      <c r="G63" s="38" t="n">
        <v>8</v>
      </c>
      <c r="H63" s="721" t="n">
        <v>11.2</v>
      </c>
      <c r="I63" s="721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45" t="inlineStr">
        <is>
          <t>Вареные колбасы «Вязанка со шпиком» Весовые Вектор УВВ ТМ «Вязанка»</t>
        </is>
      </c>
      <c r="O63" s="723" t="n"/>
      <c r="P63" s="723" t="n"/>
      <c r="Q63" s="723" t="n"/>
      <c r="R63" s="689" t="n"/>
      <c r="S63" s="40" t="inlineStr"/>
      <c r="T63" s="40" t="inlineStr"/>
      <c r="U63" s="41" t="inlineStr">
        <is>
          <t>кг</t>
        </is>
      </c>
      <c r="V63" s="724" t="n">
        <v>0</v>
      </c>
      <c r="W63" s="725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99" t="n">
        <v>4607091385670</v>
      </c>
      <c r="E64" s="689" t="n"/>
      <c r="F64" s="721" t="n">
        <v>1.35</v>
      </c>
      <c r="G64" s="38" t="n">
        <v>8</v>
      </c>
      <c r="H64" s="721" t="n">
        <v>10.8</v>
      </c>
      <c r="I64" s="721" t="n">
        <v>11.28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46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723" t="n"/>
      <c r="P64" s="723" t="n"/>
      <c r="Q64" s="723" t="n"/>
      <c r="R64" s="689" t="n"/>
      <c r="S64" s="40" t="inlineStr"/>
      <c r="T64" s="40" t="inlineStr"/>
      <c r="U64" s="41" t="inlineStr">
        <is>
          <t>кг</t>
        </is>
      </c>
      <c r="V64" s="724" t="n">
        <v>0</v>
      </c>
      <c r="W64" s="725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P003369</t>
        </is>
      </c>
      <c r="C65" s="37" t="n">
        <v>4301011540</v>
      </c>
      <c r="D65" s="399" t="n">
        <v>4607091385670</v>
      </c>
      <c r="E65" s="689" t="n"/>
      <c r="F65" s="721" t="n">
        <v>1.4</v>
      </c>
      <c r="G65" s="38" t="n">
        <v>8</v>
      </c>
      <c r="H65" s="721" t="n">
        <v>11.2</v>
      </c>
      <c r="I65" s="721" t="n">
        <v>11.68</v>
      </c>
      <c r="J65" s="38" t="n">
        <v>56</v>
      </c>
      <c r="K65" s="38" t="inlineStr">
        <is>
          <t>8</t>
        </is>
      </c>
      <c r="L65" s="39" t="inlineStr">
        <is>
          <t>СК3</t>
        </is>
      </c>
      <c r="M65" s="38" t="n">
        <v>50</v>
      </c>
      <c r="N65" s="747" t="inlineStr">
        <is>
          <t>Вареные колбасы «Докторская ГОСТ» Весовые Вектор УВВ ТМ «Вязанка»</t>
        </is>
      </c>
      <c r="O65" s="723" t="n"/>
      <c r="P65" s="723" t="n"/>
      <c r="Q65" s="723" t="n"/>
      <c r="R65" s="689" t="n"/>
      <c r="S65" s="40" t="inlineStr"/>
      <c r="T65" s="40" t="inlineStr"/>
      <c r="U65" s="41" t="inlineStr">
        <is>
          <t>кг</t>
        </is>
      </c>
      <c r="V65" s="724" t="n">
        <v>197</v>
      </c>
      <c r="W65" s="725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SU003111</t>
        </is>
      </c>
      <c r="B66" s="64" t="inlineStr">
        <is>
          <t>P003694</t>
        </is>
      </c>
      <c r="C66" s="37" t="n">
        <v>4301011625</v>
      </c>
      <c r="D66" s="399" t="n">
        <v>4680115883956</v>
      </c>
      <c r="E66" s="689" t="n"/>
      <c r="F66" s="721" t="n">
        <v>1.4</v>
      </c>
      <c r="G66" s="38" t="n">
        <v>8</v>
      </c>
      <c r="H66" s="721" t="n">
        <v>11.2</v>
      </c>
      <c r="I66" s="721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48" t="inlineStr">
        <is>
          <t>Вареные колбасы «Любительская ГОСТ» Весовой п/а ТМ «Вязанка»</t>
        </is>
      </c>
      <c r="O66" s="723" t="n"/>
      <c r="P66" s="723" t="n"/>
      <c r="Q66" s="723" t="n"/>
      <c r="R66" s="689" t="n"/>
      <c r="S66" s="40" t="inlineStr"/>
      <c r="T66" s="40" t="inlineStr"/>
      <c r="U66" s="41" t="inlineStr">
        <is>
          <t>кг</t>
        </is>
      </c>
      <c r="V66" s="724" t="n">
        <v>44</v>
      </c>
      <c r="W66" s="725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SU002830</t>
        </is>
      </c>
      <c r="B67" s="64" t="inlineStr">
        <is>
          <t>P003239</t>
        </is>
      </c>
      <c r="C67" s="37" t="n">
        <v>4301011468</v>
      </c>
      <c r="D67" s="399" t="n">
        <v>4680115881327</v>
      </c>
      <c r="E67" s="689" t="n"/>
      <c r="F67" s="721" t="n">
        <v>1.35</v>
      </c>
      <c r="G67" s="38" t="n">
        <v>8</v>
      </c>
      <c r="H67" s="721" t="n">
        <v>10.8</v>
      </c>
      <c r="I67" s="721" t="n">
        <v>11.28</v>
      </c>
      <c r="J67" s="38" t="n">
        <v>56</v>
      </c>
      <c r="K67" s="38" t="inlineStr">
        <is>
          <t>8</t>
        </is>
      </c>
      <c r="L67" s="39" t="inlineStr">
        <is>
          <t>СК4</t>
        </is>
      </c>
      <c r="M67" s="38" t="n">
        <v>50</v>
      </c>
      <c r="N67" s="749">
        <f>HYPERLINK("https://abi.ru/products/Охлажденные/Вязанка/Вязанка/Вареные колбасы/P003239/","Вареные колбасы Молокуша Вязанка Вес п/а Вязанка")</f>
        <v/>
      </c>
      <c r="O67" s="723" t="n"/>
      <c r="P67" s="723" t="n"/>
      <c r="Q67" s="723" t="n"/>
      <c r="R67" s="689" t="n"/>
      <c r="S67" s="40" t="inlineStr"/>
      <c r="T67" s="40" t="inlineStr"/>
      <c r="U67" s="41" t="inlineStr">
        <is>
          <t>кг</t>
        </is>
      </c>
      <c r="V67" s="724" t="n">
        <v>0</v>
      </c>
      <c r="W67" s="725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16.5" customHeight="1">
      <c r="A68" s="64" t="inlineStr">
        <is>
          <t>SU002928</t>
        </is>
      </c>
      <c r="B68" s="64" t="inlineStr">
        <is>
          <t>P003357</t>
        </is>
      </c>
      <c r="C68" s="37" t="n">
        <v>4301011514</v>
      </c>
      <c r="D68" s="399" t="n">
        <v>4680115882133</v>
      </c>
      <c r="E68" s="689" t="n"/>
      <c r="F68" s="721" t="n">
        <v>1.35</v>
      </c>
      <c r="G68" s="38" t="n">
        <v>8</v>
      </c>
      <c r="H68" s="721" t="n">
        <v>10.8</v>
      </c>
      <c r="I68" s="721" t="n">
        <v>11.28</v>
      </c>
      <c r="J68" s="38" t="n">
        <v>56</v>
      </c>
      <c r="K68" s="38" t="inlineStr">
        <is>
          <t>8</t>
        </is>
      </c>
      <c r="L68" s="39" t="inlineStr">
        <is>
          <t>СК1</t>
        </is>
      </c>
      <c r="M68" s="38" t="n">
        <v>50</v>
      </c>
      <c r="N68" s="750">
        <f>HYPERLINK("https://abi.ru/products/Охлажденные/Вязанка/Вязанка/Вареные колбасы/P003357/","Вареные колбасы «Сливушка» Вес П/а ТМ «Вязанка»")</f>
        <v/>
      </c>
      <c r="O68" s="723" t="n"/>
      <c r="P68" s="723" t="n"/>
      <c r="Q68" s="723" t="n"/>
      <c r="R68" s="689" t="n"/>
      <c r="S68" s="40" t="inlineStr"/>
      <c r="T68" s="40" t="inlineStr"/>
      <c r="U68" s="41" t="inlineStr">
        <is>
          <t>кг</t>
        </is>
      </c>
      <c r="V68" s="724" t="n">
        <v>0</v>
      </c>
      <c r="W68" s="725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P003902</t>
        </is>
      </c>
      <c r="C69" s="37" t="n">
        <v>4301011703</v>
      </c>
      <c r="D69" s="399" t="n">
        <v>4680115882133</v>
      </c>
      <c r="E69" s="689" t="n"/>
      <c r="F69" s="721" t="n">
        <v>1.4</v>
      </c>
      <c r="G69" s="38" t="n">
        <v>8</v>
      </c>
      <c r="H69" s="721" t="n">
        <v>11.2</v>
      </c>
      <c r="I69" s="721" t="n">
        <v>11.68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51" t="inlineStr">
        <is>
          <t>Вареные колбасы «Сливушка» Вес П/а ТМ «Вязанка»</t>
        </is>
      </c>
      <c r="O69" s="723" t="n"/>
      <c r="P69" s="723" t="n"/>
      <c r="Q69" s="723" t="n"/>
      <c r="R69" s="689" t="n"/>
      <c r="S69" s="40" t="inlineStr"/>
      <c r="T69" s="40" t="inlineStr"/>
      <c r="U69" s="41" t="inlineStr">
        <is>
          <t>кг</t>
        </is>
      </c>
      <c r="V69" s="724" t="n">
        <v>270</v>
      </c>
      <c r="W69" s="725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SU000125</t>
        </is>
      </c>
      <c r="B70" s="64" t="inlineStr">
        <is>
          <t>P002479</t>
        </is>
      </c>
      <c r="C70" s="37" t="n">
        <v>4301011192</v>
      </c>
      <c r="D70" s="399" t="n">
        <v>4607091382952</v>
      </c>
      <c r="E70" s="689" t="n"/>
      <c r="F70" s="721" t="n">
        <v>0.5</v>
      </c>
      <c r="G70" s="38" t="n">
        <v>6</v>
      </c>
      <c r="H70" s="721" t="n">
        <v>3</v>
      </c>
      <c r="I70" s="721" t="n">
        <v>3.2</v>
      </c>
      <c r="J70" s="38" t="n">
        <v>156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52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0" s="723" t="n"/>
      <c r="P70" s="723" t="n"/>
      <c r="Q70" s="723" t="n"/>
      <c r="R70" s="689" t="n"/>
      <c r="S70" s="40" t="inlineStr"/>
      <c r="T70" s="40" t="inlineStr"/>
      <c r="U70" s="41" t="inlineStr">
        <is>
          <t>кг</t>
        </is>
      </c>
      <c r="V70" s="724" t="n">
        <v>0</v>
      </c>
      <c r="W70" s="725">
        <f>IFERROR(IF(V70="",0,CEILING((V70/$H70),1)*$H70),"")</f>
        <v/>
      </c>
      <c r="X70" s="42">
        <f>IFERROR(IF(W70=0,"",ROUNDUP(W70/H70,0)*0.00753),"")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SU001485</t>
        </is>
      </c>
      <c r="B71" s="64" t="inlineStr">
        <is>
          <t>P003008</t>
        </is>
      </c>
      <c r="C71" s="37" t="n">
        <v>4301011382</v>
      </c>
      <c r="D71" s="399" t="n">
        <v>4607091385687</v>
      </c>
      <c r="E71" s="689" t="n"/>
      <c r="F71" s="721" t="n">
        <v>0.4</v>
      </c>
      <c r="G71" s="38" t="n">
        <v>10</v>
      </c>
      <c r="H71" s="721" t="n">
        <v>4</v>
      </c>
      <c r="I71" s="721" t="n">
        <v>4.24</v>
      </c>
      <c r="J71" s="38" t="n">
        <v>120</v>
      </c>
      <c r="K71" s="38" t="inlineStr">
        <is>
          <t>12</t>
        </is>
      </c>
      <c r="L71" s="39" t="inlineStr">
        <is>
          <t>СК3</t>
        </is>
      </c>
      <c r="M71" s="38" t="n">
        <v>50</v>
      </c>
      <c r="N71" s="753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1" s="723" t="n"/>
      <c r="P71" s="723" t="n"/>
      <c r="Q71" s="723" t="n"/>
      <c r="R71" s="689" t="n"/>
      <c r="S71" s="40" t="inlineStr"/>
      <c r="T71" s="40" t="inlineStr"/>
      <c r="U71" s="41" t="inlineStr">
        <is>
          <t>кг</t>
        </is>
      </c>
      <c r="V71" s="724" t="n">
        <v>0</v>
      </c>
      <c r="W71" s="725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SU002986</t>
        </is>
      </c>
      <c r="B72" s="64" t="inlineStr">
        <is>
          <t>P003429</t>
        </is>
      </c>
      <c r="C72" s="37" t="n">
        <v>4301011565</v>
      </c>
      <c r="D72" s="399" t="n">
        <v>4680115882539</v>
      </c>
      <c r="E72" s="689" t="n"/>
      <c r="F72" s="721" t="n">
        <v>0.37</v>
      </c>
      <c r="G72" s="38" t="n">
        <v>10</v>
      </c>
      <c r="H72" s="721" t="n">
        <v>3.7</v>
      </c>
      <c r="I72" s="721" t="n">
        <v>3.94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54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2" s="723" t="n"/>
      <c r="P72" s="723" t="n"/>
      <c r="Q72" s="723" t="n"/>
      <c r="R72" s="689" t="n"/>
      <c r="S72" s="40" t="inlineStr"/>
      <c r="T72" s="40" t="inlineStr"/>
      <c r="U72" s="41" t="inlineStr">
        <is>
          <t>кг</t>
        </is>
      </c>
      <c r="V72" s="724" t="n">
        <v>0</v>
      </c>
      <c r="W72" s="725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SU002312</t>
        </is>
      </c>
      <c r="B73" s="64" t="inlineStr">
        <is>
          <t>P002577</t>
        </is>
      </c>
      <c r="C73" s="37" t="n">
        <v>4301011344</v>
      </c>
      <c r="D73" s="399" t="n">
        <v>4607091384604</v>
      </c>
      <c r="E73" s="689" t="n"/>
      <c r="F73" s="721" t="n">
        <v>0.4</v>
      </c>
      <c r="G73" s="38" t="n">
        <v>10</v>
      </c>
      <c r="H73" s="721" t="n">
        <v>4</v>
      </c>
      <c r="I73" s="721" t="n">
        <v>4.24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55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3" s="723" t="n"/>
      <c r="P73" s="723" t="n"/>
      <c r="Q73" s="723" t="n"/>
      <c r="R73" s="689" t="n"/>
      <c r="S73" s="40" t="inlineStr"/>
      <c r="T73" s="40" t="inlineStr"/>
      <c r="U73" s="41" t="inlineStr">
        <is>
          <t>кг</t>
        </is>
      </c>
      <c r="V73" s="724" t="n">
        <v>0</v>
      </c>
      <c r="W73" s="725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SU002674</t>
        </is>
      </c>
      <c r="B74" s="64" t="inlineStr">
        <is>
          <t>P003045</t>
        </is>
      </c>
      <c r="C74" s="37" t="n">
        <v>4301011386</v>
      </c>
      <c r="D74" s="399" t="n">
        <v>4680115880283</v>
      </c>
      <c r="E74" s="689" t="n"/>
      <c r="F74" s="721" t="n">
        <v>0.6</v>
      </c>
      <c r="G74" s="38" t="n">
        <v>8</v>
      </c>
      <c r="H74" s="721" t="n">
        <v>4.8</v>
      </c>
      <c r="I74" s="721" t="n">
        <v>5.04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45</v>
      </c>
      <c r="N74" s="756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4" s="723" t="n"/>
      <c r="P74" s="723" t="n"/>
      <c r="Q74" s="723" t="n"/>
      <c r="R74" s="689" t="n"/>
      <c r="S74" s="40" t="inlineStr"/>
      <c r="T74" s="40" t="inlineStr"/>
      <c r="U74" s="41" t="inlineStr">
        <is>
          <t>кг</t>
        </is>
      </c>
      <c r="V74" s="724" t="n">
        <v>0</v>
      </c>
      <c r="W74" s="725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SU003112</t>
        </is>
      </c>
      <c r="B75" s="64" t="inlineStr">
        <is>
          <t>P003695</t>
        </is>
      </c>
      <c r="C75" s="37" t="n">
        <v>4301011624</v>
      </c>
      <c r="D75" s="399" t="n">
        <v>4680115883949</v>
      </c>
      <c r="E75" s="689" t="n"/>
      <c r="F75" s="721" t="n">
        <v>0.37</v>
      </c>
      <c r="G75" s="38" t="n">
        <v>10</v>
      </c>
      <c r="H75" s="721" t="n">
        <v>3.7</v>
      </c>
      <c r="I75" s="721" t="n">
        <v>3.94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50</v>
      </c>
      <c r="N75" s="757" t="inlineStr">
        <is>
          <t>Вареные колбасы «Любительская ГОСТ» Фикс.вес 0,37 п/а ТМ «Вязанка»</t>
        </is>
      </c>
      <c r="O75" s="723" t="n"/>
      <c r="P75" s="723" t="n"/>
      <c r="Q75" s="723" t="n"/>
      <c r="R75" s="689" t="n"/>
      <c r="S75" s="40" t="inlineStr"/>
      <c r="T75" s="40" t="inlineStr"/>
      <c r="U75" s="41" t="inlineStr">
        <is>
          <t>кг</t>
        </is>
      </c>
      <c r="V75" s="724" t="n">
        <v>0</v>
      </c>
      <c r="W75" s="725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SU002816</t>
        </is>
      </c>
      <c r="B76" s="64" t="inlineStr">
        <is>
          <t>P003228</t>
        </is>
      </c>
      <c r="C76" s="37" t="n">
        <v>4301011443</v>
      </c>
      <c r="D76" s="399" t="n">
        <v>4680115881303</v>
      </c>
      <c r="E76" s="689" t="n"/>
      <c r="F76" s="721" t="n">
        <v>0.45</v>
      </c>
      <c r="G76" s="38" t="n">
        <v>10</v>
      </c>
      <c r="H76" s="721" t="n">
        <v>4.5</v>
      </c>
      <c r="I76" s="721" t="n">
        <v>4.71</v>
      </c>
      <c r="J76" s="38" t="n">
        <v>120</v>
      </c>
      <c r="K76" s="38" t="inlineStr">
        <is>
          <t>12</t>
        </is>
      </c>
      <c r="L76" s="39" t="inlineStr">
        <is>
          <t>СК4</t>
        </is>
      </c>
      <c r="M76" s="38" t="n">
        <v>50</v>
      </c>
      <c r="N76" s="758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6" s="723" t="n"/>
      <c r="P76" s="723" t="n"/>
      <c r="Q76" s="723" t="n"/>
      <c r="R76" s="689" t="n"/>
      <c r="S76" s="40" t="inlineStr"/>
      <c r="T76" s="40" t="inlineStr"/>
      <c r="U76" s="41" t="inlineStr">
        <is>
          <t>кг</t>
        </is>
      </c>
      <c r="V76" s="724" t="n">
        <v>0</v>
      </c>
      <c r="W76" s="725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SU002983</t>
        </is>
      </c>
      <c r="B77" s="64" t="inlineStr">
        <is>
          <t>P003437</t>
        </is>
      </c>
      <c r="C77" s="37" t="n">
        <v>4301011562</v>
      </c>
      <c r="D77" s="399" t="n">
        <v>4680115882577</v>
      </c>
      <c r="E77" s="689" t="n"/>
      <c r="F77" s="721" t="n">
        <v>0.4</v>
      </c>
      <c r="G77" s="38" t="n">
        <v>8</v>
      </c>
      <c r="H77" s="721" t="n">
        <v>3.2</v>
      </c>
      <c r="I77" s="721" t="n">
        <v>3.4</v>
      </c>
      <c r="J77" s="38" t="n">
        <v>156</v>
      </c>
      <c r="K77" s="38" t="inlineStr">
        <is>
          <t>12</t>
        </is>
      </c>
      <c r="L77" s="39" t="inlineStr">
        <is>
          <t>АК</t>
        </is>
      </c>
      <c r="M77" s="38" t="n">
        <v>90</v>
      </c>
      <c r="N77" s="759" t="inlineStr">
        <is>
          <t>Колбаса вареная Мусульманская ТМ Вязанка Халяль вектор ф/в 0,4 кг Казахстан АК</t>
        </is>
      </c>
      <c r="O77" s="723" t="n"/>
      <c r="P77" s="723" t="n"/>
      <c r="Q77" s="723" t="n"/>
      <c r="R77" s="689" t="n"/>
      <c r="S77" s="40" t="inlineStr"/>
      <c r="T77" s="40" t="inlineStr"/>
      <c r="U77" s="41" t="inlineStr">
        <is>
          <t>кг</t>
        </is>
      </c>
      <c r="V77" s="724" t="n">
        <v>0</v>
      </c>
      <c r="W77" s="725">
        <f>IFERROR(IF(V77="",0,CEILING((V77/$H77),1)*$H77),"")</f>
        <v/>
      </c>
      <c r="X77" s="42">
        <f>IFERROR(IF(W77=0,"",ROUNDUP(W77/H77,0)*0.00753),"")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SU002983</t>
        </is>
      </c>
      <c r="B78" s="64" t="inlineStr">
        <is>
          <t>P003441</t>
        </is>
      </c>
      <c r="C78" s="37" t="n">
        <v>4301011564</v>
      </c>
      <c r="D78" s="399" t="n">
        <v>4680115882577</v>
      </c>
      <c r="E78" s="689" t="n"/>
      <c r="F78" s="721" t="n">
        <v>0.4</v>
      </c>
      <c r="G78" s="38" t="n">
        <v>8</v>
      </c>
      <c r="H78" s="721" t="n">
        <v>3.2</v>
      </c>
      <c r="I78" s="721" t="n">
        <v>3.4</v>
      </c>
      <c r="J78" s="38" t="n">
        <v>156</v>
      </c>
      <c r="K78" s="38" t="inlineStr">
        <is>
          <t>12</t>
        </is>
      </c>
      <c r="L78" s="39" t="inlineStr">
        <is>
          <t>АК</t>
        </is>
      </c>
      <c r="M78" s="38" t="n">
        <v>90</v>
      </c>
      <c r="N78" s="760" t="inlineStr">
        <is>
          <t>Колбаса вареная Мусульманская халяль ТМ Вязанка вектор ф/в 0,4 кг НД Узбекистан АК</t>
        </is>
      </c>
      <c r="O78" s="723" t="n"/>
      <c r="P78" s="723" t="n"/>
      <c r="Q78" s="723" t="n"/>
      <c r="R78" s="689" t="n"/>
      <c r="S78" s="40" t="inlineStr"/>
      <c r="T78" s="40" t="inlineStr"/>
      <c r="U78" s="41" t="inlineStr">
        <is>
          <t>кг</t>
        </is>
      </c>
      <c r="V78" s="724" t="n">
        <v>0</v>
      </c>
      <c r="W78" s="725">
        <f>IFERROR(IF(V78="",0,CEILING((V78/$H78),1)*$H78),"")</f>
        <v/>
      </c>
      <c r="X78" s="42">
        <f>IFERROR(IF(W78=0,"",ROUNDUP(W78/H78,0)*0.00753),"")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SU002785</t>
        </is>
      </c>
      <c r="B79" s="64" t="inlineStr">
        <is>
          <t>P003187</t>
        </is>
      </c>
      <c r="C79" s="37" t="n">
        <v>4301011432</v>
      </c>
      <c r="D79" s="399" t="n">
        <v>4680115882720</v>
      </c>
      <c r="E79" s="689" t="n"/>
      <c r="F79" s="721" t="n">
        <v>0.45</v>
      </c>
      <c r="G79" s="38" t="n">
        <v>10</v>
      </c>
      <c r="H79" s="721" t="n">
        <v>4.5</v>
      </c>
      <c r="I79" s="721" t="n">
        <v>4.74</v>
      </c>
      <c r="J79" s="38" t="n">
        <v>120</v>
      </c>
      <c r="K79" s="38" t="inlineStr">
        <is>
          <t>12</t>
        </is>
      </c>
      <c r="L79" s="39" t="inlineStr">
        <is>
          <t>СК1</t>
        </is>
      </c>
      <c r="M79" s="38" t="n">
        <v>90</v>
      </c>
      <c r="N79" s="761" t="inlineStr">
        <is>
          <t>Вареные колбасы «Филейская #Живой_пар» ф/в 0,45 п/а ТМ «Вязанка»</t>
        </is>
      </c>
      <c r="O79" s="723" t="n"/>
      <c r="P79" s="723" t="n"/>
      <c r="Q79" s="723" t="n"/>
      <c r="R79" s="689" t="n"/>
      <c r="S79" s="40" t="inlineStr"/>
      <c r="T79" s="40" t="inlineStr"/>
      <c r="U79" s="41" t="inlineStr">
        <is>
          <t>кг</t>
        </is>
      </c>
      <c r="V79" s="724" t="n">
        <v>0</v>
      </c>
      <c r="W79" s="725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SU001905</t>
        </is>
      </c>
      <c r="B80" s="64" t="inlineStr">
        <is>
          <t>P001685</t>
        </is>
      </c>
      <c r="C80" s="37" t="n">
        <v>4301011352</v>
      </c>
      <c r="D80" s="399" t="n">
        <v>4607091388466</v>
      </c>
      <c r="E80" s="689" t="n"/>
      <c r="F80" s="721" t="n">
        <v>0.45</v>
      </c>
      <c r="G80" s="38" t="n">
        <v>6</v>
      </c>
      <c r="H80" s="721" t="n">
        <v>2.7</v>
      </c>
      <c r="I80" s="721" t="n">
        <v>2.9</v>
      </c>
      <c r="J80" s="38" t="n">
        <v>156</v>
      </c>
      <c r="K80" s="38" t="inlineStr">
        <is>
          <t>12</t>
        </is>
      </c>
      <c r="L80" s="39" t="inlineStr">
        <is>
          <t>СК3</t>
        </is>
      </c>
      <c r="M80" s="38" t="n">
        <v>45</v>
      </c>
      <c r="N80" s="762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80" s="723" t="n"/>
      <c r="P80" s="723" t="n"/>
      <c r="Q80" s="723" t="n"/>
      <c r="R80" s="689" t="n"/>
      <c r="S80" s="40" t="inlineStr"/>
      <c r="T80" s="40" t="inlineStr"/>
      <c r="U80" s="41" t="inlineStr">
        <is>
          <t>кг</t>
        </is>
      </c>
      <c r="V80" s="724" t="n">
        <v>0</v>
      </c>
      <c r="W80" s="725">
        <f>IFERROR(IF(V80="",0,CEILING((V80/$H80),1)*$H80),"")</f>
        <v/>
      </c>
      <c r="X80" s="42">
        <f>IFERROR(IF(W80=0,"",ROUNDUP(W80/H80,0)*0.00753),"")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SU002733</t>
        </is>
      </c>
      <c r="B81" s="64" t="inlineStr">
        <is>
          <t>P003102</t>
        </is>
      </c>
      <c r="C81" s="37" t="n">
        <v>4301011417</v>
      </c>
      <c r="D81" s="399" t="n">
        <v>4680115880269</v>
      </c>
      <c r="E81" s="689" t="n"/>
      <c r="F81" s="721" t="n">
        <v>0.375</v>
      </c>
      <c r="G81" s="38" t="n">
        <v>10</v>
      </c>
      <c r="H81" s="721" t="n">
        <v>3.75</v>
      </c>
      <c r="I81" s="721" t="n">
        <v>3.99</v>
      </c>
      <c r="J81" s="38" t="n">
        <v>120</v>
      </c>
      <c r="K81" s="38" t="inlineStr">
        <is>
          <t>12</t>
        </is>
      </c>
      <c r="L81" s="39" t="inlineStr">
        <is>
          <t>СК3</t>
        </is>
      </c>
      <c r="M81" s="38" t="n">
        <v>50</v>
      </c>
      <c r="N81" s="76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1" s="723" t="n"/>
      <c r="P81" s="723" t="n"/>
      <c r="Q81" s="723" t="n"/>
      <c r="R81" s="689" t="n"/>
      <c r="S81" s="40" t="inlineStr"/>
      <c r="T81" s="40" t="inlineStr"/>
      <c r="U81" s="41" t="inlineStr">
        <is>
          <t>кг</t>
        </is>
      </c>
      <c r="V81" s="724" t="n">
        <v>4</v>
      </c>
      <c r="W81" s="725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 ht="16.5" customHeight="1">
      <c r="A82" s="64" t="inlineStr">
        <is>
          <t>SU002734</t>
        </is>
      </c>
      <c r="B82" s="64" t="inlineStr">
        <is>
          <t>P003103</t>
        </is>
      </c>
      <c r="C82" s="37" t="n">
        <v>4301011415</v>
      </c>
      <c r="D82" s="399" t="n">
        <v>4680115880429</v>
      </c>
      <c r="E82" s="689" t="n"/>
      <c r="F82" s="721" t="n">
        <v>0.45</v>
      </c>
      <c r="G82" s="38" t="n">
        <v>10</v>
      </c>
      <c r="H82" s="721" t="n">
        <v>4.5</v>
      </c>
      <c r="I82" s="721" t="n">
        <v>4.74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8" t="n">
        <v>50</v>
      </c>
      <c r="N82" s="76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2" s="723" t="n"/>
      <c r="P82" s="723" t="n"/>
      <c r="Q82" s="723" t="n"/>
      <c r="R82" s="689" t="n"/>
      <c r="S82" s="40" t="inlineStr"/>
      <c r="T82" s="40" t="inlineStr"/>
      <c r="U82" s="41" t="inlineStr">
        <is>
          <t>кг</t>
        </is>
      </c>
      <c r="V82" s="724" t="n">
        <v>16</v>
      </c>
      <c r="W82" s="725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 ht="16.5" customHeight="1">
      <c r="A83" s="64" t="inlineStr">
        <is>
          <t>SU002827</t>
        </is>
      </c>
      <c r="B83" s="64" t="inlineStr">
        <is>
          <t>P003233</t>
        </is>
      </c>
      <c r="C83" s="37" t="n">
        <v>4301011462</v>
      </c>
      <c r="D83" s="399" t="n">
        <v>4680115881457</v>
      </c>
      <c r="E83" s="689" t="n"/>
      <c r="F83" s="721" t="n">
        <v>0.75</v>
      </c>
      <c r="G83" s="38" t="n">
        <v>6</v>
      </c>
      <c r="H83" s="721" t="n">
        <v>4.5</v>
      </c>
      <c r="I83" s="721" t="n">
        <v>4.74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8" t="n">
        <v>50</v>
      </c>
      <c r="N83" s="76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3" s="723" t="n"/>
      <c r="P83" s="723" t="n"/>
      <c r="Q83" s="723" t="n"/>
      <c r="R83" s="689" t="n"/>
      <c r="S83" s="40" t="inlineStr"/>
      <c r="T83" s="40" t="inlineStr"/>
      <c r="U83" s="41" t="inlineStr">
        <is>
          <t>кг</t>
        </is>
      </c>
      <c r="V83" s="724" t="n">
        <v>0</v>
      </c>
      <c r="W83" s="725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9" t="inlineStr">
        <is>
          <t>КИ</t>
        </is>
      </c>
    </row>
    <row r="84">
      <c r="A84" s="407" t="n"/>
      <c r="B84" s="677" t="n"/>
      <c r="C84" s="677" t="n"/>
      <c r="D84" s="677" t="n"/>
      <c r="E84" s="677" t="n"/>
      <c r="F84" s="677" t="n"/>
      <c r="G84" s="677" t="n"/>
      <c r="H84" s="677" t="n"/>
      <c r="I84" s="677" t="n"/>
      <c r="J84" s="677" t="n"/>
      <c r="K84" s="677" t="n"/>
      <c r="L84" s="677" t="n"/>
      <c r="M84" s="726" t="n"/>
      <c r="N84" s="727" t="inlineStr">
        <is>
          <t>Итого</t>
        </is>
      </c>
      <c r="O84" s="697" t="n"/>
      <c r="P84" s="697" t="n"/>
      <c r="Q84" s="697" t="n"/>
      <c r="R84" s="697" t="n"/>
      <c r="S84" s="697" t="n"/>
      <c r="T84" s="698" t="n"/>
      <c r="U84" s="43" t="inlineStr">
        <is>
          <t>кор</t>
        </is>
      </c>
      <c r="V84" s="72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/>
      </c>
      <c r="W84" s="728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/>
      </c>
      <c r="X84" s="728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/>
      </c>
      <c r="Y84" s="729" t="n"/>
      <c r="Z84" s="729" t="n"/>
    </row>
    <row r="85">
      <c r="A85" s="677" t="n"/>
      <c r="B85" s="677" t="n"/>
      <c r="C85" s="677" t="n"/>
      <c r="D85" s="677" t="n"/>
      <c r="E85" s="677" t="n"/>
      <c r="F85" s="677" t="n"/>
      <c r="G85" s="677" t="n"/>
      <c r="H85" s="677" t="n"/>
      <c r="I85" s="677" t="n"/>
      <c r="J85" s="677" t="n"/>
      <c r="K85" s="677" t="n"/>
      <c r="L85" s="677" t="n"/>
      <c r="M85" s="726" t="n"/>
      <c r="N85" s="727" t="inlineStr">
        <is>
          <t>Итого</t>
        </is>
      </c>
      <c r="O85" s="697" t="n"/>
      <c r="P85" s="697" t="n"/>
      <c r="Q85" s="697" t="n"/>
      <c r="R85" s="697" t="n"/>
      <c r="S85" s="697" t="n"/>
      <c r="T85" s="698" t="n"/>
      <c r="U85" s="43" t="inlineStr">
        <is>
          <t>кг</t>
        </is>
      </c>
      <c r="V85" s="728">
        <f>IFERROR(SUM(V63:V83),"0")</f>
        <v/>
      </c>
      <c r="W85" s="728">
        <f>IFERROR(SUM(W63:W83),"0")</f>
        <v/>
      </c>
      <c r="X85" s="43" t="n"/>
      <c r="Y85" s="729" t="n"/>
      <c r="Z85" s="729" t="n"/>
    </row>
    <row r="86" ht="14.25" customHeight="1">
      <c r="A86" s="398" t="inlineStr">
        <is>
          <t>Ветчины</t>
        </is>
      </c>
      <c r="B86" s="677" t="n"/>
      <c r="C86" s="677" t="n"/>
      <c r="D86" s="677" t="n"/>
      <c r="E86" s="677" t="n"/>
      <c r="F86" s="677" t="n"/>
      <c r="G86" s="677" t="n"/>
      <c r="H86" s="677" t="n"/>
      <c r="I86" s="677" t="n"/>
      <c r="J86" s="677" t="n"/>
      <c r="K86" s="677" t="n"/>
      <c r="L86" s="677" t="n"/>
      <c r="M86" s="677" t="n"/>
      <c r="N86" s="677" t="n"/>
      <c r="O86" s="677" t="n"/>
      <c r="P86" s="677" t="n"/>
      <c r="Q86" s="677" t="n"/>
      <c r="R86" s="677" t="n"/>
      <c r="S86" s="677" t="n"/>
      <c r="T86" s="677" t="n"/>
      <c r="U86" s="677" t="n"/>
      <c r="V86" s="677" t="n"/>
      <c r="W86" s="677" t="n"/>
      <c r="X86" s="677" t="n"/>
      <c r="Y86" s="398" t="n"/>
      <c r="Z86" s="398" t="n"/>
    </row>
    <row r="87" ht="16.5" customHeight="1">
      <c r="A87" s="64" t="inlineStr">
        <is>
          <t>SU002833</t>
        </is>
      </c>
      <c r="B87" s="64" t="inlineStr">
        <is>
          <t>P003236</t>
        </is>
      </c>
      <c r="C87" s="37" t="n">
        <v>4301020235</v>
      </c>
      <c r="D87" s="399" t="n">
        <v>4680115881488</v>
      </c>
      <c r="E87" s="689" t="n"/>
      <c r="F87" s="721" t="n">
        <v>1.35</v>
      </c>
      <c r="G87" s="38" t="n">
        <v>8</v>
      </c>
      <c r="H87" s="721" t="n">
        <v>10.8</v>
      </c>
      <c r="I87" s="721" t="n">
        <v>11.28</v>
      </c>
      <c r="J87" s="38" t="n">
        <v>48</v>
      </c>
      <c r="K87" s="38" t="inlineStr">
        <is>
          <t>8</t>
        </is>
      </c>
      <c r="L87" s="39" t="inlineStr">
        <is>
          <t>СК1</t>
        </is>
      </c>
      <c r="M87" s="38" t="n">
        <v>50</v>
      </c>
      <c r="N87" s="766">
        <f>HYPERLINK("https://abi.ru/products/Охлажденные/Вязанка/Вязанка/Ветчины/P003236/","Ветчины Сливушка с индейкой Вязанка вес П/а Вязанка")</f>
        <v/>
      </c>
      <c r="O87" s="723" t="n"/>
      <c r="P87" s="723" t="n"/>
      <c r="Q87" s="723" t="n"/>
      <c r="R87" s="689" t="n"/>
      <c r="S87" s="40" t="inlineStr"/>
      <c r="T87" s="40" t="inlineStr"/>
      <c r="U87" s="41" t="inlineStr">
        <is>
          <t>кг</t>
        </is>
      </c>
      <c r="V87" s="724" t="n">
        <v>0</v>
      </c>
      <c r="W87" s="725">
        <f>IFERROR(IF(V87="",0,CEILING((V87/$H87),1)*$H87),"")</f>
        <v/>
      </c>
      <c r="X87" s="42">
        <f>IFERROR(IF(W87=0,"",ROUNDUP(W87/H87,0)*0.02175),"")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SU002313</t>
        </is>
      </c>
      <c r="B88" s="64" t="inlineStr">
        <is>
          <t>P002583</t>
        </is>
      </c>
      <c r="C88" s="37" t="n">
        <v>4301020183</v>
      </c>
      <c r="D88" s="399" t="n">
        <v>4607091384765</v>
      </c>
      <c r="E88" s="689" t="n"/>
      <c r="F88" s="721" t="n">
        <v>0.42</v>
      </c>
      <c r="G88" s="38" t="n">
        <v>6</v>
      </c>
      <c r="H88" s="721" t="n">
        <v>2.52</v>
      </c>
      <c r="I88" s="721" t="n">
        <v>2.72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45</v>
      </c>
      <c r="N88" s="767" t="inlineStr">
        <is>
          <t>Ветчины Запекуша с сочным окороком Вязанка Фикс.вес 0,42 п/а Вязанка</t>
        </is>
      </c>
      <c r="O88" s="723" t="n"/>
      <c r="P88" s="723" t="n"/>
      <c r="Q88" s="723" t="n"/>
      <c r="R88" s="689" t="n"/>
      <c r="S88" s="40" t="inlineStr"/>
      <c r="T88" s="40" t="inlineStr"/>
      <c r="U88" s="41" t="inlineStr">
        <is>
          <t>кг</t>
        </is>
      </c>
      <c r="V88" s="724" t="n">
        <v>0</v>
      </c>
      <c r="W88" s="725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SU002786</t>
        </is>
      </c>
      <c r="B89" s="64" t="inlineStr">
        <is>
          <t>P003188</t>
        </is>
      </c>
      <c r="C89" s="37" t="n">
        <v>4301020228</v>
      </c>
      <c r="D89" s="399" t="n">
        <v>4680115882751</v>
      </c>
      <c r="E89" s="689" t="n"/>
      <c r="F89" s="721" t="n">
        <v>0.45</v>
      </c>
      <c r="G89" s="38" t="n">
        <v>10</v>
      </c>
      <c r="H89" s="721" t="n">
        <v>4.5</v>
      </c>
      <c r="I89" s="721" t="n">
        <v>4.74</v>
      </c>
      <c r="J89" s="38" t="n">
        <v>120</v>
      </c>
      <c r="K89" s="38" t="inlineStr">
        <is>
          <t>12</t>
        </is>
      </c>
      <c r="L89" s="39" t="inlineStr">
        <is>
          <t>СК1</t>
        </is>
      </c>
      <c r="M89" s="38" t="n">
        <v>90</v>
      </c>
      <c r="N89" s="768" t="inlineStr">
        <is>
          <t>Ветчины «Филейская #Живой_пар» ф/в 0,45 п/а ТМ «Вязанка»</t>
        </is>
      </c>
      <c r="O89" s="723" t="n"/>
      <c r="P89" s="723" t="n"/>
      <c r="Q89" s="723" t="n"/>
      <c r="R89" s="689" t="n"/>
      <c r="S89" s="40" t="inlineStr"/>
      <c r="T89" s="40" t="inlineStr"/>
      <c r="U89" s="41" t="inlineStr">
        <is>
          <t>кг</t>
        </is>
      </c>
      <c r="V89" s="724" t="n">
        <v>0</v>
      </c>
      <c r="W89" s="725">
        <f>IFERROR(IF(V89="",0,CEILING((V89/$H89),1)*$H89),"")</f>
        <v/>
      </c>
      <c r="X89" s="42">
        <f>IFERROR(IF(W89=0,"",ROUNDUP(W89/H89,0)*0.00937),"")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SU003037</t>
        </is>
      </c>
      <c r="B90" s="64" t="inlineStr">
        <is>
          <t>P003575</t>
        </is>
      </c>
      <c r="C90" s="37" t="n">
        <v>4301020258</v>
      </c>
      <c r="D90" s="399" t="n">
        <v>4680115882775</v>
      </c>
      <c r="E90" s="689" t="n"/>
      <c r="F90" s="721" t="n">
        <v>0.3</v>
      </c>
      <c r="G90" s="38" t="n">
        <v>8</v>
      </c>
      <c r="H90" s="721" t="n">
        <v>2.4</v>
      </c>
      <c r="I90" s="721" t="n">
        <v>2.5</v>
      </c>
      <c r="J90" s="38" t="n">
        <v>234</v>
      </c>
      <c r="K90" s="38" t="inlineStr">
        <is>
          <t>18</t>
        </is>
      </c>
      <c r="L90" s="39" t="inlineStr">
        <is>
          <t>СК3</t>
        </is>
      </c>
      <c r="M90" s="38" t="n">
        <v>50</v>
      </c>
      <c r="N90" s="769" t="inlineStr">
        <is>
          <t>Ветчины «Сливушка с индейкой» Фикс.вес 0,3 П/а ТМ «Вязанка»</t>
        </is>
      </c>
      <c r="O90" s="723" t="n"/>
      <c r="P90" s="723" t="n"/>
      <c r="Q90" s="723" t="n"/>
      <c r="R90" s="689" t="n"/>
      <c r="S90" s="40" t="inlineStr"/>
      <c r="T90" s="40" t="inlineStr"/>
      <c r="U90" s="41" t="inlineStr">
        <is>
          <t>кг</t>
        </is>
      </c>
      <c r="V90" s="724" t="n">
        <v>0</v>
      </c>
      <c r="W90" s="725">
        <f>IFERROR(IF(V90="",0,CEILING((V90/$H90),1)*$H90),"")</f>
        <v/>
      </c>
      <c r="X90" s="42">
        <f>IFERROR(IF(W90=0,"",ROUNDUP(W90/H90,0)*0.00502),"")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SU002735</t>
        </is>
      </c>
      <c r="B91" s="64" t="inlineStr">
        <is>
          <t>P003107</t>
        </is>
      </c>
      <c r="C91" s="37" t="n">
        <v>4301020217</v>
      </c>
      <c r="D91" s="399" t="n">
        <v>4680115880658</v>
      </c>
      <c r="E91" s="689" t="n"/>
      <c r="F91" s="721" t="n">
        <v>0.4</v>
      </c>
      <c r="G91" s="38" t="n">
        <v>6</v>
      </c>
      <c r="H91" s="721" t="n">
        <v>2.4</v>
      </c>
      <c r="I91" s="721" t="n">
        <v>2.6</v>
      </c>
      <c r="J91" s="38" t="n">
        <v>156</v>
      </c>
      <c r="K91" s="38" t="inlineStr">
        <is>
          <t>12</t>
        </is>
      </c>
      <c r="L91" s="39" t="inlineStr">
        <is>
          <t>СК1</t>
        </is>
      </c>
      <c r="M91" s="38" t="n">
        <v>50</v>
      </c>
      <c r="N91" s="770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1" s="723" t="n"/>
      <c r="P91" s="723" t="n"/>
      <c r="Q91" s="723" t="n"/>
      <c r="R91" s="689" t="n"/>
      <c r="S91" s="40" t="inlineStr"/>
      <c r="T91" s="40" t="inlineStr"/>
      <c r="U91" s="41" t="inlineStr">
        <is>
          <t>кг</t>
        </is>
      </c>
      <c r="V91" s="724" t="n">
        <v>0</v>
      </c>
      <c r="W91" s="725">
        <f>IFERROR(IF(V91="",0,CEILING((V91/$H91),1)*$H91),"")</f>
        <v/>
      </c>
      <c r="X91" s="42">
        <f>IFERROR(IF(W91=0,"",ROUNDUP(W91/H91,0)*0.00753),"")</f>
        <v/>
      </c>
      <c r="Y91" s="69" t="inlineStr"/>
      <c r="Z91" s="70" t="inlineStr"/>
      <c r="AD91" s="71" t="n"/>
      <c r="BA91" s="114" t="inlineStr">
        <is>
          <t>КИ</t>
        </is>
      </c>
    </row>
    <row r="92">
      <c r="A92" s="407" t="n"/>
      <c r="B92" s="677" t="n"/>
      <c r="C92" s="677" t="n"/>
      <c r="D92" s="677" t="n"/>
      <c r="E92" s="677" t="n"/>
      <c r="F92" s="677" t="n"/>
      <c r="G92" s="677" t="n"/>
      <c r="H92" s="677" t="n"/>
      <c r="I92" s="677" t="n"/>
      <c r="J92" s="677" t="n"/>
      <c r="K92" s="677" t="n"/>
      <c r="L92" s="677" t="n"/>
      <c r="M92" s="726" t="n"/>
      <c r="N92" s="727" t="inlineStr">
        <is>
          <t>Итого</t>
        </is>
      </c>
      <c r="O92" s="697" t="n"/>
      <c r="P92" s="697" t="n"/>
      <c r="Q92" s="697" t="n"/>
      <c r="R92" s="697" t="n"/>
      <c r="S92" s="697" t="n"/>
      <c r="T92" s="698" t="n"/>
      <c r="U92" s="43" t="inlineStr">
        <is>
          <t>кор</t>
        </is>
      </c>
      <c r="V92" s="728">
        <f>IFERROR(V87/H87,"0")+IFERROR(V88/H88,"0")+IFERROR(V89/H89,"0")+IFERROR(V90/H90,"0")+IFERROR(V91/H91,"0")</f>
        <v/>
      </c>
      <c r="W92" s="728">
        <f>IFERROR(W87/H87,"0")+IFERROR(W88/H88,"0")+IFERROR(W89/H89,"0")+IFERROR(W90/H90,"0")+IFERROR(W91/H91,"0")</f>
        <v/>
      </c>
      <c r="X92" s="728">
        <f>IFERROR(IF(X87="",0,X87),"0")+IFERROR(IF(X88="",0,X88),"0")+IFERROR(IF(X89="",0,X89),"0")+IFERROR(IF(X90="",0,X90),"0")+IFERROR(IF(X91="",0,X91),"0")</f>
        <v/>
      </c>
      <c r="Y92" s="729" t="n"/>
      <c r="Z92" s="729" t="n"/>
    </row>
    <row r="93">
      <c r="A93" s="677" t="n"/>
      <c r="B93" s="677" t="n"/>
      <c r="C93" s="677" t="n"/>
      <c r="D93" s="677" t="n"/>
      <c r="E93" s="677" t="n"/>
      <c r="F93" s="677" t="n"/>
      <c r="G93" s="677" t="n"/>
      <c r="H93" s="677" t="n"/>
      <c r="I93" s="677" t="n"/>
      <c r="J93" s="677" t="n"/>
      <c r="K93" s="677" t="n"/>
      <c r="L93" s="677" t="n"/>
      <c r="M93" s="726" t="n"/>
      <c r="N93" s="727" t="inlineStr">
        <is>
          <t>Итого</t>
        </is>
      </c>
      <c r="O93" s="697" t="n"/>
      <c r="P93" s="697" t="n"/>
      <c r="Q93" s="697" t="n"/>
      <c r="R93" s="697" t="n"/>
      <c r="S93" s="697" t="n"/>
      <c r="T93" s="698" t="n"/>
      <c r="U93" s="43" t="inlineStr">
        <is>
          <t>кг</t>
        </is>
      </c>
      <c r="V93" s="728">
        <f>IFERROR(SUM(V87:V91),"0")</f>
        <v/>
      </c>
      <c r="W93" s="728">
        <f>IFERROR(SUM(W87:W91),"0")</f>
        <v/>
      </c>
      <c r="X93" s="43" t="n"/>
      <c r="Y93" s="729" t="n"/>
      <c r="Z93" s="729" t="n"/>
    </row>
    <row r="94" ht="14.25" customHeight="1">
      <c r="A94" s="398" t="inlineStr">
        <is>
          <t>Копченые колбасы</t>
        </is>
      </c>
      <c r="B94" s="677" t="n"/>
      <c r="C94" s="677" t="n"/>
      <c r="D94" s="677" t="n"/>
      <c r="E94" s="677" t="n"/>
      <c r="F94" s="677" t="n"/>
      <c r="G94" s="677" t="n"/>
      <c r="H94" s="677" t="n"/>
      <c r="I94" s="677" t="n"/>
      <c r="J94" s="677" t="n"/>
      <c r="K94" s="677" t="n"/>
      <c r="L94" s="677" t="n"/>
      <c r="M94" s="677" t="n"/>
      <c r="N94" s="677" t="n"/>
      <c r="O94" s="677" t="n"/>
      <c r="P94" s="677" t="n"/>
      <c r="Q94" s="677" t="n"/>
      <c r="R94" s="677" t="n"/>
      <c r="S94" s="677" t="n"/>
      <c r="T94" s="677" t="n"/>
      <c r="U94" s="677" t="n"/>
      <c r="V94" s="677" t="n"/>
      <c r="W94" s="677" t="n"/>
      <c r="X94" s="677" t="n"/>
      <c r="Y94" s="398" t="n"/>
      <c r="Z94" s="398" t="n"/>
    </row>
    <row r="95" ht="16.5" customHeight="1">
      <c r="A95" s="64" t="inlineStr">
        <is>
          <t>SU000064</t>
        </is>
      </c>
      <c r="B95" s="64" t="inlineStr">
        <is>
          <t>P001841</t>
        </is>
      </c>
      <c r="C95" s="37" t="n">
        <v>4301030895</v>
      </c>
      <c r="D95" s="399" t="n">
        <v>4607091387667</v>
      </c>
      <c r="E95" s="689" t="n"/>
      <c r="F95" s="721" t="n">
        <v>0.9</v>
      </c>
      <c r="G95" s="38" t="n">
        <v>10</v>
      </c>
      <c r="H95" s="721" t="n">
        <v>9</v>
      </c>
      <c r="I95" s="721" t="n">
        <v>9.630000000000001</v>
      </c>
      <c r="J95" s="38" t="n">
        <v>56</v>
      </c>
      <c r="K95" s="38" t="inlineStr">
        <is>
          <t>8</t>
        </is>
      </c>
      <c r="L95" s="39" t="inlineStr">
        <is>
          <t>СК1</t>
        </is>
      </c>
      <c r="M95" s="38" t="n">
        <v>40</v>
      </c>
      <c r="N95" s="77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5" s="723" t="n"/>
      <c r="P95" s="723" t="n"/>
      <c r="Q95" s="723" t="n"/>
      <c r="R95" s="689" t="n"/>
      <c r="S95" s="40" t="inlineStr"/>
      <c r="T95" s="40" t="inlineStr"/>
      <c r="U95" s="41" t="inlineStr">
        <is>
          <t>кг</t>
        </is>
      </c>
      <c r="V95" s="724" t="n">
        <v>83</v>
      </c>
      <c r="W95" s="725">
        <f>IFERROR(IF(V95="",0,CEILING((V95/$H95),1)*$H95),"")</f>
        <v/>
      </c>
      <c r="X95" s="42">
        <f>IFERROR(IF(W95=0,"",ROUNDUP(W95/H95,0)*0.02175),"")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SU000664</t>
        </is>
      </c>
      <c r="B96" s="64" t="inlineStr">
        <is>
          <t>P002177</t>
        </is>
      </c>
      <c r="C96" s="37" t="n">
        <v>4301030961</v>
      </c>
      <c r="D96" s="399" t="n">
        <v>4607091387636</v>
      </c>
      <c r="E96" s="689" t="n"/>
      <c r="F96" s="721" t="n">
        <v>0.7</v>
      </c>
      <c r="G96" s="38" t="n">
        <v>6</v>
      </c>
      <c r="H96" s="721" t="n">
        <v>4.2</v>
      </c>
      <c r="I96" s="721" t="n">
        <v>4.5</v>
      </c>
      <c r="J96" s="38" t="n">
        <v>120</v>
      </c>
      <c r="K96" s="38" t="inlineStr">
        <is>
          <t>12</t>
        </is>
      </c>
      <c r="L96" s="39" t="inlineStr">
        <is>
          <t>СК2</t>
        </is>
      </c>
      <c r="M96" s="38" t="n">
        <v>40</v>
      </c>
      <c r="N96" s="77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6" s="723" t="n"/>
      <c r="P96" s="723" t="n"/>
      <c r="Q96" s="723" t="n"/>
      <c r="R96" s="689" t="n"/>
      <c r="S96" s="40" t="inlineStr"/>
      <c r="T96" s="40" t="inlineStr"/>
      <c r="U96" s="41" t="inlineStr">
        <is>
          <t>кг</t>
        </is>
      </c>
      <c r="V96" s="724" t="n">
        <v>0</v>
      </c>
      <c r="W96" s="725">
        <f>IFERROR(IF(V96="",0,CEILING((V96/$H96),1)*$H96),"")</f>
        <v/>
      </c>
      <c r="X96" s="42">
        <f>IFERROR(IF(W96=0,"",ROUNDUP(W96/H96,0)*0.00937),"")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99" t="n">
        <v>4607091382426</v>
      </c>
      <c r="E97" s="689" t="n"/>
      <c r="F97" s="721" t="n">
        <v>0.9</v>
      </c>
      <c r="G97" s="38" t="n">
        <v>10</v>
      </c>
      <c r="H97" s="721" t="n">
        <v>9</v>
      </c>
      <c r="I97" s="721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73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723" t="n"/>
      <c r="P97" s="723" t="n"/>
      <c r="Q97" s="723" t="n"/>
      <c r="R97" s="689" t="n"/>
      <c r="S97" s="40" t="inlineStr"/>
      <c r="T97" s="40" t="inlineStr"/>
      <c r="U97" s="41" t="inlineStr">
        <is>
          <t>кг</t>
        </is>
      </c>
      <c r="V97" s="724" t="n">
        <v>0</v>
      </c>
      <c r="W97" s="725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99" t="n">
        <v>4607091386547</v>
      </c>
      <c r="E98" s="689" t="n"/>
      <c r="F98" s="721" t="n">
        <v>0.35</v>
      </c>
      <c r="G98" s="38" t="n">
        <v>8</v>
      </c>
      <c r="H98" s="721" t="n">
        <v>2.8</v>
      </c>
      <c r="I98" s="721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74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723" t="n"/>
      <c r="P98" s="723" t="n"/>
      <c r="Q98" s="723" t="n"/>
      <c r="R98" s="689" t="n"/>
      <c r="S98" s="40" t="inlineStr"/>
      <c r="T98" s="40" t="inlineStr"/>
      <c r="U98" s="41" t="inlineStr">
        <is>
          <t>кг</t>
        </is>
      </c>
      <c r="V98" s="724" t="n">
        <v>0</v>
      </c>
      <c r="W98" s="725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99" t="n">
        <v>4607091384734</v>
      </c>
      <c r="E99" s="689" t="n"/>
      <c r="F99" s="721" t="n">
        <v>0.35</v>
      </c>
      <c r="G99" s="38" t="n">
        <v>6</v>
      </c>
      <c r="H99" s="721" t="n">
        <v>2.1</v>
      </c>
      <c r="I99" s="721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7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723" t="n"/>
      <c r="P99" s="723" t="n"/>
      <c r="Q99" s="723" t="n"/>
      <c r="R99" s="689" t="n"/>
      <c r="S99" s="40" t="inlineStr"/>
      <c r="T99" s="40" t="inlineStr"/>
      <c r="U99" s="41" t="inlineStr">
        <is>
          <t>кг</t>
        </is>
      </c>
      <c r="V99" s="724" t="n">
        <v>8</v>
      </c>
      <c r="W99" s="725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99" t="n">
        <v>4607091382464</v>
      </c>
      <c r="E100" s="689" t="n"/>
      <c r="F100" s="721" t="n">
        <v>0.35</v>
      </c>
      <c r="G100" s="38" t="n">
        <v>8</v>
      </c>
      <c r="H100" s="721" t="n">
        <v>2.8</v>
      </c>
      <c r="I100" s="721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7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723" t="n"/>
      <c r="P100" s="723" t="n"/>
      <c r="Q100" s="723" t="n"/>
      <c r="R100" s="689" t="n"/>
      <c r="S100" s="40" t="inlineStr"/>
      <c r="T100" s="40" t="inlineStr"/>
      <c r="U100" s="41" t="inlineStr">
        <is>
          <t>кг</t>
        </is>
      </c>
      <c r="V100" s="724" t="n">
        <v>0</v>
      </c>
      <c r="W100" s="725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99" t="n">
        <v>4680115883444</v>
      </c>
      <c r="E101" s="689" t="n"/>
      <c r="F101" s="721" t="n">
        <v>0.35</v>
      </c>
      <c r="G101" s="38" t="n">
        <v>8</v>
      </c>
      <c r="H101" s="721" t="n">
        <v>2.8</v>
      </c>
      <c r="I101" s="721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77" t="inlineStr">
        <is>
          <t>П/к колбасы «Аль-Ислами халяль» ф/в 0,35 фиброуз ТМ «Вязанка»</t>
        </is>
      </c>
      <c r="O101" s="723" t="n"/>
      <c r="P101" s="723" t="n"/>
      <c r="Q101" s="723" t="n"/>
      <c r="R101" s="689" t="n"/>
      <c r="S101" s="40" t="inlineStr"/>
      <c r="T101" s="40" t="inlineStr"/>
      <c r="U101" s="41" t="inlineStr">
        <is>
          <t>кг</t>
        </is>
      </c>
      <c r="V101" s="724" t="n">
        <v>0</v>
      </c>
      <c r="W101" s="725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99" t="n">
        <v>4680115883444</v>
      </c>
      <c r="E102" s="689" t="n"/>
      <c r="F102" s="721" t="n">
        <v>0.35</v>
      </c>
      <c r="G102" s="38" t="n">
        <v>8</v>
      </c>
      <c r="H102" s="721" t="n">
        <v>2.8</v>
      </c>
      <c r="I102" s="721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78" t="inlineStr">
        <is>
          <t>П/к колбасы «Аль-Ислами халяль» ф/в 0,35 фиброуз ТМ «Вязанка»</t>
        </is>
      </c>
      <c r="O102" s="723" t="n"/>
      <c r="P102" s="723" t="n"/>
      <c r="Q102" s="723" t="n"/>
      <c r="R102" s="689" t="n"/>
      <c r="S102" s="40" t="inlineStr"/>
      <c r="T102" s="40" t="inlineStr"/>
      <c r="U102" s="41" t="inlineStr">
        <is>
          <t>кг</t>
        </is>
      </c>
      <c r="V102" s="724" t="n">
        <v>0</v>
      </c>
      <c r="W102" s="725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407" t="n"/>
      <c r="B103" s="677" t="n"/>
      <c r="C103" s="677" t="n"/>
      <c r="D103" s="677" t="n"/>
      <c r="E103" s="677" t="n"/>
      <c r="F103" s="677" t="n"/>
      <c r="G103" s="677" t="n"/>
      <c r="H103" s="677" t="n"/>
      <c r="I103" s="677" t="n"/>
      <c r="J103" s="677" t="n"/>
      <c r="K103" s="677" t="n"/>
      <c r="L103" s="677" t="n"/>
      <c r="M103" s="726" t="n"/>
      <c r="N103" s="727" t="inlineStr">
        <is>
          <t>Итого</t>
        </is>
      </c>
      <c r="O103" s="697" t="n"/>
      <c r="P103" s="697" t="n"/>
      <c r="Q103" s="697" t="n"/>
      <c r="R103" s="697" t="n"/>
      <c r="S103" s="697" t="n"/>
      <c r="T103" s="698" t="n"/>
      <c r="U103" s="43" t="inlineStr">
        <is>
          <t>кор</t>
        </is>
      </c>
      <c r="V103" s="728">
        <f>IFERROR(V95/H95,"0")+IFERROR(V96/H96,"0")+IFERROR(V97/H97,"0")+IFERROR(V98/H98,"0")+IFERROR(V99/H99,"0")+IFERROR(V100/H100,"0")+IFERROR(V101/H101,"0")+IFERROR(V102/H102,"0")</f>
        <v/>
      </c>
      <c r="W103" s="728">
        <f>IFERROR(W95/H95,"0")+IFERROR(W96/H96,"0")+IFERROR(W97/H97,"0")+IFERROR(W98/H98,"0")+IFERROR(W99/H99,"0")+IFERROR(W100/H100,"0")+IFERROR(W101/H101,"0")+IFERROR(W102/H102,"0")</f>
        <v/>
      </c>
      <c r="X103" s="728">
        <f>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729" t="n"/>
      <c r="Z103" s="729" t="n"/>
    </row>
    <row r="104">
      <c r="A104" s="677" t="n"/>
      <c r="B104" s="677" t="n"/>
      <c r="C104" s="677" t="n"/>
      <c r="D104" s="677" t="n"/>
      <c r="E104" s="677" t="n"/>
      <c r="F104" s="677" t="n"/>
      <c r="G104" s="677" t="n"/>
      <c r="H104" s="677" t="n"/>
      <c r="I104" s="677" t="n"/>
      <c r="J104" s="677" t="n"/>
      <c r="K104" s="677" t="n"/>
      <c r="L104" s="677" t="n"/>
      <c r="M104" s="726" t="n"/>
      <c r="N104" s="727" t="inlineStr">
        <is>
          <t>Итого</t>
        </is>
      </c>
      <c r="O104" s="697" t="n"/>
      <c r="P104" s="697" t="n"/>
      <c r="Q104" s="697" t="n"/>
      <c r="R104" s="697" t="n"/>
      <c r="S104" s="697" t="n"/>
      <c r="T104" s="698" t="n"/>
      <c r="U104" s="43" t="inlineStr">
        <is>
          <t>кг</t>
        </is>
      </c>
      <c r="V104" s="728">
        <f>IFERROR(SUM(V95:V102),"0")</f>
        <v/>
      </c>
      <c r="W104" s="728">
        <f>IFERROR(SUM(W95:W102),"0")</f>
        <v/>
      </c>
      <c r="X104" s="43" t="n"/>
      <c r="Y104" s="729" t="n"/>
      <c r="Z104" s="729" t="n"/>
    </row>
    <row r="105" ht="14.25" customHeight="1">
      <c r="A105" s="398" t="inlineStr">
        <is>
          <t>Сосиски</t>
        </is>
      </c>
      <c r="B105" s="677" t="n"/>
      <c r="C105" s="677" t="n"/>
      <c r="D105" s="677" t="n"/>
      <c r="E105" s="677" t="n"/>
      <c r="F105" s="677" t="n"/>
      <c r="G105" s="677" t="n"/>
      <c r="H105" s="677" t="n"/>
      <c r="I105" s="677" t="n"/>
      <c r="J105" s="677" t="n"/>
      <c r="K105" s="677" t="n"/>
      <c r="L105" s="677" t="n"/>
      <c r="M105" s="677" t="n"/>
      <c r="N105" s="677" t="n"/>
      <c r="O105" s="677" t="n"/>
      <c r="P105" s="677" t="n"/>
      <c r="Q105" s="677" t="n"/>
      <c r="R105" s="677" t="n"/>
      <c r="S105" s="677" t="n"/>
      <c r="T105" s="677" t="n"/>
      <c r="U105" s="677" t="n"/>
      <c r="V105" s="677" t="n"/>
      <c r="W105" s="677" t="n"/>
      <c r="X105" s="677" t="n"/>
      <c r="Y105" s="398" t="n"/>
      <c r="Z105" s="398" t="n"/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99" t="n">
        <v>4607091386967</v>
      </c>
      <c r="E106" s="689" t="n"/>
      <c r="F106" s="721" t="n">
        <v>1.4</v>
      </c>
      <c r="G106" s="38" t="n">
        <v>6</v>
      </c>
      <c r="H106" s="721" t="n">
        <v>8.4</v>
      </c>
      <c r="I106" s="721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779" t="inlineStr">
        <is>
          <t>Сосиски «Молокуши (Вязанка Молочные)» Весовые П/а мгс УВВ ТМ «Вязанка»</t>
        </is>
      </c>
      <c r="O106" s="723" t="n"/>
      <c r="P106" s="723" t="n"/>
      <c r="Q106" s="723" t="n"/>
      <c r="R106" s="689" t="n"/>
      <c r="S106" s="40" t="inlineStr"/>
      <c r="T106" s="40" t="inlineStr"/>
      <c r="U106" s="41" t="inlineStr">
        <is>
          <t>кг</t>
        </is>
      </c>
      <c r="V106" s="724" t="n">
        <v>152</v>
      </c>
      <c r="W106" s="725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399" t="n">
        <v>4607091386967</v>
      </c>
      <c r="E107" s="689" t="n"/>
      <c r="F107" s="721" t="n">
        <v>1.35</v>
      </c>
      <c r="G107" s="38" t="n">
        <v>6</v>
      </c>
      <c r="H107" s="721" t="n">
        <v>8.1</v>
      </c>
      <c r="I107" s="721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780" t="inlineStr">
        <is>
          <t>Сосиски Молокуши (Вязанка Молочные) Вязанка Весовые П/а мгс Вязанка</t>
        </is>
      </c>
      <c r="O107" s="723" t="n"/>
      <c r="P107" s="723" t="n"/>
      <c r="Q107" s="723" t="n"/>
      <c r="R107" s="689" t="n"/>
      <c r="S107" s="40" t="inlineStr"/>
      <c r="T107" s="40" t="inlineStr"/>
      <c r="U107" s="41" t="inlineStr">
        <is>
          <t>кг</t>
        </is>
      </c>
      <c r="V107" s="724" t="n">
        <v>0</v>
      </c>
      <c r="W107" s="725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P003904</t>
        </is>
      </c>
      <c r="C108" s="37" t="n">
        <v>4301051611</v>
      </c>
      <c r="D108" s="399" t="n">
        <v>4607091385304</v>
      </c>
      <c r="E108" s="689" t="n"/>
      <c r="F108" s="721" t="n">
        <v>1.4</v>
      </c>
      <c r="G108" s="38" t="n">
        <v>6</v>
      </c>
      <c r="H108" s="721" t="n">
        <v>8.4</v>
      </c>
      <c r="I108" s="721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81" t="inlineStr">
        <is>
          <t>Сосиски «Рубленые» Весовые п/а мгс УВВ ТМ «Вязанка»</t>
        </is>
      </c>
      <c r="O108" s="723" t="n"/>
      <c r="P108" s="723" t="n"/>
      <c r="Q108" s="723" t="n"/>
      <c r="R108" s="689" t="n"/>
      <c r="S108" s="40" t="inlineStr"/>
      <c r="T108" s="40" t="inlineStr"/>
      <c r="U108" s="41" t="inlineStr">
        <is>
          <t>кг</t>
        </is>
      </c>
      <c r="V108" s="724" t="n">
        <v>0</v>
      </c>
      <c r="W108" s="725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99" t="n">
        <v>4607091386264</v>
      </c>
      <c r="E109" s="689" t="n"/>
      <c r="F109" s="721" t="n">
        <v>0.5</v>
      </c>
      <c r="G109" s="38" t="n">
        <v>6</v>
      </c>
      <c r="H109" s="721" t="n">
        <v>3</v>
      </c>
      <c r="I109" s="721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82">
        <f>HYPERLINK("https://abi.ru/products/Охлажденные/Вязанка/Вязанка/Сосиски/P002217/","Сосиски Венские Вязанка Фикс.вес 0,5 NDX мгс Вязанка")</f>
        <v/>
      </c>
      <c r="O109" s="723" t="n"/>
      <c r="P109" s="723" t="n"/>
      <c r="Q109" s="723" t="n"/>
      <c r="R109" s="689" t="n"/>
      <c r="S109" s="40" t="inlineStr"/>
      <c r="T109" s="40" t="inlineStr"/>
      <c r="U109" s="41" t="inlineStr">
        <is>
          <t>кг</t>
        </is>
      </c>
      <c r="V109" s="724" t="n">
        <v>0</v>
      </c>
      <c r="W109" s="725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27" customHeight="1">
      <c r="A110" s="64" t="inlineStr">
        <is>
          <t>SU001718</t>
        </is>
      </c>
      <c r="B110" s="64" t="inlineStr">
        <is>
          <t>P003327</t>
        </is>
      </c>
      <c r="C110" s="37" t="n">
        <v>4301051436</v>
      </c>
      <c r="D110" s="399" t="n">
        <v>4607091385731</v>
      </c>
      <c r="E110" s="689" t="n"/>
      <c r="F110" s="721" t="n">
        <v>0.45</v>
      </c>
      <c r="G110" s="38" t="n">
        <v>6</v>
      </c>
      <c r="H110" s="721" t="n">
        <v>2.7</v>
      </c>
      <c r="I110" s="721" t="n">
        <v>2.972</v>
      </c>
      <c r="J110" s="38" t="n">
        <v>156</v>
      </c>
      <c r="K110" s="38" t="inlineStr">
        <is>
          <t>12</t>
        </is>
      </c>
      <c r="L110" s="39" t="inlineStr">
        <is>
          <t>СК3</t>
        </is>
      </c>
      <c r="M110" s="38" t="n">
        <v>45</v>
      </c>
      <c r="N110" s="783" t="inlineStr">
        <is>
          <t>Сосиски Молокуши (Вязанка Молочные) Вязанка Фикс.вес 0,45 П/а мгс Вязанка</t>
        </is>
      </c>
      <c r="O110" s="723" t="n"/>
      <c r="P110" s="723" t="n"/>
      <c r="Q110" s="723" t="n"/>
      <c r="R110" s="689" t="n"/>
      <c r="S110" s="40" t="inlineStr"/>
      <c r="T110" s="40" t="inlineStr"/>
      <c r="U110" s="41" t="inlineStr">
        <is>
          <t>кг</t>
        </is>
      </c>
      <c r="V110" s="724" t="n">
        <v>0</v>
      </c>
      <c r="W110" s="725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SU002658</t>
        </is>
      </c>
      <c r="B111" s="64" t="inlineStr">
        <is>
          <t>P003326</t>
        </is>
      </c>
      <c r="C111" s="37" t="n">
        <v>4301051439</v>
      </c>
      <c r="D111" s="399" t="n">
        <v>4680115880214</v>
      </c>
      <c r="E111" s="689" t="n"/>
      <c r="F111" s="721" t="n">
        <v>0.45</v>
      </c>
      <c r="G111" s="38" t="n">
        <v>6</v>
      </c>
      <c r="H111" s="721" t="n">
        <v>2.7</v>
      </c>
      <c r="I111" s="721" t="n">
        <v>2.988</v>
      </c>
      <c r="J111" s="38" t="n">
        <v>120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84" t="inlineStr">
        <is>
          <t>Сосиски Молокуши миникушай Вязанка Ф/в 0,45 амилюкс мгс Вязанка</t>
        </is>
      </c>
      <c r="O111" s="723" t="n"/>
      <c r="P111" s="723" t="n"/>
      <c r="Q111" s="723" t="n"/>
      <c r="R111" s="689" t="n"/>
      <c r="S111" s="40" t="inlineStr"/>
      <c r="T111" s="40" t="inlineStr"/>
      <c r="U111" s="41" t="inlineStr">
        <is>
          <t>кг</t>
        </is>
      </c>
      <c r="V111" s="724" t="n">
        <v>0</v>
      </c>
      <c r="W111" s="725">
        <f>IFERROR(IF(V111="",0,CEILING((V111/$H111),1)*$H111),"")</f>
        <v/>
      </c>
      <c r="X111" s="42">
        <f>IFERROR(IF(W111=0,"",ROUNDUP(W111/H111,0)*0.00937),"")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SU002769</t>
        </is>
      </c>
      <c r="B112" s="64" t="inlineStr">
        <is>
          <t>P003324</t>
        </is>
      </c>
      <c r="C112" s="37" t="n">
        <v>4301051438</v>
      </c>
      <c r="D112" s="399" t="n">
        <v>4680115880894</v>
      </c>
      <c r="E112" s="689" t="n"/>
      <c r="F112" s="721" t="n">
        <v>0.33</v>
      </c>
      <c r="G112" s="38" t="n">
        <v>6</v>
      </c>
      <c r="H112" s="721" t="n">
        <v>1.98</v>
      </c>
      <c r="I112" s="721" t="n">
        <v>2.258</v>
      </c>
      <c r="J112" s="38" t="n">
        <v>156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85" t="inlineStr">
        <is>
          <t>Сосиски Молокуши Миникушай Вязанка фикс.вес 0,33 п/а Вязанка</t>
        </is>
      </c>
      <c r="O112" s="723" t="n"/>
      <c r="P112" s="723" t="n"/>
      <c r="Q112" s="723" t="n"/>
      <c r="R112" s="689" t="n"/>
      <c r="S112" s="40" t="inlineStr"/>
      <c r="T112" s="40" t="inlineStr"/>
      <c r="U112" s="41" t="inlineStr">
        <is>
          <t>кг</t>
        </is>
      </c>
      <c r="V112" s="724" t="n">
        <v>0</v>
      </c>
      <c r="W112" s="725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SU001354</t>
        </is>
      </c>
      <c r="B113" s="64" t="inlineStr">
        <is>
          <t>P003030</t>
        </is>
      </c>
      <c r="C113" s="37" t="n">
        <v>4301051313</v>
      </c>
      <c r="D113" s="399" t="n">
        <v>4607091385427</v>
      </c>
      <c r="E113" s="689" t="n"/>
      <c r="F113" s="721" t="n">
        <v>0.5</v>
      </c>
      <c r="G113" s="38" t="n">
        <v>6</v>
      </c>
      <c r="H113" s="721" t="n">
        <v>3</v>
      </c>
      <c r="I113" s="721" t="n">
        <v>3.272</v>
      </c>
      <c r="J113" s="38" t="n">
        <v>156</v>
      </c>
      <c r="K113" s="38" t="inlineStr">
        <is>
          <t>12</t>
        </is>
      </c>
      <c r="L113" s="39" t="inlineStr">
        <is>
          <t>СК2</t>
        </is>
      </c>
      <c r="M113" s="38" t="n">
        <v>40</v>
      </c>
      <c r="N113" s="786">
        <f>HYPERLINK("https://abi.ru/products/Охлажденные/Вязанка/Вязанка/Сосиски/P003030/","Сосиски Рубленые Вязанка Фикс.вес 0,5 п/а мгс Вязанка")</f>
        <v/>
      </c>
      <c r="O113" s="723" t="n"/>
      <c r="P113" s="723" t="n"/>
      <c r="Q113" s="723" t="n"/>
      <c r="R113" s="689" t="n"/>
      <c r="S113" s="40" t="inlineStr"/>
      <c r="T113" s="40" t="inlineStr"/>
      <c r="U113" s="41" t="inlineStr">
        <is>
          <t>кг</t>
        </is>
      </c>
      <c r="V113" s="724" t="n">
        <v>0</v>
      </c>
      <c r="W113" s="725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SU002996</t>
        </is>
      </c>
      <c r="B114" s="64" t="inlineStr">
        <is>
          <t>P003464</t>
        </is>
      </c>
      <c r="C114" s="37" t="n">
        <v>4301051480</v>
      </c>
      <c r="D114" s="399" t="n">
        <v>4680115882645</v>
      </c>
      <c r="E114" s="689" t="n"/>
      <c r="F114" s="721" t="n">
        <v>0.3</v>
      </c>
      <c r="G114" s="38" t="n">
        <v>6</v>
      </c>
      <c r="H114" s="721" t="n">
        <v>1.8</v>
      </c>
      <c r="I114" s="721" t="n">
        <v>2.66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787" t="inlineStr">
        <is>
          <t>Сосиски «Сливушки с сыром» ф/в 0,3 п/а ТМ «Вязанка»</t>
        </is>
      </c>
      <c r="O114" s="723" t="n"/>
      <c r="P114" s="723" t="n"/>
      <c r="Q114" s="723" t="n"/>
      <c r="R114" s="689" t="n"/>
      <c r="S114" s="40" t="inlineStr"/>
      <c r="T114" s="40" t="inlineStr"/>
      <c r="U114" s="41" t="inlineStr">
        <is>
          <t>кг</t>
        </is>
      </c>
      <c r="V114" s="724" t="n">
        <v>0</v>
      </c>
      <c r="W114" s="725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>
      <c r="A115" s="407" t="n"/>
      <c r="B115" s="677" t="n"/>
      <c r="C115" s="677" t="n"/>
      <c r="D115" s="677" t="n"/>
      <c r="E115" s="677" t="n"/>
      <c r="F115" s="677" t="n"/>
      <c r="G115" s="677" t="n"/>
      <c r="H115" s="677" t="n"/>
      <c r="I115" s="677" t="n"/>
      <c r="J115" s="677" t="n"/>
      <c r="K115" s="677" t="n"/>
      <c r="L115" s="677" t="n"/>
      <c r="M115" s="726" t="n"/>
      <c r="N115" s="727" t="inlineStr">
        <is>
          <t>Итого</t>
        </is>
      </c>
      <c r="O115" s="697" t="n"/>
      <c r="P115" s="697" t="n"/>
      <c r="Q115" s="697" t="n"/>
      <c r="R115" s="697" t="n"/>
      <c r="S115" s="697" t="n"/>
      <c r="T115" s="698" t="n"/>
      <c r="U115" s="43" t="inlineStr">
        <is>
          <t>кор</t>
        </is>
      </c>
      <c r="V115" s="728">
        <f>IFERROR(V106/H106,"0")+IFERROR(V107/H107,"0")+IFERROR(V108/H108,"0")+IFERROR(V109/H109,"0")+IFERROR(V110/H110,"0")+IFERROR(V111/H111,"0")+IFERROR(V112/H112,"0")+IFERROR(V113/H113,"0")+IFERROR(V114/H114,"0")</f>
        <v/>
      </c>
      <c r="W115" s="728">
        <f>IFERROR(W106/H106,"0")+IFERROR(W107/H107,"0")+IFERROR(W108/H108,"0")+IFERROR(W109/H109,"0")+IFERROR(W110/H110,"0")+IFERROR(W111/H111,"0")+IFERROR(W112/H112,"0")+IFERROR(W113/H113,"0")+IFERROR(W114/H114,"0")</f>
        <v/>
      </c>
      <c r="X115" s="728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/>
      </c>
      <c r="Y115" s="729" t="n"/>
      <c r="Z115" s="729" t="n"/>
    </row>
    <row r="116">
      <c r="A116" s="677" t="n"/>
      <c r="B116" s="677" t="n"/>
      <c r="C116" s="677" t="n"/>
      <c r="D116" s="677" t="n"/>
      <c r="E116" s="677" t="n"/>
      <c r="F116" s="677" t="n"/>
      <c r="G116" s="677" t="n"/>
      <c r="H116" s="677" t="n"/>
      <c r="I116" s="677" t="n"/>
      <c r="J116" s="677" t="n"/>
      <c r="K116" s="677" t="n"/>
      <c r="L116" s="677" t="n"/>
      <c r="M116" s="726" t="n"/>
      <c r="N116" s="727" t="inlineStr">
        <is>
          <t>Итого</t>
        </is>
      </c>
      <c r="O116" s="697" t="n"/>
      <c r="P116" s="697" t="n"/>
      <c r="Q116" s="697" t="n"/>
      <c r="R116" s="697" t="n"/>
      <c r="S116" s="697" t="n"/>
      <c r="T116" s="698" t="n"/>
      <c r="U116" s="43" t="inlineStr">
        <is>
          <t>кг</t>
        </is>
      </c>
      <c r="V116" s="728">
        <f>IFERROR(SUM(V106:V114),"0")</f>
        <v/>
      </c>
      <c r="W116" s="728">
        <f>IFERROR(SUM(W106:W114),"0")</f>
        <v/>
      </c>
      <c r="X116" s="43" t="n"/>
      <c r="Y116" s="729" t="n"/>
      <c r="Z116" s="729" t="n"/>
    </row>
    <row r="117" ht="14.25" customHeight="1">
      <c r="A117" s="398" t="inlineStr">
        <is>
          <t>Сардельки</t>
        </is>
      </c>
      <c r="B117" s="677" t="n"/>
      <c r="C117" s="677" t="n"/>
      <c r="D117" s="677" t="n"/>
      <c r="E117" s="677" t="n"/>
      <c r="F117" s="677" t="n"/>
      <c r="G117" s="677" t="n"/>
      <c r="H117" s="677" t="n"/>
      <c r="I117" s="677" t="n"/>
      <c r="J117" s="677" t="n"/>
      <c r="K117" s="677" t="n"/>
      <c r="L117" s="677" t="n"/>
      <c r="M117" s="677" t="n"/>
      <c r="N117" s="677" t="n"/>
      <c r="O117" s="677" t="n"/>
      <c r="P117" s="677" t="n"/>
      <c r="Q117" s="677" t="n"/>
      <c r="R117" s="677" t="n"/>
      <c r="S117" s="677" t="n"/>
      <c r="T117" s="677" t="n"/>
      <c r="U117" s="677" t="n"/>
      <c r="V117" s="677" t="n"/>
      <c r="W117" s="677" t="n"/>
      <c r="X117" s="677" t="n"/>
      <c r="Y117" s="398" t="n"/>
      <c r="Z117" s="398" t="n"/>
    </row>
    <row r="118" ht="27" customHeight="1">
      <c r="A118" s="64" t="inlineStr">
        <is>
          <t>SU002071</t>
        </is>
      </c>
      <c r="B118" s="64" t="inlineStr">
        <is>
          <t>P002233</t>
        </is>
      </c>
      <c r="C118" s="37" t="n">
        <v>4301060296</v>
      </c>
      <c r="D118" s="399" t="n">
        <v>4607091383065</v>
      </c>
      <c r="E118" s="689" t="n"/>
      <c r="F118" s="721" t="n">
        <v>0.83</v>
      </c>
      <c r="G118" s="38" t="n">
        <v>4</v>
      </c>
      <c r="H118" s="721" t="n">
        <v>3.32</v>
      </c>
      <c r="I118" s="721" t="n">
        <v>3.582</v>
      </c>
      <c r="J118" s="38" t="n">
        <v>120</v>
      </c>
      <c r="K118" s="38" t="inlineStr">
        <is>
          <t>12</t>
        </is>
      </c>
      <c r="L118" s="39" t="inlineStr">
        <is>
          <t>СК2</t>
        </is>
      </c>
      <c r="M118" s="38" t="n">
        <v>30</v>
      </c>
      <c r="N118" s="788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8" s="723" t="n"/>
      <c r="P118" s="723" t="n"/>
      <c r="Q118" s="723" t="n"/>
      <c r="R118" s="689" t="n"/>
      <c r="S118" s="40" t="inlineStr"/>
      <c r="T118" s="40" t="inlineStr"/>
      <c r="U118" s="41" t="inlineStr">
        <is>
          <t>кг</t>
        </is>
      </c>
      <c r="V118" s="724" t="n">
        <v>0</v>
      </c>
      <c r="W118" s="725">
        <f>IFERROR(IF(V118="",0,CEILING((V118/$H118),1)*$H118),"")</f>
        <v/>
      </c>
      <c r="X118" s="42">
        <f>IFERROR(IF(W118=0,"",ROUNDUP(W118/H118,0)*0.00937),"")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SU002835</t>
        </is>
      </c>
      <c r="B119" s="64" t="inlineStr">
        <is>
          <t>P003237</t>
        </is>
      </c>
      <c r="C119" s="37" t="n">
        <v>4301060350</v>
      </c>
      <c r="D119" s="399" t="n">
        <v>4680115881532</v>
      </c>
      <c r="E119" s="689" t="n"/>
      <c r="F119" s="721" t="n">
        <v>1.35</v>
      </c>
      <c r="G119" s="38" t="n">
        <v>6</v>
      </c>
      <c r="H119" s="721" t="n">
        <v>8.1</v>
      </c>
      <c r="I119" s="721" t="n">
        <v>8.58</v>
      </c>
      <c r="J119" s="38" t="n">
        <v>56</v>
      </c>
      <c r="K119" s="38" t="inlineStr">
        <is>
          <t>8</t>
        </is>
      </c>
      <c r="L119" s="39" t="inlineStr">
        <is>
          <t>СК3</t>
        </is>
      </c>
      <c r="M119" s="38" t="n">
        <v>30</v>
      </c>
      <c r="N119" s="789">
        <f>HYPERLINK("https://abi.ru/products/Охлажденные/Вязанка/Вязанка/Сардельки/P003237/","Сардельки «Филейские» Весовые NDX мгс ТМ «Вязанка»")</f>
        <v/>
      </c>
      <c r="O119" s="723" t="n"/>
      <c r="P119" s="723" t="n"/>
      <c r="Q119" s="723" t="n"/>
      <c r="R119" s="689" t="n"/>
      <c r="S119" s="40" t="inlineStr"/>
      <c r="T119" s="40" t="inlineStr"/>
      <c r="U119" s="41" t="inlineStr">
        <is>
          <t>кг</t>
        </is>
      </c>
      <c r="V119" s="724" t="n">
        <v>0</v>
      </c>
      <c r="W119" s="725">
        <f>IFERROR(IF(V119="",0,CEILING((V119/$H119),1)*$H119),"")</f>
        <v/>
      </c>
      <c r="X119" s="42">
        <f>IFERROR(IF(W119=0,"",ROUNDUP(W119/H119,0)*0.02175),"")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P003906</t>
        </is>
      </c>
      <c r="C120" s="37" t="n">
        <v>4301060371</v>
      </c>
      <c r="D120" s="399" t="n">
        <v>4680115881532</v>
      </c>
      <c r="E120" s="689" t="n"/>
      <c r="F120" s="721" t="n">
        <v>1.4</v>
      </c>
      <c r="G120" s="38" t="n">
        <v>6</v>
      </c>
      <c r="H120" s="721" t="n">
        <v>8.4</v>
      </c>
      <c r="I120" s="721" t="n">
        <v>8.964</v>
      </c>
      <c r="J120" s="38" t="n">
        <v>56</v>
      </c>
      <c r="K120" s="38" t="inlineStr">
        <is>
          <t>8</t>
        </is>
      </c>
      <c r="L120" s="39" t="inlineStr">
        <is>
          <t>СК2</t>
        </is>
      </c>
      <c r="M120" s="38" t="n">
        <v>30</v>
      </c>
      <c r="N120" s="790" t="inlineStr">
        <is>
          <t>Сардельки «Филейские» Весовые н/о мгс ТМ «Вязанка»</t>
        </is>
      </c>
      <c r="O120" s="723" t="n"/>
      <c r="P120" s="723" t="n"/>
      <c r="Q120" s="723" t="n"/>
      <c r="R120" s="689" t="n"/>
      <c r="S120" s="40" t="inlineStr"/>
      <c r="T120" s="40" t="inlineStr"/>
      <c r="U120" s="41" t="inlineStr">
        <is>
          <t>кг</t>
        </is>
      </c>
      <c r="V120" s="724" t="n">
        <v>5</v>
      </c>
      <c r="W120" s="725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SU002835</t>
        </is>
      </c>
      <c r="B121" s="64" t="inlineStr">
        <is>
          <t>P003883</t>
        </is>
      </c>
      <c r="C121" s="37" t="n">
        <v>4301060366</v>
      </c>
      <c r="D121" s="399" t="n">
        <v>4680115881532</v>
      </c>
      <c r="E121" s="689" t="n"/>
      <c r="F121" s="721" t="n">
        <v>1.3</v>
      </c>
      <c r="G121" s="38" t="n">
        <v>6</v>
      </c>
      <c r="H121" s="721" t="n">
        <v>7.8</v>
      </c>
      <c r="I121" s="721" t="n">
        <v>8.279999999999999</v>
      </c>
      <c r="J121" s="38" t="n">
        <v>56</v>
      </c>
      <c r="K121" s="38" t="inlineStr">
        <is>
          <t>8</t>
        </is>
      </c>
      <c r="L121" s="39" t="inlineStr">
        <is>
          <t>СК2</t>
        </is>
      </c>
      <c r="M121" s="38" t="n">
        <v>30</v>
      </c>
      <c r="N121" s="791" t="inlineStr">
        <is>
          <t>Сардельки «Филейские» Весовые н/о мгс ТМ «Вязанка»</t>
        </is>
      </c>
      <c r="O121" s="723" t="n"/>
      <c r="P121" s="723" t="n"/>
      <c r="Q121" s="723" t="n"/>
      <c r="R121" s="689" t="n"/>
      <c r="S121" s="40" t="inlineStr"/>
      <c r="T121" s="40" t="inlineStr"/>
      <c r="U121" s="41" t="inlineStr">
        <is>
          <t>кг</t>
        </is>
      </c>
      <c r="V121" s="724" t="n">
        <v>0</v>
      </c>
      <c r="W121" s="725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SU002997</t>
        </is>
      </c>
      <c r="B122" s="64" t="inlineStr">
        <is>
          <t>P003465</t>
        </is>
      </c>
      <c r="C122" s="37" t="n">
        <v>4301060356</v>
      </c>
      <c r="D122" s="399" t="n">
        <v>4680115882652</v>
      </c>
      <c r="E122" s="689" t="n"/>
      <c r="F122" s="721" t="n">
        <v>0.33</v>
      </c>
      <c r="G122" s="38" t="n">
        <v>6</v>
      </c>
      <c r="H122" s="721" t="n">
        <v>1.98</v>
      </c>
      <c r="I122" s="721" t="n">
        <v>2.84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92" t="inlineStr">
        <is>
          <t>Сардельки «Сливушки с сыром #минидельки» ф/в 0,33 айпил ТМ «Вязанка»</t>
        </is>
      </c>
      <c r="O122" s="723" t="n"/>
      <c r="P122" s="723" t="n"/>
      <c r="Q122" s="723" t="n"/>
      <c r="R122" s="689" t="n"/>
      <c r="S122" s="40" t="inlineStr"/>
      <c r="T122" s="40" t="inlineStr"/>
      <c r="U122" s="41" t="inlineStr">
        <is>
          <t>кг</t>
        </is>
      </c>
      <c r="V122" s="724" t="n">
        <v>3</v>
      </c>
      <c r="W122" s="725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16.5" customHeight="1">
      <c r="A123" s="64" t="inlineStr">
        <is>
          <t>SU002367</t>
        </is>
      </c>
      <c r="B123" s="64" t="inlineStr">
        <is>
          <t>P002644</t>
        </is>
      </c>
      <c r="C123" s="37" t="n">
        <v>4301060309</v>
      </c>
      <c r="D123" s="399" t="n">
        <v>4680115880238</v>
      </c>
      <c r="E123" s="689" t="n"/>
      <c r="F123" s="721" t="n">
        <v>0.33</v>
      </c>
      <c r="G123" s="38" t="n">
        <v>6</v>
      </c>
      <c r="H123" s="721" t="n">
        <v>1.98</v>
      </c>
      <c r="I123" s="721" t="n">
        <v>2.258</v>
      </c>
      <c r="J123" s="38" t="n">
        <v>156</v>
      </c>
      <c r="K123" s="38" t="inlineStr">
        <is>
          <t>12</t>
        </is>
      </c>
      <c r="L123" s="39" t="inlineStr">
        <is>
          <t>СК2</t>
        </is>
      </c>
      <c r="M123" s="38" t="n">
        <v>40</v>
      </c>
      <c r="N123" s="793">
        <f>HYPERLINK("https://abi.ru/products/Охлажденные/Вязанка/Вязанка/Сардельки/P002644/","Сардельки Сливушки фикс.вес 0,33 п/а мгс ТМ Вязанка")</f>
        <v/>
      </c>
      <c r="O123" s="723" t="n"/>
      <c r="P123" s="723" t="n"/>
      <c r="Q123" s="723" t="n"/>
      <c r="R123" s="689" t="n"/>
      <c r="S123" s="40" t="inlineStr"/>
      <c r="T123" s="40" t="inlineStr"/>
      <c r="U123" s="41" t="inlineStr">
        <is>
          <t>кг</t>
        </is>
      </c>
      <c r="V123" s="724" t="n">
        <v>0</v>
      </c>
      <c r="W123" s="725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SU002834</t>
        </is>
      </c>
      <c r="B124" s="64" t="inlineStr">
        <is>
          <t>P003238</t>
        </is>
      </c>
      <c r="C124" s="37" t="n">
        <v>4301060351</v>
      </c>
      <c r="D124" s="399" t="n">
        <v>4680115881464</v>
      </c>
      <c r="E124" s="689" t="n"/>
      <c r="F124" s="721" t="n">
        <v>0.4</v>
      </c>
      <c r="G124" s="38" t="n">
        <v>6</v>
      </c>
      <c r="H124" s="721" t="n">
        <v>2.4</v>
      </c>
      <c r="I124" s="721" t="n">
        <v>2.6</v>
      </c>
      <c r="J124" s="38" t="n">
        <v>156</v>
      </c>
      <c r="K124" s="38" t="inlineStr">
        <is>
          <t>12</t>
        </is>
      </c>
      <c r="L124" s="39" t="inlineStr">
        <is>
          <t>СК3</t>
        </is>
      </c>
      <c r="M124" s="38" t="n">
        <v>30</v>
      </c>
      <c r="N124" s="794" t="inlineStr">
        <is>
          <t>Сардельки «Филейские» Фикс.вес 0,4 NDX мгс ТМ «Вязанка»</t>
        </is>
      </c>
      <c r="O124" s="723" t="n"/>
      <c r="P124" s="723" t="n"/>
      <c r="Q124" s="723" t="n"/>
      <c r="R124" s="689" t="n"/>
      <c r="S124" s="40" t="inlineStr"/>
      <c r="T124" s="40" t="inlineStr"/>
      <c r="U124" s="41" t="inlineStr">
        <is>
          <t>кг</t>
        </is>
      </c>
      <c r="V124" s="724" t="n">
        <v>0</v>
      </c>
      <c r="W124" s="725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8" t="inlineStr">
        <is>
          <t>КИ</t>
        </is>
      </c>
    </row>
    <row r="125">
      <c r="A125" s="407" t="n"/>
      <c r="B125" s="677" t="n"/>
      <c r="C125" s="677" t="n"/>
      <c r="D125" s="677" t="n"/>
      <c r="E125" s="677" t="n"/>
      <c r="F125" s="677" t="n"/>
      <c r="G125" s="677" t="n"/>
      <c r="H125" s="677" t="n"/>
      <c r="I125" s="677" t="n"/>
      <c r="J125" s="677" t="n"/>
      <c r="K125" s="677" t="n"/>
      <c r="L125" s="677" t="n"/>
      <c r="M125" s="726" t="n"/>
      <c r="N125" s="727" t="inlineStr">
        <is>
          <t>Итого</t>
        </is>
      </c>
      <c r="O125" s="697" t="n"/>
      <c r="P125" s="697" t="n"/>
      <c r="Q125" s="697" t="n"/>
      <c r="R125" s="697" t="n"/>
      <c r="S125" s="697" t="n"/>
      <c r="T125" s="698" t="n"/>
      <c r="U125" s="43" t="inlineStr">
        <is>
          <t>кор</t>
        </is>
      </c>
      <c r="V125" s="728">
        <f>IFERROR(V118/H118,"0")+IFERROR(V119/H119,"0")+IFERROR(V120/H120,"0")+IFERROR(V121/H121,"0")+IFERROR(V122/H122,"0")+IFERROR(V123/H123,"0")+IFERROR(V124/H124,"0")</f>
        <v/>
      </c>
      <c r="W125" s="728">
        <f>IFERROR(W118/H118,"0")+IFERROR(W119/H119,"0")+IFERROR(W120/H120,"0")+IFERROR(W121/H121,"0")+IFERROR(W122/H122,"0")+IFERROR(W123/H123,"0")+IFERROR(W124/H124,"0")</f>
        <v/>
      </c>
      <c r="X125" s="728">
        <f>IFERROR(IF(X118="",0,X118),"0")+IFERROR(IF(X119="",0,X119),"0")+IFERROR(IF(X120="",0,X120),"0")+IFERROR(IF(X121="",0,X121),"0")+IFERROR(IF(X122="",0,X122),"0")+IFERROR(IF(X123="",0,X123),"0")+IFERROR(IF(X124="",0,X124),"0")</f>
        <v/>
      </c>
      <c r="Y125" s="729" t="n"/>
      <c r="Z125" s="729" t="n"/>
    </row>
    <row r="126">
      <c r="A126" s="677" t="n"/>
      <c r="B126" s="677" t="n"/>
      <c r="C126" s="677" t="n"/>
      <c r="D126" s="677" t="n"/>
      <c r="E126" s="677" t="n"/>
      <c r="F126" s="677" t="n"/>
      <c r="G126" s="677" t="n"/>
      <c r="H126" s="677" t="n"/>
      <c r="I126" s="677" t="n"/>
      <c r="J126" s="677" t="n"/>
      <c r="K126" s="677" t="n"/>
      <c r="L126" s="677" t="n"/>
      <c r="M126" s="726" t="n"/>
      <c r="N126" s="727" t="inlineStr">
        <is>
          <t>Итого</t>
        </is>
      </c>
      <c r="O126" s="697" t="n"/>
      <c r="P126" s="697" t="n"/>
      <c r="Q126" s="697" t="n"/>
      <c r="R126" s="697" t="n"/>
      <c r="S126" s="697" t="n"/>
      <c r="T126" s="698" t="n"/>
      <c r="U126" s="43" t="inlineStr">
        <is>
          <t>кг</t>
        </is>
      </c>
      <c r="V126" s="728">
        <f>IFERROR(SUM(V118:V124),"0")</f>
        <v/>
      </c>
      <c r="W126" s="728">
        <f>IFERROR(SUM(W118:W124),"0")</f>
        <v/>
      </c>
      <c r="X126" s="43" t="n"/>
      <c r="Y126" s="729" t="n"/>
      <c r="Z126" s="729" t="n"/>
    </row>
    <row r="127" ht="16.5" customHeight="1">
      <c r="A127" s="397" t="inlineStr">
        <is>
          <t>Сливушки</t>
        </is>
      </c>
      <c r="B127" s="677" t="n"/>
      <c r="C127" s="677" t="n"/>
      <c r="D127" s="677" t="n"/>
      <c r="E127" s="677" t="n"/>
      <c r="F127" s="677" t="n"/>
      <c r="G127" s="677" t="n"/>
      <c r="H127" s="677" t="n"/>
      <c r="I127" s="677" t="n"/>
      <c r="J127" s="677" t="n"/>
      <c r="K127" s="677" t="n"/>
      <c r="L127" s="677" t="n"/>
      <c r="M127" s="677" t="n"/>
      <c r="N127" s="677" t="n"/>
      <c r="O127" s="677" t="n"/>
      <c r="P127" s="677" t="n"/>
      <c r="Q127" s="677" t="n"/>
      <c r="R127" s="677" t="n"/>
      <c r="S127" s="677" t="n"/>
      <c r="T127" s="677" t="n"/>
      <c r="U127" s="677" t="n"/>
      <c r="V127" s="677" t="n"/>
      <c r="W127" s="677" t="n"/>
      <c r="X127" s="677" t="n"/>
      <c r="Y127" s="397" t="n"/>
      <c r="Z127" s="397" t="n"/>
    </row>
    <row r="128" ht="14.25" customHeight="1">
      <c r="A128" s="398" t="inlineStr">
        <is>
          <t>Сосиски</t>
        </is>
      </c>
      <c r="B128" s="677" t="n"/>
      <c r="C128" s="677" t="n"/>
      <c r="D128" s="677" t="n"/>
      <c r="E128" s="677" t="n"/>
      <c r="F128" s="677" t="n"/>
      <c r="G128" s="677" t="n"/>
      <c r="H128" s="677" t="n"/>
      <c r="I128" s="677" t="n"/>
      <c r="J128" s="677" t="n"/>
      <c r="K128" s="677" t="n"/>
      <c r="L128" s="677" t="n"/>
      <c r="M128" s="677" t="n"/>
      <c r="N128" s="677" t="n"/>
      <c r="O128" s="677" t="n"/>
      <c r="P128" s="677" t="n"/>
      <c r="Q128" s="677" t="n"/>
      <c r="R128" s="677" t="n"/>
      <c r="S128" s="677" t="n"/>
      <c r="T128" s="677" t="n"/>
      <c r="U128" s="677" t="n"/>
      <c r="V128" s="677" t="n"/>
      <c r="W128" s="677" t="n"/>
      <c r="X128" s="677" t="n"/>
      <c r="Y128" s="398" t="n"/>
      <c r="Z128" s="398" t="n"/>
    </row>
    <row r="129" ht="27" customHeight="1">
      <c r="A129" s="64" t="inlineStr">
        <is>
          <t>SU001721</t>
        </is>
      </c>
      <c r="B129" s="64" t="inlineStr">
        <is>
          <t>P003161</t>
        </is>
      </c>
      <c r="C129" s="37" t="n">
        <v>4301051360</v>
      </c>
      <c r="D129" s="399" t="n">
        <v>4607091385168</v>
      </c>
      <c r="E129" s="689" t="n"/>
      <c r="F129" s="721" t="n">
        <v>1.35</v>
      </c>
      <c r="G129" s="38" t="n">
        <v>6</v>
      </c>
      <c r="H129" s="721" t="n">
        <v>8.1</v>
      </c>
      <c r="I129" s="721" t="n">
        <v>8.657999999999999</v>
      </c>
      <c r="J129" s="38" t="n">
        <v>56</v>
      </c>
      <c r="K129" s="38" t="inlineStr">
        <is>
          <t>8</t>
        </is>
      </c>
      <c r="L129" s="39" t="inlineStr">
        <is>
          <t>СК3</t>
        </is>
      </c>
      <c r="M129" s="38" t="n">
        <v>45</v>
      </c>
      <c r="N129" s="795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9" s="723" t="n"/>
      <c r="P129" s="723" t="n"/>
      <c r="Q129" s="723" t="n"/>
      <c r="R129" s="689" t="n"/>
      <c r="S129" s="40" t="inlineStr"/>
      <c r="T129" s="40" t="inlineStr"/>
      <c r="U129" s="41" t="inlineStr">
        <is>
          <t>кг</t>
        </is>
      </c>
      <c r="V129" s="724" t="n">
        <v>0</v>
      </c>
      <c r="W129" s="725">
        <f>IFERROR(IF(V129="",0,CEILING((V129/$H129),1)*$H129),"")</f>
        <v/>
      </c>
      <c r="X129" s="42">
        <f>IFERROR(IF(W129=0,"",ROUNDUP(W129/H129,0)*0.02175),"")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27" customHeight="1">
      <c r="A130" s="64" t="inlineStr">
        <is>
          <t>SU001721</t>
        </is>
      </c>
      <c r="B130" s="64" t="inlineStr">
        <is>
          <t>P003905</t>
        </is>
      </c>
      <c r="C130" s="37" t="n">
        <v>4301051612</v>
      </c>
      <c r="D130" s="399" t="n">
        <v>4607091385168</v>
      </c>
      <c r="E130" s="689" t="n"/>
      <c r="F130" s="721" t="n">
        <v>1.4</v>
      </c>
      <c r="G130" s="38" t="n">
        <v>6</v>
      </c>
      <c r="H130" s="721" t="n">
        <v>8.4</v>
      </c>
      <c r="I130" s="721" t="n">
        <v>8.958</v>
      </c>
      <c r="J130" s="38" t="n">
        <v>56</v>
      </c>
      <c r="K130" s="38" t="inlineStr">
        <is>
          <t>8</t>
        </is>
      </c>
      <c r="L130" s="39" t="inlineStr">
        <is>
          <t>СК2</t>
        </is>
      </c>
      <c r="M130" s="38" t="n">
        <v>45</v>
      </c>
      <c r="N130" s="796" t="inlineStr">
        <is>
          <t>Сосиски «Вязанка Сливочные» Весовые П/а мгс ТМ «Вязанка»</t>
        </is>
      </c>
      <c r="O130" s="723" t="n"/>
      <c r="P130" s="723" t="n"/>
      <c r="Q130" s="723" t="n"/>
      <c r="R130" s="689" t="n"/>
      <c r="S130" s="40" t="inlineStr"/>
      <c r="T130" s="40" t="inlineStr"/>
      <c r="U130" s="41" t="inlineStr">
        <is>
          <t>кг</t>
        </is>
      </c>
      <c r="V130" s="724" t="n">
        <v>158</v>
      </c>
      <c r="W130" s="725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40" t="inlineStr">
        <is>
          <t>КИ</t>
        </is>
      </c>
    </row>
    <row r="131" ht="16.5" customHeight="1">
      <c r="A131" s="64" t="inlineStr">
        <is>
          <t>SU002139</t>
        </is>
      </c>
      <c r="B131" s="64" t="inlineStr">
        <is>
          <t>P003162</t>
        </is>
      </c>
      <c r="C131" s="37" t="n">
        <v>4301051362</v>
      </c>
      <c r="D131" s="399" t="n">
        <v>4607091383256</v>
      </c>
      <c r="E131" s="689" t="n"/>
      <c r="F131" s="721" t="n">
        <v>0.33</v>
      </c>
      <c r="G131" s="38" t="n">
        <v>6</v>
      </c>
      <c r="H131" s="721" t="n">
        <v>1.98</v>
      </c>
      <c r="I131" s="721" t="n">
        <v>2.246</v>
      </c>
      <c r="J131" s="38" t="n">
        <v>156</v>
      </c>
      <c r="K131" s="38" t="inlineStr">
        <is>
          <t>12</t>
        </is>
      </c>
      <c r="L131" s="39" t="inlineStr">
        <is>
          <t>СК3</t>
        </is>
      </c>
      <c r="M131" s="38" t="n">
        <v>45</v>
      </c>
      <c r="N131" s="797">
        <f>HYPERLINK("https://abi.ru/products/Охлажденные/Вязанка/Сливушки/Сосиски/P003162/","Сосиски Сливочные Сливушки Фикс.вес 0,33 П/а мгс Вязанка")</f>
        <v/>
      </c>
      <c r="O131" s="723" t="n"/>
      <c r="P131" s="723" t="n"/>
      <c r="Q131" s="723" t="n"/>
      <c r="R131" s="689" t="n"/>
      <c r="S131" s="40" t="inlineStr"/>
      <c r="T131" s="40" t="inlineStr"/>
      <c r="U131" s="41" t="inlineStr">
        <is>
          <t>кг</t>
        </is>
      </c>
      <c r="V131" s="724" t="n">
        <v>0</v>
      </c>
      <c r="W131" s="725">
        <f>IFERROR(IF(V131="",0,CEILING((V131/$H131),1)*$H131),"")</f>
        <v/>
      </c>
      <c r="X131" s="42">
        <f>IFERROR(IF(W131=0,"",ROUNDUP(W131/H131,0)*0.00753),"")</f>
        <v/>
      </c>
      <c r="Y131" s="69" t="inlineStr"/>
      <c r="Z131" s="70" t="inlineStr"/>
      <c r="AD131" s="71" t="n"/>
      <c r="BA131" s="141" t="inlineStr">
        <is>
          <t>КИ</t>
        </is>
      </c>
    </row>
    <row r="132" ht="16.5" customHeight="1">
      <c r="A132" s="64" t="inlineStr">
        <is>
          <t>SU001720</t>
        </is>
      </c>
      <c r="B132" s="64" t="inlineStr">
        <is>
          <t>P003160</t>
        </is>
      </c>
      <c r="C132" s="37" t="n">
        <v>4301051358</v>
      </c>
      <c r="D132" s="399" t="n">
        <v>4607091385748</v>
      </c>
      <c r="E132" s="689" t="n"/>
      <c r="F132" s="721" t="n">
        <v>0.45</v>
      </c>
      <c r="G132" s="38" t="n">
        <v>6</v>
      </c>
      <c r="H132" s="721" t="n">
        <v>2.7</v>
      </c>
      <c r="I132" s="721" t="n">
        <v>2.972</v>
      </c>
      <c r="J132" s="38" t="n">
        <v>156</v>
      </c>
      <c r="K132" s="38" t="inlineStr">
        <is>
          <t>12</t>
        </is>
      </c>
      <c r="L132" s="39" t="inlineStr">
        <is>
          <t>СК3</t>
        </is>
      </c>
      <c r="M132" s="38" t="n">
        <v>45</v>
      </c>
      <c r="N132" s="798">
        <f>HYPERLINK("https://abi.ru/products/Охлажденные/Вязанка/Сливушки/Сосиски/P003160/","Сосиски Сливочные Сливушки Фикс.вес 0,45 П/а мгс Вязанка")</f>
        <v/>
      </c>
      <c r="O132" s="723" t="n"/>
      <c r="P132" s="723" t="n"/>
      <c r="Q132" s="723" t="n"/>
      <c r="R132" s="689" t="n"/>
      <c r="S132" s="40" t="inlineStr"/>
      <c r="T132" s="40" t="inlineStr"/>
      <c r="U132" s="41" t="inlineStr">
        <is>
          <t>кг</t>
        </is>
      </c>
      <c r="V132" s="724" t="n">
        <v>0</v>
      </c>
      <c r="W132" s="725">
        <f>IFERROR(IF(V132="",0,CEILING((V132/$H132),1)*$H132),"")</f>
        <v/>
      </c>
      <c r="X132" s="42">
        <f>IFERROR(IF(W132=0,"",ROUNDUP(W132/H132,0)*0.00753),"")</f>
        <v/>
      </c>
      <c r="Y132" s="69" t="inlineStr"/>
      <c r="Z132" s="70" t="inlineStr"/>
      <c r="AD132" s="71" t="n"/>
      <c r="BA132" s="142" t="inlineStr">
        <is>
          <t>КИ</t>
        </is>
      </c>
    </row>
    <row r="133">
      <c r="A133" s="407" t="n"/>
      <c r="B133" s="677" t="n"/>
      <c r="C133" s="677" t="n"/>
      <c r="D133" s="677" t="n"/>
      <c r="E133" s="677" t="n"/>
      <c r="F133" s="677" t="n"/>
      <c r="G133" s="677" t="n"/>
      <c r="H133" s="677" t="n"/>
      <c r="I133" s="677" t="n"/>
      <c r="J133" s="677" t="n"/>
      <c r="K133" s="677" t="n"/>
      <c r="L133" s="677" t="n"/>
      <c r="M133" s="726" t="n"/>
      <c r="N133" s="727" t="inlineStr">
        <is>
          <t>Итого</t>
        </is>
      </c>
      <c r="O133" s="697" t="n"/>
      <c r="P133" s="697" t="n"/>
      <c r="Q133" s="697" t="n"/>
      <c r="R133" s="697" t="n"/>
      <c r="S133" s="697" t="n"/>
      <c r="T133" s="698" t="n"/>
      <c r="U133" s="43" t="inlineStr">
        <is>
          <t>кор</t>
        </is>
      </c>
      <c r="V133" s="728">
        <f>IFERROR(V129/H129,"0")+IFERROR(V130/H130,"0")+IFERROR(V131/H131,"0")+IFERROR(V132/H132,"0")</f>
        <v/>
      </c>
      <c r="W133" s="728">
        <f>IFERROR(W129/H129,"0")+IFERROR(W130/H130,"0")+IFERROR(W131/H131,"0")+IFERROR(W132/H132,"0")</f>
        <v/>
      </c>
      <c r="X133" s="728">
        <f>IFERROR(IF(X129="",0,X129),"0")+IFERROR(IF(X130="",0,X130),"0")+IFERROR(IF(X131="",0,X131),"0")+IFERROR(IF(X132="",0,X132),"0")</f>
        <v/>
      </c>
      <c r="Y133" s="729" t="n"/>
      <c r="Z133" s="729" t="n"/>
    </row>
    <row r="134">
      <c r="A134" s="677" t="n"/>
      <c r="B134" s="677" t="n"/>
      <c r="C134" s="677" t="n"/>
      <c r="D134" s="677" t="n"/>
      <c r="E134" s="677" t="n"/>
      <c r="F134" s="677" t="n"/>
      <c r="G134" s="677" t="n"/>
      <c r="H134" s="677" t="n"/>
      <c r="I134" s="677" t="n"/>
      <c r="J134" s="677" t="n"/>
      <c r="K134" s="677" t="n"/>
      <c r="L134" s="677" t="n"/>
      <c r="M134" s="726" t="n"/>
      <c r="N134" s="727" t="inlineStr">
        <is>
          <t>Итого</t>
        </is>
      </c>
      <c r="O134" s="697" t="n"/>
      <c r="P134" s="697" t="n"/>
      <c r="Q134" s="697" t="n"/>
      <c r="R134" s="697" t="n"/>
      <c r="S134" s="697" t="n"/>
      <c r="T134" s="698" t="n"/>
      <c r="U134" s="43" t="inlineStr">
        <is>
          <t>кг</t>
        </is>
      </c>
      <c r="V134" s="728">
        <f>IFERROR(SUM(V129:V132),"0")</f>
        <v/>
      </c>
      <c r="W134" s="728">
        <f>IFERROR(SUM(W129:W132),"0")</f>
        <v/>
      </c>
      <c r="X134" s="43" t="n"/>
      <c r="Y134" s="729" t="n"/>
      <c r="Z134" s="729" t="n"/>
    </row>
    <row r="135" ht="27.75" customHeight="1">
      <c r="A135" s="396" t="inlineStr">
        <is>
          <t>Стародворье</t>
        </is>
      </c>
      <c r="B135" s="720" t="n"/>
      <c r="C135" s="720" t="n"/>
      <c r="D135" s="720" t="n"/>
      <c r="E135" s="720" t="n"/>
      <c r="F135" s="720" t="n"/>
      <c r="G135" s="720" t="n"/>
      <c r="H135" s="720" t="n"/>
      <c r="I135" s="720" t="n"/>
      <c r="J135" s="720" t="n"/>
      <c r="K135" s="720" t="n"/>
      <c r="L135" s="720" t="n"/>
      <c r="M135" s="720" t="n"/>
      <c r="N135" s="720" t="n"/>
      <c r="O135" s="720" t="n"/>
      <c r="P135" s="720" t="n"/>
      <c r="Q135" s="720" t="n"/>
      <c r="R135" s="720" t="n"/>
      <c r="S135" s="720" t="n"/>
      <c r="T135" s="720" t="n"/>
      <c r="U135" s="720" t="n"/>
      <c r="V135" s="720" t="n"/>
      <c r="W135" s="720" t="n"/>
      <c r="X135" s="720" t="n"/>
      <c r="Y135" s="55" t="n"/>
      <c r="Z135" s="55" t="n"/>
    </row>
    <row r="136" ht="16.5" customHeight="1">
      <c r="A136" s="397" t="inlineStr">
        <is>
          <t>Золоченная в печи</t>
        </is>
      </c>
      <c r="B136" s="677" t="n"/>
      <c r="C136" s="677" t="n"/>
      <c r="D136" s="677" t="n"/>
      <c r="E136" s="677" t="n"/>
      <c r="F136" s="677" t="n"/>
      <c r="G136" s="677" t="n"/>
      <c r="H136" s="677" t="n"/>
      <c r="I136" s="677" t="n"/>
      <c r="J136" s="677" t="n"/>
      <c r="K136" s="677" t="n"/>
      <c r="L136" s="677" t="n"/>
      <c r="M136" s="677" t="n"/>
      <c r="N136" s="677" t="n"/>
      <c r="O136" s="677" t="n"/>
      <c r="P136" s="677" t="n"/>
      <c r="Q136" s="677" t="n"/>
      <c r="R136" s="677" t="n"/>
      <c r="S136" s="677" t="n"/>
      <c r="T136" s="677" t="n"/>
      <c r="U136" s="677" t="n"/>
      <c r="V136" s="677" t="n"/>
      <c r="W136" s="677" t="n"/>
      <c r="X136" s="677" t="n"/>
      <c r="Y136" s="397" t="n"/>
      <c r="Z136" s="397" t="n"/>
    </row>
    <row r="137" ht="14.25" customHeight="1">
      <c r="A137" s="398" t="inlineStr">
        <is>
          <t>Вареные колбасы</t>
        </is>
      </c>
      <c r="B137" s="677" t="n"/>
      <c r="C137" s="677" t="n"/>
      <c r="D137" s="677" t="n"/>
      <c r="E137" s="677" t="n"/>
      <c r="F137" s="677" t="n"/>
      <c r="G137" s="677" t="n"/>
      <c r="H137" s="677" t="n"/>
      <c r="I137" s="677" t="n"/>
      <c r="J137" s="677" t="n"/>
      <c r="K137" s="677" t="n"/>
      <c r="L137" s="677" t="n"/>
      <c r="M137" s="677" t="n"/>
      <c r="N137" s="677" t="n"/>
      <c r="O137" s="677" t="n"/>
      <c r="P137" s="677" t="n"/>
      <c r="Q137" s="677" t="n"/>
      <c r="R137" s="677" t="n"/>
      <c r="S137" s="677" t="n"/>
      <c r="T137" s="677" t="n"/>
      <c r="U137" s="677" t="n"/>
      <c r="V137" s="677" t="n"/>
      <c r="W137" s="677" t="n"/>
      <c r="X137" s="677" t="n"/>
      <c r="Y137" s="398" t="n"/>
      <c r="Z137" s="398" t="n"/>
    </row>
    <row r="138" ht="27" customHeight="1">
      <c r="A138" s="64" t="inlineStr">
        <is>
          <t>SU002201</t>
        </is>
      </c>
      <c r="B138" s="64" t="inlineStr">
        <is>
          <t>P002567</t>
        </is>
      </c>
      <c r="C138" s="37" t="n">
        <v>4301011223</v>
      </c>
      <c r="D138" s="399" t="n">
        <v>4607091383423</v>
      </c>
      <c r="E138" s="689" t="n"/>
      <c r="F138" s="721" t="n">
        <v>1.35</v>
      </c>
      <c r="G138" s="38" t="n">
        <v>8</v>
      </c>
      <c r="H138" s="721" t="n">
        <v>10.8</v>
      </c>
      <c r="I138" s="721" t="n">
        <v>11.376</v>
      </c>
      <c r="J138" s="38" t="n">
        <v>56</v>
      </c>
      <c r="K138" s="38" t="inlineStr">
        <is>
          <t>8</t>
        </is>
      </c>
      <c r="L138" s="39" t="inlineStr">
        <is>
          <t>СК3</t>
        </is>
      </c>
      <c r="M138" s="38" t="n">
        <v>35</v>
      </c>
      <c r="N138" s="79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8" s="723" t="n"/>
      <c r="P138" s="723" t="n"/>
      <c r="Q138" s="723" t="n"/>
      <c r="R138" s="689" t="n"/>
      <c r="S138" s="40" t="inlineStr"/>
      <c r="T138" s="40" t="inlineStr"/>
      <c r="U138" s="41" t="inlineStr">
        <is>
          <t>кг</t>
        </is>
      </c>
      <c r="V138" s="724" t="n">
        <v>0</v>
      </c>
      <c r="W138" s="725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 ht="27" customHeight="1">
      <c r="A139" s="64" t="inlineStr">
        <is>
          <t>SU002203</t>
        </is>
      </c>
      <c r="B139" s="64" t="inlineStr">
        <is>
          <t>P002568</t>
        </is>
      </c>
      <c r="C139" s="37" t="n">
        <v>4301011338</v>
      </c>
      <c r="D139" s="399" t="n">
        <v>4607091381405</v>
      </c>
      <c r="E139" s="689" t="n"/>
      <c r="F139" s="721" t="n">
        <v>1.35</v>
      </c>
      <c r="G139" s="38" t="n">
        <v>8</v>
      </c>
      <c r="H139" s="721" t="n">
        <v>10.8</v>
      </c>
      <c r="I139" s="721" t="n">
        <v>11.376</v>
      </c>
      <c r="J139" s="38" t="n">
        <v>56</v>
      </c>
      <c r="K139" s="38" t="inlineStr">
        <is>
          <t>8</t>
        </is>
      </c>
      <c r="L139" s="39" t="inlineStr">
        <is>
          <t>СК2</t>
        </is>
      </c>
      <c r="M139" s="38" t="n">
        <v>35</v>
      </c>
      <c r="N139" s="80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9" s="723" t="n"/>
      <c r="P139" s="723" t="n"/>
      <c r="Q139" s="723" t="n"/>
      <c r="R139" s="689" t="n"/>
      <c r="S139" s="40" t="inlineStr"/>
      <c r="T139" s="40" t="inlineStr"/>
      <c r="U139" s="41" t="inlineStr">
        <is>
          <t>кг</t>
        </is>
      </c>
      <c r="V139" s="724" t="n">
        <v>0</v>
      </c>
      <c r="W139" s="725">
        <f>IFERROR(IF(V139="",0,CEILING((V139/$H139),1)*$H139),"")</f>
        <v/>
      </c>
      <c r="X139" s="42">
        <f>IFERROR(IF(W139=0,"",ROUNDUP(W139/H139,0)*0.02175),"")</f>
        <v/>
      </c>
      <c r="Y139" s="69" t="inlineStr"/>
      <c r="Z139" s="70" t="inlineStr"/>
      <c r="AD139" s="71" t="n"/>
      <c r="BA139" s="144" t="inlineStr">
        <is>
          <t>КИ</t>
        </is>
      </c>
    </row>
    <row r="140" ht="27" customHeight="1">
      <c r="A140" s="64" t="inlineStr">
        <is>
          <t>SU002216</t>
        </is>
      </c>
      <c r="B140" s="64" t="inlineStr">
        <is>
          <t>P002400</t>
        </is>
      </c>
      <c r="C140" s="37" t="n">
        <v>4301011333</v>
      </c>
      <c r="D140" s="399" t="n">
        <v>4607091386516</v>
      </c>
      <c r="E140" s="689" t="n"/>
      <c r="F140" s="721" t="n">
        <v>1.4</v>
      </c>
      <c r="G140" s="38" t="n">
        <v>8</v>
      </c>
      <c r="H140" s="721" t="n">
        <v>11.2</v>
      </c>
      <c r="I140" s="721" t="n">
        <v>11.776</v>
      </c>
      <c r="J140" s="38" t="n">
        <v>56</v>
      </c>
      <c r="K140" s="38" t="inlineStr">
        <is>
          <t>8</t>
        </is>
      </c>
      <c r="L140" s="39" t="inlineStr">
        <is>
          <t>СК2</t>
        </is>
      </c>
      <c r="M140" s="38" t="n">
        <v>30</v>
      </c>
      <c r="N140" s="80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0" s="723" t="n"/>
      <c r="P140" s="723" t="n"/>
      <c r="Q140" s="723" t="n"/>
      <c r="R140" s="689" t="n"/>
      <c r="S140" s="40" t="inlineStr"/>
      <c r="T140" s="40" t="inlineStr"/>
      <c r="U140" s="41" t="inlineStr">
        <is>
          <t>кг</t>
        </is>
      </c>
      <c r="V140" s="724" t="n">
        <v>0</v>
      </c>
      <c r="W140" s="725">
        <f>IFERROR(IF(V140="",0,CEILING((V140/$H140),1)*$H140),"")</f>
        <v/>
      </c>
      <c r="X140" s="42">
        <f>IFERROR(IF(W140=0,"",ROUNDUP(W140/H140,0)*0.02175),"")</f>
        <v/>
      </c>
      <c r="Y140" s="69" t="inlineStr"/>
      <c r="Z140" s="70" t="inlineStr"/>
      <c r="AD140" s="71" t="n"/>
      <c r="BA140" s="145" t="inlineStr">
        <is>
          <t>КИ</t>
        </is>
      </c>
    </row>
    <row r="141">
      <c r="A141" s="407" t="n"/>
      <c r="B141" s="677" t="n"/>
      <c r="C141" s="677" t="n"/>
      <c r="D141" s="677" t="n"/>
      <c r="E141" s="677" t="n"/>
      <c r="F141" s="677" t="n"/>
      <c r="G141" s="677" t="n"/>
      <c r="H141" s="677" t="n"/>
      <c r="I141" s="677" t="n"/>
      <c r="J141" s="677" t="n"/>
      <c r="K141" s="677" t="n"/>
      <c r="L141" s="677" t="n"/>
      <c r="M141" s="726" t="n"/>
      <c r="N141" s="727" t="inlineStr">
        <is>
          <t>Итого</t>
        </is>
      </c>
      <c r="O141" s="697" t="n"/>
      <c r="P141" s="697" t="n"/>
      <c r="Q141" s="697" t="n"/>
      <c r="R141" s="697" t="n"/>
      <c r="S141" s="697" t="n"/>
      <c r="T141" s="698" t="n"/>
      <c r="U141" s="43" t="inlineStr">
        <is>
          <t>кор</t>
        </is>
      </c>
      <c r="V141" s="728">
        <f>IFERROR(V138/H138,"0")+IFERROR(V139/H139,"0")+IFERROR(V140/H140,"0")</f>
        <v/>
      </c>
      <c r="W141" s="728">
        <f>IFERROR(W138/H138,"0")+IFERROR(W139/H139,"0")+IFERROR(W140/H140,"0")</f>
        <v/>
      </c>
      <c r="X141" s="728">
        <f>IFERROR(IF(X138="",0,X138),"0")+IFERROR(IF(X139="",0,X139),"0")+IFERROR(IF(X140="",0,X140),"0")</f>
        <v/>
      </c>
      <c r="Y141" s="729" t="n"/>
      <c r="Z141" s="729" t="n"/>
    </row>
    <row r="142">
      <c r="A142" s="677" t="n"/>
      <c r="B142" s="677" t="n"/>
      <c r="C142" s="677" t="n"/>
      <c r="D142" s="677" t="n"/>
      <c r="E142" s="677" t="n"/>
      <c r="F142" s="677" t="n"/>
      <c r="G142" s="677" t="n"/>
      <c r="H142" s="677" t="n"/>
      <c r="I142" s="677" t="n"/>
      <c r="J142" s="677" t="n"/>
      <c r="K142" s="677" t="n"/>
      <c r="L142" s="677" t="n"/>
      <c r="M142" s="726" t="n"/>
      <c r="N142" s="727" t="inlineStr">
        <is>
          <t>Итого</t>
        </is>
      </c>
      <c r="O142" s="697" t="n"/>
      <c r="P142" s="697" t="n"/>
      <c r="Q142" s="697" t="n"/>
      <c r="R142" s="697" t="n"/>
      <c r="S142" s="697" t="n"/>
      <c r="T142" s="698" t="n"/>
      <c r="U142" s="43" t="inlineStr">
        <is>
          <t>кг</t>
        </is>
      </c>
      <c r="V142" s="728">
        <f>IFERROR(SUM(V138:V140),"0")</f>
        <v/>
      </c>
      <c r="W142" s="728">
        <f>IFERROR(SUM(W138:W140),"0")</f>
        <v/>
      </c>
      <c r="X142" s="43" t="n"/>
      <c r="Y142" s="729" t="n"/>
      <c r="Z142" s="729" t="n"/>
    </row>
    <row r="143" ht="16.5" customHeight="1">
      <c r="A143" s="397" t="inlineStr">
        <is>
          <t>Мясорубская</t>
        </is>
      </c>
      <c r="B143" s="677" t="n"/>
      <c r="C143" s="677" t="n"/>
      <c r="D143" s="677" t="n"/>
      <c r="E143" s="677" t="n"/>
      <c r="F143" s="677" t="n"/>
      <c r="G143" s="677" t="n"/>
      <c r="H143" s="677" t="n"/>
      <c r="I143" s="677" t="n"/>
      <c r="J143" s="677" t="n"/>
      <c r="K143" s="677" t="n"/>
      <c r="L143" s="677" t="n"/>
      <c r="M143" s="677" t="n"/>
      <c r="N143" s="677" t="n"/>
      <c r="O143" s="677" t="n"/>
      <c r="P143" s="677" t="n"/>
      <c r="Q143" s="677" t="n"/>
      <c r="R143" s="677" t="n"/>
      <c r="S143" s="677" t="n"/>
      <c r="T143" s="677" t="n"/>
      <c r="U143" s="677" t="n"/>
      <c r="V143" s="677" t="n"/>
      <c r="W143" s="677" t="n"/>
      <c r="X143" s="677" t="n"/>
      <c r="Y143" s="397" t="n"/>
      <c r="Z143" s="397" t="n"/>
    </row>
    <row r="144" ht="14.25" customHeight="1">
      <c r="A144" s="398" t="inlineStr">
        <is>
          <t>Копченые колбасы</t>
        </is>
      </c>
      <c r="B144" s="677" t="n"/>
      <c r="C144" s="677" t="n"/>
      <c r="D144" s="677" t="n"/>
      <c r="E144" s="677" t="n"/>
      <c r="F144" s="677" t="n"/>
      <c r="G144" s="677" t="n"/>
      <c r="H144" s="677" t="n"/>
      <c r="I144" s="677" t="n"/>
      <c r="J144" s="677" t="n"/>
      <c r="K144" s="677" t="n"/>
      <c r="L144" s="677" t="n"/>
      <c r="M144" s="677" t="n"/>
      <c r="N144" s="677" t="n"/>
      <c r="O144" s="677" t="n"/>
      <c r="P144" s="677" t="n"/>
      <c r="Q144" s="677" t="n"/>
      <c r="R144" s="677" t="n"/>
      <c r="S144" s="677" t="n"/>
      <c r="T144" s="677" t="n"/>
      <c r="U144" s="677" t="n"/>
      <c r="V144" s="677" t="n"/>
      <c r="W144" s="677" t="n"/>
      <c r="X144" s="677" t="n"/>
      <c r="Y144" s="398" t="n"/>
      <c r="Z144" s="398" t="n"/>
    </row>
    <row r="145" ht="27" customHeight="1">
      <c r="A145" s="64" t="inlineStr">
        <is>
          <t>SU002756</t>
        </is>
      </c>
      <c r="B145" s="64" t="inlineStr">
        <is>
          <t>P003179</t>
        </is>
      </c>
      <c r="C145" s="37" t="n">
        <v>4301031191</v>
      </c>
      <c r="D145" s="399" t="n">
        <v>4680115880993</v>
      </c>
      <c r="E145" s="689" t="n"/>
      <c r="F145" s="721" t="n">
        <v>0.7</v>
      </c>
      <c r="G145" s="38" t="n">
        <v>6</v>
      </c>
      <c r="H145" s="721" t="n">
        <v>4.2</v>
      </c>
      <c r="I145" s="721" t="n">
        <v>4.46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80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5" s="723" t="n"/>
      <c r="P145" s="723" t="n"/>
      <c r="Q145" s="723" t="n"/>
      <c r="R145" s="689" t="n"/>
      <c r="S145" s="40" t="inlineStr"/>
      <c r="T145" s="40" t="inlineStr"/>
      <c r="U145" s="41" t="inlineStr">
        <is>
          <t>кг</t>
        </is>
      </c>
      <c r="V145" s="724" t="n">
        <v>0</v>
      </c>
      <c r="W145" s="725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SU002876</t>
        </is>
      </c>
      <c r="B146" s="64" t="inlineStr">
        <is>
          <t>P003276</t>
        </is>
      </c>
      <c r="C146" s="37" t="n">
        <v>4301031204</v>
      </c>
      <c r="D146" s="399" t="n">
        <v>4680115881761</v>
      </c>
      <c r="E146" s="689" t="n"/>
      <c r="F146" s="721" t="n">
        <v>0.7</v>
      </c>
      <c r="G146" s="38" t="n">
        <v>6</v>
      </c>
      <c r="H146" s="721" t="n">
        <v>4.2</v>
      </c>
      <c r="I146" s="721" t="n">
        <v>4.46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80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6" s="723" t="n"/>
      <c r="P146" s="723" t="n"/>
      <c r="Q146" s="723" t="n"/>
      <c r="R146" s="689" t="n"/>
      <c r="S146" s="40" t="inlineStr"/>
      <c r="T146" s="40" t="inlineStr"/>
      <c r="U146" s="41" t="inlineStr">
        <is>
          <t>кг</t>
        </is>
      </c>
      <c r="V146" s="724" t="n">
        <v>0</v>
      </c>
      <c r="W146" s="725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SU002847</t>
        </is>
      </c>
      <c r="B147" s="64" t="inlineStr">
        <is>
          <t>P003259</t>
        </is>
      </c>
      <c r="C147" s="37" t="n">
        <v>4301031201</v>
      </c>
      <c r="D147" s="399" t="n">
        <v>4680115881563</v>
      </c>
      <c r="E147" s="689" t="n"/>
      <c r="F147" s="721" t="n">
        <v>0.7</v>
      </c>
      <c r="G147" s="38" t="n">
        <v>6</v>
      </c>
      <c r="H147" s="721" t="n">
        <v>4.2</v>
      </c>
      <c r="I147" s="721" t="n">
        <v>4.4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80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7" s="723" t="n"/>
      <c r="P147" s="723" t="n"/>
      <c r="Q147" s="723" t="n"/>
      <c r="R147" s="689" t="n"/>
      <c r="S147" s="40" t="inlineStr"/>
      <c r="T147" s="40" t="inlineStr"/>
      <c r="U147" s="41" t="inlineStr">
        <is>
          <t>кг</t>
        </is>
      </c>
      <c r="V147" s="724" t="n">
        <v>0</v>
      </c>
      <c r="W147" s="725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SU002660</t>
        </is>
      </c>
      <c r="B148" s="64" t="inlineStr">
        <is>
          <t>P003256</t>
        </is>
      </c>
      <c r="C148" s="37" t="n">
        <v>4301031199</v>
      </c>
      <c r="D148" s="399" t="n">
        <v>4680115880986</v>
      </c>
      <c r="E148" s="689" t="n"/>
      <c r="F148" s="721" t="n">
        <v>0.35</v>
      </c>
      <c r="G148" s="38" t="n">
        <v>6</v>
      </c>
      <c r="H148" s="721" t="n">
        <v>2.1</v>
      </c>
      <c r="I148" s="721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80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8" s="723" t="n"/>
      <c r="P148" s="723" t="n"/>
      <c r="Q148" s="723" t="n"/>
      <c r="R148" s="689" t="n"/>
      <c r="S148" s="40" t="inlineStr"/>
      <c r="T148" s="40" t="inlineStr"/>
      <c r="U148" s="41" t="inlineStr">
        <is>
          <t>кг</t>
        </is>
      </c>
      <c r="V148" s="724" t="n">
        <v>0</v>
      </c>
      <c r="W148" s="725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SU002826</t>
        </is>
      </c>
      <c r="B149" s="64" t="inlineStr">
        <is>
          <t>P003178</t>
        </is>
      </c>
      <c r="C149" s="37" t="n">
        <v>4301031190</v>
      </c>
      <c r="D149" s="399" t="n">
        <v>4680115880207</v>
      </c>
      <c r="E149" s="689" t="n"/>
      <c r="F149" s="721" t="n">
        <v>0.4</v>
      </c>
      <c r="G149" s="38" t="n">
        <v>6</v>
      </c>
      <c r="H149" s="721" t="n">
        <v>2.4</v>
      </c>
      <c r="I149" s="721" t="n">
        <v>2.63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80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9" s="723" t="n"/>
      <c r="P149" s="723" t="n"/>
      <c r="Q149" s="723" t="n"/>
      <c r="R149" s="689" t="n"/>
      <c r="S149" s="40" t="inlineStr"/>
      <c r="T149" s="40" t="inlineStr"/>
      <c r="U149" s="41" t="inlineStr">
        <is>
          <t>кг</t>
        </is>
      </c>
      <c r="V149" s="724" t="n">
        <v>0</v>
      </c>
      <c r="W149" s="725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SU002877</t>
        </is>
      </c>
      <c r="B150" s="64" t="inlineStr">
        <is>
          <t>P003277</t>
        </is>
      </c>
      <c r="C150" s="37" t="n">
        <v>4301031205</v>
      </c>
      <c r="D150" s="399" t="n">
        <v>4680115881785</v>
      </c>
      <c r="E150" s="689" t="n"/>
      <c r="F150" s="721" t="n">
        <v>0.35</v>
      </c>
      <c r="G150" s="38" t="n">
        <v>6</v>
      </c>
      <c r="H150" s="721" t="n">
        <v>2.1</v>
      </c>
      <c r="I150" s="721" t="n">
        <v>2.23</v>
      </c>
      <c r="J150" s="38" t="n">
        <v>234</v>
      </c>
      <c r="K150" s="38" t="inlineStr">
        <is>
          <t>18</t>
        </is>
      </c>
      <c r="L150" s="39" t="inlineStr">
        <is>
          <t>СК2</t>
        </is>
      </c>
      <c r="M150" s="38" t="n">
        <v>40</v>
      </c>
      <c r="N150" s="80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0" s="723" t="n"/>
      <c r="P150" s="723" t="n"/>
      <c r="Q150" s="723" t="n"/>
      <c r="R150" s="689" t="n"/>
      <c r="S150" s="40" t="inlineStr"/>
      <c r="T150" s="40" t="inlineStr"/>
      <c r="U150" s="41" t="inlineStr">
        <is>
          <t>кг</t>
        </is>
      </c>
      <c r="V150" s="724" t="n">
        <v>0</v>
      </c>
      <c r="W150" s="725">
        <f>IFERROR(IF(V150="",0,CEILING((V150/$H150),1)*$H150),"")</f>
        <v/>
      </c>
      <c r="X150" s="42">
        <f>IFERROR(IF(W150=0,"",ROUNDUP(W150/H150,0)*0.00502),"")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SU002848</t>
        </is>
      </c>
      <c r="B151" s="64" t="inlineStr">
        <is>
          <t>P003260</t>
        </is>
      </c>
      <c r="C151" s="37" t="n">
        <v>4301031202</v>
      </c>
      <c r="D151" s="399" t="n">
        <v>4680115881679</v>
      </c>
      <c r="E151" s="689" t="n"/>
      <c r="F151" s="721" t="n">
        <v>0.35</v>
      </c>
      <c r="G151" s="38" t="n">
        <v>6</v>
      </c>
      <c r="H151" s="721" t="n">
        <v>2.1</v>
      </c>
      <c r="I151" s="721" t="n">
        <v>2.2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80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1" s="723" t="n"/>
      <c r="P151" s="723" t="n"/>
      <c r="Q151" s="723" t="n"/>
      <c r="R151" s="689" t="n"/>
      <c r="S151" s="40" t="inlineStr"/>
      <c r="T151" s="40" t="inlineStr"/>
      <c r="U151" s="41" t="inlineStr">
        <is>
          <t>кг</t>
        </is>
      </c>
      <c r="V151" s="724" t="n">
        <v>0</v>
      </c>
      <c r="W151" s="725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SU002659</t>
        </is>
      </c>
      <c r="B152" s="64" t="inlineStr">
        <is>
          <t>P003034</t>
        </is>
      </c>
      <c r="C152" s="37" t="n">
        <v>4301031158</v>
      </c>
      <c r="D152" s="399" t="n">
        <v>4680115880191</v>
      </c>
      <c r="E152" s="689" t="n"/>
      <c r="F152" s="721" t="n">
        <v>0.4</v>
      </c>
      <c r="G152" s="38" t="n">
        <v>6</v>
      </c>
      <c r="H152" s="721" t="n">
        <v>2.4</v>
      </c>
      <c r="I152" s="721" t="n">
        <v>2.6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8" t="n">
        <v>40</v>
      </c>
      <c r="N152" s="80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2" s="723" t="n"/>
      <c r="P152" s="723" t="n"/>
      <c r="Q152" s="723" t="n"/>
      <c r="R152" s="689" t="n"/>
      <c r="S152" s="40" t="inlineStr"/>
      <c r="T152" s="40" t="inlineStr"/>
      <c r="U152" s="41" t="inlineStr">
        <is>
          <t>кг</t>
        </is>
      </c>
      <c r="V152" s="724" t="n">
        <v>0</v>
      </c>
      <c r="W152" s="725">
        <f>IFERROR(IF(V152="",0,CEILING((V152/$H152),1)*$H152),"")</f>
        <v/>
      </c>
      <c r="X152" s="42">
        <f>IFERROR(IF(W152=0,"",ROUNDUP(W152/H152,0)*0.00753),"")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16.5" customHeight="1">
      <c r="A153" s="64" t="inlineStr">
        <is>
          <t>SU003046</t>
        </is>
      </c>
      <c r="B153" s="64" t="inlineStr">
        <is>
          <t>P003598</t>
        </is>
      </c>
      <c r="C153" s="37" t="n">
        <v>4301031245</v>
      </c>
      <c r="D153" s="399" t="n">
        <v>4680115883963</v>
      </c>
      <c r="E153" s="689" t="n"/>
      <c r="F153" s="721" t="n">
        <v>0.28</v>
      </c>
      <c r="G153" s="38" t="n">
        <v>6</v>
      </c>
      <c r="H153" s="721" t="n">
        <v>1.68</v>
      </c>
      <c r="I153" s="721" t="n">
        <v>1.78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8" t="n">
        <v>40</v>
      </c>
      <c r="N153" s="810" t="inlineStr">
        <is>
          <t>П/к колбасы «Мясорубская» ф/в 0,28 н/о ТМ «Стародворье»</t>
        </is>
      </c>
      <c r="O153" s="723" t="n"/>
      <c r="P153" s="723" t="n"/>
      <c r="Q153" s="723" t="n"/>
      <c r="R153" s="689" t="n"/>
      <c r="S153" s="40" t="inlineStr"/>
      <c r="T153" s="40" t="inlineStr"/>
      <c r="U153" s="41" t="inlineStr">
        <is>
          <t>кг</t>
        </is>
      </c>
      <c r="V153" s="724" t="n">
        <v>0</v>
      </c>
      <c r="W153" s="725">
        <f>IFERROR(IF(V153="",0,CEILING((V153/$H153),1)*$H153),"")</f>
        <v/>
      </c>
      <c r="X153" s="42">
        <f>IFERROR(IF(W153=0,"",ROUNDUP(W153/H153,0)*0.00502),"")</f>
        <v/>
      </c>
      <c r="Y153" s="69" t="inlineStr"/>
      <c r="Z153" s="70" t="inlineStr"/>
      <c r="AD153" s="71" t="n"/>
      <c r="BA153" s="154" t="inlineStr">
        <is>
          <t>КИ</t>
        </is>
      </c>
    </row>
    <row r="154">
      <c r="A154" s="407" t="n"/>
      <c r="B154" s="677" t="n"/>
      <c r="C154" s="677" t="n"/>
      <c r="D154" s="677" t="n"/>
      <c r="E154" s="677" t="n"/>
      <c r="F154" s="677" t="n"/>
      <c r="G154" s="677" t="n"/>
      <c r="H154" s="677" t="n"/>
      <c r="I154" s="677" t="n"/>
      <c r="J154" s="677" t="n"/>
      <c r="K154" s="677" t="n"/>
      <c r="L154" s="677" t="n"/>
      <c r="M154" s="726" t="n"/>
      <c r="N154" s="727" t="inlineStr">
        <is>
          <t>Итого</t>
        </is>
      </c>
      <c r="O154" s="697" t="n"/>
      <c r="P154" s="697" t="n"/>
      <c r="Q154" s="697" t="n"/>
      <c r="R154" s="697" t="n"/>
      <c r="S154" s="697" t="n"/>
      <c r="T154" s="698" t="n"/>
      <c r="U154" s="43" t="inlineStr">
        <is>
          <t>кор</t>
        </is>
      </c>
      <c r="V154" s="728">
        <f>IFERROR(V145/H145,"0")+IFERROR(V146/H146,"0")+IFERROR(V147/H147,"0")+IFERROR(V148/H148,"0")+IFERROR(V149/H149,"0")+IFERROR(V150/H150,"0")+IFERROR(V151/H151,"0")+IFERROR(V152/H152,"0")+IFERROR(V153/H153,"0")</f>
        <v/>
      </c>
      <c r="W154" s="728">
        <f>IFERROR(W145/H145,"0")+IFERROR(W146/H146,"0")+IFERROR(W147/H147,"0")+IFERROR(W148/H148,"0")+IFERROR(W149/H149,"0")+IFERROR(W150/H150,"0")+IFERROR(W151/H151,"0")+IFERROR(W152/H152,"0")+IFERROR(W153/H153,"0")</f>
        <v/>
      </c>
      <c r="X154" s="728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/>
      </c>
      <c r="Y154" s="729" t="n"/>
      <c r="Z154" s="729" t="n"/>
    </row>
    <row r="155">
      <c r="A155" s="677" t="n"/>
      <c r="B155" s="677" t="n"/>
      <c r="C155" s="677" t="n"/>
      <c r="D155" s="677" t="n"/>
      <c r="E155" s="677" t="n"/>
      <c r="F155" s="677" t="n"/>
      <c r="G155" s="677" t="n"/>
      <c r="H155" s="677" t="n"/>
      <c r="I155" s="677" t="n"/>
      <c r="J155" s="677" t="n"/>
      <c r="K155" s="677" t="n"/>
      <c r="L155" s="677" t="n"/>
      <c r="M155" s="726" t="n"/>
      <c r="N155" s="727" t="inlineStr">
        <is>
          <t>Итого</t>
        </is>
      </c>
      <c r="O155" s="697" t="n"/>
      <c r="P155" s="697" t="n"/>
      <c r="Q155" s="697" t="n"/>
      <c r="R155" s="697" t="n"/>
      <c r="S155" s="697" t="n"/>
      <c r="T155" s="698" t="n"/>
      <c r="U155" s="43" t="inlineStr">
        <is>
          <t>кг</t>
        </is>
      </c>
      <c r="V155" s="728">
        <f>IFERROR(SUM(V145:V153),"0")</f>
        <v/>
      </c>
      <c r="W155" s="728">
        <f>IFERROR(SUM(W145:W153),"0")</f>
        <v/>
      </c>
      <c r="X155" s="43" t="n"/>
      <c r="Y155" s="729" t="n"/>
      <c r="Z155" s="729" t="n"/>
    </row>
    <row r="156" ht="16.5" customHeight="1">
      <c r="A156" s="397" t="inlineStr">
        <is>
          <t>Сочинка</t>
        </is>
      </c>
      <c r="B156" s="677" t="n"/>
      <c r="C156" s="677" t="n"/>
      <c r="D156" s="677" t="n"/>
      <c r="E156" s="677" t="n"/>
      <c r="F156" s="677" t="n"/>
      <c r="G156" s="677" t="n"/>
      <c r="H156" s="677" t="n"/>
      <c r="I156" s="677" t="n"/>
      <c r="J156" s="677" t="n"/>
      <c r="K156" s="677" t="n"/>
      <c r="L156" s="677" t="n"/>
      <c r="M156" s="677" t="n"/>
      <c r="N156" s="677" t="n"/>
      <c r="O156" s="677" t="n"/>
      <c r="P156" s="677" t="n"/>
      <c r="Q156" s="677" t="n"/>
      <c r="R156" s="677" t="n"/>
      <c r="S156" s="677" t="n"/>
      <c r="T156" s="677" t="n"/>
      <c r="U156" s="677" t="n"/>
      <c r="V156" s="677" t="n"/>
      <c r="W156" s="677" t="n"/>
      <c r="X156" s="677" t="n"/>
      <c r="Y156" s="397" t="n"/>
      <c r="Z156" s="397" t="n"/>
    </row>
    <row r="157" ht="14.25" customHeight="1">
      <c r="A157" s="398" t="inlineStr">
        <is>
          <t>Вареные колбасы</t>
        </is>
      </c>
      <c r="B157" s="677" t="n"/>
      <c r="C157" s="677" t="n"/>
      <c r="D157" s="677" t="n"/>
      <c r="E157" s="677" t="n"/>
      <c r="F157" s="677" t="n"/>
      <c r="G157" s="677" t="n"/>
      <c r="H157" s="677" t="n"/>
      <c r="I157" s="677" t="n"/>
      <c r="J157" s="677" t="n"/>
      <c r="K157" s="677" t="n"/>
      <c r="L157" s="677" t="n"/>
      <c r="M157" s="677" t="n"/>
      <c r="N157" s="677" t="n"/>
      <c r="O157" s="677" t="n"/>
      <c r="P157" s="677" t="n"/>
      <c r="Q157" s="677" t="n"/>
      <c r="R157" s="677" t="n"/>
      <c r="S157" s="677" t="n"/>
      <c r="T157" s="677" t="n"/>
      <c r="U157" s="677" t="n"/>
      <c r="V157" s="677" t="n"/>
      <c r="W157" s="677" t="n"/>
      <c r="X157" s="677" t="n"/>
      <c r="Y157" s="398" t="n"/>
      <c r="Z157" s="398" t="n"/>
    </row>
    <row r="158" ht="16.5" customHeight="1">
      <c r="A158" s="64" t="inlineStr">
        <is>
          <t>SU002824</t>
        </is>
      </c>
      <c r="B158" s="64" t="inlineStr">
        <is>
          <t>P003231</t>
        </is>
      </c>
      <c r="C158" s="37" t="n">
        <v>4301011450</v>
      </c>
      <c r="D158" s="399" t="n">
        <v>4680115881402</v>
      </c>
      <c r="E158" s="689" t="n"/>
      <c r="F158" s="721" t="n">
        <v>1.35</v>
      </c>
      <c r="G158" s="38" t="n">
        <v>8</v>
      </c>
      <c r="H158" s="721" t="n">
        <v>10.8</v>
      </c>
      <c r="I158" s="721" t="n">
        <v>11.28</v>
      </c>
      <c r="J158" s="38" t="n">
        <v>56</v>
      </c>
      <c r="K158" s="38" t="inlineStr">
        <is>
          <t>8</t>
        </is>
      </c>
      <c r="L158" s="39" t="inlineStr">
        <is>
          <t>СК1</t>
        </is>
      </c>
      <c r="M158" s="38" t="n">
        <v>55</v>
      </c>
      <c r="N158" s="81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8" s="723" t="n"/>
      <c r="P158" s="723" t="n"/>
      <c r="Q158" s="723" t="n"/>
      <c r="R158" s="689" t="n"/>
      <c r="S158" s="40" t="inlineStr"/>
      <c r="T158" s="40" t="inlineStr"/>
      <c r="U158" s="41" t="inlineStr">
        <is>
          <t>кг</t>
        </is>
      </c>
      <c r="V158" s="724" t="n">
        <v>0</v>
      </c>
      <c r="W158" s="725">
        <f>IFERROR(IF(V158="",0,CEILING((V158/$H158),1)*$H158),"")</f>
        <v/>
      </c>
      <c r="X158" s="42">
        <f>IFERROR(IF(W158=0,"",ROUNDUP(W158/H158,0)*0.02175),"")</f>
        <v/>
      </c>
      <c r="Y158" s="69" t="inlineStr"/>
      <c r="Z158" s="70" t="inlineStr"/>
      <c r="AD158" s="71" t="n"/>
      <c r="BA158" s="155" t="inlineStr">
        <is>
          <t>КИ</t>
        </is>
      </c>
    </row>
    <row r="159" ht="27" customHeight="1">
      <c r="A159" s="64" t="inlineStr">
        <is>
          <t>SU002823</t>
        </is>
      </c>
      <c r="B159" s="64" t="inlineStr">
        <is>
          <t>P003230</t>
        </is>
      </c>
      <c r="C159" s="37" t="n">
        <v>4301011454</v>
      </c>
      <c r="D159" s="399" t="n">
        <v>4680115881396</v>
      </c>
      <c r="E159" s="689" t="n"/>
      <c r="F159" s="721" t="n">
        <v>0.45</v>
      </c>
      <c r="G159" s="38" t="n">
        <v>6</v>
      </c>
      <c r="H159" s="721" t="n">
        <v>2.7</v>
      </c>
      <c r="I159" s="721" t="n">
        <v>2.9</v>
      </c>
      <c r="J159" s="38" t="n">
        <v>156</v>
      </c>
      <c r="K159" s="38" t="inlineStr">
        <is>
          <t>12</t>
        </is>
      </c>
      <c r="L159" s="39" t="inlineStr">
        <is>
          <t>СК2</t>
        </is>
      </c>
      <c r="M159" s="38" t="n">
        <v>55</v>
      </c>
      <c r="N159" s="81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9" s="723" t="n"/>
      <c r="P159" s="723" t="n"/>
      <c r="Q159" s="723" t="n"/>
      <c r="R159" s="689" t="n"/>
      <c r="S159" s="40" t="inlineStr"/>
      <c r="T159" s="40" t="inlineStr"/>
      <c r="U159" s="41" t="inlineStr">
        <is>
          <t>кг</t>
        </is>
      </c>
      <c r="V159" s="724" t="n">
        <v>0</v>
      </c>
      <c r="W159" s="725">
        <f>IFERROR(IF(V159="",0,CEILING((V159/$H159),1)*$H159),"")</f>
        <v/>
      </c>
      <c r="X159" s="42">
        <f>IFERROR(IF(W159=0,"",ROUNDUP(W159/H159,0)*0.00753),"")</f>
        <v/>
      </c>
      <c r="Y159" s="69" t="inlineStr"/>
      <c r="Z159" s="70" t="inlineStr"/>
      <c r="AD159" s="71" t="n"/>
      <c r="BA159" s="156" t="inlineStr">
        <is>
          <t>КИ</t>
        </is>
      </c>
    </row>
    <row r="160">
      <c r="A160" s="407" t="n"/>
      <c r="B160" s="677" t="n"/>
      <c r="C160" s="677" t="n"/>
      <c r="D160" s="677" t="n"/>
      <c r="E160" s="677" t="n"/>
      <c r="F160" s="677" t="n"/>
      <c r="G160" s="677" t="n"/>
      <c r="H160" s="677" t="n"/>
      <c r="I160" s="677" t="n"/>
      <c r="J160" s="677" t="n"/>
      <c r="K160" s="677" t="n"/>
      <c r="L160" s="677" t="n"/>
      <c r="M160" s="726" t="n"/>
      <c r="N160" s="727" t="inlineStr">
        <is>
          <t>Итого</t>
        </is>
      </c>
      <c r="O160" s="697" t="n"/>
      <c r="P160" s="697" t="n"/>
      <c r="Q160" s="697" t="n"/>
      <c r="R160" s="697" t="n"/>
      <c r="S160" s="697" t="n"/>
      <c r="T160" s="698" t="n"/>
      <c r="U160" s="43" t="inlineStr">
        <is>
          <t>кор</t>
        </is>
      </c>
      <c r="V160" s="728">
        <f>IFERROR(V158/H158,"0")+IFERROR(V159/H159,"0")</f>
        <v/>
      </c>
      <c r="W160" s="728">
        <f>IFERROR(W158/H158,"0")+IFERROR(W159/H159,"0")</f>
        <v/>
      </c>
      <c r="X160" s="728">
        <f>IFERROR(IF(X158="",0,X158),"0")+IFERROR(IF(X159="",0,X159),"0")</f>
        <v/>
      </c>
      <c r="Y160" s="729" t="n"/>
      <c r="Z160" s="729" t="n"/>
    </row>
    <row r="161">
      <c r="A161" s="677" t="n"/>
      <c r="B161" s="677" t="n"/>
      <c r="C161" s="677" t="n"/>
      <c r="D161" s="677" t="n"/>
      <c r="E161" s="677" t="n"/>
      <c r="F161" s="677" t="n"/>
      <c r="G161" s="677" t="n"/>
      <c r="H161" s="677" t="n"/>
      <c r="I161" s="677" t="n"/>
      <c r="J161" s="677" t="n"/>
      <c r="K161" s="677" t="n"/>
      <c r="L161" s="677" t="n"/>
      <c r="M161" s="726" t="n"/>
      <c r="N161" s="727" t="inlineStr">
        <is>
          <t>Итого</t>
        </is>
      </c>
      <c r="O161" s="697" t="n"/>
      <c r="P161" s="697" t="n"/>
      <c r="Q161" s="697" t="n"/>
      <c r="R161" s="697" t="n"/>
      <c r="S161" s="697" t="n"/>
      <c r="T161" s="698" t="n"/>
      <c r="U161" s="43" t="inlineStr">
        <is>
          <t>кг</t>
        </is>
      </c>
      <c r="V161" s="728">
        <f>IFERROR(SUM(V158:V159),"0")</f>
        <v/>
      </c>
      <c r="W161" s="728">
        <f>IFERROR(SUM(W158:W159),"0")</f>
        <v/>
      </c>
      <c r="X161" s="43" t="n"/>
      <c r="Y161" s="729" t="n"/>
      <c r="Z161" s="729" t="n"/>
    </row>
    <row r="162" ht="14.25" customHeight="1">
      <c r="A162" s="398" t="inlineStr">
        <is>
          <t>Ветчины</t>
        </is>
      </c>
      <c r="B162" s="677" t="n"/>
      <c r="C162" s="677" t="n"/>
      <c r="D162" s="677" t="n"/>
      <c r="E162" s="677" t="n"/>
      <c r="F162" s="677" t="n"/>
      <c r="G162" s="677" t="n"/>
      <c r="H162" s="677" t="n"/>
      <c r="I162" s="677" t="n"/>
      <c r="J162" s="677" t="n"/>
      <c r="K162" s="677" t="n"/>
      <c r="L162" s="677" t="n"/>
      <c r="M162" s="677" t="n"/>
      <c r="N162" s="677" t="n"/>
      <c r="O162" s="677" t="n"/>
      <c r="P162" s="677" t="n"/>
      <c r="Q162" s="677" t="n"/>
      <c r="R162" s="677" t="n"/>
      <c r="S162" s="677" t="n"/>
      <c r="T162" s="677" t="n"/>
      <c r="U162" s="677" t="n"/>
      <c r="V162" s="677" t="n"/>
      <c r="W162" s="677" t="n"/>
      <c r="X162" s="677" t="n"/>
      <c r="Y162" s="398" t="n"/>
      <c r="Z162" s="398" t="n"/>
    </row>
    <row r="163" ht="16.5" customHeight="1">
      <c r="A163" s="64" t="inlineStr">
        <is>
          <t>SU003068</t>
        </is>
      </c>
      <c r="B163" s="64" t="inlineStr">
        <is>
          <t>P003611</t>
        </is>
      </c>
      <c r="C163" s="37" t="n">
        <v>4301020262</v>
      </c>
      <c r="D163" s="399" t="n">
        <v>4680115882935</v>
      </c>
      <c r="E163" s="689" t="n"/>
      <c r="F163" s="721" t="n">
        <v>1.35</v>
      </c>
      <c r="G163" s="38" t="n">
        <v>8</v>
      </c>
      <c r="H163" s="721" t="n">
        <v>10.8</v>
      </c>
      <c r="I163" s="721" t="n">
        <v>11.28</v>
      </c>
      <c r="J163" s="38" t="n">
        <v>56</v>
      </c>
      <c r="K163" s="38" t="inlineStr">
        <is>
          <t>8</t>
        </is>
      </c>
      <c r="L163" s="39" t="inlineStr">
        <is>
          <t>СК3</t>
        </is>
      </c>
      <c r="M163" s="38" t="n">
        <v>50</v>
      </c>
      <c r="N163" s="813" t="inlineStr">
        <is>
          <t>Ветчина «Сочинка с сочным окороком» Весовой п/а ТМ «Стародворье»</t>
        </is>
      </c>
      <c r="O163" s="723" t="n"/>
      <c r="P163" s="723" t="n"/>
      <c r="Q163" s="723" t="n"/>
      <c r="R163" s="689" t="n"/>
      <c r="S163" s="40" t="inlineStr"/>
      <c r="T163" s="40" t="inlineStr"/>
      <c r="U163" s="41" t="inlineStr">
        <is>
          <t>кг</t>
        </is>
      </c>
      <c r="V163" s="724" t="n">
        <v>0</v>
      </c>
      <c r="W163" s="725">
        <f>IFERROR(IF(V163="",0,CEILING((V163/$H163),1)*$H163),"")</f>
        <v/>
      </c>
      <c r="X163" s="42">
        <f>IFERROR(IF(W163=0,"",ROUNDUP(W163/H163,0)*0.02175),"")</f>
        <v/>
      </c>
      <c r="Y163" s="69" t="inlineStr"/>
      <c r="Z163" s="70" t="inlineStr"/>
      <c r="AD163" s="71" t="n"/>
      <c r="BA163" s="157" t="inlineStr">
        <is>
          <t>КИ</t>
        </is>
      </c>
    </row>
    <row r="164" ht="16.5" customHeight="1">
      <c r="A164" s="64" t="inlineStr">
        <is>
          <t>SU002757</t>
        </is>
      </c>
      <c r="B164" s="64" t="inlineStr">
        <is>
          <t>P003128</t>
        </is>
      </c>
      <c r="C164" s="37" t="n">
        <v>4301020220</v>
      </c>
      <c r="D164" s="399" t="n">
        <v>4680115880764</v>
      </c>
      <c r="E164" s="689" t="n"/>
      <c r="F164" s="721" t="n">
        <v>0.35</v>
      </c>
      <c r="G164" s="38" t="n">
        <v>6</v>
      </c>
      <c r="H164" s="721" t="n">
        <v>2.1</v>
      </c>
      <c r="I164" s="721" t="n">
        <v>2.3</v>
      </c>
      <c r="J164" s="38" t="n">
        <v>156</v>
      </c>
      <c r="K164" s="38" t="inlineStr">
        <is>
          <t>12</t>
        </is>
      </c>
      <c r="L164" s="39" t="inlineStr">
        <is>
          <t>СК1</t>
        </is>
      </c>
      <c r="M164" s="38" t="n">
        <v>50</v>
      </c>
      <c r="N164" s="81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4" s="723" t="n"/>
      <c r="P164" s="723" t="n"/>
      <c r="Q164" s="723" t="n"/>
      <c r="R164" s="689" t="n"/>
      <c r="S164" s="40" t="inlineStr"/>
      <c r="T164" s="40" t="inlineStr"/>
      <c r="U164" s="41" t="inlineStr">
        <is>
          <t>кг</t>
        </is>
      </c>
      <c r="V164" s="724" t="n">
        <v>0</v>
      </c>
      <c r="W164" s="725">
        <f>IFERROR(IF(V164="",0,CEILING((V164/$H164),1)*$H164),"")</f>
        <v/>
      </c>
      <c r="X164" s="42">
        <f>IFERROR(IF(W164=0,"",ROUNDUP(W164/H164,0)*0.00753),"")</f>
        <v/>
      </c>
      <c r="Y164" s="69" t="inlineStr"/>
      <c r="Z164" s="70" t="inlineStr"/>
      <c r="AD164" s="71" t="n"/>
      <c r="BA164" s="158" t="inlineStr">
        <is>
          <t>КИ</t>
        </is>
      </c>
    </row>
    <row r="165">
      <c r="A165" s="407" t="n"/>
      <c r="B165" s="677" t="n"/>
      <c r="C165" s="677" t="n"/>
      <c r="D165" s="677" t="n"/>
      <c r="E165" s="677" t="n"/>
      <c r="F165" s="677" t="n"/>
      <c r="G165" s="677" t="n"/>
      <c r="H165" s="677" t="n"/>
      <c r="I165" s="677" t="n"/>
      <c r="J165" s="677" t="n"/>
      <c r="K165" s="677" t="n"/>
      <c r="L165" s="677" t="n"/>
      <c r="M165" s="726" t="n"/>
      <c r="N165" s="727" t="inlineStr">
        <is>
          <t>Итого</t>
        </is>
      </c>
      <c r="O165" s="697" t="n"/>
      <c r="P165" s="697" t="n"/>
      <c r="Q165" s="697" t="n"/>
      <c r="R165" s="697" t="n"/>
      <c r="S165" s="697" t="n"/>
      <c r="T165" s="698" t="n"/>
      <c r="U165" s="43" t="inlineStr">
        <is>
          <t>кор</t>
        </is>
      </c>
      <c r="V165" s="728">
        <f>IFERROR(V163/H163,"0")+IFERROR(V164/H164,"0")</f>
        <v/>
      </c>
      <c r="W165" s="728">
        <f>IFERROR(W163/H163,"0")+IFERROR(W164/H164,"0")</f>
        <v/>
      </c>
      <c r="X165" s="728">
        <f>IFERROR(IF(X163="",0,X163),"0")+IFERROR(IF(X164="",0,X164),"0")</f>
        <v/>
      </c>
      <c r="Y165" s="729" t="n"/>
      <c r="Z165" s="729" t="n"/>
    </row>
    <row r="166">
      <c r="A166" s="677" t="n"/>
      <c r="B166" s="677" t="n"/>
      <c r="C166" s="677" t="n"/>
      <c r="D166" s="677" t="n"/>
      <c r="E166" s="677" t="n"/>
      <c r="F166" s="677" t="n"/>
      <c r="G166" s="677" t="n"/>
      <c r="H166" s="677" t="n"/>
      <c r="I166" s="677" t="n"/>
      <c r="J166" s="677" t="n"/>
      <c r="K166" s="677" t="n"/>
      <c r="L166" s="677" t="n"/>
      <c r="M166" s="726" t="n"/>
      <c r="N166" s="727" t="inlineStr">
        <is>
          <t>Итого</t>
        </is>
      </c>
      <c r="O166" s="697" t="n"/>
      <c r="P166" s="697" t="n"/>
      <c r="Q166" s="697" t="n"/>
      <c r="R166" s="697" t="n"/>
      <c r="S166" s="697" t="n"/>
      <c r="T166" s="698" t="n"/>
      <c r="U166" s="43" t="inlineStr">
        <is>
          <t>кг</t>
        </is>
      </c>
      <c r="V166" s="728">
        <f>IFERROR(SUM(V163:V164),"0")</f>
        <v/>
      </c>
      <c r="W166" s="728">
        <f>IFERROR(SUM(W163:W164),"0")</f>
        <v/>
      </c>
      <c r="X166" s="43" t="n"/>
      <c r="Y166" s="729" t="n"/>
      <c r="Z166" s="729" t="n"/>
    </row>
    <row r="167" ht="14.25" customHeight="1">
      <c r="A167" s="398" t="inlineStr">
        <is>
          <t>Копченые колбасы</t>
        </is>
      </c>
      <c r="B167" s="677" t="n"/>
      <c r="C167" s="677" t="n"/>
      <c r="D167" s="677" t="n"/>
      <c r="E167" s="677" t="n"/>
      <c r="F167" s="677" t="n"/>
      <c r="G167" s="677" t="n"/>
      <c r="H167" s="677" t="n"/>
      <c r="I167" s="677" t="n"/>
      <c r="J167" s="677" t="n"/>
      <c r="K167" s="677" t="n"/>
      <c r="L167" s="677" t="n"/>
      <c r="M167" s="677" t="n"/>
      <c r="N167" s="677" t="n"/>
      <c r="O167" s="677" t="n"/>
      <c r="P167" s="677" t="n"/>
      <c r="Q167" s="677" t="n"/>
      <c r="R167" s="677" t="n"/>
      <c r="S167" s="677" t="n"/>
      <c r="T167" s="677" t="n"/>
      <c r="U167" s="677" t="n"/>
      <c r="V167" s="677" t="n"/>
      <c r="W167" s="677" t="n"/>
      <c r="X167" s="677" t="n"/>
      <c r="Y167" s="398" t="n"/>
      <c r="Z167" s="398" t="n"/>
    </row>
    <row r="168" ht="27" customHeight="1">
      <c r="A168" s="64" t="inlineStr">
        <is>
          <t>SU002941</t>
        </is>
      </c>
      <c r="B168" s="64" t="inlineStr">
        <is>
          <t>P003387</t>
        </is>
      </c>
      <c r="C168" s="37" t="n">
        <v>4301031224</v>
      </c>
      <c r="D168" s="399" t="n">
        <v>4680115882683</v>
      </c>
      <c r="E168" s="689" t="n"/>
      <c r="F168" s="721" t="n">
        <v>0.9</v>
      </c>
      <c r="G168" s="38" t="n">
        <v>6</v>
      </c>
      <c r="H168" s="721" t="n">
        <v>5.4</v>
      </c>
      <c r="I168" s="721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81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8" s="723" t="n"/>
      <c r="P168" s="723" t="n"/>
      <c r="Q168" s="723" t="n"/>
      <c r="R168" s="689" t="n"/>
      <c r="S168" s="40" t="inlineStr"/>
      <c r="T168" s="40" t="inlineStr"/>
      <c r="U168" s="41" t="inlineStr">
        <is>
          <t>кг</t>
        </is>
      </c>
      <c r="V168" s="724" t="n">
        <v>66</v>
      </c>
      <c r="W168" s="725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 ht="27" customHeight="1">
      <c r="A169" s="64" t="inlineStr">
        <is>
          <t>SU002943</t>
        </is>
      </c>
      <c r="B169" s="64" t="inlineStr">
        <is>
          <t>P003401</t>
        </is>
      </c>
      <c r="C169" s="37" t="n">
        <v>4301031230</v>
      </c>
      <c r="D169" s="399" t="n">
        <v>4680115882690</v>
      </c>
      <c r="E169" s="689" t="n"/>
      <c r="F169" s="721" t="n">
        <v>0.9</v>
      </c>
      <c r="G169" s="38" t="n">
        <v>6</v>
      </c>
      <c r="H169" s="721" t="n">
        <v>5.4</v>
      </c>
      <c r="I169" s="721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81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9" s="723" t="n"/>
      <c r="P169" s="723" t="n"/>
      <c r="Q169" s="723" t="n"/>
      <c r="R169" s="689" t="n"/>
      <c r="S169" s="40" t="inlineStr"/>
      <c r="T169" s="40" t="inlineStr"/>
      <c r="U169" s="41" t="inlineStr">
        <is>
          <t>кг</t>
        </is>
      </c>
      <c r="V169" s="724" t="n">
        <v>275</v>
      </c>
      <c r="W169" s="725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 ht="27" customHeight="1">
      <c r="A170" s="64" t="inlineStr">
        <is>
          <t>SU002945</t>
        </is>
      </c>
      <c r="B170" s="64" t="inlineStr">
        <is>
          <t>P003383</t>
        </is>
      </c>
      <c r="C170" s="37" t="n">
        <v>4301031220</v>
      </c>
      <c r="D170" s="399" t="n">
        <v>4680115882669</v>
      </c>
      <c r="E170" s="689" t="n"/>
      <c r="F170" s="721" t="n">
        <v>0.9</v>
      </c>
      <c r="G170" s="38" t="n">
        <v>6</v>
      </c>
      <c r="H170" s="721" t="n">
        <v>5.4</v>
      </c>
      <c r="I170" s="721" t="n">
        <v>5.61</v>
      </c>
      <c r="J170" s="38" t="n">
        <v>120</v>
      </c>
      <c r="K170" s="38" t="inlineStr">
        <is>
          <t>12</t>
        </is>
      </c>
      <c r="L170" s="39" t="inlineStr">
        <is>
          <t>СК2</t>
        </is>
      </c>
      <c r="M170" s="38" t="n">
        <v>40</v>
      </c>
      <c r="N170" s="81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0" s="723" t="n"/>
      <c r="P170" s="723" t="n"/>
      <c r="Q170" s="723" t="n"/>
      <c r="R170" s="689" t="n"/>
      <c r="S170" s="40" t="inlineStr"/>
      <c r="T170" s="40" t="inlineStr"/>
      <c r="U170" s="41" t="inlineStr">
        <is>
          <t>кг</t>
        </is>
      </c>
      <c r="V170" s="724" t="n">
        <v>0</v>
      </c>
      <c r="W170" s="725">
        <f>IFERROR(IF(V170="",0,CEILING((V170/$H170),1)*$H170),"")</f>
        <v/>
      </c>
      <c r="X170" s="42">
        <f>IFERROR(IF(W170=0,"",ROUNDUP(W170/H170,0)*0.00937),"")</f>
        <v/>
      </c>
      <c r="Y170" s="69" t="inlineStr"/>
      <c r="Z170" s="70" t="inlineStr"/>
      <c r="AD170" s="71" t="n"/>
      <c r="BA170" s="161" t="inlineStr">
        <is>
          <t>КИ</t>
        </is>
      </c>
    </row>
    <row r="171" ht="27" customHeight="1">
      <c r="A171" s="64" t="inlineStr">
        <is>
          <t>SU002947</t>
        </is>
      </c>
      <c r="B171" s="64" t="inlineStr">
        <is>
          <t>P003384</t>
        </is>
      </c>
      <c r="C171" s="37" t="n">
        <v>4301031221</v>
      </c>
      <c r="D171" s="399" t="n">
        <v>4680115882676</v>
      </c>
      <c r="E171" s="689" t="n"/>
      <c r="F171" s="721" t="n">
        <v>0.9</v>
      </c>
      <c r="G171" s="38" t="n">
        <v>6</v>
      </c>
      <c r="H171" s="721" t="n">
        <v>5.4</v>
      </c>
      <c r="I171" s="721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81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1" s="723" t="n"/>
      <c r="P171" s="723" t="n"/>
      <c r="Q171" s="723" t="n"/>
      <c r="R171" s="689" t="n"/>
      <c r="S171" s="40" t="inlineStr"/>
      <c r="T171" s="40" t="inlineStr"/>
      <c r="U171" s="41" t="inlineStr">
        <is>
          <t>кг</t>
        </is>
      </c>
      <c r="V171" s="724" t="n">
        <v>131</v>
      </c>
      <c r="W171" s="725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>
      <c r="A172" s="407" t="n"/>
      <c r="B172" s="677" t="n"/>
      <c r="C172" s="677" t="n"/>
      <c r="D172" s="677" t="n"/>
      <c r="E172" s="677" t="n"/>
      <c r="F172" s="677" t="n"/>
      <c r="G172" s="677" t="n"/>
      <c r="H172" s="677" t="n"/>
      <c r="I172" s="677" t="n"/>
      <c r="J172" s="677" t="n"/>
      <c r="K172" s="677" t="n"/>
      <c r="L172" s="677" t="n"/>
      <c r="M172" s="726" t="n"/>
      <c r="N172" s="727" t="inlineStr">
        <is>
          <t>Итого</t>
        </is>
      </c>
      <c r="O172" s="697" t="n"/>
      <c r="P172" s="697" t="n"/>
      <c r="Q172" s="697" t="n"/>
      <c r="R172" s="697" t="n"/>
      <c r="S172" s="697" t="n"/>
      <c r="T172" s="698" t="n"/>
      <c r="U172" s="43" t="inlineStr">
        <is>
          <t>кор</t>
        </is>
      </c>
      <c r="V172" s="728">
        <f>IFERROR(V168/H168,"0")+IFERROR(V169/H169,"0")+IFERROR(V170/H170,"0")+IFERROR(V171/H171,"0")</f>
        <v/>
      </c>
      <c r="W172" s="728">
        <f>IFERROR(W168/H168,"0")+IFERROR(W169/H169,"0")+IFERROR(W170/H170,"0")+IFERROR(W171/H171,"0")</f>
        <v/>
      </c>
      <c r="X172" s="728">
        <f>IFERROR(IF(X168="",0,X168),"0")+IFERROR(IF(X169="",0,X169),"0")+IFERROR(IF(X170="",0,X170),"0")+IFERROR(IF(X171="",0,X171),"0")</f>
        <v/>
      </c>
      <c r="Y172" s="729" t="n"/>
      <c r="Z172" s="729" t="n"/>
    </row>
    <row r="173">
      <c r="A173" s="677" t="n"/>
      <c r="B173" s="677" t="n"/>
      <c r="C173" s="677" t="n"/>
      <c r="D173" s="677" t="n"/>
      <c r="E173" s="677" t="n"/>
      <c r="F173" s="677" t="n"/>
      <c r="G173" s="677" t="n"/>
      <c r="H173" s="677" t="n"/>
      <c r="I173" s="677" t="n"/>
      <c r="J173" s="677" t="n"/>
      <c r="K173" s="677" t="n"/>
      <c r="L173" s="677" t="n"/>
      <c r="M173" s="726" t="n"/>
      <c r="N173" s="727" t="inlineStr">
        <is>
          <t>Итого</t>
        </is>
      </c>
      <c r="O173" s="697" t="n"/>
      <c r="P173" s="697" t="n"/>
      <c r="Q173" s="697" t="n"/>
      <c r="R173" s="697" t="n"/>
      <c r="S173" s="697" t="n"/>
      <c r="T173" s="698" t="n"/>
      <c r="U173" s="43" t="inlineStr">
        <is>
          <t>кг</t>
        </is>
      </c>
      <c r="V173" s="728">
        <f>IFERROR(SUM(V168:V171),"0")</f>
        <v/>
      </c>
      <c r="W173" s="728">
        <f>IFERROR(SUM(W168:W171),"0")</f>
        <v/>
      </c>
      <c r="X173" s="43" t="n"/>
      <c r="Y173" s="729" t="n"/>
      <c r="Z173" s="729" t="n"/>
    </row>
    <row r="174" ht="14.25" customHeight="1">
      <c r="A174" s="398" t="inlineStr">
        <is>
          <t>Сосиски</t>
        </is>
      </c>
      <c r="B174" s="677" t="n"/>
      <c r="C174" s="677" t="n"/>
      <c r="D174" s="677" t="n"/>
      <c r="E174" s="677" t="n"/>
      <c r="F174" s="677" t="n"/>
      <c r="G174" s="677" t="n"/>
      <c r="H174" s="677" t="n"/>
      <c r="I174" s="677" t="n"/>
      <c r="J174" s="677" t="n"/>
      <c r="K174" s="677" t="n"/>
      <c r="L174" s="677" t="n"/>
      <c r="M174" s="677" t="n"/>
      <c r="N174" s="677" t="n"/>
      <c r="O174" s="677" t="n"/>
      <c r="P174" s="677" t="n"/>
      <c r="Q174" s="677" t="n"/>
      <c r="R174" s="677" t="n"/>
      <c r="S174" s="677" t="n"/>
      <c r="T174" s="677" t="n"/>
      <c r="U174" s="677" t="n"/>
      <c r="V174" s="677" t="n"/>
      <c r="W174" s="677" t="n"/>
      <c r="X174" s="677" t="n"/>
      <c r="Y174" s="398" t="n"/>
      <c r="Z174" s="398" t="n"/>
    </row>
    <row r="175" ht="27" customHeight="1">
      <c r="A175" s="64" t="inlineStr">
        <is>
          <t>SU002857</t>
        </is>
      </c>
      <c r="B175" s="64" t="inlineStr">
        <is>
          <t>P003264</t>
        </is>
      </c>
      <c r="C175" s="37" t="n">
        <v>4301051409</v>
      </c>
      <c r="D175" s="399" t="n">
        <v>4680115881556</v>
      </c>
      <c r="E175" s="689" t="n"/>
      <c r="F175" s="721" t="n">
        <v>1</v>
      </c>
      <c r="G175" s="38" t="n">
        <v>4</v>
      </c>
      <c r="H175" s="721" t="n">
        <v>4</v>
      </c>
      <c r="I175" s="721" t="n">
        <v>4.408</v>
      </c>
      <c r="J175" s="38" t="n">
        <v>104</v>
      </c>
      <c r="K175" s="38" t="inlineStr">
        <is>
          <t>8</t>
        </is>
      </c>
      <c r="L175" s="39" t="inlineStr">
        <is>
          <t>СК3</t>
        </is>
      </c>
      <c r="M175" s="38" t="n">
        <v>45</v>
      </c>
      <c r="N175" s="81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5" s="723" t="n"/>
      <c r="P175" s="723" t="n"/>
      <c r="Q175" s="723" t="n"/>
      <c r="R175" s="689" t="n"/>
      <c r="S175" s="40" t="inlineStr"/>
      <c r="T175" s="40" t="inlineStr"/>
      <c r="U175" s="41" t="inlineStr">
        <is>
          <t>кг</t>
        </is>
      </c>
      <c r="V175" s="724" t="n">
        <v>0</v>
      </c>
      <c r="W175" s="725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SU002725</t>
        </is>
      </c>
      <c r="B176" s="64" t="inlineStr">
        <is>
          <t>P003672</t>
        </is>
      </c>
      <c r="C176" s="37" t="n">
        <v>4301051538</v>
      </c>
      <c r="D176" s="399" t="n">
        <v>4680115880573</v>
      </c>
      <c r="E176" s="689" t="n"/>
      <c r="F176" s="721" t="n">
        <v>1.45</v>
      </c>
      <c r="G176" s="38" t="n">
        <v>6</v>
      </c>
      <c r="H176" s="721" t="n">
        <v>8.699999999999999</v>
      </c>
      <c r="I176" s="721" t="n">
        <v>9.263999999999999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45</v>
      </c>
      <c r="N176" s="820" t="inlineStr">
        <is>
          <t>Сосиски «Сочинки» Весовой п/а ТМ «Стародворье»</t>
        </is>
      </c>
      <c r="O176" s="723" t="n"/>
      <c r="P176" s="723" t="n"/>
      <c r="Q176" s="723" t="n"/>
      <c r="R176" s="689" t="n"/>
      <c r="S176" s="40" t="inlineStr"/>
      <c r="T176" s="40" t="inlineStr"/>
      <c r="U176" s="41" t="inlineStr">
        <is>
          <t>кг</t>
        </is>
      </c>
      <c r="V176" s="724" t="n">
        <v>0</v>
      </c>
      <c r="W176" s="725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SU002843</t>
        </is>
      </c>
      <c r="B177" s="64" t="inlineStr">
        <is>
          <t>P003263</t>
        </is>
      </c>
      <c r="C177" s="37" t="n">
        <v>4301051408</v>
      </c>
      <c r="D177" s="399" t="n">
        <v>4680115881594</v>
      </c>
      <c r="E177" s="689" t="n"/>
      <c r="F177" s="721" t="n">
        <v>1.35</v>
      </c>
      <c r="G177" s="38" t="n">
        <v>6</v>
      </c>
      <c r="H177" s="721" t="n">
        <v>8.1</v>
      </c>
      <c r="I177" s="721" t="n">
        <v>8.664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821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7" s="723" t="n"/>
      <c r="P177" s="723" t="n"/>
      <c r="Q177" s="723" t="n"/>
      <c r="R177" s="689" t="n"/>
      <c r="S177" s="40" t="inlineStr"/>
      <c r="T177" s="40" t="inlineStr"/>
      <c r="U177" s="41" t="inlineStr">
        <is>
          <t>кг</t>
        </is>
      </c>
      <c r="V177" s="724" t="n">
        <v>66</v>
      </c>
      <c r="W177" s="725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SU002858</t>
        </is>
      </c>
      <c r="B178" s="64" t="inlineStr">
        <is>
          <t>P003581</t>
        </is>
      </c>
      <c r="C178" s="37" t="n">
        <v>4301051505</v>
      </c>
      <c r="D178" s="399" t="n">
        <v>4680115881587</v>
      </c>
      <c r="E178" s="689" t="n"/>
      <c r="F178" s="721" t="n">
        <v>1</v>
      </c>
      <c r="G178" s="38" t="n">
        <v>4</v>
      </c>
      <c r="H178" s="721" t="n">
        <v>4</v>
      </c>
      <c r="I178" s="721" t="n">
        <v>4.408</v>
      </c>
      <c r="J178" s="38" t="n">
        <v>104</v>
      </c>
      <c r="K178" s="38" t="inlineStr">
        <is>
          <t>8</t>
        </is>
      </c>
      <c r="L178" s="39" t="inlineStr">
        <is>
          <t>СК2</t>
        </is>
      </c>
      <c r="M178" s="38" t="n">
        <v>40</v>
      </c>
      <c r="N178" s="822" t="inlineStr">
        <is>
          <t>Сосиски «Сочинки по-баварски с сыром» вес п/а ТМ «Стародворье» 1,0 кг</t>
        </is>
      </c>
      <c r="O178" s="723" t="n"/>
      <c r="P178" s="723" t="n"/>
      <c r="Q178" s="723" t="n"/>
      <c r="R178" s="689" t="n"/>
      <c r="S178" s="40" t="inlineStr"/>
      <c r="T178" s="40" t="inlineStr"/>
      <c r="U178" s="41" t="inlineStr">
        <is>
          <t>кг</t>
        </is>
      </c>
      <c r="V178" s="724" t="n">
        <v>0</v>
      </c>
      <c r="W178" s="725">
        <f>IFERROR(IF(V178="",0,CEILING((V178/$H178),1)*$H178),"")</f>
        <v/>
      </c>
      <c r="X178" s="42">
        <f>IFERROR(IF(W178=0,"",ROUNDUP(W178/H178,0)*0.01196),"")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16.5" customHeight="1">
      <c r="A179" s="64" t="inlineStr">
        <is>
          <t>SU002795</t>
        </is>
      </c>
      <c r="B179" s="64" t="inlineStr">
        <is>
          <t>P003203</t>
        </is>
      </c>
      <c r="C179" s="37" t="n">
        <v>4301051380</v>
      </c>
      <c r="D179" s="399" t="n">
        <v>4680115880962</v>
      </c>
      <c r="E179" s="689" t="n"/>
      <c r="F179" s="721" t="n">
        <v>1.3</v>
      </c>
      <c r="G179" s="38" t="n">
        <v>6</v>
      </c>
      <c r="H179" s="721" t="n">
        <v>7.8</v>
      </c>
      <c r="I179" s="721" t="n">
        <v>8.364000000000001</v>
      </c>
      <c r="J179" s="38" t="n">
        <v>56</v>
      </c>
      <c r="K179" s="38" t="inlineStr">
        <is>
          <t>8</t>
        </is>
      </c>
      <c r="L179" s="39" t="inlineStr">
        <is>
          <t>СК2</t>
        </is>
      </c>
      <c r="M179" s="38" t="n">
        <v>40</v>
      </c>
      <c r="N179" s="823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9" s="723" t="n"/>
      <c r="P179" s="723" t="n"/>
      <c r="Q179" s="723" t="n"/>
      <c r="R179" s="689" t="n"/>
      <c r="S179" s="40" t="inlineStr"/>
      <c r="T179" s="40" t="inlineStr"/>
      <c r="U179" s="41" t="inlineStr">
        <is>
          <t>кг</t>
        </is>
      </c>
      <c r="V179" s="724" t="n">
        <v>0</v>
      </c>
      <c r="W179" s="725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SU002845</t>
        </is>
      </c>
      <c r="B180" s="64" t="inlineStr">
        <is>
          <t>P003266</t>
        </is>
      </c>
      <c r="C180" s="37" t="n">
        <v>4301051411</v>
      </c>
      <c r="D180" s="399" t="n">
        <v>4680115881617</v>
      </c>
      <c r="E180" s="689" t="n"/>
      <c r="F180" s="721" t="n">
        <v>1.35</v>
      </c>
      <c r="G180" s="38" t="n">
        <v>6</v>
      </c>
      <c r="H180" s="721" t="n">
        <v>8.1</v>
      </c>
      <c r="I180" s="721" t="n">
        <v>8.646000000000001</v>
      </c>
      <c r="J180" s="38" t="n">
        <v>56</v>
      </c>
      <c r="K180" s="38" t="inlineStr">
        <is>
          <t>8</t>
        </is>
      </c>
      <c r="L180" s="39" t="inlineStr">
        <is>
          <t>СК3</t>
        </is>
      </c>
      <c r="M180" s="38" t="n">
        <v>40</v>
      </c>
      <c r="N180" s="824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0" s="723" t="n"/>
      <c r="P180" s="723" t="n"/>
      <c r="Q180" s="723" t="n"/>
      <c r="R180" s="689" t="n"/>
      <c r="S180" s="40" t="inlineStr"/>
      <c r="T180" s="40" t="inlineStr"/>
      <c r="U180" s="41" t="inlineStr">
        <is>
          <t>кг</t>
        </is>
      </c>
      <c r="V180" s="724" t="n">
        <v>0</v>
      </c>
      <c r="W180" s="725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SU002801</t>
        </is>
      </c>
      <c r="B181" s="64" t="inlineStr">
        <is>
          <t>P003475</t>
        </is>
      </c>
      <c r="C181" s="37" t="n">
        <v>4301051487</v>
      </c>
      <c r="D181" s="399" t="n">
        <v>4680115881228</v>
      </c>
      <c r="E181" s="689" t="n"/>
      <c r="F181" s="721" t="n">
        <v>0.4</v>
      </c>
      <c r="G181" s="38" t="n">
        <v>6</v>
      </c>
      <c r="H181" s="721" t="n">
        <v>2.4</v>
      </c>
      <c r="I181" s="721" t="n">
        <v>2.672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825" t="inlineStr">
        <is>
          <t>Сосиски «Сочинки по-баварски с сыром» Фикс.вес 0,4 П/а мгс ТМ «Стародворье»</t>
        </is>
      </c>
      <c r="O181" s="723" t="n"/>
      <c r="P181" s="723" t="n"/>
      <c r="Q181" s="723" t="n"/>
      <c r="R181" s="689" t="n"/>
      <c r="S181" s="40" t="inlineStr"/>
      <c r="T181" s="40" t="inlineStr"/>
      <c r="U181" s="41" t="inlineStr">
        <is>
          <t>кг</t>
        </is>
      </c>
      <c r="V181" s="724" t="n">
        <v>160.0000000000002</v>
      </c>
      <c r="W181" s="725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SU002802</t>
        </is>
      </c>
      <c r="B182" s="64" t="inlineStr">
        <is>
          <t>P003580</t>
        </is>
      </c>
      <c r="C182" s="37" t="n">
        <v>4301051506</v>
      </c>
      <c r="D182" s="399" t="n">
        <v>4680115881037</v>
      </c>
      <c r="E182" s="689" t="n"/>
      <c r="F182" s="721" t="n">
        <v>0.84</v>
      </c>
      <c r="G182" s="38" t="n">
        <v>4</v>
      </c>
      <c r="H182" s="721" t="n">
        <v>3.36</v>
      </c>
      <c r="I182" s="721" t="n">
        <v>3.618</v>
      </c>
      <c r="J182" s="38" t="n">
        <v>120</v>
      </c>
      <c r="K182" s="38" t="inlineStr">
        <is>
          <t>12</t>
        </is>
      </c>
      <c r="L182" s="39" t="inlineStr">
        <is>
          <t>СК2</t>
        </is>
      </c>
      <c r="M182" s="38" t="n">
        <v>40</v>
      </c>
      <c r="N182" s="826" t="inlineStr">
        <is>
          <t>Сосиски «Сочинки по-баварски с сыром» Фикс.вес 0,84 кг п/а мгс ТМ «Стародворье»</t>
        </is>
      </c>
      <c r="O182" s="723" t="n"/>
      <c r="P182" s="723" t="n"/>
      <c r="Q182" s="723" t="n"/>
      <c r="R182" s="689" t="n"/>
      <c r="S182" s="40" t="inlineStr"/>
      <c r="T182" s="40" t="inlineStr"/>
      <c r="U182" s="41" t="inlineStr">
        <is>
          <t>кг</t>
        </is>
      </c>
      <c r="V182" s="724" t="n">
        <v>0</v>
      </c>
      <c r="W182" s="725">
        <f>IFERROR(IF(V182="",0,CEILING((V182/$H182),1)*$H182),"")</f>
        <v/>
      </c>
      <c r="X182" s="42">
        <f>IFERROR(IF(W182=0,"",ROUNDUP(W182/H182,0)*0.00937),"")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SU002799</t>
        </is>
      </c>
      <c r="B183" s="64" t="inlineStr">
        <is>
          <t>P003217</t>
        </is>
      </c>
      <c r="C183" s="37" t="n">
        <v>4301051384</v>
      </c>
      <c r="D183" s="399" t="n">
        <v>4680115881211</v>
      </c>
      <c r="E183" s="689" t="n"/>
      <c r="F183" s="721" t="n">
        <v>0.4</v>
      </c>
      <c r="G183" s="38" t="n">
        <v>6</v>
      </c>
      <c r="H183" s="721" t="n">
        <v>2.4</v>
      </c>
      <c r="I183" s="721" t="n">
        <v>2.6</v>
      </c>
      <c r="J183" s="38" t="n">
        <v>156</v>
      </c>
      <c r="K183" s="38" t="inlineStr">
        <is>
          <t>12</t>
        </is>
      </c>
      <c r="L183" s="39" t="inlineStr">
        <is>
          <t>СК2</t>
        </is>
      </c>
      <c r="M183" s="38" t="n">
        <v>45</v>
      </c>
      <c r="N183" s="827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3" s="723" t="n"/>
      <c r="P183" s="723" t="n"/>
      <c r="Q183" s="723" t="n"/>
      <c r="R183" s="689" t="n"/>
      <c r="S183" s="40" t="inlineStr"/>
      <c r="T183" s="40" t="inlineStr"/>
      <c r="U183" s="41" t="inlineStr">
        <is>
          <t>кг</t>
        </is>
      </c>
      <c r="V183" s="724" t="n">
        <v>0</v>
      </c>
      <c r="W183" s="725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SU002800</t>
        </is>
      </c>
      <c r="B184" s="64" t="inlineStr">
        <is>
          <t>P003201</t>
        </is>
      </c>
      <c r="C184" s="37" t="n">
        <v>4301051378</v>
      </c>
      <c r="D184" s="399" t="n">
        <v>4680115881020</v>
      </c>
      <c r="E184" s="689" t="n"/>
      <c r="F184" s="721" t="n">
        <v>0.84</v>
      </c>
      <c r="G184" s="38" t="n">
        <v>4</v>
      </c>
      <c r="H184" s="721" t="n">
        <v>3.36</v>
      </c>
      <c r="I184" s="721" t="n">
        <v>3.57</v>
      </c>
      <c r="J184" s="38" t="n">
        <v>120</v>
      </c>
      <c r="K184" s="38" t="inlineStr">
        <is>
          <t>12</t>
        </is>
      </c>
      <c r="L184" s="39" t="inlineStr">
        <is>
          <t>СК2</t>
        </is>
      </c>
      <c r="M184" s="38" t="n">
        <v>45</v>
      </c>
      <c r="N184" s="828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4" s="723" t="n"/>
      <c r="P184" s="723" t="n"/>
      <c r="Q184" s="723" t="n"/>
      <c r="R184" s="689" t="n"/>
      <c r="S184" s="40" t="inlineStr"/>
      <c r="T184" s="40" t="inlineStr"/>
      <c r="U184" s="41" t="inlineStr">
        <is>
          <t>кг</t>
        </is>
      </c>
      <c r="V184" s="724" t="n">
        <v>0</v>
      </c>
      <c r="W184" s="725">
        <f>IFERROR(IF(V184="",0,CEILING((V184/$H184),1)*$H184),"")</f>
        <v/>
      </c>
      <c r="X184" s="42">
        <f>IFERROR(IF(W184=0,"",ROUNDUP(W184/H184,0)*0.00937),"")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SU002842</t>
        </is>
      </c>
      <c r="B185" s="64" t="inlineStr">
        <is>
          <t>P003262</t>
        </is>
      </c>
      <c r="C185" s="37" t="n">
        <v>4301051407</v>
      </c>
      <c r="D185" s="399" t="n">
        <v>4680115882195</v>
      </c>
      <c r="E185" s="689" t="n"/>
      <c r="F185" s="721" t="n">
        <v>0.4</v>
      </c>
      <c r="G185" s="38" t="n">
        <v>6</v>
      </c>
      <c r="H185" s="721" t="n">
        <v>2.4</v>
      </c>
      <c r="I185" s="721" t="n">
        <v>2.69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40</v>
      </c>
      <c r="N185" s="829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5" s="723" t="n"/>
      <c r="P185" s="723" t="n"/>
      <c r="Q185" s="723" t="n"/>
      <c r="R185" s="689" t="n"/>
      <c r="S185" s="40" t="inlineStr"/>
      <c r="T185" s="40" t="inlineStr"/>
      <c r="U185" s="41" t="inlineStr">
        <is>
          <t>кг</t>
        </is>
      </c>
      <c r="V185" s="724" t="n">
        <v>169</v>
      </c>
      <c r="W185" s="725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SU002992</t>
        </is>
      </c>
      <c r="B186" s="64" t="inlineStr">
        <is>
          <t>P003443</t>
        </is>
      </c>
      <c r="C186" s="37" t="n">
        <v>4301051479</v>
      </c>
      <c r="D186" s="399" t="n">
        <v>4680115882607</v>
      </c>
      <c r="E186" s="689" t="n"/>
      <c r="F186" s="721" t="n">
        <v>0.3</v>
      </c>
      <c r="G186" s="38" t="n">
        <v>6</v>
      </c>
      <c r="H186" s="721" t="n">
        <v>1.8</v>
      </c>
      <c r="I186" s="721" t="n">
        <v>2.072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45</v>
      </c>
      <c r="N186" s="830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6" s="723" t="n"/>
      <c r="P186" s="723" t="n"/>
      <c r="Q186" s="723" t="n"/>
      <c r="R186" s="689" t="n"/>
      <c r="S186" s="40" t="inlineStr"/>
      <c r="T186" s="40" t="inlineStr"/>
      <c r="U186" s="41" t="inlineStr">
        <is>
          <t>кг</t>
        </is>
      </c>
      <c r="V186" s="724" t="n">
        <v>0</v>
      </c>
      <c r="W186" s="725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SU002618</t>
        </is>
      </c>
      <c r="B187" s="64" t="inlineStr">
        <is>
          <t>P003398</t>
        </is>
      </c>
      <c r="C187" s="37" t="n">
        <v>4301051468</v>
      </c>
      <c r="D187" s="399" t="n">
        <v>4680115880092</v>
      </c>
      <c r="E187" s="689" t="n"/>
      <c r="F187" s="721" t="n">
        <v>0.4</v>
      </c>
      <c r="G187" s="38" t="n">
        <v>6</v>
      </c>
      <c r="H187" s="721" t="n">
        <v>2.4</v>
      </c>
      <c r="I187" s="721" t="n">
        <v>2.672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45</v>
      </c>
      <c r="N187" s="831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7" s="723" t="n"/>
      <c r="P187" s="723" t="n"/>
      <c r="Q187" s="723" t="n"/>
      <c r="R187" s="689" t="n"/>
      <c r="S187" s="40" t="inlineStr"/>
      <c r="T187" s="40" t="inlineStr"/>
      <c r="U187" s="41" t="inlineStr">
        <is>
          <t>кг</t>
        </is>
      </c>
      <c r="V187" s="724" t="n">
        <v>388</v>
      </c>
      <c r="W187" s="725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SU002621</t>
        </is>
      </c>
      <c r="B188" s="64" t="inlineStr">
        <is>
          <t>P003399</t>
        </is>
      </c>
      <c r="C188" s="37" t="n">
        <v>4301051469</v>
      </c>
      <c r="D188" s="399" t="n">
        <v>4680115880221</v>
      </c>
      <c r="E188" s="689" t="n"/>
      <c r="F188" s="721" t="n">
        <v>0.4</v>
      </c>
      <c r="G188" s="38" t="n">
        <v>6</v>
      </c>
      <c r="H188" s="721" t="n">
        <v>2.4</v>
      </c>
      <c r="I188" s="721" t="n">
        <v>2.672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45</v>
      </c>
      <c r="N188" s="83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8" s="723" t="n"/>
      <c r="P188" s="723" t="n"/>
      <c r="Q188" s="723" t="n"/>
      <c r="R188" s="689" t="n"/>
      <c r="S188" s="40" t="inlineStr"/>
      <c r="T188" s="40" t="inlineStr"/>
      <c r="U188" s="41" t="inlineStr">
        <is>
          <t>кг</t>
        </is>
      </c>
      <c r="V188" s="724" t="n">
        <v>138</v>
      </c>
      <c r="W188" s="725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16.5" customHeight="1">
      <c r="A189" s="64" t="inlineStr">
        <is>
          <t>SU003073</t>
        </is>
      </c>
      <c r="B189" s="64" t="inlineStr">
        <is>
          <t>P003613</t>
        </is>
      </c>
      <c r="C189" s="37" t="n">
        <v>4301051523</v>
      </c>
      <c r="D189" s="399" t="n">
        <v>4680115882942</v>
      </c>
      <c r="E189" s="689" t="n"/>
      <c r="F189" s="721" t="n">
        <v>0.3</v>
      </c>
      <c r="G189" s="38" t="n">
        <v>6</v>
      </c>
      <c r="H189" s="721" t="n">
        <v>1.8</v>
      </c>
      <c r="I189" s="721" t="n">
        <v>2.072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833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9" s="723" t="n"/>
      <c r="P189" s="723" t="n"/>
      <c r="Q189" s="723" t="n"/>
      <c r="R189" s="689" t="n"/>
      <c r="S189" s="40" t="inlineStr"/>
      <c r="T189" s="40" t="inlineStr"/>
      <c r="U189" s="41" t="inlineStr">
        <is>
          <t>кг</t>
        </is>
      </c>
      <c r="V189" s="724" t="n">
        <v>0</v>
      </c>
      <c r="W189" s="725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16.5" customHeight="1">
      <c r="A190" s="64" t="inlineStr">
        <is>
          <t>SU002686</t>
        </is>
      </c>
      <c r="B190" s="64" t="inlineStr">
        <is>
          <t>P003071</t>
        </is>
      </c>
      <c r="C190" s="37" t="n">
        <v>4301051326</v>
      </c>
      <c r="D190" s="399" t="n">
        <v>4680115880504</v>
      </c>
      <c r="E190" s="689" t="n"/>
      <c r="F190" s="721" t="n">
        <v>0.4</v>
      </c>
      <c r="G190" s="38" t="n">
        <v>6</v>
      </c>
      <c r="H190" s="721" t="n">
        <v>2.4</v>
      </c>
      <c r="I190" s="721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834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0" s="723" t="n"/>
      <c r="P190" s="723" t="n"/>
      <c r="Q190" s="723" t="n"/>
      <c r="R190" s="689" t="n"/>
      <c r="S190" s="40" t="inlineStr"/>
      <c r="T190" s="40" t="inlineStr"/>
      <c r="U190" s="41" t="inlineStr">
        <is>
          <t>кг</t>
        </is>
      </c>
      <c r="V190" s="724" t="n">
        <v>204</v>
      </c>
      <c r="W190" s="725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SU002844</t>
        </is>
      </c>
      <c r="B191" s="64" t="inlineStr">
        <is>
          <t>P003265</t>
        </is>
      </c>
      <c r="C191" s="37" t="n">
        <v>4301051410</v>
      </c>
      <c r="D191" s="399" t="n">
        <v>4680115882164</v>
      </c>
      <c r="E191" s="689" t="n"/>
      <c r="F191" s="721" t="n">
        <v>0.4</v>
      </c>
      <c r="G191" s="38" t="n">
        <v>6</v>
      </c>
      <c r="H191" s="721" t="n">
        <v>2.4</v>
      </c>
      <c r="I191" s="721" t="n">
        <v>2.678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40</v>
      </c>
      <c r="N191" s="83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1" s="723" t="n"/>
      <c r="P191" s="723" t="n"/>
      <c r="Q191" s="723" t="n"/>
      <c r="R191" s="689" t="n"/>
      <c r="S191" s="40" t="inlineStr"/>
      <c r="T191" s="40" t="inlineStr"/>
      <c r="U191" s="41" t="inlineStr">
        <is>
          <t>кг</t>
        </is>
      </c>
      <c r="V191" s="724" t="n">
        <v>168</v>
      </c>
      <c r="W191" s="725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>
      <c r="A192" s="407" t="n"/>
      <c r="B192" s="677" t="n"/>
      <c r="C192" s="677" t="n"/>
      <c r="D192" s="677" t="n"/>
      <c r="E192" s="677" t="n"/>
      <c r="F192" s="677" t="n"/>
      <c r="G192" s="677" t="n"/>
      <c r="H192" s="677" t="n"/>
      <c r="I192" s="677" t="n"/>
      <c r="J192" s="677" t="n"/>
      <c r="K192" s="677" t="n"/>
      <c r="L192" s="677" t="n"/>
      <c r="M192" s="726" t="n"/>
      <c r="N192" s="727" t="inlineStr">
        <is>
          <t>Итого</t>
        </is>
      </c>
      <c r="O192" s="697" t="n"/>
      <c r="P192" s="697" t="n"/>
      <c r="Q192" s="697" t="n"/>
      <c r="R192" s="697" t="n"/>
      <c r="S192" s="697" t="n"/>
      <c r="T192" s="698" t="n"/>
      <c r="U192" s="43" t="inlineStr">
        <is>
          <t>кор</t>
        </is>
      </c>
      <c r="V192" s="728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/>
      </c>
      <c r="W192" s="728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/>
      </c>
      <c r="X192" s="728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/>
      </c>
      <c r="Y192" s="729" t="n"/>
      <c r="Z192" s="729" t="n"/>
    </row>
    <row r="193">
      <c r="A193" s="677" t="n"/>
      <c r="B193" s="677" t="n"/>
      <c r="C193" s="677" t="n"/>
      <c r="D193" s="677" t="n"/>
      <c r="E193" s="677" t="n"/>
      <c r="F193" s="677" t="n"/>
      <c r="G193" s="677" t="n"/>
      <c r="H193" s="677" t="n"/>
      <c r="I193" s="677" t="n"/>
      <c r="J193" s="677" t="n"/>
      <c r="K193" s="677" t="n"/>
      <c r="L193" s="677" t="n"/>
      <c r="M193" s="726" t="n"/>
      <c r="N193" s="727" t="inlineStr">
        <is>
          <t>Итого</t>
        </is>
      </c>
      <c r="O193" s="697" t="n"/>
      <c r="P193" s="697" t="n"/>
      <c r="Q193" s="697" t="n"/>
      <c r="R193" s="697" t="n"/>
      <c r="S193" s="697" t="n"/>
      <c r="T193" s="698" t="n"/>
      <c r="U193" s="43" t="inlineStr">
        <is>
          <t>кг</t>
        </is>
      </c>
      <c r="V193" s="728">
        <f>IFERROR(SUM(V175:V191),"0")</f>
        <v/>
      </c>
      <c r="W193" s="728">
        <f>IFERROR(SUM(W175:W191),"0")</f>
        <v/>
      </c>
      <c r="X193" s="43" t="n"/>
      <c r="Y193" s="729" t="n"/>
      <c r="Z193" s="729" t="n"/>
    </row>
    <row r="194" ht="14.25" customHeight="1">
      <c r="A194" s="398" t="inlineStr">
        <is>
          <t>Сардельки</t>
        </is>
      </c>
      <c r="B194" s="677" t="n"/>
      <c r="C194" s="677" t="n"/>
      <c r="D194" s="677" t="n"/>
      <c r="E194" s="677" t="n"/>
      <c r="F194" s="677" t="n"/>
      <c r="G194" s="677" t="n"/>
      <c r="H194" s="677" t="n"/>
      <c r="I194" s="677" t="n"/>
      <c r="J194" s="677" t="n"/>
      <c r="K194" s="677" t="n"/>
      <c r="L194" s="677" t="n"/>
      <c r="M194" s="677" t="n"/>
      <c r="N194" s="677" t="n"/>
      <c r="O194" s="677" t="n"/>
      <c r="P194" s="677" t="n"/>
      <c r="Q194" s="677" t="n"/>
      <c r="R194" s="677" t="n"/>
      <c r="S194" s="677" t="n"/>
      <c r="T194" s="677" t="n"/>
      <c r="U194" s="677" t="n"/>
      <c r="V194" s="677" t="n"/>
      <c r="W194" s="677" t="n"/>
      <c r="X194" s="677" t="n"/>
      <c r="Y194" s="398" t="n"/>
      <c r="Z194" s="398" t="n"/>
    </row>
    <row r="195" ht="16.5" customHeight="1">
      <c r="A195" s="64" t="inlineStr">
        <is>
          <t>SU003042</t>
        </is>
      </c>
      <c r="B195" s="64" t="inlineStr">
        <is>
          <t>P003608</t>
        </is>
      </c>
      <c r="C195" s="37" t="n">
        <v>4301060360</v>
      </c>
      <c r="D195" s="399" t="n">
        <v>4680115882874</v>
      </c>
      <c r="E195" s="689" t="n"/>
      <c r="F195" s="721" t="n">
        <v>0.8</v>
      </c>
      <c r="G195" s="38" t="n">
        <v>4</v>
      </c>
      <c r="H195" s="721" t="n">
        <v>3.2</v>
      </c>
      <c r="I195" s="721" t="n">
        <v>3.466</v>
      </c>
      <c r="J195" s="38" t="n">
        <v>120</v>
      </c>
      <c r="K195" s="38" t="inlineStr">
        <is>
          <t>12</t>
        </is>
      </c>
      <c r="L195" s="39" t="inlineStr">
        <is>
          <t>СК2</t>
        </is>
      </c>
      <c r="M195" s="38" t="n">
        <v>30</v>
      </c>
      <c r="N195" s="836" t="inlineStr">
        <is>
          <t>Сардельки «Сочинки» Весовой н/о ТМ «Стародворье»</t>
        </is>
      </c>
      <c r="O195" s="723" t="n"/>
      <c r="P195" s="723" t="n"/>
      <c r="Q195" s="723" t="n"/>
      <c r="R195" s="689" t="n"/>
      <c r="S195" s="40" t="inlineStr"/>
      <c r="T195" s="40" t="inlineStr"/>
      <c r="U195" s="41" t="inlineStr">
        <is>
          <t>кг</t>
        </is>
      </c>
      <c r="V195" s="724" t="n">
        <v>0</v>
      </c>
      <c r="W195" s="725">
        <f>IFERROR(IF(V195="",0,CEILING((V195/$H195),1)*$H195),"")</f>
        <v/>
      </c>
      <c r="X195" s="42">
        <f>IFERROR(IF(W195=0,"",ROUNDUP(W195/H195,0)*0.00937),"")</f>
        <v/>
      </c>
      <c r="Y195" s="69" t="inlineStr"/>
      <c r="Z195" s="70" t="inlineStr"/>
      <c r="AD195" s="71" t="n"/>
      <c r="BA195" s="180" t="inlineStr">
        <is>
          <t>КИ</t>
        </is>
      </c>
    </row>
    <row r="196" ht="16.5" customHeight="1">
      <c r="A196" s="64" t="inlineStr">
        <is>
          <t>SU003043</t>
        </is>
      </c>
      <c r="B196" s="64" t="inlineStr">
        <is>
          <t>P003604</t>
        </is>
      </c>
      <c r="C196" s="37" t="n">
        <v>4301060359</v>
      </c>
      <c r="D196" s="399" t="n">
        <v>4680115884434</v>
      </c>
      <c r="E196" s="689" t="n"/>
      <c r="F196" s="721" t="n">
        <v>0.8</v>
      </c>
      <c r="G196" s="38" t="n">
        <v>4</v>
      </c>
      <c r="H196" s="721" t="n">
        <v>3.2</v>
      </c>
      <c r="I196" s="721" t="n">
        <v>3.466</v>
      </c>
      <c r="J196" s="38" t="n">
        <v>120</v>
      </c>
      <c r="K196" s="38" t="inlineStr">
        <is>
          <t>12</t>
        </is>
      </c>
      <c r="L196" s="39" t="inlineStr">
        <is>
          <t>СК2</t>
        </is>
      </c>
      <c r="M196" s="38" t="n">
        <v>30</v>
      </c>
      <c r="N196" s="837" t="inlineStr">
        <is>
          <t>Сардельки «Шпикачки Сочинки» Весовой н/о ТМ «Стародворье»</t>
        </is>
      </c>
      <c r="O196" s="723" t="n"/>
      <c r="P196" s="723" t="n"/>
      <c r="Q196" s="723" t="n"/>
      <c r="R196" s="689" t="n"/>
      <c r="S196" s="40" t="inlineStr"/>
      <c r="T196" s="40" t="inlineStr"/>
      <c r="U196" s="41" t="inlineStr">
        <is>
          <t>кг</t>
        </is>
      </c>
      <c r="V196" s="724" t="n">
        <v>0</v>
      </c>
      <c r="W196" s="725">
        <f>IFERROR(IF(V196="",0,CEILING((V196/$H196),1)*$H196),"")</f>
        <v/>
      </c>
      <c r="X196" s="42">
        <f>IFERROR(IF(W196=0,"",ROUNDUP(W196/H196,0)*0.00937),"")</f>
        <v/>
      </c>
      <c r="Y196" s="69" t="inlineStr"/>
      <c r="Z196" s="70" t="inlineStr"/>
      <c r="AD196" s="71" t="n"/>
      <c r="BA196" s="181" t="inlineStr">
        <is>
          <t>КИ</t>
        </is>
      </c>
    </row>
    <row r="197" ht="16.5" customHeight="1">
      <c r="A197" s="64" t="inlineStr">
        <is>
          <t>SU002758</t>
        </is>
      </c>
      <c r="B197" s="64" t="inlineStr">
        <is>
          <t>P003129</t>
        </is>
      </c>
      <c r="C197" s="37" t="n">
        <v>4301060338</v>
      </c>
      <c r="D197" s="399" t="n">
        <v>4680115880801</v>
      </c>
      <c r="E197" s="689" t="n"/>
      <c r="F197" s="721" t="n">
        <v>0.4</v>
      </c>
      <c r="G197" s="38" t="n">
        <v>6</v>
      </c>
      <c r="H197" s="721" t="n">
        <v>2.4</v>
      </c>
      <c r="I197" s="721" t="n">
        <v>2.672</v>
      </c>
      <c r="J197" s="38" t="n">
        <v>156</v>
      </c>
      <c r="K197" s="38" t="inlineStr">
        <is>
          <t>12</t>
        </is>
      </c>
      <c r="L197" s="39" t="inlineStr">
        <is>
          <t>СК2</t>
        </is>
      </c>
      <c r="M197" s="38" t="n">
        <v>40</v>
      </c>
      <c r="N197" s="838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7" s="723" t="n"/>
      <c r="P197" s="723" t="n"/>
      <c r="Q197" s="723" t="n"/>
      <c r="R197" s="689" t="n"/>
      <c r="S197" s="40" t="inlineStr"/>
      <c r="T197" s="40" t="inlineStr"/>
      <c r="U197" s="41" t="inlineStr">
        <is>
          <t>кг</t>
        </is>
      </c>
      <c r="V197" s="724" t="n">
        <v>53</v>
      </c>
      <c r="W197" s="725">
        <f>IFERROR(IF(V197="",0,CEILING((V197/$H197),1)*$H197),"")</f>
        <v/>
      </c>
      <c r="X197" s="42">
        <f>IFERROR(IF(W197=0,"",ROUNDUP(W197/H197,0)*0.00753),"")</f>
        <v/>
      </c>
      <c r="Y197" s="69" t="inlineStr"/>
      <c r="Z197" s="70" t="inlineStr"/>
      <c r="AD197" s="71" t="n"/>
      <c r="BA197" s="182" t="inlineStr">
        <is>
          <t>КИ</t>
        </is>
      </c>
    </row>
    <row r="198" ht="27" customHeight="1">
      <c r="A198" s="64" t="inlineStr">
        <is>
          <t>SU002759</t>
        </is>
      </c>
      <c r="B198" s="64" t="inlineStr">
        <is>
          <t>P003130</t>
        </is>
      </c>
      <c r="C198" s="37" t="n">
        <v>4301060339</v>
      </c>
      <c r="D198" s="399" t="n">
        <v>4680115880818</v>
      </c>
      <c r="E198" s="689" t="n"/>
      <c r="F198" s="721" t="n">
        <v>0.4</v>
      </c>
      <c r="G198" s="38" t="n">
        <v>6</v>
      </c>
      <c r="H198" s="721" t="n">
        <v>2.4</v>
      </c>
      <c r="I198" s="721" t="n">
        <v>2.672</v>
      </c>
      <c r="J198" s="38" t="n">
        <v>156</v>
      </c>
      <c r="K198" s="38" t="inlineStr">
        <is>
          <t>12</t>
        </is>
      </c>
      <c r="L198" s="39" t="inlineStr">
        <is>
          <t>СК2</t>
        </is>
      </c>
      <c r="M198" s="38" t="n">
        <v>40</v>
      </c>
      <c r="N198" s="839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8" s="723" t="n"/>
      <c r="P198" s="723" t="n"/>
      <c r="Q198" s="723" t="n"/>
      <c r="R198" s="689" t="n"/>
      <c r="S198" s="40" t="inlineStr"/>
      <c r="T198" s="40" t="inlineStr"/>
      <c r="U198" s="41" t="inlineStr">
        <is>
          <t>кг</t>
        </is>
      </c>
      <c r="V198" s="724" t="n">
        <v>0</v>
      </c>
      <c r="W198" s="725">
        <f>IFERROR(IF(V198="",0,CEILING((V198/$H198),1)*$H198),"")</f>
        <v/>
      </c>
      <c r="X198" s="42">
        <f>IFERROR(IF(W198=0,"",ROUNDUP(W198/H198,0)*0.00753),"")</f>
        <v/>
      </c>
      <c r="Y198" s="69" t="inlineStr"/>
      <c r="Z198" s="70" t="inlineStr"/>
      <c r="AD198" s="71" t="n"/>
      <c r="BA198" s="183" t="inlineStr">
        <is>
          <t>КИ</t>
        </is>
      </c>
    </row>
    <row r="199">
      <c r="A199" s="407" t="n"/>
      <c r="B199" s="677" t="n"/>
      <c r="C199" s="677" t="n"/>
      <c r="D199" s="677" t="n"/>
      <c r="E199" s="677" t="n"/>
      <c r="F199" s="677" t="n"/>
      <c r="G199" s="677" t="n"/>
      <c r="H199" s="677" t="n"/>
      <c r="I199" s="677" t="n"/>
      <c r="J199" s="677" t="n"/>
      <c r="K199" s="677" t="n"/>
      <c r="L199" s="677" t="n"/>
      <c r="M199" s="726" t="n"/>
      <c r="N199" s="727" t="inlineStr">
        <is>
          <t>Итого</t>
        </is>
      </c>
      <c r="O199" s="697" t="n"/>
      <c r="P199" s="697" t="n"/>
      <c r="Q199" s="697" t="n"/>
      <c r="R199" s="697" t="n"/>
      <c r="S199" s="697" t="n"/>
      <c r="T199" s="698" t="n"/>
      <c r="U199" s="43" t="inlineStr">
        <is>
          <t>кор</t>
        </is>
      </c>
      <c r="V199" s="728">
        <f>IFERROR(V195/H195,"0")+IFERROR(V196/H196,"0")+IFERROR(V197/H197,"0")+IFERROR(V198/H198,"0")</f>
        <v/>
      </c>
      <c r="W199" s="728">
        <f>IFERROR(W195/H195,"0")+IFERROR(W196/H196,"0")+IFERROR(W197/H197,"0")+IFERROR(W198/H198,"0")</f>
        <v/>
      </c>
      <c r="X199" s="728">
        <f>IFERROR(IF(X195="",0,X195),"0")+IFERROR(IF(X196="",0,X196),"0")+IFERROR(IF(X197="",0,X197),"0")+IFERROR(IF(X198="",0,X198),"0")</f>
        <v/>
      </c>
      <c r="Y199" s="729" t="n"/>
      <c r="Z199" s="729" t="n"/>
    </row>
    <row r="200">
      <c r="A200" s="677" t="n"/>
      <c r="B200" s="677" t="n"/>
      <c r="C200" s="677" t="n"/>
      <c r="D200" s="677" t="n"/>
      <c r="E200" s="677" t="n"/>
      <c r="F200" s="677" t="n"/>
      <c r="G200" s="677" t="n"/>
      <c r="H200" s="677" t="n"/>
      <c r="I200" s="677" t="n"/>
      <c r="J200" s="677" t="n"/>
      <c r="K200" s="677" t="n"/>
      <c r="L200" s="677" t="n"/>
      <c r="M200" s="726" t="n"/>
      <c r="N200" s="727" t="inlineStr">
        <is>
          <t>Итого</t>
        </is>
      </c>
      <c r="O200" s="697" t="n"/>
      <c r="P200" s="697" t="n"/>
      <c r="Q200" s="697" t="n"/>
      <c r="R200" s="697" t="n"/>
      <c r="S200" s="697" t="n"/>
      <c r="T200" s="698" t="n"/>
      <c r="U200" s="43" t="inlineStr">
        <is>
          <t>кг</t>
        </is>
      </c>
      <c r="V200" s="728">
        <f>IFERROR(SUM(V195:V198),"0")</f>
        <v/>
      </c>
      <c r="W200" s="728">
        <f>IFERROR(SUM(W195:W198),"0")</f>
        <v/>
      </c>
      <c r="X200" s="43" t="n"/>
      <c r="Y200" s="729" t="n"/>
      <c r="Z200" s="729" t="n"/>
    </row>
    <row r="201" ht="16.5" customHeight="1">
      <c r="A201" s="397" t="inlineStr">
        <is>
          <t>Филедворская</t>
        </is>
      </c>
      <c r="B201" s="677" t="n"/>
      <c r="C201" s="677" t="n"/>
      <c r="D201" s="677" t="n"/>
      <c r="E201" s="677" t="n"/>
      <c r="F201" s="677" t="n"/>
      <c r="G201" s="677" t="n"/>
      <c r="H201" s="677" t="n"/>
      <c r="I201" s="677" t="n"/>
      <c r="J201" s="677" t="n"/>
      <c r="K201" s="677" t="n"/>
      <c r="L201" s="677" t="n"/>
      <c r="M201" s="677" t="n"/>
      <c r="N201" s="677" t="n"/>
      <c r="O201" s="677" t="n"/>
      <c r="P201" s="677" t="n"/>
      <c r="Q201" s="677" t="n"/>
      <c r="R201" s="677" t="n"/>
      <c r="S201" s="677" t="n"/>
      <c r="T201" s="677" t="n"/>
      <c r="U201" s="677" t="n"/>
      <c r="V201" s="677" t="n"/>
      <c r="W201" s="677" t="n"/>
      <c r="X201" s="677" t="n"/>
      <c r="Y201" s="397" t="n"/>
      <c r="Z201" s="397" t="n"/>
    </row>
    <row r="202" ht="14.25" customHeight="1">
      <c r="A202" s="398" t="inlineStr">
        <is>
          <t>Копченые колбасы</t>
        </is>
      </c>
      <c r="B202" s="677" t="n"/>
      <c r="C202" s="677" t="n"/>
      <c r="D202" s="677" t="n"/>
      <c r="E202" s="677" t="n"/>
      <c r="F202" s="677" t="n"/>
      <c r="G202" s="677" t="n"/>
      <c r="H202" s="677" t="n"/>
      <c r="I202" s="677" t="n"/>
      <c r="J202" s="677" t="n"/>
      <c r="K202" s="677" t="n"/>
      <c r="L202" s="677" t="n"/>
      <c r="M202" s="677" t="n"/>
      <c r="N202" s="677" t="n"/>
      <c r="O202" s="677" t="n"/>
      <c r="P202" s="677" t="n"/>
      <c r="Q202" s="677" t="n"/>
      <c r="R202" s="677" t="n"/>
      <c r="S202" s="677" t="n"/>
      <c r="T202" s="677" t="n"/>
      <c r="U202" s="677" t="n"/>
      <c r="V202" s="677" t="n"/>
      <c r="W202" s="677" t="n"/>
      <c r="X202" s="677" t="n"/>
      <c r="Y202" s="398" t="n"/>
      <c r="Z202" s="398" t="n"/>
    </row>
    <row r="203" ht="27" customHeight="1">
      <c r="A203" s="64" t="inlineStr">
        <is>
          <t>SU002617</t>
        </is>
      </c>
      <c r="B203" s="64" t="inlineStr">
        <is>
          <t>P002951</t>
        </is>
      </c>
      <c r="C203" s="37" t="n">
        <v>4301031151</v>
      </c>
      <c r="D203" s="399" t="n">
        <v>4607091389845</v>
      </c>
      <c r="E203" s="689" t="n"/>
      <c r="F203" s="721" t="n">
        <v>0.35</v>
      </c>
      <c r="G203" s="38" t="n">
        <v>6</v>
      </c>
      <c r="H203" s="721" t="n">
        <v>2.1</v>
      </c>
      <c r="I203" s="721" t="n">
        <v>2.2</v>
      </c>
      <c r="J203" s="38" t="n">
        <v>234</v>
      </c>
      <c r="K203" s="38" t="inlineStr">
        <is>
          <t>18</t>
        </is>
      </c>
      <c r="L203" s="39" t="inlineStr">
        <is>
          <t>СК2</t>
        </is>
      </c>
      <c r="M203" s="38" t="n">
        <v>40</v>
      </c>
      <c r="N203" s="840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03" s="723" t="n"/>
      <c r="P203" s="723" t="n"/>
      <c r="Q203" s="723" t="n"/>
      <c r="R203" s="689" t="n"/>
      <c r="S203" s="40" t="inlineStr"/>
      <c r="T203" s="40" t="inlineStr"/>
      <c r="U203" s="41" t="inlineStr">
        <is>
          <t>кг</t>
        </is>
      </c>
      <c r="V203" s="724" t="n">
        <v>0</v>
      </c>
      <c r="W203" s="725">
        <f>IFERROR(IF(V203="",0,CEILING((V203/$H203),1)*$H203),"")</f>
        <v/>
      </c>
      <c r="X203" s="42">
        <f>IFERROR(IF(W203=0,"",ROUNDUP(W203/H203,0)*0.00502),"")</f>
        <v/>
      </c>
      <c r="Y203" s="69" t="inlineStr"/>
      <c r="Z203" s="70" t="inlineStr"/>
      <c r="AD203" s="71" t="n"/>
      <c r="BA203" s="184" t="inlineStr">
        <is>
          <t>КИ</t>
        </is>
      </c>
    </row>
    <row r="204">
      <c r="A204" s="407" t="n"/>
      <c r="B204" s="677" t="n"/>
      <c r="C204" s="677" t="n"/>
      <c r="D204" s="677" t="n"/>
      <c r="E204" s="677" t="n"/>
      <c r="F204" s="677" t="n"/>
      <c r="G204" s="677" t="n"/>
      <c r="H204" s="677" t="n"/>
      <c r="I204" s="677" t="n"/>
      <c r="J204" s="677" t="n"/>
      <c r="K204" s="677" t="n"/>
      <c r="L204" s="677" t="n"/>
      <c r="M204" s="726" t="n"/>
      <c r="N204" s="727" t="inlineStr">
        <is>
          <t>Итого</t>
        </is>
      </c>
      <c r="O204" s="697" t="n"/>
      <c r="P204" s="697" t="n"/>
      <c r="Q204" s="697" t="n"/>
      <c r="R204" s="697" t="n"/>
      <c r="S204" s="697" t="n"/>
      <c r="T204" s="698" t="n"/>
      <c r="U204" s="43" t="inlineStr">
        <is>
          <t>кор</t>
        </is>
      </c>
      <c r="V204" s="728">
        <f>IFERROR(V203/H203,"0")</f>
        <v/>
      </c>
      <c r="W204" s="728">
        <f>IFERROR(W203/H203,"0")</f>
        <v/>
      </c>
      <c r="X204" s="728">
        <f>IFERROR(IF(X203="",0,X203),"0")</f>
        <v/>
      </c>
      <c r="Y204" s="729" t="n"/>
      <c r="Z204" s="729" t="n"/>
    </row>
    <row r="205">
      <c r="A205" s="677" t="n"/>
      <c r="B205" s="677" t="n"/>
      <c r="C205" s="677" t="n"/>
      <c r="D205" s="677" t="n"/>
      <c r="E205" s="677" t="n"/>
      <c r="F205" s="677" t="n"/>
      <c r="G205" s="677" t="n"/>
      <c r="H205" s="677" t="n"/>
      <c r="I205" s="677" t="n"/>
      <c r="J205" s="677" t="n"/>
      <c r="K205" s="677" t="n"/>
      <c r="L205" s="677" t="n"/>
      <c r="M205" s="726" t="n"/>
      <c r="N205" s="727" t="inlineStr">
        <is>
          <t>Итого</t>
        </is>
      </c>
      <c r="O205" s="697" t="n"/>
      <c r="P205" s="697" t="n"/>
      <c r="Q205" s="697" t="n"/>
      <c r="R205" s="697" t="n"/>
      <c r="S205" s="697" t="n"/>
      <c r="T205" s="698" t="n"/>
      <c r="U205" s="43" t="inlineStr">
        <is>
          <t>кг</t>
        </is>
      </c>
      <c r="V205" s="728">
        <f>IFERROR(SUM(V203:V203),"0")</f>
        <v/>
      </c>
      <c r="W205" s="728">
        <f>IFERROR(SUM(W203:W203),"0")</f>
        <v/>
      </c>
      <c r="X205" s="43" t="n"/>
      <c r="Y205" s="729" t="n"/>
      <c r="Z205" s="729" t="n"/>
    </row>
    <row r="206" ht="16.5" customHeight="1">
      <c r="A206" s="397" t="inlineStr">
        <is>
          <t>Стародворская</t>
        </is>
      </c>
      <c r="B206" s="677" t="n"/>
      <c r="C206" s="677" t="n"/>
      <c r="D206" s="677" t="n"/>
      <c r="E206" s="677" t="n"/>
      <c r="F206" s="677" t="n"/>
      <c r="G206" s="677" t="n"/>
      <c r="H206" s="677" t="n"/>
      <c r="I206" s="677" t="n"/>
      <c r="J206" s="677" t="n"/>
      <c r="K206" s="677" t="n"/>
      <c r="L206" s="677" t="n"/>
      <c r="M206" s="677" t="n"/>
      <c r="N206" s="677" t="n"/>
      <c r="O206" s="677" t="n"/>
      <c r="P206" s="677" t="n"/>
      <c r="Q206" s="677" t="n"/>
      <c r="R206" s="677" t="n"/>
      <c r="S206" s="677" t="n"/>
      <c r="T206" s="677" t="n"/>
      <c r="U206" s="677" t="n"/>
      <c r="V206" s="677" t="n"/>
      <c r="W206" s="677" t="n"/>
      <c r="X206" s="677" t="n"/>
      <c r="Y206" s="397" t="n"/>
      <c r="Z206" s="397" t="n"/>
    </row>
    <row r="207" ht="14.25" customHeight="1">
      <c r="A207" s="398" t="inlineStr">
        <is>
          <t>Вареные колбасы</t>
        </is>
      </c>
      <c r="B207" s="677" t="n"/>
      <c r="C207" s="677" t="n"/>
      <c r="D207" s="677" t="n"/>
      <c r="E207" s="677" t="n"/>
      <c r="F207" s="677" t="n"/>
      <c r="G207" s="677" t="n"/>
      <c r="H207" s="677" t="n"/>
      <c r="I207" s="677" t="n"/>
      <c r="J207" s="677" t="n"/>
      <c r="K207" s="677" t="n"/>
      <c r="L207" s="677" t="n"/>
      <c r="M207" s="677" t="n"/>
      <c r="N207" s="677" t="n"/>
      <c r="O207" s="677" t="n"/>
      <c r="P207" s="677" t="n"/>
      <c r="Q207" s="677" t="n"/>
      <c r="R207" s="677" t="n"/>
      <c r="S207" s="677" t="n"/>
      <c r="T207" s="677" t="n"/>
      <c r="U207" s="677" t="n"/>
      <c r="V207" s="677" t="n"/>
      <c r="W207" s="677" t="n"/>
      <c r="X207" s="677" t="n"/>
      <c r="Y207" s="398" t="n"/>
      <c r="Z207" s="398" t="n"/>
    </row>
    <row r="208" ht="27" customHeight="1">
      <c r="A208" s="64" t="inlineStr">
        <is>
          <t>SU003275</t>
        </is>
      </c>
      <c r="B208" s="64" t="inlineStr">
        <is>
          <t>P003950</t>
        </is>
      </c>
      <c r="C208" s="37" t="n">
        <v>4301011724</v>
      </c>
      <c r="D208" s="399" t="n">
        <v>4680115884236</v>
      </c>
      <c r="E208" s="689" t="n"/>
      <c r="F208" s="721" t="n">
        <v>1.45</v>
      </c>
      <c r="G208" s="38" t="n">
        <v>8</v>
      </c>
      <c r="H208" s="721" t="n">
        <v>11.6</v>
      </c>
      <c r="I208" s="721" t="n">
        <v>12.08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8" t="n">
        <v>55</v>
      </c>
      <c r="N208" s="841" t="inlineStr">
        <is>
          <t>Вареные колбасы «Стародворская со шпиком» Весовой п/а ТМ «Стародворье»</t>
        </is>
      </c>
      <c r="O208" s="723" t="n"/>
      <c r="P208" s="723" t="n"/>
      <c r="Q208" s="723" t="n"/>
      <c r="R208" s="689" t="n"/>
      <c r="S208" s="40" t="inlineStr"/>
      <c r="T208" s="40" t="inlineStr"/>
      <c r="U208" s="41" t="inlineStr">
        <is>
          <t>кг</t>
        </is>
      </c>
      <c r="V208" s="724" t="n">
        <v>0</v>
      </c>
      <c r="W208" s="725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>
        <is>
          <t>Новинка</t>
        </is>
      </c>
      <c r="AD208" s="71" t="n"/>
      <c r="BA208" s="185" t="inlineStr">
        <is>
          <t>КИ</t>
        </is>
      </c>
    </row>
    <row r="209" ht="27" customHeight="1">
      <c r="A209" s="64" t="inlineStr">
        <is>
          <t>SU003276</t>
        </is>
      </c>
      <c r="B209" s="64" t="inlineStr">
        <is>
          <t>P003956</t>
        </is>
      </c>
      <c r="C209" s="37" t="n">
        <v>4301011726</v>
      </c>
      <c r="D209" s="399" t="n">
        <v>4680115884182</v>
      </c>
      <c r="E209" s="689" t="n"/>
      <c r="F209" s="721" t="n">
        <v>0.37</v>
      </c>
      <c r="G209" s="38" t="n">
        <v>10</v>
      </c>
      <c r="H209" s="721" t="n">
        <v>3.7</v>
      </c>
      <c r="I209" s="721" t="n">
        <v>3.94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842" t="inlineStr">
        <is>
          <t>Вареные колбасы «Стародворская со шпиком» ф/в 0,37 п/а ТМ «Стародворье»</t>
        </is>
      </c>
      <c r="O209" s="723" t="n"/>
      <c r="P209" s="723" t="n"/>
      <c r="Q209" s="723" t="n"/>
      <c r="R209" s="689" t="n"/>
      <c r="S209" s="40" t="inlineStr"/>
      <c r="T209" s="40" t="inlineStr"/>
      <c r="U209" s="41" t="inlineStr">
        <is>
          <t>кг</t>
        </is>
      </c>
      <c r="V209" s="724" t="n">
        <v>0</v>
      </c>
      <c r="W209" s="725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>
        <is>
          <t>Новинка</t>
        </is>
      </c>
      <c r="AD209" s="71" t="n"/>
      <c r="BA209" s="186" t="inlineStr">
        <is>
          <t>КИ</t>
        </is>
      </c>
    </row>
    <row r="210" ht="27" customHeight="1">
      <c r="A210" s="64" t="inlineStr">
        <is>
          <t>SU003271</t>
        </is>
      </c>
      <c r="B210" s="64" t="inlineStr">
        <is>
          <t>P003945</t>
        </is>
      </c>
      <c r="C210" s="37" t="n">
        <v>4301011721</v>
      </c>
      <c r="D210" s="399" t="n">
        <v>4680115884175</v>
      </c>
      <c r="E210" s="689" t="n"/>
      <c r="F210" s="721" t="n">
        <v>1.45</v>
      </c>
      <c r="G210" s="38" t="n">
        <v>8</v>
      </c>
      <c r="H210" s="721" t="n">
        <v>11.6</v>
      </c>
      <c r="I210" s="721" t="n">
        <v>12.08</v>
      </c>
      <c r="J210" s="38" t="n">
        <v>56</v>
      </c>
      <c r="K210" s="38" t="inlineStr">
        <is>
          <t>8</t>
        </is>
      </c>
      <c r="L210" s="39" t="inlineStr">
        <is>
          <t>СК1</t>
        </is>
      </c>
      <c r="M210" s="38" t="n">
        <v>55</v>
      </c>
      <c r="N210" s="843" t="inlineStr">
        <is>
          <t>Вареные колбасы «Стародворская с окороком » Весовой п/а ТМ «Стародворье»</t>
        </is>
      </c>
      <c r="O210" s="723" t="n"/>
      <c r="P210" s="723" t="n"/>
      <c r="Q210" s="723" t="n"/>
      <c r="R210" s="689" t="n"/>
      <c r="S210" s="40" t="inlineStr"/>
      <c r="T210" s="40" t="inlineStr"/>
      <c r="U210" s="41" t="inlineStr">
        <is>
          <t>кг</t>
        </is>
      </c>
      <c r="V210" s="724" t="n">
        <v>0</v>
      </c>
      <c r="W210" s="725">
        <f>IFERROR(IF(V210="",0,CEILING((V210/$H210),1)*$H210),"")</f>
        <v/>
      </c>
      <c r="X210" s="42">
        <f>IFERROR(IF(W210=0,"",ROUNDUP(W210/H210,0)*0.02175),"")</f>
        <v/>
      </c>
      <c r="Y210" s="69" t="inlineStr"/>
      <c r="Z210" s="70" t="inlineStr">
        <is>
          <t>Новинка</t>
        </is>
      </c>
      <c r="AD210" s="71" t="n"/>
      <c r="BA210" s="187" t="inlineStr">
        <is>
          <t>КИ</t>
        </is>
      </c>
    </row>
    <row r="211" ht="27" customHeight="1">
      <c r="A211" s="64" t="inlineStr">
        <is>
          <t>SU003272</t>
        </is>
      </c>
      <c r="B211" s="64" t="inlineStr">
        <is>
          <t>P003947</t>
        </is>
      </c>
      <c r="C211" s="37" t="n">
        <v>4301011722</v>
      </c>
      <c r="D211" s="399" t="n">
        <v>4680115884205</v>
      </c>
      <c r="E211" s="689" t="n"/>
      <c r="F211" s="721" t="n">
        <v>0.4</v>
      </c>
      <c r="G211" s="38" t="n">
        <v>10</v>
      </c>
      <c r="H211" s="721" t="n">
        <v>4</v>
      </c>
      <c r="I211" s="721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844" t="inlineStr">
        <is>
          <t>Вареные колбасы «Стародворская с окороком» ф/в 0,4 п/а ТМ «Стародворье»</t>
        </is>
      </c>
      <c r="O211" s="723" t="n"/>
      <c r="P211" s="723" t="n"/>
      <c r="Q211" s="723" t="n"/>
      <c r="R211" s="689" t="n"/>
      <c r="S211" s="40" t="inlineStr"/>
      <c r="T211" s="40" t="inlineStr"/>
      <c r="U211" s="41" t="inlineStr">
        <is>
          <t>кг</t>
        </is>
      </c>
      <c r="V211" s="724" t="n">
        <v>0</v>
      </c>
      <c r="W211" s="725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>
        <is>
          <t>Новинка</t>
        </is>
      </c>
      <c r="AD211" s="71" t="n"/>
      <c r="BA211" s="188" t="inlineStr">
        <is>
          <t>КИ</t>
        </is>
      </c>
    </row>
    <row r="212">
      <c r="A212" s="407" t="n"/>
      <c r="B212" s="677" t="n"/>
      <c r="C212" s="677" t="n"/>
      <c r="D212" s="677" t="n"/>
      <c r="E212" s="677" t="n"/>
      <c r="F212" s="677" t="n"/>
      <c r="G212" s="677" t="n"/>
      <c r="H212" s="677" t="n"/>
      <c r="I212" s="677" t="n"/>
      <c r="J212" s="677" t="n"/>
      <c r="K212" s="677" t="n"/>
      <c r="L212" s="677" t="n"/>
      <c r="M212" s="726" t="n"/>
      <c r="N212" s="727" t="inlineStr">
        <is>
          <t>Итого</t>
        </is>
      </c>
      <c r="O212" s="697" t="n"/>
      <c r="P212" s="697" t="n"/>
      <c r="Q212" s="697" t="n"/>
      <c r="R212" s="697" t="n"/>
      <c r="S212" s="697" t="n"/>
      <c r="T212" s="698" t="n"/>
      <c r="U212" s="43" t="inlineStr">
        <is>
          <t>кор</t>
        </is>
      </c>
      <c r="V212" s="728">
        <f>IFERROR(V208/H208,"0")+IFERROR(V209/H209,"0")+IFERROR(V210/H210,"0")+IFERROR(V211/H211,"0")</f>
        <v/>
      </c>
      <c r="W212" s="728">
        <f>IFERROR(W208/H208,"0")+IFERROR(W209/H209,"0")+IFERROR(W210/H210,"0")+IFERROR(W211/H211,"0")</f>
        <v/>
      </c>
      <c r="X212" s="728">
        <f>IFERROR(IF(X208="",0,X208),"0")+IFERROR(IF(X209="",0,X209),"0")+IFERROR(IF(X210="",0,X210),"0")+IFERROR(IF(X211="",0,X211),"0")</f>
        <v/>
      </c>
      <c r="Y212" s="729" t="n"/>
      <c r="Z212" s="729" t="n"/>
    </row>
    <row r="213">
      <c r="A213" s="677" t="n"/>
      <c r="B213" s="677" t="n"/>
      <c r="C213" s="677" t="n"/>
      <c r="D213" s="677" t="n"/>
      <c r="E213" s="677" t="n"/>
      <c r="F213" s="677" t="n"/>
      <c r="G213" s="677" t="n"/>
      <c r="H213" s="677" t="n"/>
      <c r="I213" s="677" t="n"/>
      <c r="J213" s="677" t="n"/>
      <c r="K213" s="677" t="n"/>
      <c r="L213" s="677" t="n"/>
      <c r="M213" s="726" t="n"/>
      <c r="N213" s="727" t="inlineStr">
        <is>
          <t>Итого</t>
        </is>
      </c>
      <c r="O213" s="697" t="n"/>
      <c r="P213" s="697" t="n"/>
      <c r="Q213" s="697" t="n"/>
      <c r="R213" s="697" t="n"/>
      <c r="S213" s="697" t="n"/>
      <c r="T213" s="698" t="n"/>
      <c r="U213" s="43" t="inlineStr">
        <is>
          <t>кг</t>
        </is>
      </c>
      <c r="V213" s="728">
        <f>IFERROR(SUM(V208:V211),"0")</f>
        <v/>
      </c>
      <c r="W213" s="728">
        <f>IFERROR(SUM(W208:W211),"0")</f>
        <v/>
      </c>
      <c r="X213" s="43" t="n"/>
      <c r="Y213" s="729" t="n"/>
      <c r="Z213" s="729" t="n"/>
    </row>
    <row r="214" ht="16.5" customHeight="1">
      <c r="A214" s="397" t="inlineStr">
        <is>
          <t>Бордо</t>
        </is>
      </c>
      <c r="B214" s="677" t="n"/>
      <c r="C214" s="677" t="n"/>
      <c r="D214" s="677" t="n"/>
      <c r="E214" s="677" t="n"/>
      <c r="F214" s="677" t="n"/>
      <c r="G214" s="677" t="n"/>
      <c r="H214" s="677" t="n"/>
      <c r="I214" s="677" t="n"/>
      <c r="J214" s="677" t="n"/>
      <c r="K214" s="677" t="n"/>
      <c r="L214" s="677" t="n"/>
      <c r="M214" s="677" t="n"/>
      <c r="N214" s="677" t="n"/>
      <c r="O214" s="677" t="n"/>
      <c r="P214" s="677" t="n"/>
      <c r="Q214" s="677" t="n"/>
      <c r="R214" s="677" t="n"/>
      <c r="S214" s="677" t="n"/>
      <c r="T214" s="677" t="n"/>
      <c r="U214" s="677" t="n"/>
      <c r="V214" s="677" t="n"/>
      <c r="W214" s="677" t="n"/>
      <c r="X214" s="677" t="n"/>
      <c r="Y214" s="397" t="n"/>
      <c r="Z214" s="397" t="n"/>
    </row>
    <row r="215" ht="14.25" customHeight="1">
      <c r="A215" s="398" t="inlineStr">
        <is>
          <t>Вареные колбасы</t>
        </is>
      </c>
      <c r="B215" s="677" t="n"/>
      <c r="C215" s="677" t="n"/>
      <c r="D215" s="677" t="n"/>
      <c r="E215" s="677" t="n"/>
      <c r="F215" s="677" t="n"/>
      <c r="G215" s="677" t="n"/>
      <c r="H215" s="677" t="n"/>
      <c r="I215" s="677" t="n"/>
      <c r="J215" s="677" t="n"/>
      <c r="K215" s="677" t="n"/>
      <c r="L215" s="677" t="n"/>
      <c r="M215" s="677" t="n"/>
      <c r="N215" s="677" t="n"/>
      <c r="O215" s="677" t="n"/>
      <c r="P215" s="677" t="n"/>
      <c r="Q215" s="677" t="n"/>
      <c r="R215" s="677" t="n"/>
      <c r="S215" s="677" t="n"/>
      <c r="T215" s="677" t="n"/>
      <c r="U215" s="677" t="n"/>
      <c r="V215" s="677" t="n"/>
      <c r="W215" s="677" t="n"/>
      <c r="X215" s="677" t="n"/>
      <c r="Y215" s="398" t="n"/>
      <c r="Z215" s="398" t="n"/>
    </row>
    <row r="216" ht="27" customHeight="1">
      <c r="A216" s="64" t="inlineStr">
        <is>
          <t>SU000057</t>
        </is>
      </c>
      <c r="B216" s="64" t="inlineStr">
        <is>
          <t>P002047</t>
        </is>
      </c>
      <c r="C216" s="37" t="n">
        <v>4301011346</v>
      </c>
      <c r="D216" s="399" t="n">
        <v>4607091387445</v>
      </c>
      <c r="E216" s="689" t="n"/>
      <c r="F216" s="721" t="n">
        <v>0.9</v>
      </c>
      <c r="G216" s="38" t="n">
        <v>10</v>
      </c>
      <c r="H216" s="721" t="n">
        <v>9</v>
      </c>
      <c r="I216" s="721" t="n">
        <v>9.630000000000001</v>
      </c>
      <c r="J216" s="38" t="n">
        <v>56</v>
      </c>
      <c r="K216" s="38" t="inlineStr">
        <is>
          <t>8</t>
        </is>
      </c>
      <c r="L216" s="39" t="inlineStr">
        <is>
          <t>СК1</t>
        </is>
      </c>
      <c r="M216" s="38" t="n">
        <v>31</v>
      </c>
      <c r="N216" s="84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16" s="723" t="n"/>
      <c r="P216" s="723" t="n"/>
      <c r="Q216" s="723" t="n"/>
      <c r="R216" s="689" t="n"/>
      <c r="S216" s="40" t="inlineStr"/>
      <c r="T216" s="40" t="inlineStr"/>
      <c r="U216" s="41" t="inlineStr">
        <is>
          <t>кг</t>
        </is>
      </c>
      <c r="V216" s="724" t="n">
        <v>0</v>
      </c>
      <c r="W216" s="725">
        <f>IFERROR(IF(V216="",0,CEILING((V216/$H216),1)*$H216),"")</f>
        <v/>
      </c>
      <c r="X216" s="42">
        <f>IFERROR(IF(W216=0,"",ROUNDUP(W216/H216,0)*0.02175),"")</f>
        <v/>
      </c>
      <c r="Y216" s="69" t="inlineStr"/>
      <c r="Z216" s="70" t="inlineStr"/>
      <c r="AD216" s="71" t="n"/>
      <c r="BA216" s="189" t="inlineStr">
        <is>
          <t>КИ</t>
        </is>
      </c>
    </row>
    <row r="217" ht="27" customHeight="1">
      <c r="A217" s="64" t="inlineStr">
        <is>
          <t>SU001777</t>
        </is>
      </c>
      <c r="B217" s="64" t="inlineStr">
        <is>
          <t>P002226</t>
        </is>
      </c>
      <c r="C217" s="37" t="n">
        <v>4301011362</v>
      </c>
      <c r="D217" s="399" t="n">
        <v>4607091386004</v>
      </c>
      <c r="E217" s="689" t="n"/>
      <c r="F217" s="721" t="n">
        <v>1.35</v>
      </c>
      <c r="G217" s="38" t="n">
        <v>8</v>
      </c>
      <c r="H217" s="721" t="n">
        <v>10.8</v>
      </c>
      <c r="I217" s="721" t="n">
        <v>11.28</v>
      </c>
      <c r="J217" s="38" t="n">
        <v>48</v>
      </c>
      <c r="K217" s="38" t="inlineStr">
        <is>
          <t>8</t>
        </is>
      </c>
      <c r="L217" s="39" t="inlineStr">
        <is>
          <t>ВЗ</t>
        </is>
      </c>
      <c r="M217" s="38" t="n">
        <v>55</v>
      </c>
      <c r="N217" s="84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17" s="723" t="n"/>
      <c r="P217" s="723" t="n"/>
      <c r="Q217" s="723" t="n"/>
      <c r="R217" s="689" t="n"/>
      <c r="S217" s="40" t="inlineStr"/>
      <c r="T217" s="40" t="inlineStr"/>
      <c r="U217" s="41" t="inlineStr">
        <is>
          <t>кг</t>
        </is>
      </c>
      <c r="V217" s="724" t="n">
        <v>0</v>
      </c>
      <c r="W217" s="725">
        <f>IFERROR(IF(V217="",0,CEILING((V217/$H217),1)*$H217),"")</f>
        <v/>
      </c>
      <c r="X217" s="42">
        <f>IFERROR(IF(W217=0,"",ROUNDUP(W217/H217,0)*0.02039),"")</f>
        <v/>
      </c>
      <c r="Y217" s="69" t="inlineStr"/>
      <c r="Z217" s="70" t="inlineStr"/>
      <c r="AD217" s="71" t="n"/>
      <c r="BA217" s="190" t="inlineStr">
        <is>
          <t>КИ</t>
        </is>
      </c>
    </row>
    <row r="218" ht="27" customHeight="1">
      <c r="A218" s="64" t="inlineStr">
        <is>
          <t>SU001777</t>
        </is>
      </c>
      <c r="B218" s="64" t="inlineStr">
        <is>
          <t>P001777</t>
        </is>
      </c>
      <c r="C218" s="37" t="n">
        <v>4301011308</v>
      </c>
      <c r="D218" s="399" t="n">
        <v>4607091386004</v>
      </c>
      <c r="E218" s="689" t="n"/>
      <c r="F218" s="721" t="n">
        <v>1.35</v>
      </c>
      <c r="G218" s="38" t="n">
        <v>8</v>
      </c>
      <c r="H218" s="721" t="n">
        <v>10.8</v>
      </c>
      <c r="I218" s="721" t="n">
        <v>11.28</v>
      </c>
      <c r="J218" s="38" t="n">
        <v>56</v>
      </c>
      <c r="K218" s="38" t="inlineStr">
        <is>
          <t>8</t>
        </is>
      </c>
      <c r="L218" s="39" t="inlineStr">
        <is>
          <t>СК1</t>
        </is>
      </c>
      <c r="M218" s="38" t="n">
        <v>55</v>
      </c>
      <c r="N218" s="84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18" s="723" t="n"/>
      <c r="P218" s="723" t="n"/>
      <c r="Q218" s="723" t="n"/>
      <c r="R218" s="689" t="n"/>
      <c r="S218" s="40" t="inlineStr"/>
      <c r="T218" s="40" t="inlineStr"/>
      <c r="U218" s="41" t="inlineStr">
        <is>
          <t>кг</t>
        </is>
      </c>
      <c r="V218" s="724" t="n">
        <v>67</v>
      </c>
      <c r="W218" s="725">
        <f>IFERROR(IF(V218="",0,CEILING((V218/$H218),1)*$H218),"")</f>
        <v/>
      </c>
      <c r="X218" s="42">
        <f>IFERROR(IF(W218=0,"",ROUNDUP(W218/H218,0)*0.02175),"")</f>
        <v/>
      </c>
      <c r="Y218" s="69" t="inlineStr"/>
      <c r="Z218" s="70" t="inlineStr"/>
      <c r="AD218" s="71" t="n"/>
      <c r="BA218" s="191" t="inlineStr">
        <is>
          <t>КИ</t>
        </is>
      </c>
    </row>
    <row r="219" ht="27" customHeight="1">
      <c r="A219" s="64" t="inlineStr">
        <is>
          <t>SU000058</t>
        </is>
      </c>
      <c r="B219" s="64" t="inlineStr">
        <is>
          <t>P002048</t>
        </is>
      </c>
      <c r="C219" s="37" t="n">
        <v>4301011347</v>
      </c>
      <c r="D219" s="399" t="n">
        <v>4607091386073</v>
      </c>
      <c r="E219" s="689" t="n"/>
      <c r="F219" s="721" t="n">
        <v>0.9</v>
      </c>
      <c r="G219" s="38" t="n">
        <v>10</v>
      </c>
      <c r="H219" s="721" t="n">
        <v>9</v>
      </c>
      <c r="I219" s="721" t="n">
        <v>9.630000000000001</v>
      </c>
      <c r="J219" s="38" t="n">
        <v>56</v>
      </c>
      <c r="K219" s="38" t="inlineStr">
        <is>
          <t>8</t>
        </is>
      </c>
      <c r="L219" s="39" t="inlineStr">
        <is>
          <t>СК1</t>
        </is>
      </c>
      <c r="M219" s="38" t="n">
        <v>31</v>
      </c>
      <c r="N219" s="84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19" s="723" t="n"/>
      <c r="P219" s="723" t="n"/>
      <c r="Q219" s="723" t="n"/>
      <c r="R219" s="689" t="n"/>
      <c r="S219" s="40" t="inlineStr"/>
      <c r="T219" s="40" t="inlineStr"/>
      <c r="U219" s="41" t="inlineStr">
        <is>
          <t>кг</t>
        </is>
      </c>
      <c r="V219" s="724" t="n">
        <v>0</v>
      </c>
      <c r="W219" s="725">
        <f>IFERROR(IF(V219="",0,CEILING((V219/$H219),1)*$H219),"")</f>
        <v/>
      </c>
      <c r="X219" s="42">
        <f>IFERROR(IF(W219=0,"",ROUNDUP(W219/H219,0)*0.02175),"")</f>
        <v/>
      </c>
      <c r="Y219" s="69" t="inlineStr"/>
      <c r="Z219" s="70" t="inlineStr"/>
      <c r="AD219" s="71" t="n"/>
      <c r="BA219" s="192" t="inlineStr">
        <is>
          <t>КИ</t>
        </is>
      </c>
    </row>
    <row r="220" ht="27" customHeight="1">
      <c r="A220" s="64" t="inlineStr">
        <is>
          <t>SU001780</t>
        </is>
      </c>
      <c r="B220" s="64" t="inlineStr">
        <is>
          <t>P003075</t>
        </is>
      </c>
      <c r="C220" s="37" t="n">
        <v>4301011395</v>
      </c>
      <c r="D220" s="399" t="n">
        <v>4607091387322</v>
      </c>
      <c r="E220" s="689" t="n"/>
      <c r="F220" s="721" t="n">
        <v>1.35</v>
      </c>
      <c r="G220" s="38" t="n">
        <v>8</v>
      </c>
      <c r="H220" s="721" t="n">
        <v>10.8</v>
      </c>
      <c r="I220" s="721" t="n">
        <v>11.28</v>
      </c>
      <c r="J220" s="38" t="n">
        <v>48</v>
      </c>
      <c r="K220" s="38" t="inlineStr">
        <is>
          <t>8</t>
        </is>
      </c>
      <c r="L220" s="39" t="inlineStr">
        <is>
          <t>ВЗ</t>
        </is>
      </c>
      <c r="M220" s="38" t="n">
        <v>55</v>
      </c>
      <c r="N220" s="84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20" s="723" t="n"/>
      <c r="P220" s="723" t="n"/>
      <c r="Q220" s="723" t="n"/>
      <c r="R220" s="689" t="n"/>
      <c r="S220" s="40" t="inlineStr"/>
      <c r="T220" s="40" t="inlineStr"/>
      <c r="U220" s="41" t="inlineStr">
        <is>
          <t>кг</t>
        </is>
      </c>
      <c r="V220" s="724" t="n">
        <v>0</v>
      </c>
      <c r="W220" s="725">
        <f>IFERROR(IF(V220="",0,CEILING((V220/$H220),1)*$H220),"")</f>
        <v/>
      </c>
      <c r="X220" s="42">
        <f>IFERROR(IF(W220=0,"",ROUNDUP(W220/H220,0)*0.02039),"")</f>
        <v/>
      </c>
      <c r="Y220" s="69" t="inlineStr"/>
      <c r="Z220" s="70" t="inlineStr"/>
      <c r="AD220" s="71" t="n"/>
      <c r="BA220" s="193" t="inlineStr">
        <is>
          <t>КИ</t>
        </is>
      </c>
    </row>
    <row r="221" ht="27" customHeight="1">
      <c r="A221" s="64" t="inlineStr">
        <is>
          <t>SU001780</t>
        </is>
      </c>
      <c r="B221" s="64" t="inlineStr">
        <is>
          <t>P001780</t>
        </is>
      </c>
      <c r="C221" s="37" t="n">
        <v>4301010928</v>
      </c>
      <c r="D221" s="399" t="n">
        <v>4607091387322</v>
      </c>
      <c r="E221" s="689" t="n"/>
      <c r="F221" s="721" t="n">
        <v>1.35</v>
      </c>
      <c r="G221" s="38" t="n">
        <v>8</v>
      </c>
      <c r="H221" s="721" t="n">
        <v>10.8</v>
      </c>
      <c r="I221" s="721" t="n">
        <v>11.28</v>
      </c>
      <c r="J221" s="38" t="n">
        <v>56</v>
      </c>
      <c r="K221" s="38" t="inlineStr">
        <is>
          <t>8</t>
        </is>
      </c>
      <c r="L221" s="39" t="inlineStr">
        <is>
          <t>СК1</t>
        </is>
      </c>
      <c r="M221" s="38" t="n">
        <v>55</v>
      </c>
      <c r="N221" s="85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21" s="723" t="n"/>
      <c r="P221" s="723" t="n"/>
      <c r="Q221" s="723" t="n"/>
      <c r="R221" s="689" t="n"/>
      <c r="S221" s="40" t="inlineStr"/>
      <c r="T221" s="40" t="inlineStr"/>
      <c r="U221" s="41" t="inlineStr">
        <is>
          <t>кг</t>
        </is>
      </c>
      <c r="V221" s="724" t="n">
        <v>0</v>
      </c>
      <c r="W221" s="725">
        <f>IFERROR(IF(V221="",0,CEILING((V221/$H221),1)*$H221),"")</f>
        <v/>
      </c>
      <c r="X221" s="42">
        <f>IFERROR(IF(W221=0,"",ROUNDUP(W221/H221,0)*0.02175),"")</f>
        <v/>
      </c>
      <c r="Y221" s="69" t="inlineStr"/>
      <c r="Z221" s="70" t="inlineStr"/>
      <c r="AD221" s="71" t="n"/>
      <c r="BA221" s="194" t="inlineStr">
        <is>
          <t>КИ</t>
        </is>
      </c>
    </row>
    <row r="222" ht="27" customHeight="1">
      <c r="A222" s="64" t="inlineStr">
        <is>
          <t>SU001778</t>
        </is>
      </c>
      <c r="B222" s="64" t="inlineStr">
        <is>
          <t>P001778</t>
        </is>
      </c>
      <c r="C222" s="37" t="n">
        <v>4301011311</v>
      </c>
      <c r="D222" s="399" t="n">
        <v>4607091387377</v>
      </c>
      <c r="E222" s="689" t="n"/>
      <c r="F222" s="721" t="n">
        <v>1.35</v>
      </c>
      <c r="G222" s="38" t="n">
        <v>8</v>
      </c>
      <c r="H222" s="721" t="n">
        <v>10.8</v>
      </c>
      <c r="I222" s="721" t="n">
        <v>11.28</v>
      </c>
      <c r="J222" s="38" t="n">
        <v>56</v>
      </c>
      <c r="K222" s="38" t="inlineStr">
        <is>
          <t>8</t>
        </is>
      </c>
      <c r="L222" s="39" t="inlineStr">
        <is>
          <t>СК1</t>
        </is>
      </c>
      <c r="M222" s="38" t="n">
        <v>55</v>
      </c>
      <c r="N222" s="85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22" s="723" t="n"/>
      <c r="P222" s="723" t="n"/>
      <c r="Q222" s="723" t="n"/>
      <c r="R222" s="689" t="n"/>
      <c r="S222" s="40" t="inlineStr"/>
      <c r="T222" s="40" t="inlineStr"/>
      <c r="U222" s="41" t="inlineStr">
        <is>
          <t>кг</t>
        </is>
      </c>
      <c r="V222" s="724" t="n">
        <v>0</v>
      </c>
      <c r="W222" s="725">
        <f>IFERROR(IF(V222="",0,CEILING((V222/$H222),1)*$H222),"")</f>
        <v/>
      </c>
      <c r="X222" s="42">
        <f>IFERROR(IF(W222=0,"",ROUNDUP(W222/H222,0)*0.02175),"")</f>
        <v/>
      </c>
      <c r="Y222" s="69" t="inlineStr"/>
      <c r="Z222" s="70" t="inlineStr"/>
      <c r="AD222" s="71" t="n"/>
      <c r="BA222" s="195" t="inlineStr">
        <is>
          <t>КИ</t>
        </is>
      </c>
    </row>
    <row r="223" ht="27" customHeight="1">
      <c r="A223" s="64" t="inlineStr">
        <is>
          <t>SU000043</t>
        </is>
      </c>
      <c r="B223" s="64" t="inlineStr">
        <is>
          <t>P001807</t>
        </is>
      </c>
      <c r="C223" s="37" t="n">
        <v>4301010945</v>
      </c>
      <c r="D223" s="399" t="n">
        <v>4607091387353</v>
      </c>
      <c r="E223" s="689" t="n"/>
      <c r="F223" s="721" t="n">
        <v>1.35</v>
      </c>
      <c r="G223" s="38" t="n">
        <v>8</v>
      </c>
      <c r="H223" s="721" t="n">
        <v>10.8</v>
      </c>
      <c r="I223" s="721" t="n">
        <v>11.28</v>
      </c>
      <c r="J223" s="38" t="n">
        <v>56</v>
      </c>
      <c r="K223" s="38" t="inlineStr">
        <is>
          <t>8</t>
        </is>
      </c>
      <c r="L223" s="39" t="inlineStr">
        <is>
          <t>СК1</t>
        </is>
      </c>
      <c r="M223" s="38" t="n">
        <v>55</v>
      </c>
      <c r="N223" s="85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23" s="723" t="n"/>
      <c r="P223" s="723" t="n"/>
      <c r="Q223" s="723" t="n"/>
      <c r="R223" s="689" t="n"/>
      <c r="S223" s="40" t="inlineStr"/>
      <c r="T223" s="40" t="inlineStr"/>
      <c r="U223" s="41" t="inlineStr">
        <is>
          <t>кг</t>
        </is>
      </c>
      <c r="V223" s="724" t="n">
        <v>0</v>
      </c>
      <c r="W223" s="725">
        <f>IFERROR(IF(V223="",0,CEILING((V223/$H223),1)*$H223),"")</f>
        <v/>
      </c>
      <c r="X223" s="42">
        <f>IFERROR(IF(W223=0,"",ROUNDUP(W223/H223,0)*0.02175),"")</f>
        <v/>
      </c>
      <c r="Y223" s="69" t="inlineStr"/>
      <c r="Z223" s="70" t="inlineStr"/>
      <c r="AD223" s="71" t="n"/>
      <c r="BA223" s="196" t="inlineStr">
        <is>
          <t>КИ</t>
        </is>
      </c>
    </row>
    <row r="224" ht="27" customHeight="1">
      <c r="A224" s="64" t="inlineStr">
        <is>
          <t>SU001800</t>
        </is>
      </c>
      <c r="B224" s="64" t="inlineStr">
        <is>
          <t>P001800</t>
        </is>
      </c>
      <c r="C224" s="37" t="n">
        <v>4301011328</v>
      </c>
      <c r="D224" s="399" t="n">
        <v>4607091386011</v>
      </c>
      <c r="E224" s="689" t="n"/>
      <c r="F224" s="721" t="n">
        <v>0.5</v>
      </c>
      <c r="G224" s="38" t="n">
        <v>10</v>
      </c>
      <c r="H224" s="721" t="n">
        <v>5</v>
      </c>
      <c r="I224" s="721" t="n">
        <v>5.21</v>
      </c>
      <c r="J224" s="38" t="n">
        <v>120</v>
      </c>
      <c r="K224" s="38" t="inlineStr">
        <is>
          <t>12</t>
        </is>
      </c>
      <c r="L224" s="39" t="inlineStr">
        <is>
          <t>СК2</t>
        </is>
      </c>
      <c r="M224" s="38" t="n">
        <v>55</v>
      </c>
      <c r="N224" s="85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24" s="723" t="n"/>
      <c r="P224" s="723" t="n"/>
      <c r="Q224" s="723" t="n"/>
      <c r="R224" s="689" t="n"/>
      <c r="S224" s="40" t="inlineStr"/>
      <c r="T224" s="40" t="inlineStr"/>
      <c r="U224" s="41" t="inlineStr">
        <is>
          <t>кг</t>
        </is>
      </c>
      <c r="V224" s="724" t="n">
        <v>0</v>
      </c>
      <c r="W224" s="725">
        <f>IFERROR(IF(V224="",0,CEILING((V224/$H224),1)*$H224),"")</f>
        <v/>
      </c>
      <c r="X224" s="42">
        <f>IFERROR(IF(W224=0,"",ROUNDUP(W224/H224,0)*0.00937),"")</f>
        <v/>
      </c>
      <c r="Y224" s="69" t="inlineStr"/>
      <c r="Z224" s="70" t="inlineStr"/>
      <c r="AD224" s="71" t="n"/>
      <c r="BA224" s="197" t="inlineStr">
        <is>
          <t>КИ</t>
        </is>
      </c>
    </row>
    <row r="225" ht="27" customHeight="1">
      <c r="A225" s="64" t="inlineStr">
        <is>
          <t>SU001805</t>
        </is>
      </c>
      <c r="B225" s="64" t="inlineStr">
        <is>
          <t>P001805</t>
        </is>
      </c>
      <c r="C225" s="37" t="n">
        <v>4301011329</v>
      </c>
      <c r="D225" s="399" t="n">
        <v>4607091387308</v>
      </c>
      <c r="E225" s="689" t="n"/>
      <c r="F225" s="721" t="n">
        <v>0.5</v>
      </c>
      <c r="G225" s="38" t="n">
        <v>10</v>
      </c>
      <c r="H225" s="721" t="n">
        <v>5</v>
      </c>
      <c r="I225" s="721" t="n">
        <v>5.21</v>
      </c>
      <c r="J225" s="38" t="n">
        <v>120</v>
      </c>
      <c r="K225" s="38" t="inlineStr">
        <is>
          <t>12</t>
        </is>
      </c>
      <c r="L225" s="39" t="inlineStr">
        <is>
          <t>СК2</t>
        </is>
      </c>
      <c r="M225" s="38" t="n">
        <v>55</v>
      </c>
      <c r="N225" s="85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25" s="723" t="n"/>
      <c r="P225" s="723" t="n"/>
      <c r="Q225" s="723" t="n"/>
      <c r="R225" s="689" t="n"/>
      <c r="S225" s="40" t="inlineStr"/>
      <c r="T225" s="40" t="inlineStr"/>
      <c r="U225" s="41" t="inlineStr">
        <is>
          <t>кг</t>
        </is>
      </c>
      <c r="V225" s="724" t="n">
        <v>0</v>
      </c>
      <c r="W225" s="725">
        <f>IFERROR(IF(V225="",0,CEILING((V225/$H225),1)*$H225),"")</f>
        <v/>
      </c>
      <c r="X225" s="42">
        <f>IFERROR(IF(W225=0,"",ROUNDUP(W225/H225,0)*0.00937),"")</f>
        <v/>
      </c>
      <c r="Y225" s="69" t="inlineStr"/>
      <c r="Z225" s="70" t="inlineStr"/>
      <c r="AD225" s="71" t="n"/>
      <c r="BA225" s="198" t="inlineStr">
        <is>
          <t>КИ</t>
        </is>
      </c>
    </row>
    <row r="226" ht="27" customHeight="1">
      <c r="A226" s="64" t="inlineStr">
        <is>
          <t>SU001829</t>
        </is>
      </c>
      <c r="B226" s="64" t="inlineStr">
        <is>
          <t>P001829</t>
        </is>
      </c>
      <c r="C226" s="37" t="n">
        <v>4301011049</v>
      </c>
      <c r="D226" s="399" t="n">
        <v>4607091387339</v>
      </c>
      <c r="E226" s="689" t="n"/>
      <c r="F226" s="721" t="n">
        <v>0.5</v>
      </c>
      <c r="G226" s="38" t="n">
        <v>10</v>
      </c>
      <c r="H226" s="721" t="n">
        <v>5</v>
      </c>
      <c r="I226" s="721" t="n">
        <v>5.24</v>
      </c>
      <c r="J226" s="38" t="n">
        <v>120</v>
      </c>
      <c r="K226" s="38" t="inlineStr">
        <is>
          <t>12</t>
        </is>
      </c>
      <c r="L226" s="39" t="inlineStr">
        <is>
          <t>СК1</t>
        </is>
      </c>
      <c r="M226" s="38" t="n">
        <v>55</v>
      </c>
      <c r="N226" s="85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26" s="723" t="n"/>
      <c r="P226" s="723" t="n"/>
      <c r="Q226" s="723" t="n"/>
      <c r="R226" s="689" t="n"/>
      <c r="S226" s="40" t="inlineStr"/>
      <c r="T226" s="40" t="inlineStr"/>
      <c r="U226" s="41" t="inlineStr">
        <is>
          <t>кг</t>
        </is>
      </c>
      <c r="V226" s="724" t="n">
        <v>0</v>
      </c>
      <c r="W226" s="725">
        <f>IFERROR(IF(V226="",0,CEILING((V226/$H226),1)*$H226),"")</f>
        <v/>
      </c>
      <c r="X226" s="42">
        <f>IFERROR(IF(W226=0,"",ROUNDUP(W226/H226,0)*0.00937),"")</f>
        <v/>
      </c>
      <c r="Y226" s="69" t="inlineStr"/>
      <c r="Z226" s="70" t="inlineStr"/>
      <c r="AD226" s="71" t="n"/>
      <c r="BA226" s="199" t="inlineStr">
        <is>
          <t>КИ</t>
        </is>
      </c>
    </row>
    <row r="227" ht="27" customHeight="1">
      <c r="A227" s="64" t="inlineStr">
        <is>
          <t>SU002787</t>
        </is>
      </c>
      <c r="B227" s="64" t="inlineStr">
        <is>
          <t>P003189</t>
        </is>
      </c>
      <c r="C227" s="37" t="n">
        <v>4301011433</v>
      </c>
      <c r="D227" s="399" t="n">
        <v>4680115882638</v>
      </c>
      <c r="E227" s="689" t="n"/>
      <c r="F227" s="721" t="n">
        <v>0.4</v>
      </c>
      <c r="G227" s="38" t="n">
        <v>10</v>
      </c>
      <c r="H227" s="721" t="n">
        <v>4</v>
      </c>
      <c r="I227" s="721" t="n">
        <v>4.24</v>
      </c>
      <c r="J227" s="38" t="n">
        <v>120</v>
      </c>
      <c r="K227" s="38" t="inlineStr">
        <is>
          <t>12</t>
        </is>
      </c>
      <c r="L227" s="39" t="inlineStr">
        <is>
          <t>СК1</t>
        </is>
      </c>
      <c r="M227" s="38" t="n">
        <v>90</v>
      </c>
      <c r="N227" s="85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27" s="723" t="n"/>
      <c r="P227" s="723" t="n"/>
      <c r="Q227" s="723" t="n"/>
      <c r="R227" s="689" t="n"/>
      <c r="S227" s="40" t="inlineStr"/>
      <c r="T227" s="40" t="inlineStr"/>
      <c r="U227" s="41" t="inlineStr">
        <is>
          <t>кг</t>
        </is>
      </c>
      <c r="V227" s="724" t="n">
        <v>0</v>
      </c>
      <c r="W227" s="725">
        <f>IFERROR(IF(V227="",0,CEILING((V227/$H227),1)*$H227),"")</f>
        <v/>
      </c>
      <c r="X227" s="42">
        <f>IFERROR(IF(W227=0,"",ROUNDUP(W227/H227,0)*0.00937),"")</f>
        <v/>
      </c>
      <c r="Y227" s="69" t="inlineStr"/>
      <c r="Z227" s="70" t="inlineStr"/>
      <c r="AD227" s="71" t="n"/>
      <c r="BA227" s="200" t="inlineStr">
        <is>
          <t>КИ</t>
        </is>
      </c>
    </row>
    <row r="228" ht="27" customHeight="1">
      <c r="A228" s="64" t="inlineStr">
        <is>
          <t>SU002894</t>
        </is>
      </c>
      <c r="B228" s="64" t="inlineStr">
        <is>
          <t>P003314</t>
        </is>
      </c>
      <c r="C228" s="37" t="n">
        <v>4301011573</v>
      </c>
      <c r="D228" s="399" t="n">
        <v>4680115881938</v>
      </c>
      <c r="E228" s="689" t="n"/>
      <c r="F228" s="721" t="n">
        <v>0.4</v>
      </c>
      <c r="G228" s="38" t="n">
        <v>10</v>
      </c>
      <c r="H228" s="721" t="n">
        <v>4</v>
      </c>
      <c r="I228" s="721" t="n">
        <v>4.24</v>
      </c>
      <c r="J228" s="38" t="n">
        <v>120</v>
      </c>
      <c r="K228" s="38" t="inlineStr">
        <is>
          <t>12</t>
        </is>
      </c>
      <c r="L228" s="39" t="inlineStr">
        <is>
          <t>СК1</t>
        </is>
      </c>
      <c r="M228" s="38" t="n">
        <v>90</v>
      </c>
      <c r="N228" s="85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28" s="723" t="n"/>
      <c r="P228" s="723" t="n"/>
      <c r="Q228" s="723" t="n"/>
      <c r="R228" s="689" t="n"/>
      <c r="S228" s="40" t="inlineStr"/>
      <c r="T228" s="40" t="inlineStr"/>
      <c r="U228" s="41" t="inlineStr">
        <is>
          <t>кг</t>
        </is>
      </c>
      <c r="V228" s="724" t="n">
        <v>0</v>
      </c>
      <c r="W228" s="725">
        <f>IFERROR(IF(V228="",0,CEILING((V228/$H228),1)*$H228),"")</f>
        <v/>
      </c>
      <c r="X228" s="42">
        <f>IFERROR(IF(W228=0,"",ROUNDUP(W228/H228,0)*0.00937),"")</f>
        <v/>
      </c>
      <c r="Y228" s="69" t="inlineStr"/>
      <c r="Z228" s="70" t="inlineStr"/>
      <c r="AD228" s="71" t="n"/>
      <c r="BA228" s="201" t="inlineStr">
        <is>
          <t>КИ</t>
        </is>
      </c>
    </row>
    <row r="229" ht="27" customHeight="1">
      <c r="A229" s="64" t="inlineStr">
        <is>
          <t>SU000078</t>
        </is>
      </c>
      <c r="B229" s="64" t="inlineStr">
        <is>
          <t>P001806</t>
        </is>
      </c>
      <c r="C229" s="37" t="n">
        <v>4301010944</v>
      </c>
      <c r="D229" s="399" t="n">
        <v>4607091387346</v>
      </c>
      <c r="E229" s="689" t="n"/>
      <c r="F229" s="721" t="n">
        <v>0.4</v>
      </c>
      <c r="G229" s="38" t="n">
        <v>10</v>
      </c>
      <c r="H229" s="721" t="n">
        <v>4</v>
      </c>
      <c r="I229" s="721" t="n">
        <v>4.24</v>
      </c>
      <c r="J229" s="38" t="n">
        <v>120</v>
      </c>
      <c r="K229" s="38" t="inlineStr">
        <is>
          <t>12</t>
        </is>
      </c>
      <c r="L229" s="39" t="inlineStr">
        <is>
          <t>СК1</t>
        </is>
      </c>
      <c r="M229" s="38" t="n">
        <v>55</v>
      </c>
      <c r="N229" s="85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29" s="723" t="n"/>
      <c r="P229" s="723" t="n"/>
      <c r="Q229" s="723" t="n"/>
      <c r="R229" s="689" t="n"/>
      <c r="S229" s="40" t="inlineStr"/>
      <c r="T229" s="40" t="inlineStr"/>
      <c r="U229" s="41" t="inlineStr">
        <is>
          <t>кг</t>
        </is>
      </c>
      <c r="V229" s="724" t="n">
        <v>0</v>
      </c>
      <c r="W229" s="725">
        <f>IFERROR(IF(V229="",0,CEILING((V229/$H229),1)*$H229),"")</f>
        <v/>
      </c>
      <c r="X229" s="42">
        <f>IFERROR(IF(W229=0,"",ROUNDUP(W229/H229,0)*0.00937),"")</f>
        <v/>
      </c>
      <c r="Y229" s="69" t="inlineStr"/>
      <c r="Z229" s="70" t="inlineStr"/>
      <c r="AD229" s="71" t="n"/>
      <c r="BA229" s="202" t="inlineStr">
        <is>
          <t>КИ</t>
        </is>
      </c>
    </row>
    <row r="230" ht="27" customHeight="1">
      <c r="A230" s="64" t="inlineStr">
        <is>
          <t>SU002616</t>
        </is>
      </c>
      <c r="B230" s="64" t="inlineStr">
        <is>
          <t>P002950</t>
        </is>
      </c>
      <c r="C230" s="37" t="n">
        <v>4301011353</v>
      </c>
      <c r="D230" s="399" t="n">
        <v>4607091389807</v>
      </c>
      <c r="E230" s="689" t="n"/>
      <c r="F230" s="721" t="n">
        <v>0.4</v>
      </c>
      <c r="G230" s="38" t="n">
        <v>10</v>
      </c>
      <c r="H230" s="721" t="n">
        <v>4</v>
      </c>
      <c r="I230" s="721" t="n">
        <v>4.24</v>
      </c>
      <c r="J230" s="38" t="n">
        <v>120</v>
      </c>
      <c r="K230" s="38" t="inlineStr">
        <is>
          <t>12</t>
        </is>
      </c>
      <c r="L230" s="39" t="inlineStr">
        <is>
          <t>СК1</t>
        </is>
      </c>
      <c r="M230" s="38" t="n">
        <v>55</v>
      </c>
      <c r="N230" s="85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30" s="723" t="n"/>
      <c r="P230" s="723" t="n"/>
      <c r="Q230" s="723" t="n"/>
      <c r="R230" s="689" t="n"/>
      <c r="S230" s="40" t="inlineStr"/>
      <c r="T230" s="40" t="inlineStr"/>
      <c r="U230" s="41" t="inlineStr">
        <is>
          <t>кг</t>
        </is>
      </c>
      <c r="V230" s="724" t="n">
        <v>0</v>
      </c>
      <c r="W230" s="725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3" t="inlineStr">
        <is>
          <t>КИ</t>
        </is>
      </c>
    </row>
    <row r="231">
      <c r="A231" s="407" t="n"/>
      <c r="B231" s="677" t="n"/>
      <c r="C231" s="677" t="n"/>
      <c r="D231" s="677" t="n"/>
      <c r="E231" s="677" t="n"/>
      <c r="F231" s="677" t="n"/>
      <c r="G231" s="677" t="n"/>
      <c r="H231" s="677" t="n"/>
      <c r="I231" s="677" t="n"/>
      <c r="J231" s="677" t="n"/>
      <c r="K231" s="677" t="n"/>
      <c r="L231" s="677" t="n"/>
      <c r="M231" s="726" t="n"/>
      <c r="N231" s="727" t="inlineStr">
        <is>
          <t>Итого</t>
        </is>
      </c>
      <c r="O231" s="697" t="n"/>
      <c r="P231" s="697" t="n"/>
      <c r="Q231" s="697" t="n"/>
      <c r="R231" s="697" t="n"/>
      <c r="S231" s="697" t="n"/>
      <c r="T231" s="698" t="n"/>
      <c r="U231" s="43" t="inlineStr">
        <is>
          <t>кор</t>
        </is>
      </c>
      <c r="V231" s="728">
        <f>IFERROR(V216/H216,"0")+IFERROR(V217/H217,"0")+IFERROR(V218/H218,"0")+IFERROR(V219/H219,"0")+IFERROR(V220/H220,"0")+IFERROR(V221/H221,"0")+IFERROR(V222/H222,"0")+IFERROR(V223/H223,"0")+IFERROR(V224/H224,"0")+IFERROR(V225/H225,"0")+IFERROR(V226/H226,"0")+IFERROR(V227/H227,"0")+IFERROR(V228/H228,"0")+IFERROR(V229/H229,"0")+IFERROR(V230/H230,"0")</f>
        <v/>
      </c>
      <c r="W231" s="728">
        <f>IFERROR(W216/H216,"0")+IFERROR(W217/H217,"0")+IFERROR(W218/H218,"0")+IFERROR(W219/H219,"0")+IFERROR(W220/H220,"0")+IFERROR(W221/H221,"0")+IFERROR(W222/H222,"0")+IFERROR(W223/H223,"0")+IFERROR(W224/H224,"0")+IFERROR(W225/H225,"0")+IFERROR(W226/H226,"0")+IFERROR(W227/H227,"0")+IFERROR(W228/H228,"0")+IFERROR(W229/H229,"0")+IFERROR(W230/H230,"0")</f>
        <v/>
      </c>
      <c r="X231" s="728">
        <f>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</f>
        <v/>
      </c>
      <c r="Y231" s="729" t="n"/>
      <c r="Z231" s="729" t="n"/>
    </row>
    <row r="232">
      <c r="A232" s="677" t="n"/>
      <c r="B232" s="677" t="n"/>
      <c r="C232" s="677" t="n"/>
      <c r="D232" s="677" t="n"/>
      <c r="E232" s="677" t="n"/>
      <c r="F232" s="677" t="n"/>
      <c r="G232" s="677" t="n"/>
      <c r="H232" s="677" t="n"/>
      <c r="I232" s="677" t="n"/>
      <c r="J232" s="677" t="n"/>
      <c r="K232" s="677" t="n"/>
      <c r="L232" s="677" t="n"/>
      <c r="M232" s="726" t="n"/>
      <c r="N232" s="727" t="inlineStr">
        <is>
          <t>Итого</t>
        </is>
      </c>
      <c r="O232" s="697" t="n"/>
      <c r="P232" s="697" t="n"/>
      <c r="Q232" s="697" t="n"/>
      <c r="R232" s="697" t="n"/>
      <c r="S232" s="697" t="n"/>
      <c r="T232" s="698" t="n"/>
      <c r="U232" s="43" t="inlineStr">
        <is>
          <t>кг</t>
        </is>
      </c>
      <c r="V232" s="728">
        <f>IFERROR(SUM(V216:V230),"0")</f>
        <v/>
      </c>
      <c r="W232" s="728">
        <f>IFERROR(SUM(W216:W230),"0")</f>
        <v/>
      </c>
      <c r="X232" s="43" t="n"/>
      <c r="Y232" s="729" t="n"/>
      <c r="Z232" s="729" t="n"/>
    </row>
    <row r="233" ht="14.25" customHeight="1">
      <c r="A233" s="398" t="inlineStr">
        <is>
          <t>Ветчины</t>
        </is>
      </c>
      <c r="B233" s="677" t="n"/>
      <c r="C233" s="677" t="n"/>
      <c r="D233" s="677" t="n"/>
      <c r="E233" s="677" t="n"/>
      <c r="F233" s="677" t="n"/>
      <c r="G233" s="677" t="n"/>
      <c r="H233" s="677" t="n"/>
      <c r="I233" s="677" t="n"/>
      <c r="J233" s="677" t="n"/>
      <c r="K233" s="677" t="n"/>
      <c r="L233" s="677" t="n"/>
      <c r="M233" s="677" t="n"/>
      <c r="N233" s="677" t="n"/>
      <c r="O233" s="677" t="n"/>
      <c r="P233" s="677" t="n"/>
      <c r="Q233" s="677" t="n"/>
      <c r="R233" s="677" t="n"/>
      <c r="S233" s="677" t="n"/>
      <c r="T233" s="677" t="n"/>
      <c r="U233" s="677" t="n"/>
      <c r="V233" s="677" t="n"/>
      <c r="W233" s="677" t="n"/>
      <c r="X233" s="677" t="n"/>
      <c r="Y233" s="398" t="n"/>
      <c r="Z233" s="398" t="n"/>
    </row>
    <row r="234" ht="27" customHeight="1">
      <c r="A234" s="64" t="inlineStr">
        <is>
          <t>SU002788</t>
        </is>
      </c>
      <c r="B234" s="64" t="inlineStr">
        <is>
          <t>P003190</t>
        </is>
      </c>
      <c r="C234" s="37" t="n">
        <v>4301020254</v>
      </c>
      <c r="D234" s="399" t="n">
        <v>4680115881914</v>
      </c>
      <c r="E234" s="689" t="n"/>
      <c r="F234" s="721" t="n">
        <v>0.4</v>
      </c>
      <c r="G234" s="38" t="n">
        <v>10</v>
      </c>
      <c r="H234" s="721" t="n">
        <v>4</v>
      </c>
      <c r="I234" s="721" t="n">
        <v>4.24</v>
      </c>
      <c r="J234" s="38" t="n">
        <v>120</v>
      </c>
      <c r="K234" s="38" t="inlineStr">
        <is>
          <t>12</t>
        </is>
      </c>
      <c r="L234" s="39" t="inlineStr">
        <is>
          <t>СК1</t>
        </is>
      </c>
      <c r="M234" s="38" t="n">
        <v>90</v>
      </c>
      <c r="N234" s="86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34" s="723" t="n"/>
      <c r="P234" s="723" t="n"/>
      <c r="Q234" s="723" t="n"/>
      <c r="R234" s="689" t="n"/>
      <c r="S234" s="40" t="inlineStr"/>
      <c r="T234" s="40" t="inlineStr"/>
      <c r="U234" s="41" t="inlineStr">
        <is>
          <t>кг</t>
        </is>
      </c>
      <c r="V234" s="724" t="n">
        <v>0</v>
      </c>
      <c r="W234" s="725">
        <f>IFERROR(IF(V234="",0,CEILING((V234/$H234),1)*$H234),"")</f>
        <v/>
      </c>
      <c r="X234" s="42">
        <f>IFERROR(IF(W234=0,"",ROUNDUP(W234/H234,0)*0.00937),"")</f>
        <v/>
      </c>
      <c r="Y234" s="69" t="inlineStr"/>
      <c r="Z234" s="70" t="inlineStr"/>
      <c r="AD234" s="71" t="n"/>
      <c r="BA234" s="204" t="inlineStr">
        <is>
          <t>КИ</t>
        </is>
      </c>
    </row>
    <row r="235">
      <c r="A235" s="407" t="n"/>
      <c r="B235" s="677" t="n"/>
      <c r="C235" s="677" t="n"/>
      <c r="D235" s="677" t="n"/>
      <c r="E235" s="677" t="n"/>
      <c r="F235" s="677" t="n"/>
      <c r="G235" s="677" t="n"/>
      <c r="H235" s="677" t="n"/>
      <c r="I235" s="677" t="n"/>
      <c r="J235" s="677" t="n"/>
      <c r="K235" s="677" t="n"/>
      <c r="L235" s="677" t="n"/>
      <c r="M235" s="726" t="n"/>
      <c r="N235" s="727" t="inlineStr">
        <is>
          <t>Итого</t>
        </is>
      </c>
      <c r="O235" s="697" t="n"/>
      <c r="P235" s="697" t="n"/>
      <c r="Q235" s="697" t="n"/>
      <c r="R235" s="697" t="n"/>
      <c r="S235" s="697" t="n"/>
      <c r="T235" s="698" t="n"/>
      <c r="U235" s="43" t="inlineStr">
        <is>
          <t>кор</t>
        </is>
      </c>
      <c r="V235" s="728">
        <f>IFERROR(V234/H234,"0")</f>
        <v/>
      </c>
      <c r="W235" s="728">
        <f>IFERROR(W234/H234,"0")</f>
        <v/>
      </c>
      <c r="X235" s="728">
        <f>IFERROR(IF(X234="",0,X234),"0")</f>
        <v/>
      </c>
      <c r="Y235" s="729" t="n"/>
      <c r="Z235" s="729" t="n"/>
    </row>
    <row r="236">
      <c r="A236" s="677" t="n"/>
      <c r="B236" s="677" t="n"/>
      <c r="C236" s="677" t="n"/>
      <c r="D236" s="677" t="n"/>
      <c r="E236" s="677" t="n"/>
      <c r="F236" s="677" t="n"/>
      <c r="G236" s="677" t="n"/>
      <c r="H236" s="677" t="n"/>
      <c r="I236" s="677" t="n"/>
      <c r="J236" s="677" t="n"/>
      <c r="K236" s="677" t="n"/>
      <c r="L236" s="677" t="n"/>
      <c r="M236" s="726" t="n"/>
      <c r="N236" s="727" t="inlineStr">
        <is>
          <t>Итого</t>
        </is>
      </c>
      <c r="O236" s="697" t="n"/>
      <c r="P236" s="697" t="n"/>
      <c r="Q236" s="697" t="n"/>
      <c r="R236" s="697" t="n"/>
      <c r="S236" s="697" t="n"/>
      <c r="T236" s="698" t="n"/>
      <c r="U236" s="43" t="inlineStr">
        <is>
          <t>кг</t>
        </is>
      </c>
      <c r="V236" s="728">
        <f>IFERROR(SUM(V234:V234),"0")</f>
        <v/>
      </c>
      <c r="W236" s="728">
        <f>IFERROR(SUM(W234:W234),"0")</f>
        <v/>
      </c>
      <c r="X236" s="43" t="n"/>
      <c r="Y236" s="729" t="n"/>
      <c r="Z236" s="729" t="n"/>
    </row>
    <row r="237" ht="14.25" customHeight="1">
      <c r="A237" s="398" t="inlineStr">
        <is>
          <t>Копченые колбасы</t>
        </is>
      </c>
      <c r="B237" s="677" t="n"/>
      <c r="C237" s="677" t="n"/>
      <c r="D237" s="677" t="n"/>
      <c r="E237" s="677" t="n"/>
      <c r="F237" s="677" t="n"/>
      <c r="G237" s="677" t="n"/>
      <c r="H237" s="677" t="n"/>
      <c r="I237" s="677" t="n"/>
      <c r="J237" s="677" t="n"/>
      <c r="K237" s="677" t="n"/>
      <c r="L237" s="677" t="n"/>
      <c r="M237" s="677" t="n"/>
      <c r="N237" s="677" t="n"/>
      <c r="O237" s="677" t="n"/>
      <c r="P237" s="677" t="n"/>
      <c r="Q237" s="677" t="n"/>
      <c r="R237" s="677" t="n"/>
      <c r="S237" s="677" t="n"/>
      <c r="T237" s="677" t="n"/>
      <c r="U237" s="677" t="n"/>
      <c r="V237" s="677" t="n"/>
      <c r="W237" s="677" t="n"/>
      <c r="X237" s="677" t="n"/>
      <c r="Y237" s="398" t="n"/>
      <c r="Z237" s="398" t="n"/>
    </row>
    <row r="238" ht="27" customHeight="1">
      <c r="A238" s="64" t="inlineStr">
        <is>
          <t>SU001820</t>
        </is>
      </c>
      <c r="B238" s="64" t="inlineStr">
        <is>
          <t>P001820</t>
        </is>
      </c>
      <c r="C238" s="37" t="n">
        <v>4301030878</v>
      </c>
      <c r="D238" s="399" t="n">
        <v>4607091387193</v>
      </c>
      <c r="E238" s="689" t="n"/>
      <c r="F238" s="721" t="n">
        <v>0.7</v>
      </c>
      <c r="G238" s="38" t="n">
        <v>6</v>
      </c>
      <c r="H238" s="721" t="n">
        <v>4.2</v>
      </c>
      <c r="I238" s="721" t="n">
        <v>4.46</v>
      </c>
      <c r="J238" s="38" t="n">
        <v>156</v>
      </c>
      <c r="K238" s="38" t="inlineStr">
        <is>
          <t>12</t>
        </is>
      </c>
      <c r="L238" s="39" t="inlineStr">
        <is>
          <t>СК2</t>
        </is>
      </c>
      <c r="M238" s="38" t="n">
        <v>35</v>
      </c>
      <c r="N238" s="86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38" s="723" t="n"/>
      <c r="P238" s="723" t="n"/>
      <c r="Q238" s="723" t="n"/>
      <c r="R238" s="689" t="n"/>
      <c r="S238" s="40" t="inlineStr"/>
      <c r="T238" s="40" t="inlineStr"/>
      <c r="U238" s="41" t="inlineStr">
        <is>
          <t>кг</t>
        </is>
      </c>
      <c r="V238" s="724" t="n">
        <v>0</v>
      </c>
      <c r="W238" s="725">
        <f>IFERROR(IF(V238="",0,CEILING((V238/$H238),1)*$H238),"")</f>
        <v/>
      </c>
      <c r="X238" s="42">
        <f>IFERROR(IF(W238=0,"",ROUNDUP(W238/H238,0)*0.00753),"")</f>
        <v/>
      </c>
      <c r="Y238" s="69" t="inlineStr"/>
      <c r="Z238" s="70" t="inlineStr"/>
      <c r="AD238" s="71" t="n"/>
      <c r="BA238" s="205" t="inlineStr">
        <is>
          <t>КИ</t>
        </is>
      </c>
    </row>
    <row r="239" ht="27" customHeight="1">
      <c r="A239" s="64" t="inlineStr">
        <is>
          <t>SU001822</t>
        </is>
      </c>
      <c r="B239" s="64" t="inlineStr">
        <is>
          <t>P003013</t>
        </is>
      </c>
      <c r="C239" s="37" t="n">
        <v>4301031153</v>
      </c>
      <c r="D239" s="399" t="n">
        <v>4607091387230</v>
      </c>
      <c r="E239" s="689" t="n"/>
      <c r="F239" s="721" t="n">
        <v>0.7</v>
      </c>
      <c r="G239" s="38" t="n">
        <v>6</v>
      </c>
      <c r="H239" s="721" t="n">
        <v>4.2</v>
      </c>
      <c r="I239" s="721" t="n">
        <v>4.46</v>
      </c>
      <c r="J239" s="38" t="n">
        <v>156</v>
      </c>
      <c r="K239" s="38" t="inlineStr">
        <is>
          <t>12</t>
        </is>
      </c>
      <c r="L239" s="39" t="inlineStr">
        <is>
          <t>СК2</t>
        </is>
      </c>
      <c r="M239" s="38" t="n">
        <v>40</v>
      </c>
      <c r="N239" s="86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39" s="723" t="n"/>
      <c r="P239" s="723" t="n"/>
      <c r="Q239" s="723" t="n"/>
      <c r="R239" s="689" t="n"/>
      <c r="S239" s="40" t="inlineStr"/>
      <c r="T239" s="40" t="inlineStr"/>
      <c r="U239" s="41" t="inlineStr">
        <is>
          <t>кг</t>
        </is>
      </c>
      <c r="V239" s="724" t="n">
        <v>0</v>
      </c>
      <c r="W239" s="725">
        <f>IFERROR(IF(V239="",0,CEILING((V239/$H239),1)*$H239),"")</f>
        <v/>
      </c>
      <c r="X239" s="42">
        <f>IFERROR(IF(W239=0,"",ROUNDUP(W239/H239,0)*0.00753),"")</f>
        <v/>
      </c>
      <c r="Y239" s="69" t="inlineStr"/>
      <c r="Z239" s="70" t="inlineStr"/>
      <c r="AD239" s="71" t="n"/>
      <c r="BA239" s="206" t="inlineStr">
        <is>
          <t>КИ</t>
        </is>
      </c>
    </row>
    <row r="240" ht="27" customHeight="1">
      <c r="A240" s="64" t="inlineStr">
        <is>
          <t>SU002579</t>
        </is>
      </c>
      <c r="B240" s="64" t="inlineStr">
        <is>
          <t>P003012</t>
        </is>
      </c>
      <c r="C240" s="37" t="n">
        <v>4301031152</v>
      </c>
      <c r="D240" s="399" t="n">
        <v>4607091387285</v>
      </c>
      <c r="E240" s="689" t="n"/>
      <c r="F240" s="721" t="n">
        <v>0.35</v>
      </c>
      <c r="G240" s="38" t="n">
        <v>6</v>
      </c>
      <c r="H240" s="721" t="n">
        <v>2.1</v>
      </c>
      <c r="I240" s="721" t="n">
        <v>2.23</v>
      </c>
      <c r="J240" s="38" t="n">
        <v>234</v>
      </c>
      <c r="K240" s="38" t="inlineStr">
        <is>
          <t>18</t>
        </is>
      </c>
      <c r="L240" s="39" t="inlineStr">
        <is>
          <t>СК2</t>
        </is>
      </c>
      <c r="M240" s="38" t="n">
        <v>40</v>
      </c>
      <c r="N240" s="86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40" s="723" t="n"/>
      <c r="P240" s="723" t="n"/>
      <c r="Q240" s="723" t="n"/>
      <c r="R240" s="689" t="n"/>
      <c r="S240" s="40" t="inlineStr"/>
      <c r="T240" s="40" t="inlineStr"/>
      <c r="U240" s="41" t="inlineStr">
        <is>
          <t>кг</t>
        </is>
      </c>
      <c r="V240" s="724" t="n">
        <v>0</v>
      </c>
      <c r="W240" s="725">
        <f>IFERROR(IF(V240="",0,CEILING((V240/$H240),1)*$H240),"")</f>
        <v/>
      </c>
      <c r="X240" s="42">
        <f>IFERROR(IF(W240=0,"",ROUNDUP(W240/H240,0)*0.00502),"")</f>
        <v/>
      </c>
      <c r="Y240" s="69" t="inlineStr"/>
      <c r="Z240" s="70" t="inlineStr"/>
      <c r="AD240" s="71" t="n"/>
      <c r="BA240" s="207" t="inlineStr">
        <is>
          <t>КИ</t>
        </is>
      </c>
    </row>
    <row r="241" ht="27" customHeight="1">
      <c r="A241" s="64" t="inlineStr">
        <is>
          <t>SU002699</t>
        </is>
      </c>
      <c r="B241" s="64" t="inlineStr">
        <is>
          <t>P003073</t>
        </is>
      </c>
      <c r="C241" s="37" t="n">
        <v>4301031164</v>
      </c>
      <c r="D241" s="399" t="n">
        <v>4680115880481</v>
      </c>
      <c r="E241" s="689" t="n"/>
      <c r="F241" s="721" t="n">
        <v>0.28</v>
      </c>
      <c r="G241" s="38" t="n">
        <v>6</v>
      </c>
      <c r="H241" s="721" t="n">
        <v>1.68</v>
      </c>
      <c r="I241" s="721" t="n">
        <v>1.78</v>
      </c>
      <c r="J241" s="38" t="n">
        <v>234</v>
      </c>
      <c r="K241" s="38" t="inlineStr">
        <is>
          <t>18</t>
        </is>
      </c>
      <c r="L241" s="39" t="inlineStr">
        <is>
          <t>СК2</t>
        </is>
      </c>
      <c r="M241" s="38" t="n">
        <v>40</v>
      </c>
      <c r="N241" s="864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41" s="723" t="n"/>
      <c r="P241" s="723" t="n"/>
      <c r="Q241" s="723" t="n"/>
      <c r="R241" s="689" t="n"/>
      <c r="S241" s="40" t="inlineStr">
        <is>
          <t>30.01.2024</t>
        </is>
      </c>
      <c r="T241" s="40" t="inlineStr"/>
      <c r="U241" s="41" t="inlineStr">
        <is>
          <t>кг</t>
        </is>
      </c>
      <c r="V241" s="724" t="n">
        <v>0</v>
      </c>
      <c r="W241" s="725">
        <f>IFERROR(IF(V241="",0,CEILING((V241/$H241),1)*$H241),"")</f>
        <v/>
      </c>
      <c r="X241" s="42">
        <f>IFERROR(IF(W241=0,"",ROUNDUP(W241/H241,0)*0.00502),"")</f>
        <v/>
      </c>
      <c r="Y241" s="69" t="inlineStr"/>
      <c r="Z241" s="70" t="inlineStr"/>
      <c r="AD241" s="71" t="n"/>
      <c r="BA241" s="208" t="inlineStr">
        <is>
          <t>КИ</t>
        </is>
      </c>
    </row>
    <row r="242">
      <c r="A242" s="407" t="n"/>
      <c r="B242" s="677" t="n"/>
      <c r="C242" s="677" t="n"/>
      <c r="D242" s="677" t="n"/>
      <c r="E242" s="677" t="n"/>
      <c r="F242" s="677" t="n"/>
      <c r="G242" s="677" t="n"/>
      <c r="H242" s="677" t="n"/>
      <c r="I242" s="677" t="n"/>
      <c r="J242" s="677" t="n"/>
      <c r="K242" s="677" t="n"/>
      <c r="L242" s="677" t="n"/>
      <c r="M242" s="726" t="n"/>
      <c r="N242" s="727" t="inlineStr">
        <is>
          <t>Итого</t>
        </is>
      </c>
      <c r="O242" s="697" t="n"/>
      <c r="P242" s="697" t="n"/>
      <c r="Q242" s="697" t="n"/>
      <c r="R242" s="697" t="n"/>
      <c r="S242" s="697" t="n"/>
      <c r="T242" s="698" t="n"/>
      <c r="U242" s="43" t="inlineStr">
        <is>
          <t>кор</t>
        </is>
      </c>
      <c r="V242" s="728">
        <f>IFERROR(V238/H238,"0")+IFERROR(V239/H239,"0")+IFERROR(V240/H240,"0")+IFERROR(V241/H241,"0")</f>
        <v/>
      </c>
      <c r="W242" s="728">
        <f>IFERROR(W238/H238,"0")+IFERROR(W239/H239,"0")+IFERROR(W240/H240,"0")+IFERROR(W241/H241,"0")</f>
        <v/>
      </c>
      <c r="X242" s="728">
        <f>IFERROR(IF(X238="",0,X238),"0")+IFERROR(IF(X239="",0,X239),"0")+IFERROR(IF(X240="",0,X240),"0")+IFERROR(IF(X241="",0,X241),"0")</f>
        <v/>
      </c>
      <c r="Y242" s="729" t="n"/>
      <c r="Z242" s="729" t="n"/>
    </row>
    <row r="243">
      <c r="A243" s="677" t="n"/>
      <c r="B243" s="677" t="n"/>
      <c r="C243" s="677" t="n"/>
      <c r="D243" s="677" t="n"/>
      <c r="E243" s="677" t="n"/>
      <c r="F243" s="677" t="n"/>
      <c r="G243" s="677" t="n"/>
      <c r="H243" s="677" t="n"/>
      <c r="I243" s="677" t="n"/>
      <c r="J243" s="677" t="n"/>
      <c r="K243" s="677" t="n"/>
      <c r="L243" s="677" t="n"/>
      <c r="M243" s="726" t="n"/>
      <c r="N243" s="727" t="inlineStr">
        <is>
          <t>Итого</t>
        </is>
      </c>
      <c r="O243" s="697" t="n"/>
      <c r="P243" s="697" t="n"/>
      <c r="Q243" s="697" t="n"/>
      <c r="R243" s="697" t="n"/>
      <c r="S243" s="697" t="n"/>
      <c r="T243" s="698" t="n"/>
      <c r="U243" s="43" t="inlineStr">
        <is>
          <t>кг</t>
        </is>
      </c>
      <c r="V243" s="728">
        <f>IFERROR(SUM(V238:V241),"0")</f>
        <v/>
      </c>
      <c r="W243" s="728">
        <f>IFERROR(SUM(W238:W241),"0")</f>
        <v/>
      </c>
      <c r="X243" s="43" t="n"/>
      <c r="Y243" s="729" t="n"/>
      <c r="Z243" s="729" t="n"/>
    </row>
    <row r="244" ht="14.25" customHeight="1">
      <c r="A244" s="398" t="inlineStr">
        <is>
          <t>Сосиски</t>
        </is>
      </c>
      <c r="B244" s="677" t="n"/>
      <c r="C244" s="677" t="n"/>
      <c r="D244" s="677" t="n"/>
      <c r="E244" s="677" t="n"/>
      <c r="F244" s="677" t="n"/>
      <c r="G244" s="677" t="n"/>
      <c r="H244" s="677" t="n"/>
      <c r="I244" s="677" t="n"/>
      <c r="J244" s="677" t="n"/>
      <c r="K244" s="677" t="n"/>
      <c r="L244" s="677" t="n"/>
      <c r="M244" s="677" t="n"/>
      <c r="N244" s="677" t="n"/>
      <c r="O244" s="677" t="n"/>
      <c r="P244" s="677" t="n"/>
      <c r="Q244" s="677" t="n"/>
      <c r="R244" s="677" t="n"/>
      <c r="S244" s="677" t="n"/>
      <c r="T244" s="677" t="n"/>
      <c r="U244" s="677" t="n"/>
      <c r="V244" s="677" t="n"/>
      <c r="W244" s="677" t="n"/>
      <c r="X244" s="677" t="n"/>
      <c r="Y244" s="398" t="n"/>
      <c r="Z244" s="398" t="n"/>
    </row>
    <row r="245" ht="16.5" customHeight="1">
      <c r="A245" s="64" t="inlineStr">
        <is>
          <t>SU001340</t>
        </is>
      </c>
      <c r="B245" s="64" t="inlineStr">
        <is>
          <t>P002209</t>
        </is>
      </c>
      <c r="C245" s="37" t="n">
        <v>4301051100</v>
      </c>
      <c r="D245" s="399" t="n">
        <v>4607091387766</v>
      </c>
      <c r="E245" s="689" t="n"/>
      <c r="F245" s="721" t="n">
        <v>1.3</v>
      </c>
      <c r="G245" s="38" t="n">
        <v>6</v>
      </c>
      <c r="H245" s="721" t="n">
        <v>7.8</v>
      </c>
      <c r="I245" s="721" t="n">
        <v>8.358000000000001</v>
      </c>
      <c r="J245" s="38" t="n">
        <v>56</v>
      </c>
      <c r="K245" s="38" t="inlineStr">
        <is>
          <t>8</t>
        </is>
      </c>
      <c r="L245" s="39" t="inlineStr">
        <is>
          <t>СК3</t>
        </is>
      </c>
      <c r="M245" s="38" t="n">
        <v>40</v>
      </c>
      <c r="N245" s="865">
        <f>HYPERLINK("https://abi.ru/products/Охлажденные/Стародворье/Бордо/Сосиски/P002209/","Сосиски Ганноверские Бордо Весовые П/а мгс Баварушка")</f>
        <v/>
      </c>
      <c r="O245" s="723" t="n"/>
      <c r="P245" s="723" t="n"/>
      <c r="Q245" s="723" t="n"/>
      <c r="R245" s="689" t="n"/>
      <c r="S245" s="40" t="inlineStr"/>
      <c r="T245" s="40" t="inlineStr"/>
      <c r="U245" s="41" t="inlineStr">
        <is>
          <t>кг</t>
        </is>
      </c>
      <c r="V245" s="724" t="n">
        <v>0</v>
      </c>
      <c r="W245" s="725">
        <f>IFERROR(IF(V245="",0,CEILING((V245/$H245),1)*$H245),"")</f>
        <v/>
      </c>
      <c r="X245" s="42">
        <f>IFERROR(IF(W245=0,"",ROUNDUP(W245/H245,0)*0.02175),"")</f>
        <v/>
      </c>
      <c r="Y245" s="69" t="inlineStr"/>
      <c r="Z245" s="70" t="inlineStr"/>
      <c r="AD245" s="71" t="n"/>
      <c r="BA245" s="209" t="inlineStr">
        <is>
          <t>КИ</t>
        </is>
      </c>
    </row>
    <row r="246" ht="27" customHeight="1">
      <c r="A246" s="64" t="inlineStr">
        <is>
          <t>SU001727</t>
        </is>
      </c>
      <c r="B246" s="64" t="inlineStr">
        <is>
          <t>P002205</t>
        </is>
      </c>
      <c r="C246" s="37" t="n">
        <v>4301051116</v>
      </c>
      <c r="D246" s="399" t="n">
        <v>4607091387957</v>
      </c>
      <c r="E246" s="689" t="n"/>
      <c r="F246" s="721" t="n">
        <v>1.3</v>
      </c>
      <c r="G246" s="38" t="n">
        <v>6</v>
      </c>
      <c r="H246" s="721" t="n">
        <v>7.8</v>
      </c>
      <c r="I246" s="721" t="n">
        <v>8.364000000000001</v>
      </c>
      <c r="J246" s="38" t="n">
        <v>56</v>
      </c>
      <c r="K246" s="38" t="inlineStr">
        <is>
          <t>8</t>
        </is>
      </c>
      <c r="L246" s="39" t="inlineStr">
        <is>
          <t>СК2</t>
        </is>
      </c>
      <c r="M246" s="38" t="n">
        <v>40</v>
      </c>
      <c r="N246" s="86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46" s="723" t="n"/>
      <c r="P246" s="723" t="n"/>
      <c r="Q246" s="723" t="n"/>
      <c r="R246" s="689" t="n"/>
      <c r="S246" s="40" t="inlineStr"/>
      <c r="T246" s="40" t="inlineStr"/>
      <c r="U246" s="41" t="inlineStr">
        <is>
          <t>кг</t>
        </is>
      </c>
      <c r="V246" s="724" t="n">
        <v>0</v>
      </c>
      <c r="W246" s="725">
        <f>IFERROR(IF(V246="",0,CEILING((V246/$H246),1)*$H246),"")</f>
        <v/>
      </c>
      <c r="X246" s="42">
        <f>IFERROR(IF(W246=0,"",ROUNDUP(W246/H246,0)*0.02175),"")</f>
        <v/>
      </c>
      <c r="Y246" s="69" t="inlineStr"/>
      <c r="Z246" s="70" t="inlineStr"/>
      <c r="AD246" s="71" t="n"/>
      <c r="BA246" s="210" t="inlineStr">
        <is>
          <t>КИ</t>
        </is>
      </c>
    </row>
    <row r="247" ht="27" customHeight="1">
      <c r="A247" s="64" t="inlineStr">
        <is>
          <t>SU001728</t>
        </is>
      </c>
      <c r="B247" s="64" t="inlineStr">
        <is>
          <t>P002207</t>
        </is>
      </c>
      <c r="C247" s="37" t="n">
        <v>4301051115</v>
      </c>
      <c r="D247" s="399" t="n">
        <v>4607091387964</v>
      </c>
      <c r="E247" s="689" t="n"/>
      <c r="F247" s="721" t="n">
        <v>1.35</v>
      </c>
      <c r="G247" s="38" t="n">
        <v>6</v>
      </c>
      <c r="H247" s="721" t="n">
        <v>8.1</v>
      </c>
      <c r="I247" s="721" t="n">
        <v>8.646000000000001</v>
      </c>
      <c r="J247" s="38" t="n">
        <v>56</v>
      </c>
      <c r="K247" s="38" t="inlineStr">
        <is>
          <t>8</t>
        </is>
      </c>
      <c r="L247" s="39" t="inlineStr">
        <is>
          <t>СК2</t>
        </is>
      </c>
      <c r="M247" s="38" t="n">
        <v>40</v>
      </c>
      <c r="N247" s="86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47" s="723" t="n"/>
      <c r="P247" s="723" t="n"/>
      <c r="Q247" s="723" t="n"/>
      <c r="R247" s="689" t="n"/>
      <c r="S247" s="40" t="inlineStr"/>
      <c r="T247" s="40" t="inlineStr"/>
      <c r="U247" s="41" t="inlineStr">
        <is>
          <t>кг</t>
        </is>
      </c>
      <c r="V247" s="724" t="n">
        <v>0</v>
      </c>
      <c r="W247" s="725">
        <f>IFERROR(IF(V247="",0,CEILING((V247/$H247),1)*$H247),"")</f>
        <v/>
      </c>
      <c r="X247" s="42">
        <f>IFERROR(IF(W247=0,"",ROUNDUP(W247/H247,0)*0.02175),"")</f>
        <v/>
      </c>
      <c r="Y247" s="69" t="inlineStr"/>
      <c r="Z247" s="70" t="inlineStr"/>
      <c r="AD247" s="71" t="n"/>
      <c r="BA247" s="211" t="inlineStr">
        <is>
          <t>КИ</t>
        </is>
      </c>
    </row>
    <row r="248" ht="27" customHeight="1">
      <c r="A248" s="64" t="inlineStr">
        <is>
          <t>SU003167</t>
        </is>
      </c>
      <c r="B248" s="64" t="inlineStr">
        <is>
          <t>P003363</t>
        </is>
      </c>
      <c r="C248" s="37" t="n">
        <v>4301051461</v>
      </c>
      <c r="D248" s="399" t="n">
        <v>4680115883604</v>
      </c>
      <c r="E248" s="689" t="n"/>
      <c r="F248" s="721" t="n">
        <v>0.35</v>
      </c>
      <c r="G248" s="38" t="n">
        <v>6</v>
      </c>
      <c r="H248" s="721" t="n">
        <v>2.1</v>
      </c>
      <c r="I248" s="721" t="n">
        <v>2.372</v>
      </c>
      <c r="J248" s="38" t="n">
        <v>156</v>
      </c>
      <c r="K248" s="38" t="inlineStr">
        <is>
          <t>12</t>
        </is>
      </c>
      <c r="L248" s="39" t="inlineStr">
        <is>
          <t>СК3</t>
        </is>
      </c>
      <c r="M248" s="38" t="n">
        <v>45</v>
      </c>
      <c r="N248" s="868" t="inlineStr">
        <is>
          <t>Сосиски «Баварские» Фикс.вес 0,35 П/а ТМ «Стародворье»</t>
        </is>
      </c>
      <c r="O248" s="723" t="n"/>
      <c r="P248" s="723" t="n"/>
      <c r="Q248" s="723" t="n"/>
      <c r="R248" s="689" t="n"/>
      <c r="S248" s="40" t="inlineStr"/>
      <c r="T248" s="40" t="inlineStr"/>
      <c r="U248" s="41" t="inlineStr">
        <is>
          <t>кг</t>
        </is>
      </c>
      <c r="V248" s="724" t="n">
        <v>40</v>
      </c>
      <c r="W248" s="725">
        <f>IFERROR(IF(V248="",0,CEILING((V248/$H248),1)*$H248),"")</f>
        <v/>
      </c>
      <c r="X248" s="42">
        <f>IFERROR(IF(W248=0,"",ROUNDUP(W248/H248,0)*0.00753),"")</f>
        <v/>
      </c>
      <c r="Y248" s="69" t="inlineStr"/>
      <c r="Z248" s="70" t="inlineStr"/>
      <c r="AD248" s="71" t="n"/>
      <c r="BA248" s="212" t="inlineStr">
        <is>
          <t>КИ</t>
        </is>
      </c>
    </row>
    <row r="249" ht="27" customHeight="1">
      <c r="A249" s="64" t="inlineStr">
        <is>
          <t>SU003168</t>
        </is>
      </c>
      <c r="B249" s="64" t="inlineStr">
        <is>
          <t>P003364</t>
        </is>
      </c>
      <c r="C249" s="37" t="n">
        <v>4301051485</v>
      </c>
      <c r="D249" s="399" t="n">
        <v>4680115883567</v>
      </c>
      <c r="E249" s="689" t="n"/>
      <c r="F249" s="721" t="n">
        <v>0.35</v>
      </c>
      <c r="G249" s="38" t="n">
        <v>6</v>
      </c>
      <c r="H249" s="721" t="n">
        <v>2.1</v>
      </c>
      <c r="I249" s="721" t="n">
        <v>2.36</v>
      </c>
      <c r="J249" s="38" t="n">
        <v>156</v>
      </c>
      <c r="K249" s="38" t="inlineStr">
        <is>
          <t>12</t>
        </is>
      </c>
      <c r="L249" s="39" t="inlineStr">
        <is>
          <t>СК2</t>
        </is>
      </c>
      <c r="M249" s="38" t="n">
        <v>40</v>
      </c>
      <c r="N249" s="869" t="inlineStr">
        <is>
          <t>Сосиски «Баварские с сыром» Фикс.вес 0,35 п/а ТМ «Стародворье»</t>
        </is>
      </c>
      <c r="O249" s="723" t="n"/>
      <c r="P249" s="723" t="n"/>
      <c r="Q249" s="723" t="n"/>
      <c r="R249" s="689" t="n"/>
      <c r="S249" s="40" t="inlineStr"/>
      <c r="T249" s="40" t="inlineStr"/>
      <c r="U249" s="41" t="inlineStr">
        <is>
          <t>кг</t>
        </is>
      </c>
      <c r="V249" s="724" t="n">
        <v>20</v>
      </c>
      <c r="W249" s="725">
        <f>IFERROR(IF(V249="",0,CEILING((V249/$H249),1)*$H249),"")</f>
        <v/>
      </c>
      <c r="X249" s="42">
        <f>IFERROR(IF(W249=0,"",ROUNDUP(W249/H249,0)*0.00753),"")</f>
        <v/>
      </c>
      <c r="Y249" s="69" t="inlineStr"/>
      <c r="Z249" s="70" t="inlineStr"/>
      <c r="AD249" s="71" t="n"/>
      <c r="BA249" s="213" t="inlineStr">
        <is>
          <t>КИ</t>
        </is>
      </c>
    </row>
    <row r="250" ht="27" customHeight="1">
      <c r="A250" s="64" t="inlineStr">
        <is>
          <t>SU001341</t>
        </is>
      </c>
      <c r="B250" s="64" t="inlineStr">
        <is>
          <t>P002204</t>
        </is>
      </c>
      <c r="C250" s="37" t="n">
        <v>4301051134</v>
      </c>
      <c r="D250" s="399" t="n">
        <v>4607091381672</v>
      </c>
      <c r="E250" s="689" t="n"/>
      <c r="F250" s="721" t="n">
        <v>0.6</v>
      </c>
      <c r="G250" s="38" t="n">
        <v>6</v>
      </c>
      <c r="H250" s="721" t="n">
        <v>3.6</v>
      </c>
      <c r="I250" s="721" t="n">
        <v>3.876</v>
      </c>
      <c r="J250" s="38" t="n">
        <v>120</v>
      </c>
      <c r="K250" s="38" t="inlineStr">
        <is>
          <t>12</t>
        </is>
      </c>
      <c r="L250" s="39" t="inlineStr">
        <is>
          <t>СК2</t>
        </is>
      </c>
      <c r="M250" s="38" t="n">
        <v>40</v>
      </c>
      <c r="N250" s="870">
        <f>HYPERLINK("https://abi.ru/products/Охлажденные/Стародворье/Бордо/Сосиски/P002204/","Сосиски Ганноверские Бордо Фикс.вес 0,6 П/а мгс Баварушка")</f>
        <v/>
      </c>
      <c r="O250" s="723" t="n"/>
      <c r="P250" s="723" t="n"/>
      <c r="Q250" s="723" t="n"/>
      <c r="R250" s="689" t="n"/>
      <c r="S250" s="40" t="inlineStr"/>
      <c r="T250" s="40" t="inlineStr"/>
      <c r="U250" s="41" t="inlineStr">
        <is>
          <t>кг</t>
        </is>
      </c>
      <c r="V250" s="724" t="n">
        <v>0</v>
      </c>
      <c r="W250" s="725">
        <f>IFERROR(IF(V250="",0,CEILING((V250/$H250),1)*$H250),"")</f>
        <v/>
      </c>
      <c r="X250" s="42">
        <f>IFERROR(IF(W250=0,"",ROUNDUP(W250/H250,0)*0.00937),"")</f>
        <v/>
      </c>
      <c r="Y250" s="69" t="inlineStr"/>
      <c r="Z250" s="70" t="inlineStr"/>
      <c r="AD250" s="71" t="n"/>
      <c r="BA250" s="214" t="inlineStr">
        <is>
          <t>КИ</t>
        </is>
      </c>
    </row>
    <row r="251" ht="27" customHeight="1">
      <c r="A251" s="64" t="inlineStr">
        <is>
          <t>SU001763</t>
        </is>
      </c>
      <c r="B251" s="64" t="inlineStr">
        <is>
          <t>P002206</t>
        </is>
      </c>
      <c r="C251" s="37" t="n">
        <v>4301051130</v>
      </c>
      <c r="D251" s="399" t="n">
        <v>4607091387537</v>
      </c>
      <c r="E251" s="689" t="n"/>
      <c r="F251" s="721" t="n">
        <v>0.45</v>
      </c>
      <c r="G251" s="38" t="n">
        <v>6</v>
      </c>
      <c r="H251" s="721" t="n">
        <v>2.7</v>
      </c>
      <c r="I251" s="721" t="n">
        <v>2.99</v>
      </c>
      <c r="J251" s="38" t="n">
        <v>156</v>
      </c>
      <c r="K251" s="38" t="inlineStr">
        <is>
          <t>12</t>
        </is>
      </c>
      <c r="L251" s="39" t="inlineStr">
        <is>
          <t>СК2</t>
        </is>
      </c>
      <c r="M251" s="38" t="n">
        <v>40</v>
      </c>
      <c r="N251" s="87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51" s="723" t="n"/>
      <c r="P251" s="723" t="n"/>
      <c r="Q251" s="723" t="n"/>
      <c r="R251" s="689" t="n"/>
      <c r="S251" s="40" t="inlineStr"/>
      <c r="T251" s="40" t="inlineStr"/>
      <c r="U251" s="41" t="inlineStr">
        <is>
          <t>кг</t>
        </is>
      </c>
      <c r="V251" s="724" t="n">
        <v>0</v>
      </c>
      <c r="W251" s="725">
        <f>IFERROR(IF(V251="",0,CEILING((V251/$H251),1)*$H251),"")</f>
        <v/>
      </c>
      <c r="X251" s="42">
        <f>IFERROR(IF(W251=0,"",ROUNDUP(W251/H251,0)*0.00753),"")</f>
        <v/>
      </c>
      <c r="Y251" s="69" t="inlineStr"/>
      <c r="Z251" s="70" t="inlineStr"/>
      <c r="AD251" s="71" t="n"/>
      <c r="BA251" s="215" t="inlineStr">
        <is>
          <t>КИ</t>
        </is>
      </c>
    </row>
    <row r="252" ht="27" customHeight="1">
      <c r="A252" s="64" t="inlineStr">
        <is>
          <t>SU001762</t>
        </is>
      </c>
      <c r="B252" s="64" t="inlineStr">
        <is>
          <t>P002208</t>
        </is>
      </c>
      <c r="C252" s="37" t="n">
        <v>4301051132</v>
      </c>
      <c r="D252" s="399" t="n">
        <v>4607091387513</v>
      </c>
      <c r="E252" s="689" t="n"/>
      <c r="F252" s="721" t="n">
        <v>0.45</v>
      </c>
      <c r="G252" s="38" t="n">
        <v>6</v>
      </c>
      <c r="H252" s="721" t="n">
        <v>2.7</v>
      </c>
      <c r="I252" s="721" t="n">
        <v>2.978</v>
      </c>
      <c r="J252" s="38" t="n">
        <v>156</v>
      </c>
      <c r="K252" s="38" t="inlineStr">
        <is>
          <t>12</t>
        </is>
      </c>
      <c r="L252" s="39" t="inlineStr">
        <is>
          <t>СК2</t>
        </is>
      </c>
      <c r="M252" s="38" t="n">
        <v>40</v>
      </c>
      <c r="N252" s="87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52" s="723" t="n"/>
      <c r="P252" s="723" t="n"/>
      <c r="Q252" s="723" t="n"/>
      <c r="R252" s="689" t="n"/>
      <c r="S252" s="40" t="inlineStr"/>
      <c r="T252" s="40" t="inlineStr"/>
      <c r="U252" s="41" t="inlineStr">
        <is>
          <t>кг</t>
        </is>
      </c>
      <c r="V252" s="724" t="n">
        <v>0</v>
      </c>
      <c r="W252" s="725">
        <f>IFERROR(IF(V252="",0,CEILING((V252/$H252),1)*$H252),"")</f>
        <v/>
      </c>
      <c r="X252" s="42">
        <f>IFERROR(IF(W252=0,"",ROUNDUP(W252/H252,0)*0.00753),"")</f>
        <v/>
      </c>
      <c r="Y252" s="69" t="inlineStr"/>
      <c r="Z252" s="70" t="inlineStr"/>
      <c r="AD252" s="71" t="n"/>
      <c r="BA252" s="216" t="inlineStr">
        <is>
          <t>КИ</t>
        </is>
      </c>
    </row>
    <row r="253" ht="27" customHeight="1">
      <c r="A253" s="64" t="inlineStr">
        <is>
          <t>SU002619</t>
        </is>
      </c>
      <c r="B253" s="64" t="inlineStr">
        <is>
          <t>P002953</t>
        </is>
      </c>
      <c r="C253" s="37" t="n">
        <v>4301051277</v>
      </c>
      <c r="D253" s="399" t="n">
        <v>4680115880511</v>
      </c>
      <c r="E253" s="689" t="n"/>
      <c r="F253" s="721" t="n">
        <v>0.33</v>
      </c>
      <c r="G253" s="38" t="n">
        <v>6</v>
      </c>
      <c r="H253" s="721" t="n">
        <v>1.98</v>
      </c>
      <c r="I253" s="721" t="n">
        <v>2.18</v>
      </c>
      <c r="J253" s="38" t="n">
        <v>156</v>
      </c>
      <c r="K253" s="38" t="inlineStr">
        <is>
          <t>12</t>
        </is>
      </c>
      <c r="L253" s="39" t="inlineStr">
        <is>
          <t>СК3</t>
        </is>
      </c>
      <c r="M253" s="38" t="n">
        <v>40</v>
      </c>
      <c r="N253" s="873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53" s="723" t="n"/>
      <c r="P253" s="723" t="n"/>
      <c r="Q253" s="723" t="n"/>
      <c r="R253" s="689" t="n"/>
      <c r="S253" s="40" t="inlineStr"/>
      <c r="T253" s="40" t="inlineStr"/>
      <c r="U253" s="41" t="inlineStr">
        <is>
          <t>кг</t>
        </is>
      </c>
      <c r="V253" s="724" t="n">
        <v>0</v>
      </c>
      <c r="W253" s="725">
        <f>IFERROR(IF(V253="",0,CEILING((V253/$H253),1)*$H253),"")</f>
        <v/>
      </c>
      <c r="X253" s="42">
        <f>IFERROR(IF(W253=0,"",ROUNDUP(W253/H253,0)*0.00753),"")</f>
        <v/>
      </c>
      <c r="Y253" s="69" t="inlineStr"/>
      <c r="Z253" s="70" t="inlineStr"/>
      <c r="AD253" s="71" t="n"/>
      <c r="BA253" s="217" t="inlineStr">
        <is>
          <t>КИ</t>
        </is>
      </c>
    </row>
    <row r="254" ht="27" customHeight="1">
      <c r="A254" s="64" t="inlineStr">
        <is>
          <t>SU002723</t>
        </is>
      </c>
      <c r="B254" s="64" t="inlineStr">
        <is>
          <t>P003124</t>
        </is>
      </c>
      <c r="C254" s="37" t="n">
        <v>4301051344</v>
      </c>
      <c r="D254" s="399" t="n">
        <v>4680115880412</v>
      </c>
      <c r="E254" s="689" t="n"/>
      <c r="F254" s="721" t="n">
        <v>0.33</v>
      </c>
      <c r="G254" s="38" t="n">
        <v>6</v>
      </c>
      <c r="H254" s="721" t="n">
        <v>1.98</v>
      </c>
      <c r="I254" s="721" t="n">
        <v>2.246</v>
      </c>
      <c r="J254" s="38" t="n">
        <v>156</v>
      </c>
      <c r="K254" s="38" t="inlineStr">
        <is>
          <t>12</t>
        </is>
      </c>
      <c r="L254" s="39" t="inlineStr">
        <is>
          <t>СК3</t>
        </is>
      </c>
      <c r="M254" s="38" t="n">
        <v>45</v>
      </c>
      <c r="N254" s="874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54" s="723" t="n"/>
      <c r="P254" s="723" t="n"/>
      <c r="Q254" s="723" t="n"/>
      <c r="R254" s="689" t="n"/>
      <c r="S254" s="40" t="inlineStr"/>
      <c r="T254" s="40" t="inlineStr"/>
      <c r="U254" s="41" t="inlineStr">
        <is>
          <t>кг</t>
        </is>
      </c>
      <c r="V254" s="724" t="n">
        <v>0</v>
      </c>
      <c r="W254" s="725">
        <f>IFERROR(IF(V254="",0,CEILING((V254/$H254),1)*$H254),"")</f>
        <v/>
      </c>
      <c r="X254" s="42">
        <f>IFERROR(IF(W254=0,"",ROUNDUP(W254/H254,0)*0.00753),"")</f>
        <v/>
      </c>
      <c r="Y254" s="69" t="inlineStr"/>
      <c r="Z254" s="70" t="inlineStr"/>
      <c r="AD254" s="71" t="n"/>
      <c r="BA254" s="218" t="inlineStr">
        <is>
          <t>КИ</t>
        </is>
      </c>
    </row>
    <row r="255">
      <c r="A255" s="407" t="n"/>
      <c r="B255" s="677" t="n"/>
      <c r="C255" s="677" t="n"/>
      <c r="D255" s="677" t="n"/>
      <c r="E255" s="677" t="n"/>
      <c r="F255" s="677" t="n"/>
      <c r="G255" s="677" t="n"/>
      <c r="H255" s="677" t="n"/>
      <c r="I255" s="677" t="n"/>
      <c r="J255" s="677" t="n"/>
      <c r="K255" s="677" t="n"/>
      <c r="L255" s="677" t="n"/>
      <c r="M255" s="726" t="n"/>
      <c r="N255" s="727" t="inlineStr">
        <is>
          <t>Итого</t>
        </is>
      </c>
      <c r="O255" s="697" t="n"/>
      <c r="P255" s="697" t="n"/>
      <c r="Q255" s="697" t="n"/>
      <c r="R255" s="697" t="n"/>
      <c r="S255" s="697" t="n"/>
      <c r="T255" s="698" t="n"/>
      <c r="U255" s="43" t="inlineStr">
        <is>
          <t>кор</t>
        </is>
      </c>
      <c r="V255" s="728">
        <f>IFERROR(V245/H245,"0")+IFERROR(V246/H246,"0")+IFERROR(V247/H247,"0")+IFERROR(V248/H248,"0")+IFERROR(V249/H249,"0")+IFERROR(V250/H250,"0")+IFERROR(V251/H251,"0")+IFERROR(V252/H252,"0")+IFERROR(V253/H253,"0")+IFERROR(V254/H254,"0")</f>
        <v/>
      </c>
      <c r="W255" s="728">
        <f>IFERROR(W245/H245,"0")+IFERROR(W246/H246,"0")+IFERROR(W247/H247,"0")+IFERROR(W248/H248,"0")+IFERROR(W249/H249,"0")+IFERROR(W250/H250,"0")+IFERROR(W251/H251,"0")+IFERROR(W252/H252,"0")+IFERROR(W253/H253,"0")+IFERROR(W254/H254,"0")</f>
        <v/>
      </c>
      <c r="X255" s="728">
        <f>IFERROR(IF(X245="",0,X245),"0")+IFERROR(IF(X246="",0,X246),"0")+IFERROR(IF(X247="",0,X247),"0")+IFERROR(IF(X248="",0,X248),"0")+IFERROR(IF(X249="",0,X249),"0")+IFERROR(IF(X250="",0,X250),"0")+IFERROR(IF(X251="",0,X251),"0")+IFERROR(IF(X252="",0,X252),"0")+IFERROR(IF(X253="",0,X253),"0")+IFERROR(IF(X254="",0,X254),"0")</f>
        <v/>
      </c>
      <c r="Y255" s="729" t="n"/>
      <c r="Z255" s="729" t="n"/>
    </row>
    <row r="256">
      <c r="A256" s="677" t="n"/>
      <c r="B256" s="677" t="n"/>
      <c r="C256" s="677" t="n"/>
      <c r="D256" s="677" t="n"/>
      <c r="E256" s="677" t="n"/>
      <c r="F256" s="677" t="n"/>
      <c r="G256" s="677" t="n"/>
      <c r="H256" s="677" t="n"/>
      <c r="I256" s="677" t="n"/>
      <c r="J256" s="677" t="n"/>
      <c r="K256" s="677" t="n"/>
      <c r="L256" s="677" t="n"/>
      <c r="M256" s="726" t="n"/>
      <c r="N256" s="727" t="inlineStr">
        <is>
          <t>Итого</t>
        </is>
      </c>
      <c r="O256" s="697" t="n"/>
      <c r="P256" s="697" t="n"/>
      <c r="Q256" s="697" t="n"/>
      <c r="R256" s="697" t="n"/>
      <c r="S256" s="697" t="n"/>
      <c r="T256" s="698" t="n"/>
      <c r="U256" s="43" t="inlineStr">
        <is>
          <t>кг</t>
        </is>
      </c>
      <c r="V256" s="728">
        <f>IFERROR(SUM(V245:V254),"0")</f>
        <v/>
      </c>
      <c r="W256" s="728">
        <f>IFERROR(SUM(W245:W254),"0")</f>
        <v/>
      </c>
      <c r="X256" s="43" t="n"/>
      <c r="Y256" s="729" t="n"/>
      <c r="Z256" s="729" t="n"/>
    </row>
    <row r="257" ht="14.25" customHeight="1">
      <c r="A257" s="398" t="inlineStr">
        <is>
          <t>Сардельки</t>
        </is>
      </c>
      <c r="B257" s="677" t="n"/>
      <c r="C257" s="677" t="n"/>
      <c r="D257" s="677" t="n"/>
      <c r="E257" s="677" t="n"/>
      <c r="F257" s="677" t="n"/>
      <c r="G257" s="677" t="n"/>
      <c r="H257" s="677" t="n"/>
      <c r="I257" s="677" t="n"/>
      <c r="J257" s="677" t="n"/>
      <c r="K257" s="677" t="n"/>
      <c r="L257" s="677" t="n"/>
      <c r="M257" s="677" t="n"/>
      <c r="N257" s="677" t="n"/>
      <c r="O257" s="677" t="n"/>
      <c r="P257" s="677" t="n"/>
      <c r="Q257" s="677" t="n"/>
      <c r="R257" s="677" t="n"/>
      <c r="S257" s="677" t="n"/>
      <c r="T257" s="677" t="n"/>
      <c r="U257" s="677" t="n"/>
      <c r="V257" s="677" t="n"/>
      <c r="W257" s="677" t="n"/>
      <c r="X257" s="677" t="n"/>
      <c r="Y257" s="398" t="n"/>
      <c r="Z257" s="398" t="n"/>
    </row>
    <row r="258" ht="16.5" customHeight="1">
      <c r="A258" s="64" t="inlineStr">
        <is>
          <t>SU001051</t>
        </is>
      </c>
      <c r="B258" s="64" t="inlineStr">
        <is>
          <t>P002061</t>
        </is>
      </c>
      <c r="C258" s="37" t="n">
        <v>4301060326</v>
      </c>
      <c r="D258" s="399" t="n">
        <v>4607091380880</v>
      </c>
      <c r="E258" s="689" t="n"/>
      <c r="F258" s="721" t="n">
        <v>1.4</v>
      </c>
      <c r="G258" s="38" t="n">
        <v>6</v>
      </c>
      <c r="H258" s="721" t="n">
        <v>8.4</v>
      </c>
      <c r="I258" s="721" t="n">
        <v>8.964</v>
      </c>
      <c r="J258" s="38" t="n">
        <v>56</v>
      </c>
      <c r="K258" s="38" t="inlineStr">
        <is>
          <t>8</t>
        </is>
      </c>
      <c r="L258" s="39" t="inlineStr">
        <is>
          <t>СК2</t>
        </is>
      </c>
      <c r="M258" s="38" t="n">
        <v>30</v>
      </c>
      <c r="N258" s="875">
        <f>HYPERLINK("https://abi.ru/products/Охлажденные/Стародворье/Бордо/Сардельки/P002061/","Сардельки Нежные Бордо Весовые н/о мгс Стародворье")</f>
        <v/>
      </c>
      <c r="O258" s="723" t="n"/>
      <c r="P258" s="723" t="n"/>
      <c r="Q258" s="723" t="n"/>
      <c r="R258" s="689" t="n"/>
      <c r="S258" s="40" t="inlineStr"/>
      <c r="T258" s="40" t="inlineStr"/>
      <c r="U258" s="41" t="inlineStr">
        <is>
          <t>кг</t>
        </is>
      </c>
      <c r="V258" s="724" t="n">
        <v>0</v>
      </c>
      <c r="W258" s="725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9" t="inlineStr">
        <is>
          <t>КИ</t>
        </is>
      </c>
    </row>
    <row r="259" ht="27" customHeight="1">
      <c r="A259" s="64" t="inlineStr">
        <is>
          <t>SU000227</t>
        </is>
      </c>
      <c r="B259" s="64" t="inlineStr">
        <is>
          <t>P002536</t>
        </is>
      </c>
      <c r="C259" s="37" t="n">
        <v>4301060308</v>
      </c>
      <c r="D259" s="399" t="n">
        <v>4607091384482</v>
      </c>
      <c r="E259" s="689" t="n"/>
      <c r="F259" s="721" t="n">
        <v>1.3</v>
      </c>
      <c r="G259" s="38" t="n">
        <v>6</v>
      </c>
      <c r="H259" s="721" t="n">
        <v>7.8</v>
      </c>
      <c r="I259" s="721" t="n">
        <v>8.364000000000001</v>
      </c>
      <c r="J259" s="38" t="n">
        <v>56</v>
      </c>
      <c r="K259" s="38" t="inlineStr">
        <is>
          <t>8</t>
        </is>
      </c>
      <c r="L259" s="39" t="inlineStr">
        <is>
          <t>СК2</t>
        </is>
      </c>
      <c r="M259" s="38" t="n">
        <v>30</v>
      </c>
      <c r="N259" s="87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59" s="723" t="n"/>
      <c r="P259" s="723" t="n"/>
      <c r="Q259" s="723" t="n"/>
      <c r="R259" s="689" t="n"/>
      <c r="S259" s="40" t="inlineStr"/>
      <c r="T259" s="40" t="inlineStr"/>
      <c r="U259" s="41" t="inlineStr">
        <is>
          <t>кг</t>
        </is>
      </c>
      <c r="V259" s="724" t="n">
        <v>62</v>
      </c>
      <c r="W259" s="725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20" t="inlineStr">
        <is>
          <t>КИ</t>
        </is>
      </c>
    </row>
    <row r="260" ht="16.5" customHeight="1">
      <c r="A260" s="64" t="inlineStr">
        <is>
          <t>SU001430</t>
        </is>
      </c>
      <c r="B260" s="64" t="inlineStr">
        <is>
          <t>P002036</t>
        </is>
      </c>
      <c r="C260" s="37" t="n">
        <v>4301060325</v>
      </c>
      <c r="D260" s="399" t="n">
        <v>4607091380897</v>
      </c>
      <c r="E260" s="689" t="n"/>
      <c r="F260" s="721" t="n">
        <v>1.4</v>
      </c>
      <c r="G260" s="38" t="n">
        <v>6</v>
      </c>
      <c r="H260" s="721" t="n">
        <v>8.4</v>
      </c>
      <c r="I260" s="721" t="n">
        <v>8.964</v>
      </c>
      <c r="J260" s="38" t="n">
        <v>56</v>
      </c>
      <c r="K260" s="38" t="inlineStr">
        <is>
          <t>8</t>
        </is>
      </c>
      <c r="L260" s="39" t="inlineStr">
        <is>
          <t>СК2</t>
        </is>
      </c>
      <c r="M260" s="38" t="n">
        <v>30</v>
      </c>
      <c r="N260" s="877">
        <f>HYPERLINK("https://abi.ru/products/Охлажденные/Стародворье/Бордо/Сардельки/P002036/","Сардельки Шпикачки Бордо Весовые NDX мгс Стародворье")</f>
        <v/>
      </c>
      <c r="O260" s="723" t="n"/>
      <c r="P260" s="723" t="n"/>
      <c r="Q260" s="723" t="n"/>
      <c r="R260" s="689" t="n"/>
      <c r="S260" s="40" t="inlineStr"/>
      <c r="T260" s="40" t="inlineStr"/>
      <c r="U260" s="41" t="inlineStr">
        <is>
          <t>кг</t>
        </is>
      </c>
      <c r="V260" s="724" t="n">
        <v>0</v>
      </c>
      <c r="W260" s="725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21" t="inlineStr">
        <is>
          <t>КИ</t>
        </is>
      </c>
    </row>
    <row r="261">
      <c r="A261" s="407" t="n"/>
      <c r="B261" s="677" t="n"/>
      <c r="C261" s="677" t="n"/>
      <c r="D261" s="677" t="n"/>
      <c r="E261" s="677" t="n"/>
      <c r="F261" s="677" t="n"/>
      <c r="G261" s="677" t="n"/>
      <c r="H261" s="677" t="n"/>
      <c r="I261" s="677" t="n"/>
      <c r="J261" s="677" t="n"/>
      <c r="K261" s="677" t="n"/>
      <c r="L261" s="677" t="n"/>
      <c r="M261" s="726" t="n"/>
      <c r="N261" s="727" t="inlineStr">
        <is>
          <t>Итого</t>
        </is>
      </c>
      <c r="O261" s="697" t="n"/>
      <c r="P261" s="697" t="n"/>
      <c r="Q261" s="697" t="n"/>
      <c r="R261" s="697" t="n"/>
      <c r="S261" s="697" t="n"/>
      <c r="T261" s="698" t="n"/>
      <c r="U261" s="43" t="inlineStr">
        <is>
          <t>кор</t>
        </is>
      </c>
      <c r="V261" s="728">
        <f>IFERROR(V258/H258,"0")+IFERROR(V259/H259,"0")+IFERROR(V260/H260,"0")</f>
        <v/>
      </c>
      <c r="W261" s="728">
        <f>IFERROR(W258/H258,"0")+IFERROR(W259/H259,"0")+IFERROR(W260/H260,"0")</f>
        <v/>
      </c>
      <c r="X261" s="728">
        <f>IFERROR(IF(X258="",0,X258),"0")+IFERROR(IF(X259="",0,X259),"0")+IFERROR(IF(X260="",0,X260),"0")</f>
        <v/>
      </c>
      <c r="Y261" s="729" t="n"/>
      <c r="Z261" s="729" t="n"/>
    </row>
    <row r="262">
      <c r="A262" s="677" t="n"/>
      <c r="B262" s="677" t="n"/>
      <c r="C262" s="677" t="n"/>
      <c r="D262" s="677" t="n"/>
      <c r="E262" s="677" t="n"/>
      <c r="F262" s="677" t="n"/>
      <c r="G262" s="677" t="n"/>
      <c r="H262" s="677" t="n"/>
      <c r="I262" s="677" t="n"/>
      <c r="J262" s="677" t="n"/>
      <c r="K262" s="677" t="n"/>
      <c r="L262" s="677" t="n"/>
      <c r="M262" s="726" t="n"/>
      <c r="N262" s="727" t="inlineStr">
        <is>
          <t>Итого</t>
        </is>
      </c>
      <c r="O262" s="697" t="n"/>
      <c r="P262" s="697" t="n"/>
      <c r="Q262" s="697" t="n"/>
      <c r="R262" s="697" t="n"/>
      <c r="S262" s="697" t="n"/>
      <c r="T262" s="698" t="n"/>
      <c r="U262" s="43" t="inlineStr">
        <is>
          <t>кг</t>
        </is>
      </c>
      <c r="V262" s="728">
        <f>IFERROR(SUM(V258:V260),"0")</f>
        <v/>
      </c>
      <c r="W262" s="728">
        <f>IFERROR(SUM(W258:W260),"0")</f>
        <v/>
      </c>
      <c r="X262" s="43" t="n"/>
      <c r="Y262" s="729" t="n"/>
      <c r="Z262" s="729" t="n"/>
    </row>
    <row r="263" ht="14.25" customHeight="1">
      <c r="A263" s="398" t="inlineStr">
        <is>
          <t>Сырокопченые колбасы</t>
        </is>
      </c>
      <c r="B263" s="677" t="n"/>
      <c r="C263" s="677" t="n"/>
      <c r="D263" s="677" t="n"/>
      <c r="E263" s="677" t="n"/>
      <c r="F263" s="677" t="n"/>
      <c r="G263" s="677" t="n"/>
      <c r="H263" s="677" t="n"/>
      <c r="I263" s="677" t="n"/>
      <c r="J263" s="677" t="n"/>
      <c r="K263" s="677" t="n"/>
      <c r="L263" s="677" t="n"/>
      <c r="M263" s="677" t="n"/>
      <c r="N263" s="677" t="n"/>
      <c r="O263" s="677" t="n"/>
      <c r="P263" s="677" t="n"/>
      <c r="Q263" s="677" t="n"/>
      <c r="R263" s="677" t="n"/>
      <c r="S263" s="677" t="n"/>
      <c r="T263" s="677" t="n"/>
      <c r="U263" s="677" t="n"/>
      <c r="V263" s="677" t="n"/>
      <c r="W263" s="677" t="n"/>
      <c r="X263" s="677" t="n"/>
      <c r="Y263" s="398" t="n"/>
      <c r="Z263" s="398" t="n"/>
    </row>
    <row r="264" ht="16.5" customHeight="1">
      <c r="A264" s="64" t="inlineStr">
        <is>
          <t>SU001920</t>
        </is>
      </c>
      <c r="B264" s="64" t="inlineStr">
        <is>
          <t>P001900</t>
        </is>
      </c>
      <c r="C264" s="37" t="n">
        <v>4301030232</v>
      </c>
      <c r="D264" s="399" t="n">
        <v>4607091388374</v>
      </c>
      <c r="E264" s="689" t="n"/>
      <c r="F264" s="721" t="n">
        <v>0.38</v>
      </c>
      <c r="G264" s="38" t="n">
        <v>8</v>
      </c>
      <c r="H264" s="721" t="n">
        <v>3.04</v>
      </c>
      <c r="I264" s="721" t="n">
        <v>3.28</v>
      </c>
      <c r="J264" s="38" t="n">
        <v>156</v>
      </c>
      <c r="K264" s="38" t="inlineStr">
        <is>
          <t>12</t>
        </is>
      </c>
      <c r="L264" s="39" t="inlineStr">
        <is>
          <t>АК</t>
        </is>
      </c>
      <c r="M264" s="38" t="n">
        <v>180</v>
      </c>
      <c r="N264" s="878" t="inlineStr">
        <is>
          <t>С/к колбасы Княжеская Бордо Весовые б/о терм/п Стародворье</t>
        </is>
      </c>
      <c r="O264" s="723" t="n"/>
      <c r="P264" s="723" t="n"/>
      <c r="Q264" s="723" t="n"/>
      <c r="R264" s="689" t="n"/>
      <c r="S264" s="40" t="inlineStr"/>
      <c r="T264" s="40" t="inlineStr"/>
      <c r="U264" s="41" t="inlineStr">
        <is>
          <t>кг</t>
        </is>
      </c>
      <c r="V264" s="724" t="n">
        <v>0</v>
      </c>
      <c r="W264" s="725">
        <f>IFERROR(IF(V264="",0,CEILING((V264/$H264),1)*$H264),"")</f>
        <v/>
      </c>
      <c r="X264" s="42">
        <f>IFERROR(IF(W264=0,"",ROUNDUP(W264/H264,0)*0.00753),"")</f>
        <v/>
      </c>
      <c r="Y264" s="69" t="inlineStr"/>
      <c r="Z264" s="70" t="inlineStr"/>
      <c r="AD264" s="71" t="n"/>
      <c r="BA264" s="222" t="inlineStr">
        <is>
          <t>КИ</t>
        </is>
      </c>
    </row>
    <row r="265" ht="27" customHeight="1">
      <c r="A265" s="64" t="inlineStr">
        <is>
          <t>SU001921</t>
        </is>
      </c>
      <c r="B265" s="64" t="inlineStr">
        <is>
          <t>P001916</t>
        </is>
      </c>
      <c r="C265" s="37" t="n">
        <v>4301030235</v>
      </c>
      <c r="D265" s="399" t="n">
        <v>4607091388381</v>
      </c>
      <c r="E265" s="689" t="n"/>
      <c r="F265" s="721" t="n">
        <v>0.38</v>
      </c>
      <c r="G265" s="38" t="n">
        <v>8</v>
      </c>
      <c r="H265" s="721" t="n">
        <v>3.04</v>
      </c>
      <c r="I265" s="721" t="n">
        <v>3.32</v>
      </c>
      <c r="J265" s="38" t="n">
        <v>156</v>
      </c>
      <c r="K265" s="38" t="inlineStr">
        <is>
          <t>12</t>
        </is>
      </c>
      <c r="L265" s="39" t="inlineStr">
        <is>
          <t>АК</t>
        </is>
      </c>
      <c r="M265" s="38" t="n">
        <v>180</v>
      </c>
      <c r="N265" s="879" t="inlineStr">
        <is>
          <t>С/к колбасы Салями Охотничья Бордо Весовые б/о терм/п 180 Стародворье</t>
        </is>
      </c>
      <c r="O265" s="723" t="n"/>
      <c r="P265" s="723" t="n"/>
      <c r="Q265" s="723" t="n"/>
      <c r="R265" s="689" t="n"/>
      <c r="S265" s="40" t="inlineStr"/>
      <c r="T265" s="40" t="inlineStr"/>
      <c r="U265" s="41" t="inlineStr">
        <is>
          <t>кг</t>
        </is>
      </c>
      <c r="V265" s="724" t="n">
        <v>0</v>
      </c>
      <c r="W265" s="725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3" t="inlineStr">
        <is>
          <t>КИ</t>
        </is>
      </c>
    </row>
    <row r="266" ht="27" customHeight="1">
      <c r="A266" s="64" t="inlineStr">
        <is>
          <t>SU001869</t>
        </is>
      </c>
      <c r="B266" s="64" t="inlineStr">
        <is>
          <t>P001909</t>
        </is>
      </c>
      <c r="C266" s="37" t="n">
        <v>4301030233</v>
      </c>
      <c r="D266" s="399" t="n">
        <v>4607091388404</v>
      </c>
      <c r="E266" s="689" t="n"/>
      <c r="F266" s="721" t="n">
        <v>0.17</v>
      </c>
      <c r="G266" s="38" t="n">
        <v>15</v>
      </c>
      <c r="H266" s="721" t="n">
        <v>2.55</v>
      </c>
      <c r="I266" s="721" t="n">
        <v>2.9</v>
      </c>
      <c r="J266" s="38" t="n">
        <v>156</v>
      </c>
      <c r="K266" s="38" t="inlineStr">
        <is>
          <t>12</t>
        </is>
      </c>
      <c r="L266" s="39" t="inlineStr">
        <is>
          <t>АК</t>
        </is>
      </c>
      <c r="M266" s="38" t="n">
        <v>180</v>
      </c>
      <c r="N266" s="88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66" s="723" t="n"/>
      <c r="P266" s="723" t="n"/>
      <c r="Q266" s="723" t="n"/>
      <c r="R266" s="689" t="n"/>
      <c r="S266" s="40" t="inlineStr"/>
      <c r="T266" s="40" t="inlineStr"/>
      <c r="U266" s="41" t="inlineStr">
        <is>
          <t>кг</t>
        </is>
      </c>
      <c r="V266" s="724" t="n">
        <v>0</v>
      </c>
      <c r="W266" s="725">
        <f>IFERROR(IF(V266="",0,CEILING((V266/$H266),1)*$H266),"")</f>
        <v/>
      </c>
      <c r="X266" s="42">
        <f>IFERROR(IF(W266=0,"",ROUNDUP(W266/H266,0)*0.00753),"")</f>
        <v/>
      </c>
      <c r="Y266" s="69" t="inlineStr"/>
      <c r="Z266" s="70" t="inlineStr"/>
      <c r="AD266" s="71" t="n"/>
      <c r="BA266" s="224" t="inlineStr">
        <is>
          <t>КИ</t>
        </is>
      </c>
    </row>
    <row r="267">
      <c r="A267" s="407" t="n"/>
      <c r="B267" s="677" t="n"/>
      <c r="C267" s="677" t="n"/>
      <c r="D267" s="677" t="n"/>
      <c r="E267" s="677" t="n"/>
      <c r="F267" s="677" t="n"/>
      <c r="G267" s="677" t="n"/>
      <c r="H267" s="677" t="n"/>
      <c r="I267" s="677" t="n"/>
      <c r="J267" s="677" t="n"/>
      <c r="K267" s="677" t="n"/>
      <c r="L267" s="677" t="n"/>
      <c r="M267" s="726" t="n"/>
      <c r="N267" s="727" t="inlineStr">
        <is>
          <t>Итого</t>
        </is>
      </c>
      <c r="O267" s="697" t="n"/>
      <c r="P267" s="697" t="n"/>
      <c r="Q267" s="697" t="n"/>
      <c r="R267" s="697" t="n"/>
      <c r="S267" s="697" t="n"/>
      <c r="T267" s="698" t="n"/>
      <c r="U267" s="43" t="inlineStr">
        <is>
          <t>кор</t>
        </is>
      </c>
      <c r="V267" s="728">
        <f>IFERROR(V264/H264,"0")+IFERROR(V265/H265,"0")+IFERROR(V266/H266,"0")</f>
        <v/>
      </c>
      <c r="W267" s="728">
        <f>IFERROR(W264/H264,"0")+IFERROR(W265/H265,"0")+IFERROR(W266/H266,"0")</f>
        <v/>
      </c>
      <c r="X267" s="728">
        <f>IFERROR(IF(X264="",0,X264),"0")+IFERROR(IF(X265="",0,X265),"0")+IFERROR(IF(X266="",0,X266),"0")</f>
        <v/>
      </c>
      <c r="Y267" s="729" t="n"/>
      <c r="Z267" s="729" t="n"/>
    </row>
    <row r="268">
      <c r="A268" s="677" t="n"/>
      <c r="B268" s="677" t="n"/>
      <c r="C268" s="677" t="n"/>
      <c r="D268" s="677" t="n"/>
      <c r="E268" s="677" t="n"/>
      <c r="F268" s="677" t="n"/>
      <c r="G268" s="677" t="n"/>
      <c r="H268" s="677" t="n"/>
      <c r="I268" s="677" t="n"/>
      <c r="J268" s="677" t="n"/>
      <c r="K268" s="677" t="n"/>
      <c r="L268" s="677" t="n"/>
      <c r="M268" s="726" t="n"/>
      <c r="N268" s="727" t="inlineStr">
        <is>
          <t>Итого</t>
        </is>
      </c>
      <c r="O268" s="697" t="n"/>
      <c r="P268" s="697" t="n"/>
      <c r="Q268" s="697" t="n"/>
      <c r="R268" s="697" t="n"/>
      <c r="S268" s="697" t="n"/>
      <c r="T268" s="698" t="n"/>
      <c r="U268" s="43" t="inlineStr">
        <is>
          <t>кг</t>
        </is>
      </c>
      <c r="V268" s="728">
        <f>IFERROR(SUM(V264:V266),"0")</f>
        <v/>
      </c>
      <c r="W268" s="728">
        <f>IFERROR(SUM(W264:W266),"0")</f>
        <v/>
      </c>
      <c r="X268" s="43" t="n"/>
      <c r="Y268" s="729" t="n"/>
      <c r="Z268" s="729" t="n"/>
    </row>
    <row r="269" ht="14.25" customHeight="1">
      <c r="A269" s="398" t="inlineStr">
        <is>
          <t>Паштеты</t>
        </is>
      </c>
      <c r="B269" s="677" t="n"/>
      <c r="C269" s="677" t="n"/>
      <c r="D269" s="677" t="n"/>
      <c r="E269" s="677" t="n"/>
      <c r="F269" s="677" t="n"/>
      <c r="G269" s="677" t="n"/>
      <c r="H269" s="677" t="n"/>
      <c r="I269" s="677" t="n"/>
      <c r="J269" s="677" t="n"/>
      <c r="K269" s="677" t="n"/>
      <c r="L269" s="677" t="n"/>
      <c r="M269" s="677" t="n"/>
      <c r="N269" s="677" t="n"/>
      <c r="O269" s="677" t="n"/>
      <c r="P269" s="677" t="n"/>
      <c r="Q269" s="677" t="n"/>
      <c r="R269" s="677" t="n"/>
      <c r="S269" s="677" t="n"/>
      <c r="T269" s="677" t="n"/>
      <c r="U269" s="677" t="n"/>
      <c r="V269" s="677" t="n"/>
      <c r="W269" s="677" t="n"/>
      <c r="X269" s="677" t="n"/>
      <c r="Y269" s="398" t="n"/>
      <c r="Z269" s="398" t="n"/>
    </row>
    <row r="270" ht="16.5" customHeight="1">
      <c r="A270" s="64" t="inlineStr">
        <is>
          <t>SU002841</t>
        </is>
      </c>
      <c r="B270" s="64" t="inlineStr">
        <is>
          <t>P003253</t>
        </is>
      </c>
      <c r="C270" s="37" t="n">
        <v>4301180007</v>
      </c>
      <c r="D270" s="399" t="n">
        <v>4680115881808</v>
      </c>
      <c r="E270" s="689" t="n"/>
      <c r="F270" s="721" t="n">
        <v>0.1</v>
      </c>
      <c r="G270" s="38" t="n">
        <v>20</v>
      </c>
      <c r="H270" s="721" t="n">
        <v>2</v>
      </c>
      <c r="I270" s="721" t="n">
        <v>2.24</v>
      </c>
      <c r="J270" s="38" t="n">
        <v>238</v>
      </c>
      <c r="K270" s="38" t="inlineStr">
        <is>
          <t>14</t>
        </is>
      </c>
      <c r="L270" s="39" t="inlineStr">
        <is>
          <t>РК</t>
        </is>
      </c>
      <c r="M270" s="38" t="n">
        <v>730</v>
      </c>
      <c r="N270" s="88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70" s="723" t="n"/>
      <c r="P270" s="723" t="n"/>
      <c r="Q270" s="723" t="n"/>
      <c r="R270" s="689" t="n"/>
      <c r="S270" s="40" t="inlineStr"/>
      <c r="T270" s="40" t="inlineStr"/>
      <c r="U270" s="41" t="inlineStr">
        <is>
          <t>кг</t>
        </is>
      </c>
      <c r="V270" s="724" t="n">
        <v>0</v>
      </c>
      <c r="W270" s="725">
        <f>IFERROR(IF(V270="",0,CEILING((V270/$H270),1)*$H270),"")</f>
        <v/>
      </c>
      <c r="X270" s="42">
        <f>IFERROR(IF(W270=0,"",ROUNDUP(W270/H270,0)*0.00474),"")</f>
        <v/>
      </c>
      <c r="Y270" s="69" t="inlineStr"/>
      <c r="Z270" s="70" t="inlineStr"/>
      <c r="AD270" s="71" t="n"/>
      <c r="BA270" s="225" t="inlineStr">
        <is>
          <t>КИ</t>
        </is>
      </c>
    </row>
    <row r="271" ht="27" customHeight="1">
      <c r="A271" s="64" t="inlineStr">
        <is>
          <t>SU002840</t>
        </is>
      </c>
      <c r="B271" s="64" t="inlineStr">
        <is>
          <t>P003252</t>
        </is>
      </c>
      <c r="C271" s="37" t="n">
        <v>4301180006</v>
      </c>
      <c r="D271" s="399" t="n">
        <v>4680115881822</v>
      </c>
      <c r="E271" s="689" t="n"/>
      <c r="F271" s="721" t="n">
        <v>0.1</v>
      </c>
      <c r="G271" s="38" t="n">
        <v>20</v>
      </c>
      <c r="H271" s="721" t="n">
        <v>2</v>
      </c>
      <c r="I271" s="721" t="n">
        <v>2.24</v>
      </c>
      <c r="J271" s="38" t="n">
        <v>238</v>
      </c>
      <c r="K271" s="38" t="inlineStr">
        <is>
          <t>14</t>
        </is>
      </c>
      <c r="L271" s="39" t="inlineStr">
        <is>
          <t>РК</t>
        </is>
      </c>
      <c r="M271" s="38" t="n">
        <v>730</v>
      </c>
      <c r="N271" s="88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71" s="723" t="n"/>
      <c r="P271" s="723" t="n"/>
      <c r="Q271" s="723" t="n"/>
      <c r="R271" s="689" t="n"/>
      <c r="S271" s="40" t="inlineStr"/>
      <c r="T271" s="40" t="inlineStr"/>
      <c r="U271" s="41" t="inlineStr">
        <is>
          <t>кг</t>
        </is>
      </c>
      <c r="V271" s="724" t="n">
        <v>0</v>
      </c>
      <c r="W271" s="725">
        <f>IFERROR(IF(V271="",0,CEILING((V271/$H271),1)*$H271),"")</f>
        <v/>
      </c>
      <c r="X271" s="42">
        <f>IFERROR(IF(W271=0,"",ROUNDUP(W271/H271,0)*0.00474),"")</f>
        <v/>
      </c>
      <c r="Y271" s="69" t="inlineStr"/>
      <c r="Z271" s="70" t="inlineStr"/>
      <c r="AD271" s="71" t="n"/>
      <c r="BA271" s="226" t="inlineStr">
        <is>
          <t>КИ</t>
        </is>
      </c>
    </row>
    <row r="272" ht="27" customHeight="1">
      <c r="A272" s="64" t="inlineStr">
        <is>
          <t>SU002368</t>
        </is>
      </c>
      <c r="B272" s="64" t="inlineStr">
        <is>
          <t>P002648</t>
        </is>
      </c>
      <c r="C272" s="37" t="n">
        <v>4301180001</v>
      </c>
      <c r="D272" s="399" t="n">
        <v>4680115880016</v>
      </c>
      <c r="E272" s="689" t="n"/>
      <c r="F272" s="721" t="n">
        <v>0.1</v>
      </c>
      <c r="G272" s="38" t="n">
        <v>20</v>
      </c>
      <c r="H272" s="721" t="n">
        <v>2</v>
      </c>
      <c r="I272" s="721" t="n">
        <v>2.24</v>
      </c>
      <c r="J272" s="38" t="n">
        <v>238</v>
      </c>
      <c r="K272" s="38" t="inlineStr">
        <is>
          <t>14</t>
        </is>
      </c>
      <c r="L272" s="39" t="inlineStr">
        <is>
          <t>РК</t>
        </is>
      </c>
      <c r="M272" s="38" t="n">
        <v>730</v>
      </c>
      <c r="N272" s="88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72" s="723" t="n"/>
      <c r="P272" s="723" t="n"/>
      <c r="Q272" s="723" t="n"/>
      <c r="R272" s="689" t="n"/>
      <c r="S272" s="40" t="inlineStr"/>
      <c r="T272" s="40" t="inlineStr"/>
      <c r="U272" s="41" t="inlineStr">
        <is>
          <t>кг</t>
        </is>
      </c>
      <c r="V272" s="724" t="n">
        <v>0</v>
      </c>
      <c r="W272" s="725">
        <f>IFERROR(IF(V272="",0,CEILING((V272/$H272),1)*$H272),"")</f>
        <v/>
      </c>
      <c r="X272" s="42">
        <f>IFERROR(IF(W272=0,"",ROUNDUP(W272/H272,0)*0.00474),"")</f>
        <v/>
      </c>
      <c r="Y272" s="69" t="inlineStr"/>
      <c r="Z272" s="70" t="inlineStr"/>
      <c r="AD272" s="71" t="n"/>
      <c r="BA272" s="227" t="inlineStr">
        <is>
          <t>КИ</t>
        </is>
      </c>
    </row>
    <row r="273">
      <c r="A273" s="407" t="n"/>
      <c r="B273" s="677" t="n"/>
      <c r="C273" s="677" t="n"/>
      <c r="D273" s="677" t="n"/>
      <c r="E273" s="677" t="n"/>
      <c r="F273" s="677" t="n"/>
      <c r="G273" s="677" t="n"/>
      <c r="H273" s="677" t="n"/>
      <c r="I273" s="677" t="n"/>
      <c r="J273" s="677" t="n"/>
      <c r="K273" s="677" t="n"/>
      <c r="L273" s="677" t="n"/>
      <c r="M273" s="726" t="n"/>
      <c r="N273" s="727" t="inlineStr">
        <is>
          <t>Итого</t>
        </is>
      </c>
      <c r="O273" s="697" t="n"/>
      <c r="P273" s="697" t="n"/>
      <c r="Q273" s="697" t="n"/>
      <c r="R273" s="697" t="n"/>
      <c r="S273" s="697" t="n"/>
      <c r="T273" s="698" t="n"/>
      <c r="U273" s="43" t="inlineStr">
        <is>
          <t>кор</t>
        </is>
      </c>
      <c r="V273" s="728">
        <f>IFERROR(V270/H270,"0")+IFERROR(V271/H271,"0")+IFERROR(V272/H272,"0")</f>
        <v/>
      </c>
      <c r="W273" s="728">
        <f>IFERROR(W270/H270,"0")+IFERROR(W271/H271,"0")+IFERROR(W272/H272,"0")</f>
        <v/>
      </c>
      <c r="X273" s="728">
        <f>IFERROR(IF(X270="",0,X270),"0")+IFERROR(IF(X271="",0,X271),"0")+IFERROR(IF(X272="",0,X272),"0")</f>
        <v/>
      </c>
      <c r="Y273" s="729" t="n"/>
      <c r="Z273" s="729" t="n"/>
    </row>
    <row r="274">
      <c r="A274" s="677" t="n"/>
      <c r="B274" s="677" t="n"/>
      <c r="C274" s="677" t="n"/>
      <c r="D274" s="677" t="n"/>
      <c r="E274" s="677" t="n"/>
      <c r="F274" s="677" t="n"/>
      <c r="G274" s="677" t="n"/>
      <c r="H274" s="677" t="n"/>
      <c r="I274" s="677" t="n"/>
      <c r="J274" s="677" t="n"/>
      <c r="K274" s="677" t="n"/>
      <c r="L274" s="677" t="n"/>
      <c r="M274" s="726" t="n"/>
      <c r="N274" s="727" t="inlineStr">
        <is>
          <t>Итого</t>
        </is>
      </c>
      <c r="O274" s="697" t="n"/>
      <c r="P274" s="697" t="n"/>
      <c r="Q274" s="697" t="n"/>
      <c r="R274" s="697" t="n"/>
      <c r="S274" s="697" t="n"/>
      <c r="T274" s="698" t="n"/>
      <c r="U274" s="43" t="inlineStr">
        <is>
          <t>кг</t>
        </is>
      </c>
      <c r="V274" s="728">
        <f>IFERROR(SUM(V270:V272),"0")</f>
        <v/>
      </c>
      <c r="W274" s="728">
        <f>IFERROR(SUM(W270:W272),"0")</f>
        <v/>
      </c>
      <c r="X274" s="43" t="n"/>
      <c r="Y274" s="729" t="n"/>
      <c r="Z274" s="729" t="n"/>
    </row>
    <row r="275" ht="16.5" customHeight="1">
      <c r="A275" s="397" t="inlineStr">
        <is>
          <t>Фирменная</t>
        </is>
      </c>
      <c r="B275" s="677" t="n"/>
      <c r="C275" s="677" t="n"/>
      <c r="D275" s="677" t="n"/>
      <c r="E275" s="677" t="n"/>
      <c r="F275" s="677" t="n"/>
      <c r="G275" s="677" t="n"/>
      <c r="H275" s="677" t="n"/>
      <c r="I275" s="677" t="n"/>
      <c r="J275" s="677" t="n"/>
      <c r="K275" s="677" t="n"/>
      <c r="L275" s="677" t="n"/>
      <c r="M275" s="677" t="n"/>
      <c r="N275" s="677" t="n"/>
      <c r="O275" s="677" t="n"/>
      <c r="P275" s="677" t="n"/>
      <c r="Q275" s="677" t="n"/>
      <c r="R275" s="677" t="n"/>
      <c r="S275" s="677" t="n"/>
      <c r="T275" s="677" t="n"/>
      <c r="U275" s="677" t="n"/>
      <c r="V275" s="677" t="n"/>
      <c r="W275" s="677" t="n"/>
      <c r="X275" s="677" t="n"/>
      <c r="Y275" s="397" t="n"/>
      <c r="Z275" s="397" t="n"/>
    </row>
    <row r="276" ht="14.25" customHeight="1">
      <c r="A276" s="398" t="inlineStr">
        <is>
          <t>Вареные колбасы</t>
        </is>
      </c>
      <c r="B276" s="677" t="n"/>
      <c r="C276" s="677" t="n"/>
      <c r="D276" s="677" t="n"/>
      <c r="E276" s="677" t="n"/>
      <c r="F276" s="677" t="n"/>
      <c r="G276" s="677" t="n"/>
      <c r="H276" s="677" t="n"/>
      <c r="I276" s="677" t="n"/>
      <c r="J276" s="677" t="n"/>
      <c r="K276" s="677" t="n"/>
      <c r="L276" s="677" t="n"/>
      <c r="M276" s="677" t="n"/>
      <c r="N276" s="677" t="n"/>
      <c r="O276" s="677" t="n"/>
      <c r="P276" s="677" t="n"/>
      <c r="Q276" s="677" t="n"/>
      <c r="R276" s="677" t="n"/>
      <c r="S276" s="677" t="n"/>
      <c r="T276" s="677" t="n"/>
      <c r="U276" s="677" t="n"/>
      <c r="V276" s="677" t="n"/>
      <c r="W276" s="677" t="n"/>
      <c r="X276" s="677" t="n"/>
      <c r="Y276" s="398" t="n"/>
      <c r="Z276" s="398" t="n"/>
    </row>
    <row r="277" ht="27" customHeight="1">
      <c r="A277" s="64" t="inlineStr">
        <is>
          <t>SU001793</t>
        </is>
      </c>
      <c r="B277" s="64" t="inlineStr">
        <is>
          <t>P001793</t>
        </is>
      </c>
      <c r="C277" s="37" t="n">
        <v>4301011315</v>
      </c>
      <c r="D277" s="399" t="n">
        <v>4607091387421</v>
      </c>
      <c r="E277" s="689" t="n"/>
      <c r="F277" s="721" t="n">
        <v>1.35</v>
      </c>
      <c r="G277" s="38" t="n">
        <v>8</v>
      </c>
      <c r="H277" s="721" t="n">
        <v>10.8</v>
      </c>
      <c r="I277" s="721" t="n">
        <v>11.28</v>
      </c>
      <c r="J277" s="38" t="n">
        <v>56</v>
      </c>
      <c r="K277" s="38" t="inlineStr">
        <is>
          <t>8</t>
        </is>
      </c>
      <c r="L277" s="39" t="inlineStr">
        <is>
          <t>СК1</t>
        </is>
      </c>
      <c r="M277" s="38" t="n">
        <v>55</v>
      </c>
      <c r="N277" s="88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77" s="723" t="n"/>
      <c r="P277" s="723" t="n"/>
      <c r="Q277" s="723" t="n"/>
      <c r="R277" s="689" t="n"/>
      <c r="S277" s="40" t="inlineStr"/>
      <c r="T277" s="40" t="inlineStr"/>
      <c r="U277" s="41" t="inlineStr">
        <is>
          <t>кг</t>
        </is>
      </c>
      <c r="V277" s="724" t="n">
        <v>0</v>
      </c>
      <c r="W277" s="725">
        <f>IFERROR(IF(V277="",0,CEILING((V277/$H277),1)*$H277),"")</f>
        <v/>
      </c>
      <c r="X277" s="42">
        <f>IFERROR(IF(W277=0,"",ROUNDUP(W277/H277,0)*0.02175),"")</f>
        <v/>
      </c>
      <c r="Y277" s="69" t="inlineStr"/>
      <c r="Z277" s="70" t="inlineStr"/>
      <c r="AD277" s="71" t="n"/>
      <c r="BA277" s="228" t="inlineStr">
        <is>
          <t>КИ</t>
        </is>
      </c>
    </row>
    <row r="278" ht="27" customHeight="1">
      <c r="A278" s="64" t="inlineStr">
        <is>
          <t>SU001793</t>
        </is>
      </c>
      <c r="B278" s="64" t="inlineStr">
        <is>
          <t>P002227</t>
        </is>
      </c>
      <c r="C278" s="37" t="n">
        <v>4301011121</v>
      </c>
      <c r="D278" s="399" t="n">
        <v>4607091387421</v>
      </c>
      <c r="E278" s="689" t="n"/>
      <c r="F278" s="721" t="n">
        <v>1.35</v>
      </c>
      <c r="G278" s="38" t="n">
        <v>8</v>
      </c>
      <c r="H278" s="721" t="n">
        <v>10.8</v>
      </c>
      <c r="I278" s="721" t="n">
        <v>11.28</v>
      </c>
      <c r="J278" s="38" t="n">
        <v>48</v>
      </c>
      <c r="K278" s="38" t="inlineStr">
        <is>
          <t>8</t>
        </is>
      </c>
      <c r="L278" s="39" t="inlineStr">
        <is>
          <t>ВЗ</t>
        </is>
      </c>
      <c r="M278" s="38" t="n">
        <v>55</v>
      </c>
      <c r="N278" s="88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78" s="723" t="n"/>
      <c r="P278" s="723" t="n"/>
      <c r="Q278" s="723" t="n"/>
      <c r="R278" s="689" t="n"/>
      <c r="S278" s="40" t="inlineStr"/>
      <c r="T278" s="40" t="inlineStr"/>
      <c r="U278" s="41" t="inlineStr">
        <is>
          <t>кг</t>
        </is>
      </c>
      <c r="V278" s="724" t="n">
        <v>0</v>
      </c>
      <c r="W278" s="725">
        <f>IFERROR(IF(V278="",0,CEILING((V278/$H278),1)*$H278),"")</f>
        <v/>
      </c>
      <c r="X278" s="42">
        <f>IFERROR(IF(W278=0,"",ROUNDUP(W278/H278,0)*0.02039),"")</f>
        <v/>
      </c>
      <c r="Y278" s="69" t="inlineStr"/>
      <c r="Z278" s="70" t="inlineStr"/>
      <c r="AD278" s="71" t="n"/>
      <c r="BA278" s="229" t="inlineStr">
        <is>
          <t>КИ</t>
        </is>
      </c>
    </row>
    <row r="279" ht="27" customHeight="1">
      <c r="A279" s="64" t="inlineStr">
        <is>
          <t>SU001799</t>
        </is>
      </c>
      <c r="B279" s="64" t="inlineStr">
        <is>
          <t>P003076</t>
        </is>
      </c>
      <c r="C279" s="37" t="n">
        <v>4301011396</v>
      </c>
      <c r="D279" s="399" t="n">
        <v>4607091387452</v>
      </c>
      <c r="E279" s="689" t="n"/>
      <c r="F279" s="721" t="n">
        <v>1.35</v>
      </c>
      <c r="G279" s="38" t="n">
        <v>8</v>
      </c>
      <c r="H279" s="721" t="n">
        <v>10.8</v>
      </c>
      <c r="I279" s="721" t="n">
        <v>11.28</v>
      </c>
      <c r="J279" s="38" t="n">
        <v>48</v>
      </c>
      <c r="K279" s="38" t="inlineStr">
        <is>
          <t>8</t>
        </is>
      </c>
      <c r="L279" s="39" t="inlineStr">
        <is>
          <t>ВЗ</t>
        </is>
      </c>
      <c r="M279" s="38" t="n">
        <v>55</v>
      </c>
      <c r="N279" s="88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79" s="723" t="n"/>
      <c r="P279" s="723" t="n"/>
      <c r="Q279" s="723" t="n"/>
      <c r="R279" s="689" t="n"/>
      <c r="S279" s="40" t="inlineStr"/>
      <c r="T279" s="40" t="inlineStr"/>
      <c r="U279" s="41" t="inlineStr">
        <is>
          <t>кг</t>
        </is>
      </c>
      <c r="V279" s="724" t="n">
        <v>0</v>
      </c>
      <c r="W279" s="725">
        <f>IFERROR(IF(V279="",0,CEILING((V279/$H279),1)*$H279),"")</f>
        <v/>
      </c>
      <c r="X279" s="42">
        <f>IFERROR(IF(W279=0,"",ROUNDUP(W279/H279,0)*0.02039),"")</f>
        <v/>
      </c>
      <c r="Y279" s="69" t="inlineStr"/>
      <c r="Z279" s="70" t="inlineStr"/>
      <c r="AD279" s="71" t="n"/>
      <c r="BA279" s="230" t="inlineStr">
        <is>
          <t>КИ</t>
        </is>
      </c>
    </row>
    <row r="280" ht="27" customHeight="1">
      <c r="A280" s="64" t="inlineStr">
        <is>
          <t>SU001799</t>
        </is>
      </c>
      <c r="B280" s="64" t="inlineStr">
        <is>
          <t>P001799</t>
        </is>
      </c>
      <c r="C280" s="37" t="n">
        <v>4301011322</v>
      </c>
      <c r="D280" s="399" t="n">
        <v>4607091387452</v>
      </c>
      <c r="E280" s="689" t="n"/>
      <c r="F280" s="721" t="n">
        <v>1.35</v>
      </c>
      <c r="G280" s="38" t="n">
        <v>8</v>
      </c>
      <c r="H280" s="721" t="n">
        <v>10.8</v>
      </c>
      <c r="I280" s="721" t="n">
        <v>11.28</v>
      </c>
      <c r="J280" s="38" t="n">
        <v>56</v>
      </c>
      <c r="K280" s="38" t="inlineStr">
        <is>
          <t>8</t>
        </is>
      </c>
      <c r="L280" s="39" t="inlineStr">
        <is>
          <t>СК3</t>
        </is>
      </c>
      <c r="M280" s="38" t="n">
        <v>55</v>
      </c>
      <c r="N280" s="887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80" s="723" t="n"/>
      <c r="P280" s="723" t="n"/>
      <c r="Q280" s="723" t="n"/>
      <c r="R280" s="689" t="n"/>
      <c r="S280" s="40" t="inlineStr"/>
      <c r="T280" s="40" t="inlineStr"/>
      <c r="U280" s="41" t="inlineStr">
        <is>
          <t>кг</t>
        </is>
      </c>
      <c r="V280" s="724" t="n">
        <v>0</v>
      </c>
      <c r="W280" s="725">
        <f>IFERROR(IF(V280="",0,CEILING((V280/$H280),1)*$H280),"")</f>
        <v/>
      </c>
      <c r="X280" s="42">
        <f>IFERROR(IF(W280=0,"",ROUNDUP(W280/H280,0)*0.02175),"")</f>
        <v/>
      </c>
      <c r="Y280" s="69" t="inlineStr"/>
      <c r="Z280" s="70" t="inlineStr"/>
      <c r="AD280" s="71" t="n"/>
      <c r="BA280" s="231" t="inlineStr">
        <is>
          <t>КИ</t>
        </is>
      </c>
    </row>
    <row r="281" ht="27" customHeight="1">
      <c r="A281" s="64" t="inlineStr">
        <is>
          <t>SU001799</t>
        </is>
      </c>
      <c r="B281" s="64" t="inlineStr">
        <is>
          <t>P003673</t>
        </is>
      </c>
      <c r="C281" s="37" t="n">
        <v>4301011619</v>
      </c>
      <c r="D281" s="399" t="n">
        <v>4607091387452</v>
      </c>
      <c r="E281" s="689" t="n"/>
      <c r="F281" s="721" t="n">
        <v>1.45</v>
      </c>
      <c r="G281" s="38" t="n">
        <v>8</v>
      </c>
      <c r="H281" s="721" t="n">
        <v>11.6</v>
      </c>
      <c r="I281" s="721" t="n">
        <v>12.08</v>
      </c>
      <c r="J281" s="38" t="n">
        <v>56</v>
      </c>
      <c r="K281" s="38" t="inlineStr">
        <is>
          <t>8</t>
        </is>
      </c>
      <c r="L281" s="39" t="inlineStr">
        <is>
          <t>СК1</t>
        </is>
      </c>
      <c r="M281" s="38" t="n">
        <v>55</v>
      </c>
      <c r="N281" s="888" t="inlineStr">
        <is>
          <t>Вареные колбасы Молочная По-стародворски Фирменная Весовые П/а Стародворье</t>
        </is>
      </c>
      <c r="O281" s="723" t="n"/>
      <c r="P281" s="723" t="n"/>
      <c r="Q281" s="723" t="n"/>
      <c r="R281" s="689" t="n"/>
      <c r="S281" s="40" t="inlineStr"/>
      <c r="T281" s="40" t="inlineStr"/>
      <c r="U281" s="41" t="inlineStr">
        <is>
          <t>кг</t>
        </is>
      </c>
      <c r="V281" s="724" t="n">
        <v>0</v>
      </c>
      <c r="W281" s="725">
        <f>IFERROR(IF(V281="",0,CEILING((V281/$H281),1)*$H281),"")</f>
        <v/>
      </c>
      <c r="X281" s="42">
        <f>IFERROR(IF(W281=0,"",ROUNDUP(W281/H281,0)*0.02175),"")</f>
        <v/>
      </c>
      <c r="Y281" s="69" t="inlineStr"/>
      <c r="Z281" s="70" t="inlineStr"/>
      <c r="AD281" s="71" t="n"/>
      <c r="BA281" s="232" t="inlineStr">
        <is>
          <t>КИ</t>
        </is>
      </c>
    </row>
    <row r="282" ht="27" customHeight="1">
      <c r="A282" s="64" t="inlineStr">
        <is>
          <t>SU001792</t>
        </is>
      </c>
      <c r="B282" s="64" t="inlineStr">
        <is>
          <t>P001792</t>
        </is>
      </c>
      <c r="C282" s="37" t="n">
        <v>4301011313</v>
      </c>
      <c r="D282" s="399" t="n">
        <v>4607091385984</v>
      </c>
      <c r="E282" s="689" t="n"/>
      <c r="F282" s="721" t="n">
        <v>1.35</v>
      </c>
      <c r="G282" s="38" t="n">
        <v>8</v>
      </c>
      <c r="H282" s="721" t="n">
        <v>10.8</v>
      </c>
      <c r="I282" s="721" t="n">
        <v>11.28</v>
      </c>
      <c r="J282" s="38" t="n">
        <v>56</v>
      </c>
      <c r="K282" s="38" t="inlineStr">
        <is>
          <t>8</t>
        </is>
      </c>
      <c r="L282" s="39" t="inlineStr">
        <is>
          <t>СК1</t>
        </is>
      </c>
      <c r="M282" s="38" t="n">
        <v>55</v>
      </c>
      <c r="N282" s="88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82" s="723" t="n"/>
      <c r="P282" s="723" t="n"/>
      <c r="Q282" s="723" t="n"/>
      <c r="R282" s="689" t="n"/>
      <c r="S282" s="40" t="inlineStr"/>
      <c r="T282" s="40" t="inlineStr"/>
      <c r="U282" s="41" t="inlineStr">
        <is>
          <t>кг</t>
        </is>
      </c>
      <c r="V282" s="724" t="n">
        <v>0</v>
      </c>
      <c r="W282" s="725">
        <f>IFERROR(IF(V282="",0,CEILING((V282/$H282),1)*$H282),"")</f>
        <v/>
      </c>
      <c r="X282" s="42">
        <f>IFERROR(IF(W282=0,"",ROUNDUP(W282/H282,0)*0.02175),"")</f>
        <v/>
      </c>
      <c r="Y282" s="69" t="inlineStr"/>
      <c r="Z282" s="70" t="inlineStr"/>
      <c r="AD282" s="71" t="n"/>
      <c r="BA282" s="233" t="inlineStr">
        <is>
          <t>КИ</t>
        </is>
      </c>
    </row>
    <row r="283" ht="27" customHeight="1">
      <c r="A283" s="64" t="inlineStr">
        <is>
          <t>SU001794</t>
        </is>
      </c>
      <c r="B283" s="64" t="inlineStr">
        <is>
          <t>P001794</t>
        </is>
      </c>
      <c r="C283" s="37" t="n">
        <v>4301011316</v>
      </c>
      <c r="D283" s="399" t="n">
        <v>4607091387438</v>
      </c>
      <c r="E283" s="689" t="n"/>
      <c r="F283" s="721" t="n">
        <v>0.5</v>
      </c>
      <c r="G283" s="38" t="n">
        <v>10</v>
      </c>
      <c r="H283" s="721" t="n">
        <v>5</v>
      </c>
      <c r="I283" s="721" t="n">
        <v>5.24</v>
      </c>
      <c r="J283" s="38" t="n">
        <v>120</v>
      </c>
      <c r="K283" s="38" t="inlineStr">
        <is>
          <t>12</t>
        </is>
      </c>
      <c r="L283" s="39" t="inlineStr">
        <is>
          <t>СК1</t>
        </is>
      </c>
      <c r="M283" s="38" t="n">
        <v>55</v>
      </c>
      <c r="N283" s="89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83" s="723" t="n"/>
      <c r="P283" s="723" t="n"/>
      <c r="Q283" s="723" t="n"/>
      <c r="R283" s="689" t="n"/>
      <c r="S283" s="40" t="inlineStr"/>
      <c r="T283" s="40" t="inlineStr"/>
      <c r="U283" s="41" t="inlineStr">
        <is>
          <t>кг</t>
        </is>
      </c>
      <c r="V283" s="724" t="n">
        <v>0</v>
      </c>
      <c r="W283" s="725">
        <f>IFERROR(IF(V283="",0,CEILING((V283/$H283),1)*$H283),"")</f>
        <v/>
      </c>
      <c r="X283" s="42">
        <f>IFERROR(IF(W283=0,"",ROUNDUP(W283/H283,0)*0.00937),"")</f>
        <v/>
      </c>
      <c r="Y283" s="69" t="inlineStr"/>
      <c r="Z283" s="70" t="inlineStr"/>
      <c r="AD283" s="71" t="n"/>
      <c r="BA283" s="234" t="inlineStr">
        <is>
          <t>КИ</t>
        </is>
      </c>
    </row>
    <row r="284" ht="27" customHeight="1">
      <c r="A284" s="64" t="inlineStr">
        <is>
          <t>SU001795</t>
        </is>
      </c>
      <c r="B284" s="64" t="inlineStr">
        <is>
          <t>P001795</t>
        </is>
      </c>
      <c r="C284" s="37" t="n">
        <v>4301011318</v>
      </c>
      <c r="D284" s="399" t="n">
        <v>4607091387469</v>
      </c>
      <c r="E284" s="689" t="n"/>
      <c r="F284" s="721" t="n">
        <v>0.5</v>
      </c>
      <c r="G284" s="38" t="n">
        <v>10</v>
      </c>
      <c r="H284" s="721" t="n">
        <v>5</v>
      </c>
      <c r="I284" s="721" t="n">
        <v>5.21</v>
      </c>
      <c r="J284" s="38" t="n">
        <v>120</v>
      </c>
      <c r="K284" s="38" t="inlineStr">
        <is>
          <t>12</t>
        </is>
      </c>
      <c r="L284" s="39" t="inlineStr">
        <is>
          <t>СК2</t>
        </is>
      </c>
      <c r="M284" s="38" t="n">
        <v>55</v>
      </c>
      <c r="N284" s="89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84" s="723" t="n"/>
      <c r="P284" s="723" t="n"/>
      <c r="Q284" s="723" t="n"/>
      <c r="R284" s="689" t="n"/>
      <c r="S284" s="40" t="inlineStr"/>
      <c r="T284" s="40" t="inlineStr"/>
      <c r="U284" s="41" t="inlineStr">
        <is>
          <t>кг</t>
        </is>
      </c>
      <c r="V284" s="724" t="n">
        <v>0</v>
      </c>
      <c r="W284" s="725">
        <f>IFERROR(IF(V284="",0,CEILING((V284/$H284),1)*$H284),"")</f>
        <v/>
      </c>
      <c r="X284" s="42">
        <f>IFERROR(IF(W284=0,"",ROUNDUP(W284/H284,0)*0.00937),"")</f>
        <v/>
      </c>
      <c r="Y284" s="69" t="inlineStr"/>
      <c r="Z284" s="70" t="inlineStr"/>
      <c r="AD284" s="71" t="n"/>
      <c r="BA284" s="235" t="inlineStr">
        <is>
          <t>КИ</t>
        </is>
      </c>
    </row>
    <row r="285">
      <c r="A285" s="407" t="n"/>
      <c r="B285" s="677" t="n"/>
      <c r="C285" s="677" t="n"/>
      <c r="D285" s="677" t="n"/>
      <c r="E285" s="677" t="n"/>
      <c r="F285" s="677" t="n"/>
      <c r="G285" s="677" t="n"/>
      <c r="H285" s="677" t="n"/>
      <c r="I285" s="677" t="n"/>
      <c r="J285" s="677" t="n"/>
      <c r="K285" s="677" t="n"/>
      <c r="L285" s="677" t="n"/>
      <c r="M285" s="726" t="n"/>
      <c r="N285" s="727" t="inlineStr">
        <is>
          <t>Итого</t>
        </is>
      </c>
      <c r="O285" s="697" t="n"/>
      <c r="P285" s="697" t="n"/>
      <c r="Q285" s="697" t="n"/>
      <c r="R285" s="697" t="n"/>
      <c r="S285" s="697" t="n"/>
      <c r="T285" s="698" t="n"/>
      <c r="U285" s="43" t="inlineStr">
        <is>
          <t>кор</t>
        </is>
      </c>
      <c r="V285" s="728">
        <f>IFERROR(V277/H277,"0")+IFERROR(V278/H278,"0")+IFERROR(V279/H279,"0")+IFERROR(V280/H280,"0")+IFERROR(V281/H281,"0")+IFERROR(V282/H282,"0")+IFERROR(V283/H283,"0")+IFERROR(V284/H284,"0")</f>
        <v/>
      </c>
      <c r="W285" s="728">
        <f>IFERROR(W277/H277,"0")+IFERROR(W278/H278,"0")+IFERROR(W279/H279,"0")+IFERROR(W280/H280,"0")+IFERROR(W281/H281,"0")+IFERROR(W282/H282,"0")+IFERROR(W283/H283,"0")+IFERROR(W284/H284,"0")</f>
        <v/>
      </c>
      <c r="X285" s="728">
        <f>IFERROR(IF(X277="",0,X277),"0")+IFERROR(IF(X278="",0,X278),"0")+IFERROR(IF(X279="",0,X279),"0")+IFERROR(IF(X280="",0,X280),"0")+IFERROR(IF(X281="",0,X281),"0")+IFERROR(IF(X282="",0,X282),"0")+IFERROR(IF(X283="",0,X283),"0")+IFERROR(IF(X284="",0,X284),"0")</f>
        <v/>
      </c>
      <c r="Y285" s="729" t="n"/>
      <c r="Z285" s="729" t="n"/>
    </row>
    <row r="286">
      <c r="A286" s="677" t="n"/>
      <c r="B286" s="677" t="n"/>
      <c r="C286" s="677" t="n"/>
      <c r="D286" s="677" t="n"/>
      <c r="E286" s="677" t="n"/>
      <c r="F286" s="677" t="n"/>
      <c r="G286" s="677" t="n"/>
      <c r="H286" s="677" t="n"/>
      <c r="I286" s="677" t="n"/>
      <c r="J286" s="677" t="n"/>
      <c r="K286" s="677" t="n"/>
      <c r="L286" s="677" t="n"/>
      <c r="M286" s="726" t="n"/>
      <c r="N286" s="727" t="inlineStr">
        <is>
          <t>Итого</t>
        </is>
      </c>
      <c r="O286" s="697" t="n"/>
      <c r="P286" s="697" t="n"/>
      <c r="Q286" s="697" t="n"/>
      <c r="R286" s="697" t="n"/>
      <c r="S286" s="697" t="n"/>
      <c r="T286" s="698" t="n"/>
      <c r="U286" s="43" t="inlineStr">
        <is>
          <t>кг</t>
        </is>
      </c>
      <c r="V286" s="728">
        <f>IFERROR(SUM(V277:V284),"0")</f>
        <v/>
      </c>
      <c r="W286" s="728">
        <f>IFERROR(SUM(W277:W284),"0")</f>
        <v/>
      </c>
      <c r="X286" s="43" t="n"/>
      <c r="Y286" s="729" t="n"/>
      <c r="Z286" s="729" t="n"/>
    </row>
    <row r="287" ht="14.25" customHeight="1">
      <c r="A287" s="398" t="inlineStr">
        <is>
          <t>Копченые колбасы</t>
        </is>
      </c>
      <c r="B287" s="677" t="n"/>
      <c r="C287" s="677" t="n"/>
      <c r="D287" s="677" t="n"/>
      <c r="E287" s="677" t="n"/>
      <c r="F287" s="677" t="n"/>
      <c r="G287" s="677" t="n"/>
      <c r="H287" s="677" t="n"/>
      <c r="I287" s="677" t="n"/>
      <c r="J287" s="677" t="n"/>
      <c r="K287" s="677" t="n"/>
      <c r="L287" s="677" t="n"/>
      <c r="M287" s="677" t="n"/>
      <c r="N287" s="677" t="n"/>
      <c r="O287" s="677" t="n"/>
      <c r="P287" s="677" t="n"/>
      <c r="Q287" s="677" t="n"/>
      <c r="R287" s="677" t="n"/>
      <c r="S287" s="677" t="n"/>
      <c r="T287" s="677" t="n"/>
      <c r="U287" s="677" t="n"/>
      <c r="V287" s="677" t="n"/>
      <c r="W287" s="677" t="n"/>
      <c r="X287" s="677" t="n"/>
      <c r="Y287" s="398" t="n"/>
      <c r="Z287" s="398" t="n"/>
    </row>
    <row r="288" ht="27" customHeight="1">
      <c r="A288" s="64" t="inlineStr">
        <is>
          <t>SU001801</t>
        </is>
      </c>
      <c r="B288" s="64" t="inlineStr">
        <is>
          <t>P003014</t>
        </is>
      </c>
      <c r="C288" s="37" t="n">
        <v>4301031154</v>
      </c>
      <c r="D288" s="399" t="n">
        <v>4607091387292</v>
      </c>
      <c r="E288" s="689" t="n"/>
      <c r="F288" s="721" t="n">
        <v>0.73</v>
      </c>
      <c r="G288" s="38" t="n">
        <v>6</v>
      </c>
      <c r="H288" s="721" t="n">
        <v>4.38</v>
      </c>
      <c r="I288" s="721" t="n">
        <v>4.64</v>
      </c>
      <c r="J288" s="38" t="n">
        <v>156</v>
      </c>
      <c r="K288" s="38" t="inlineStr">
        <is>
          <t>12</t>
        </is>
      </c>
      <c r="L288" s="39" t="inlineStr">
        <is>
          <t>СК2</t>
        </is>
      </c>
      <c r="M288" s="38" t="n">
        <v>45</v>
      </c>
      <c r="N288" s="89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88" s="723" t="n"/>
      <c r="P288" s="723" t="n"/>
      <c r="Q288" s="723" t="n"/>
      <c r="R288" s="689" t="n"/>
      <c r="S288" s="40" t="inlineStr"/>
      <c r="T288" s="40" t="inlineStr"/>
      <c r="U288" s="41" t="inlineStr">
        <is>
          <t>кг</t>
        </is>
      </c>
      <c r="V288" s="724" t="n">
        <v>0</v>
      </c>
      <c r="W288" s="725">
        <f>IFERROR(IF(V288="",0,CEILING((V288/$H288),1)*$H288),"")</f>
        <v/>
      </c>
      <c r="X288" s="42">
        <f>IFERROR(IF(W288=0,"",ROUNDUP(W288/H288,0)*0.00753),"")</f>
        <v/>
      </c>
      <c r="Y288" s="69" t="inlineStr"/>
      <c r="Z288" s="70" t="inlineStr"/>
      <c r="AD288" s="71" t="n"/>
      <c r="BA288" s="236" t="inlineStr">
        <is>
          <t>КИ</t>
        </is>
      </c>
    </row>
    <row r="289" ht="27" customHeight="1">
      <c r="A289" s="64" t="inlineStr">
        <is>
          <t>SU000231</t>
        </is>
      </c>
      <c r="B289" s="64" t="inlineStr">
        <is>
          <t>P003015</t>
        </is>
      </c>
      <c r="C289" s="37" t="n">
        <v>4301031155</v>
      </c>
      <c r="D289" s="399" t="n">
        <v>4607091387315</v>
      </c>
      <c r="E289" s="689" t="n"/>
      <c r="F289" s="721" t="n">
        <v>0.7</v>
      </c>
      <c r="G289" s="38" t="n">
        <v>4</v>
      </c>
      <c r="H289" s="721" t="n">
        <v>2.8</v>
      </c>
      <c r="I289" s="721" t="n">
        <v>3.048</v>
      </c>
      <c r="J289" s="38" t="n">
        <v>156</v>
      </c>
      <c r="K289" s="38" t="inlineStr">
        <is>
          <t>12</t>
        </is>
      </c>
      <c r="L289" s="39" t="inlineStr">
        <is>
          <t>СК2</t>
        </is>
      </c>
      <c r="M289" s="38" t="n">
        <v>45</v>
      </c>
      <c r="N289" s="89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89" s="723" t="n"/>
      <c r="P289" s="723" t="n"/>
      <c r="Q289" s="723" t="n"/>
      <c r="R289" s="689" t="n"/>
      <c r="S289" s="40" t="inlineStr"/>
      <c r="T289" s="40" t="inlineStr"/>
      <c r="U289" s="41" t="inlineStr">
        <is>
          <t>кг</t>
        </is>
      </c>
      <c r="V289" s="724" t="n">
        <v>0</v>
      </c>
      <c r="W289" s="725">
        <f>IFERROR(IF(V289="",0,CEILING((V289/$H289),1)*$H289),"")</f>
        <v/>
      </c>
      <c r="X289" s="42">
        <f>IFERROR(IF(W289=0,"",ROUNDUP(W289/H289,0)*0.00753),"")</f>
        <v/>
      </c>
      <c r="Y289" s="69" t="inlineStr"/>
      <c r="Z289" s="70" t="inlineStr"/>
      <c r="AD289" s="71" t="n"/>
      <c r="BA289" s="237" t="inlineStr">
        <is>
          <t>КИ</t>
        </is>
      </c>
    </row>
    <row r="290">
      <c r="A290" s="407" t="n"/>
      <c r="B290" s="677" t="n"/>
      <c r="C290" s="677" t="n"/>
      <c r="D290" s="677" t="n"/>
      <c r="E290" s="677" t="n"/>
      <c r="F290" s="677" t="n"/>
      <c r="G290" s="677" t="n"/>
      <c r="H290" s="677" t="n"/>
      <c r="I290" s="677" t="n"/>
      <c r="J290" s="677" t="n"/>
      <c r="K290" s="677" t="n"/>
      <c r="L290" s="677" t="n"/>
      <c r="M290" s="726" t="n"/>
      <c r="N290" s="727" t="inlineStr">
        <is>
          <t>Итого</t>
        </is>
      </c>
      <c r="O290" s="697" t="n"/>
      <c r="P290" s="697" t="n"/>
      <c r="Q290" s="697" t="n"/>
      <c r="R290" s="697" t="n"/>
      <c r="S290" s="697" t="n"/>
      <c r="T290" s="698" t="n"/>
      <c r="U290" s="43" t="inlineStr">
        <is>
          <t>кор</t>
        </is>
      </c>
      <c r="V290" s="728">
        <f>IFERROR(V288/H288,"0")+IFERROR(V289/H289,"0")</f>
        <v/>
      </c>
      <c r="W290" s="728">
        <f>IFERROR(W288/H288,"0")+IFERROR(W289/H289,"0")</f>
        <v/>
      </c>
      <c r="X290" s="728">
        <f>IFERROR(IF(X288="",0,X288),"0")+IFERROR(IF(X289="",0,X289),"0")</f>
        <v/>
      </c>
      <c r="Y290" s="729" t="n"/>
      <c r="Z290" s="729" t="n"/>
    </row>
    <row r="291">
      <c r="A291" s="677" t="n"/>
      <c r="B291" s="677" t="n"/>
      <c r="C291" s="677" t="n"/>
      <c r="D291" s="677" t="n"/>
      <c r="E291" s="677" t="n"/>
      <c r="F291" s="677" t="n"/>
      <c r="G291" s="677" t="n"/>
      <c r="H291" s="677" t="n"/>
      <c r="I291" s="677" t="n"/>
      <c r="J291" s="677" t="n"/>
      <c r="K291" s="677" t="n"/>
      <c r="L291" s="677" t="n"/>
      <c r="M291" s="726" t="n"/>
      <c r="N291" s="727" t="inlineStr">
        <is>
          <t>Итого</t>
        </is>
      </c>
      <c r="O291" s="697" t="n"/>
      <c r="P291" s="697" t="n"/>
      <c r="Q291" s="697" t="n"/>
      <c r="R291" s="697" t="n"/>
      <c r="S291" s="697" t="n"/>
      <c r="T291" s="698" t="n"/>
      <c r="U291" s="43" t="inlineStr">
        <is>
          <t>кг</t>
        </is>
      </c>
      <c r="V291" s="728">
        <f>IFERROR(SUM(V288:V289),"0")</f>
        <v/>
      </c>
      <c r="W291" s="728">
        <f>IFERROR(SUM(W288:W289),"0")</f>
        <v/>
      </c>
      <c r="X291" s="43" t="n"/>
      <c r="Y291" s="729" t="n"/>
      <c r="Z291" s="729" t="n"/>
    </row>
    <row r="292" ht="16.5" customHeight="1">
      <c r="A292" s="397" t="inlineStr">
        <is>
          <t>Бавария</t>
        </is>
      </c>
      <c r="B292" s="677" t="n"/>
      <c r="C292" s="677" t="n"/>
      <c r="D292" s="677" t="n"/>
      <c r="E292" s="677" t="n"/>
      <c r="F292" s="677" t="n"/>
      <c r="G292" s="677" t="n"/>
      <c r="H292" s="677" t="n"/>
      <c r="I292" s="677" t="n"/>
      <c r="J292" s="677" t="n"/>
      <c r="K292" s="677" t="n"/>
      <c r="L292" s="677" t="n"/>
      <c r="M292" s="677" t="n"/>
      <c r="N292" s="677" t="n"/>
      <c r="O292" s="677" t="n"/>
      <c r="P292" s="677" t="n"/>
      <c r="Q292" s="677" t="n"/>
      <c r="R292" s="677" t="n"/>
      <c r="S292" s="677" t="n"/>
      <c r="T292" s="677" t="n"/>
      <c r="U292" s="677" t="n"/>
      <c r="V292" s="677" t="n"/>
      <c r="W292" s="677" t="n"/>
      <c r="X292" s="677" t="n"/>
      <c r="Y292" s="397" t="n"/>
      <c r="Z292" s="397" t="n"/>
    </row>
    <row r="293" ht="14.25" customHeight="1">
      <c r="A293" s="398" t="inlineStr">
        <is>
          <t>Копченые колбасы</t>
        </is>
      </c>
      <c r="B293" s="677" t="n"/>
      <c r="C293" s="677" t="n"/>
      <c r="D293" s="677" t="n"/>
      <c r="E293" s="677" t="n"/>
      <c r="F293" s="677" t="n"/>
      <c r="G293" s="677" t="n"/>
      <c r="H293" s="677" t="n"/>
      <c r="I293" s="677" t="n"/>
      <c r="J293" s="677" t="n"/>
      <c r="K293" s="677" t="n"/>
      <c r="L293" s="677" t="n"/>
      <c r="M293" s="677" t="n"/>
      <c r="N293" s="677" t="n"/>
      <c r="O293" s="677" t="n"/>
      <c r="P293" s="677" t="n"/>
      <c r="Q293" s="677" t="n"/>
      <c r="R293" s="677" t="n"/>
      <c r="S293" s="677" t="n"/>
      <c r="T293" s="677" t="n"/>
      <c r="U293" s="677" t="n"/>
      <c r="V293" s="677" t="n"/>
      <c r="W293" s="677" t="n"/>
      <c r="X293" s="677" t="n"/>
      <c r="Y293" s="398" t="n"/>
      <c r="Z293" s="398" t="n"/>
    </row>
    <row r="294" ht="27" customHeight="1">
      <c r="A294" s="64" t="inlineStr">
        <is>
          <t>SU002252</t>
        </is>
      </c>
      <c r="B294" s="64" t="inlineStr">
        <is>
          <t>P002461</t>
        </is>
      </c>
      <c r="C294" s="37" t="n">
        <v>4301031066</v>
      </c>
      <c r="D294" s="399" t="n">
        <v>4607091383836</v>
      </c>
      <c r="E294" s="689" t="n"/>
      <c r="F294" s="721" t="n">
        <v>0.3</v>
      </c>
      <c r="G294" s="38" t="n">
        <v>6</v>
      </c>
      <c r="H294" s="721" t="n">
        <v>1.8</v>
      </c>
      <c r="I294" s="721" t="n">
        <v>2.048</v>
      </c>
      <c r="J294" s="38" t="n">
        <v>156</v>
      </c>
      <c r="K294" s="38" t="inlineStr">
        <is>
          <t>12</t>
        </is>
      </c>
      <c r="L294" s="39" t="inlineStr">
        <is>
          <t>СК2</t>
        </is>
      </c>
      <c r="M294" s="38" t="n">
        <v>40</v>
      </c>
      <c r="N294" s="89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94" s="723" t="n"/>
      <c r="P294" s="723" t="n"/>
      <c r="Q294" s="723" t="n"/>
      <c r="R294" s="689" t="n"/>
      <c r="S294" s="40" t="inlineStr"/>
      <c r="T294" s="40" t="inlineStr"/>
      <c r="U294" s="41" t="inlineStr">
        <is>
          <t>кг</t>
        </is>
      </c>
      <c r="V294" s="724" t="n">
        <v>15</v>
      </c>
      <c r="W294" s="725">
        <f>IFERROR(IF(V294="",0,CEILING((V294/$H294),1)*$H294),"")</f>
        <v/>
      </c>
      <c r="X294" s="42">
        <f>IFERROR(IF(W294=0,"",ROUNDUP(W294/H294,0)*0.00753),"")</f>
        <v/>
      </c>
      <c r="Y294" s="69" t="inlineStr"/>
      <c r="Z294" s="70" t="inlineStr"/>
      <c r="AD294" s="71" t="n"/>
      <c r="BA294" s="238" t="inlineStr">
        <is>
          <t>КИ</t>
        </is>
      </c>
    </row>
    <row r="295">
      <c r="A295" s="407" t="n"/>
      <c r="B295" s="677" t="n"/>
      <c r="C295" s="677" t="n"/>
      <c r="D295" s="677" t="n"/>
      <c r="E295" s="677" t="n"/>
      <c r="F295" s="677" t="n"/>
      <c r="G295" s="677" t="n"/>
      <c r="H295" s="677" t="n"/>
      <c r="I295" s="677" t="n"/>
      <c r="J295" s="677" t="n"/>
      <c r="K295" s="677" t="n"/>
      <c r="L295" s="677" t="n"/>
      <c r="M295" s="726" t="n"/>
      <c r="N295" s="727" t="inlineStr">
        <is>
          <t>Итого</t>
        </is>
      </c>
      <c r="O295" s="697" t="n"/>
      <c r="P295" s="697" t="n"/>
      <c r="Q295" s="697" t="n"/>
      <c r="R295" s="697" t="n"/>
      <c r="S295" s="697" t="n"/>
      <c r="T295" s="698" t="n"/>
      <c r="U295" s="43" t="inlineStr">
        <is>
          <t>кор</t>
        </is>
      </c>
      <c r="V295" s="728">
        <f>IFERROR(V294/H294,"0")</f>
        <v/>
      </c>
      <c r="W295" s="728">
        <f>IFERROR(W294/H294,"0")</f>
        <v/>
      </c>
      <c r="X295" s="728">
        <f>IFERROR(IF(X294="",0,X294),"0")</f>
        <v/>
      </c>
      <c r="Y295" s="729" t="n"/>
      <c r="Z295" s="729" t="n"/>
    </row>
    <row r="296">
      <c r="A296" s="677" t="n"/>
      <c r="B296" s="677" t="n"/>
      <c r="C296" s="677" t="n"/>
      <c r="D296" s="677" t="n"/>
      <c r="E296" s="677" t="n"/>
      <c r="F296" s="677" t="n"/>
      <c r="G296" s="677" t="n"/>
      <c r="H296" s="677" t="n"/>
      <c r="I296" s="677" t="n"/>
      <c r="J296" s="677" t="n"/>
      <c r="K296" s="677" t="n"/>
      <c r="L296" s="677" t="n"/>
      <c r="M296" s="726" t="n"/>
      <c r="N296" s="727" t="inlineStr">
        <is>
          <t>Итого</t>
        </is>
      </c>
      <c r="O296" s="697" t="n"/>
      <c r="P296" s="697" t="n"/>
      <c r="Q296" s="697" t="n"/>
      <c r="R296" s="697" t="n"/>
      <c r="S296" s="697" t="n"/>
      <c r="T296" s="698" t="n"/>
      <c r="U296" s="43" t="inlineStr">
        <is>
          <t>кг</t>
        </is>
      </c>
      <c r="V296" s="728">
        <f>IFERROR(SUM(V294:V294),"0")</f>
        <v/>
      </c>
      <c r="W296" s="728">
        <f>IFERROR(SUM(W294:W294),"0")</f>
        <v/>
      </c>
      <c r="X296" s="43" t="n"/>
      <c r="Y296" s="729" t="n"/>
      <c r="Z296" s="729" t="n"/>
    </row>
    <row r="297" ht="14.25" customHeight="1">
      <c r="A297" s="398" t="inlineStr">
        <is>
          <t>Сосиски</t>
        </is>
      </c>
      <c r="B297" s="677" t="n"/>
      <c r="C297" s="677" t="n"/>
      <c r="D297" s="677" t="n"/>
      <c r="E297" s="677" t="n"/>
      <c r="F297" s="677" t="n"/>
      <c r="G297" s="677" t="n"/>
      <c r="H297" s="677" t="n"/>
      <c r="I297" s="677" t="n"/>
      <c r="J297" s="677" t="n"/>
      <c r="K297" s="677" t="n"/>
      <c r="L297" s="677" t="n"/>
      <c r="M297" s="677" t="n"/>
      <c r="N297" s="677" t="n"/>
      <c r="O297" s="677" t="n"/>
      <c r="P297" s="677" t="n"/>
      <c r="Q297" s="677" t="n"/>
      <c r="R297" s="677" t="n"/>
      <c r="S297" s="677" t="n"/>
      <c r="T297" s="677" t="n"/>
      <c r="U297" s="677" t="n"/>
      <c r="V297" s="677" t="n"/>
      <c r="W297" s="677" t="n"/>
      <c r="X297" s="677" t="n"/>
      <c r="Y297" s="398" t="n"/>
      <c r="Z297" s="398" t="n"/>
    </row>
    <row r="298" ht="27" customHeight="1">
      <c r="A298" s="64" t="inlineStr">
        <is>
          <t>SU001835</t>
        </is>
      </c>
      <c r="B298" s="64" t="inlineStr">
        <is>
          <t>P002202</t>
        </is>
      </c>
      <c r="C298" s="37" t="n">
        <v>4301051142</v>
      </c>
      <c r="D298" s="399" t="n">
        <v>4607091387919</v>
      </c>
      <c r="E298" s="689" t="n"/>
      <c r="F298" s="721" t="n">
        <v>1.35</v>
      </c>
      <c r="G298" s="38" t="n">
        <v>6</v>
      </c>
      <c r="H298" s="721" t="n">
        <v>8.1</v>
      </c>
      <c r="I298" s="721" t="n">
        <v>8.664</v>
      </c>
      <c r="J298" s="38" t="n">
        <v>56</v>
      </c>
      <c r="K298" s="38" t="inlineStr">
        <is>
          <t>8</t>
        </is>
      </c>
      <c r="L298" s="39" t="inlineStr">
        <is>
          <t>СК2</t>
        </is>
      </c>
      <c r="M298" s="38" t="n">
        <v>45</v>
      </c>
      <c r="N298" s="895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98" s="723" t="n"/>
      <c r="P298" s="723" t="n"/>
      <c r="Q298" s="723" t="n"/>
      <c r="R298" s="689" t="n"/>
      <c r="S298" s="40" t="inlineStr"/>
      <c r="T298" s="40" t="inlineStr"/>
      <c r="U298" s="41" t="inlineStr">
        <is>
          <t>кг</t>
        </is>
      </c>
      <c r="V298" s="724" t="n">
        <v>0</v>
      </c>
      <c r="W298" s="725">
        <f>IFERROR(IF(V298="",0,CEILING((V298/$H298),1)*$H298),"")</f>
        <v/>
      </c>
      <c r="X298" s="42">
        <f>IFERROR(IF(W298=0,"",ROUNDUP(W298/H298,0)*0.02175),"")</f>
        <v/>
      </c>
      <c r="Y298" s="69" t="inlineStr"/>
      <c r="Z298" s="70" t="inlineStr"/>
      <c r="AD298" s="71" t="n"/>
      <c r="BA298" s="239" t="inlineStr">
        <is>
          <t>КИ</t>
        </is>
      </c>
    </row>
    <row r="299">
      <c r="A299" s="407" t="n"/>
      <c r="B299" s="677" t="n"/>
      <c r="C299" s="677" t="n"/>
      <c r="D299" s="677" t="n"/>
      <c r="E299" s="677" t="n"/>
      <c r="F299" s="677" t="n"/>
      <c r="G299" s="677" t="n"/>
      <c r="H299" s="677" t="n"/>
      <c r="I299" s="677" t="n"/>
      <c r="J299" s="677" t="n"/>
      <c r="K299" s="677" t="n"/>
      <c r="L299" s="677" t="n"/>
      <c r="M299" s="726" t="n"/>
      <c r="N299" s="727" t="inlineStr">
        <is>
          <t>Итого</t>
        </is>
      </c>
      <c r="O299" s="697" t="n"/>
      <c r="P299" s="697" t="n"/>
      <c r="Q299" s="697" t="n"/>
      <c r="R299" s="697" t="n"/>
      <c r="S299" s="697" t="n"/>
      <c r="T299" s="698" t="n"/>
      <c r="U299" s="43" t="inlineStr">
        <is>
          <t>кор</t>
        </is>
      </c>
      <c r="V299" s="728">
        <f>IFERROR(V298/H298,"0")</f>
        <v/>
      </c>
      <c r="W299" s="728">
        <f>IFERROR(W298/H298,"0")</f>
        <v/>
      </c>
      <c r="X299" s="728">
        <f>IFERROR(IF(X298="",0,X298),"0")</f>
        <v/>
      </c>
      <c r="Y299" s="729" t="n"/>
      <c r="Z299" s="729" t="n"/>
    </row>
    <row r="300">
      <c r="A300" s="677" t="n"/>
      <c r="B300" s="677" t="n"/>
      <c r="C300" s="677" t="n"/>
      <c r="D300" s="677" t="n"/>
      <c r="E300" s="677" t="n"/>
      <c r="F300" s="677" t="n"/>
      <c r="G300" s="677" t="n"/>
      <c r="H300" s="677" t="n"/>
      <c r="I300" s="677" t="n"/>
      <c r="J300" s="677" t="n"/>
      <c r="K300" s="677" t="n"/>
      <c r="L300" s="677" t="n"/>
      <c r="M300" s="726" t="n"/>
      <c r="N300" s="727" t="inlineStr">
        <is>
          <t>Итого</t>
        </is>
      </c>
      <c r="O300" s="697" t="n"/>
      <c r="P300" s="697" t="n"/>
      <c r="Q300" s="697" t="n"/>
      <c r="R300" s="697" t="n"/>
      <c r="S300" s="697" t="n"/>
      <c r="T300" s="698" t="n"/>
      <c r="U300" s="43" t="inlineStr">
        <is>
          <t>кг</t>
        </is>
      </c>
      <c r="V300" s="728">
        <f>IFERROR(SUM(V298:V298),"0")</f>
        <v/>
      </c>
      <c r="W300" s="728">
        <f>IFERROR(SUM(W298:W298),"0")</f>
        <v/>
      </c>
      <c r="X300" s="43" t="n"/>
      <c r="Y300" s="729" t="n"/>
      <c r="Z300" s="729" t="n"/>
    </row>
    <row r="301" ht="14.25" customHeight="1">
      <c r="A301" s="398" t="inlineStr">
        <is>
          <t>Сардельки</t>
        </is>
      </c>
      <c r="B301" s="677" t="n"/>
      <c r="C301" s="677" t="n"/>
      <c r="D301" s="677" t="n"/>
      <c r="E301" s="677" t="n"/>
      <c r="F301" s="677" t="n"/>
      <c r="G301" s="677" t="n"/>
      <c r="H301" s="677" t="n"/>
      <c r="I301" s="677" t="n"/>
      <c r="J301" s="677" t="n"/>
      <c r="K301" s="677" t="n"/>
      <c r="L301" s="677" t="n"/>
      <c r="M301" s="677" t="n"/>
      <c r="N301" s="677" t="n"/>
      <c r="O301" s="677" t="n"/>
      <c r="P301" s="677" t="n"/>
      <c r="Q301" s="677" t="n"/>
      <c r="R301" s="677" t="n"/>
      <c r="S301" s="677" t="n"/>
      <c r="T301" s="677" t="n"/>
      <c r="U301" s="677" t="n"/>
      <c r="V301" s="677" t="n"/>
      <c r="W301" s="677" t="n"/>
      <c r="X301" s="677" t="n"/>
      <c r="Y301" s="398" t="n"/>
      <c r="Z301" s="398" t="n"/>
    </row>
    <row r="302" ht="27" customHeight="1">
      <c r="A302" s="64" t="inlineStr">
        <is>
          <t>SU002173</t>
        </is>
      </c>
      <c r="B302" s="64" t="inlineStr">
        <is>
          <t>P002361</t>
        </is>
      </c>
      <c r="C302" s="37" t="n">
        <v>4301060324</v>
      </c>
      <c r="D302" s="399" t="n">
        <v>4607091388831</v>
      </c>
      <c r="E302" s="689" t="n"/>
      <c r="F302" s="721" t="n">
        <v>0.38</v>
      </c>
      <c r="G302" s="38" t="n">
        <v>6</v>
      </c>
      <c r="H302" s="721" t="n">
        <v>2.28</v>
      </c>
      <c r="I302" s="721" t="n">
        <v>2.552</v>
      </c>
      <c r="J302" s="38" t="n">
        <v>156</v>
      </c>
      <c r="K302" s="38" t="inlineStr">
        <is>
          <t>12</t>
        </is>
      </c>
      <c r="L302" s="39" t="inlineStr">
        <is>
          <t>СК2</t>
        </is>
      </c>
      <c r="M302" s="38" t="n">
        <v>40</v>
      </c>
      <c r="N302" s="89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02" s="723" t="n"/>
      <c r="P302" s="723" t="n"/>
      <c r="Q302" s="723" t="n"/>
      <c r="R302" s="689" t="n"/>
      <c r="S302" s="40" t="inlineStr"/>
      <c r="T302" s="40" t="inlineStr"/>
      <c r="U302" s="41" t="inlineStr">
        <is>
          <t>кг</t>
        </is>
      </c>
      <c r="V302" s="724" t="n">
        <v>0</v>
      </c>
      <c r="W302" s="725">
        <f>IFERROR(IF(V302="",0,CEILING((V302/$H302),1)*$H302),"")</f>
        <v/>
      </c>
      <c r="X302" s="42">
        <f>IFERROR(IF(W302=0,"",ROUNDUP(W302/H302,0)*0.00753),"")</f>
        <v/>
      </c>
      <c r="Y302" s="69" t="inlineStr"/>
      <c r="Z302" s="70" t="inlineStr"/>
      <c r="AD302" s="71" t="n"/>
      <c r="BA302" s="240" t="inlineStr">
        <is>
          <t>КИ</t>
        </is>
      </c>
    </row>
    <row r="303">
      <c r="A303" s="407" t="n"/>
      <c r="B303" s="677" t="n"/>
      <c r="C303" s="677" t="n"/>
      <c r="D303" s="677" t="n"/>
      <c r="E303" s="677" t="n"/>
      <c r="F303" s="677" t="n"/>
      <c r="G303" s="677" t="n"/>
      <c r="H303" s="677" t="n"/>
      <c r="I303" s="677" t="n"/>
      <c r="J303" s="677" t="n"/>
      <c r="K303" s="677" t="n"/>
      <c r="L303" s="677" t="n"/>
      <c r="M303" s="726" t="n"/>
      <c r="N303" s="727" t="inlineStr">
        <is>
          <t>Итого</t>
        </is>
      </c>
      <c r="O303" s="697" t="n"/>
      <c r="P303" s="697" t="n"/>
      <c r="Q303" s="697" t="n"/>
      <c r="R303" s="697" t="n"/>
      <c r="S303" s="697" t="n"/>
      <c r="T303" s="698" t="n"/>
      <c r="U303" s="43" t="inlineStr">
        <is>
          <t>кор</t>
        </is>
      </c>
      <c r="V303" s="728">
        <f>IFERROR(V302/H302,"0")</f>
        <v/>
      </c>
      <c r="W303" s="728">
        <f>IFERROR(W302/H302,"0")</f>
        <v/>
      </c>
      <c r="X303" s="728">
        <f>IFERROR(IF(X302="",0,X302),"0")</f>
        <v/>
      </c>
      <c r="Y303" s="729" t="n"/>
      <c r="Z303" s="729" t="n"/>
    </row>
    <row r="304">
      <c r="A304" s="677" t="n"/>
      <c r="B304" s="677" t="n"/>
      <c r="C304" s="677" t="n"/>
      <c r="D304" s="677" t="n"/>
      <c r="E304" s="677" t="n"/>
      <c r="F304" s="677" t="n"/>
      <c r="G304" s="677" t="n"/>
      <c r="H304" s="677" t="n"/>
      <c r="I304" s="677" t="n"/>
      <c r="J304" s="677" t="n"/>
      <c r="K304" s="677" t="n"/>
      <c r="L304" s="677" t="n"/>
      <c r="M304" s="726" t="n"/>
      <c r="N304" s="727" t="inlineStr">
        <is>
          <t>Итого</t>
        </is>
      </c>
      <c r="O304" s="697" t="n"/>
      <c r="P304" s="697" t="n"/>
      <c r="Q304" s="697" t="n"/>
      <c r="R304" s="697" t="n"/>
      <c r="S304" s="697" t="n"/>
      <c r="T304" s="698" t="n"/>
      <c r="U304" s="43" t="inlineStr">
        <is>
          <t>кг</t>
        </is>
      </c>
      <c r="V304" s="728">
        <f>IFERROR(SUM(V302:V302),"0")</f>
        <v/>
      </c>
      <c r="W304" s="728">
        <f>IFERROR(SUM(W302:W302),"0")</f>
        <v/>
      </c>
      <c r="X304" s="43" t="n"/>
      <c r="Y304" s="729" t="n"/>
      <c r="Z304" s="729" t="n"/>
    </row>
    <row r="305" ht="14.25" customHeight="1">
      <c r="A305" s="398" t="inlineStr">
        <is>
          <t>Сырокопченые колбасы</t>
        </is>
      </c>
      <c r="B305" s="677" t="n"/>
      <c r="C305" s="677" t="n"/>
      <c r="D305" s="677" t="n"/>
      <c r="E305" s="677" t="n"/>
      <c r="F305" s="677" t="n"/>
      <c r="G305" s="677" t="n"/>
      <c r="H305" s="677" t="n"/>
      <c r="I305" s="677" t="n"/>
      <c r="J305" s="677" t="n"/>
      <c r="K305" s="677" t="n"/>
      <c r="L305" s="677" t="n"/>
      <c r="M305" s="677" t="n"/>
      <c r="N305" s="677" t="n"/>
      <c r="O305" s="677" t="n"/>
      <c r="P305" s="677" t="n"/>
      <c r="Q305" s="677" t="n"/>
      <c r="R305" s="677" t="n"/>
      <c r="S305" s="677" t="n"/>
      <c r="T305" s="677" t="n"/>
      <c r="U305" s="677" t="n"/>
      <c r="V305" s="677" t="n"/>
      <c r="W305" s="677" t="n"/>
      <c r="X305" s="677" t="n"/>
      <c r="Y305" s="398" t="n"/>
      <c r="Z305" s="398" t="n"/>
    </row>
    <row r="306" ht="27" customHeight="1">
      <c r="A306" s="64" t="inlineStr">
        <is>
          <t>SU002092</t>
        </is>
      </c>
      <c r="B306" s="64" t="inlineStr">
        <is>
          <t>P002290</t>
        </is>
      </c>
      <c r="C306" s="37" t="n">
        <v>4301032015</v>
      </c>
      <c r="D306" s="399" t="n">
        <v>4607091383102</v>
      </c>
      <c r="E306" s="689" t="n"/>
      <c r="F306" s="721" t="n">
        <v>0.17</v>
      </c>
      <c r="G306" s="38" t="n">
        <v>15</v>
      </c>
      <c r="H306" s="721" t="n">
        <v>2.55</v>
      </c>
      <c r="I306" s="721" t="n">
        <v>2.975</v>
      </c>
      <c r="J306" s="38" t="n">
        <v>156</v>
      </c>
      <c r="K306" s="38" t="inlineStr">
        <is>
          <t>12</t>
        </is>
      </c>
      <c r="L306" s="39" t="inlineStr">
        <is>
          <t>АК</t>
        </is>
      </c>
      <c r="M306" s="38" t="n">
        <v>180</v>
      </c>
      <c r="N306" s="89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06" s="723" t="n"/>
      <c r="P306" s="723" t="n"/>
      <c r="Q306" s="723" t="n"/>
      <c r="R306" s="689" t="n"/>
      <c r="S306" s="40" t="inlineStr"/>
      <c r="T306" s="40" t="inlineStr"/>
      <c r="U306" s="41" t="inlineStr">
        <is>
          <t>кг</t>
        </is>
      </c>
      <c r="V306" s="724" t="n">
        <v>0</v>
      </c>
      <c r="W306" s="725">
        <f>IFERROR(IF(V306="",0,CEILING((V306/$H306),1)*$H306),"")</f>
        <v/>
      </c>
      <c r="X306" s="42">
        <f>IFERROR(IF(W306=0,"",ROUNDUP(W306/H306,0)*0.00753),"")</f>
        <v/>
      </c>
      <c r="Y306" s="69" t="inlineStr"/>
      <c r="Z306" s="70" t="inlineStr"/>
      <c r="AD306" s="71" t="n"/>
      <c r="BA306" s="241" t="inlineStr">
        <is>
          <t>КИ</t>
        </is>
      </c>
    </row>
    <row r="307">
      <c r="A307" s="407" t="n"/>
      <c r="B307" s="677" t="n"/>
      <c r="C307" s="677" t="n"/>
      <c r="D307" s="677" t="n"/>
      <c r="E307" s="677" t="n"/>
      <c r="F307" s="677" t="n"/>
      <c r="G307" s="677" t="n"/>
      <c r="H307" s="677" t="n"/>
      <c r="I307" s="677" t="n"/>
      <c r="J307" s="677" t="n"/>
      <c r="K307" s="677" t="n"/>
      <c r="L307" s="677" t="n"/>
      <c r="M307" s="726" t="n"/>
      <c r="N307" s="727" t="inlineStr">
        <is>
          <t>Итого</t>
        </is>
      </c>
      <c r="O307" s="697" t="n"/>
      <c r="P307" s="697" t="n"/>
      <c r="Q307" s="697" t="n"/>
      <c r="R307" s="697" t="n"/>
      <c r="S307" s="697" t="n"/>
      <c r="T307" s="698" t="n"/>
      <c r="U307" s="43" t="inlineStr">
        <is>
          <t>кор</t>
        </is>
      </c>
      <c r="V307" s="728">
        <f>IFERROR(V306/H306,"0")</f>
        <v/>
      </c>
      <c r="W307" s="728">
        <f>IFERROR(W306/H306,"0")</f>
        <v/>
      </c>
      <c r="X307" s="728">
        <f>IFERROR(IF(X306="",0,X306),"0")</f>
        <v/>
      </c>
      <c r="Y307" s="729" t="n"/>
      <c r="Z307" s="729" t="n"/>
    </row>
    <row r="308">
      <c r="A308" s="677" t="n"/>
      <c r="B308" s="677" t="n"/>
      <c r="C308" s="677" t="n"/>
      <c r="D308" s="677" t="n"/>
      <c r="E308" s="677" t="n"/>
      <c r="F308" s="677" t="n"/>
      <c r="G308" s="677" t="n"/>
      <c r="H308" s="677" t="n"/>
      <c r="I308" s="677" t="n"/>
      <c r="J308" s="677" t="n"/>
      <c r="K308" s="677" t="n"/>
      <c r="L308" s="677" t="n"/>
      <c r="M308" s="726" t="n"/>
      <c r="N308" s="727" t="inlineStr">
        <is>
          <t>Итого</t>
        </is>
      </c>
      <c r="O308" s="697" t="n"/>
      <c r="P308" s="697" t="n"/>
      <c r="Q308" s="697" t="n"/>
      <c r="R308" s="697" t="n"/>
      <c r="S308" s="697" t="n"/>
      <c r="T308" s="698" t="n"/>
      <c r="U308" s="43" t="inlineStr">
        <is>
          <t>кг</t>
        </is>
      </c>
      <c r="V308" s="728">
        <f>IFERROR(SUM(V306:V306),"0")</f>
        <v/>
      </c>
      <c r="W308" s="728">
        <f>IFERROR(SUM(W306:W306),"0")</f>
        <v/>
      </c>
      <c r="X308" s="43" t="n"/>
      <c r="Y308" s="729" t="n"/>
      <c r="Z308" s="729" t="n"/>
    </row>
    <row r="309" ht="27.75" customHeight="1">
      <c r="A309" s="396" t="inlineStr">
        <is>
          <t>Особый рецепт</t>
        </is>
      </c>
      <c r="B309" s="720" t="n"/>
      <c r="C309" s="720" t="n"/>
      <c r="D309" s="720" t="n"/>
      <c r="E309" s="720" t="n"/>
      <c r="F309" s="720" t="n"/>
      <c r="G309" s="720" t="n"/>
      <c r="H309" s="720" t="n"/>
      <c r="I309" s="720" t="n"/>
      <c r="J309" s="720" t="n"/>
      <c r="K309" s="720" t="n"/>
      <c r="L309" s="720" t="n"/>
      <c r="M309" s="720" t="n"/>
      <c r="N309" s="720" t="n"/>
      <c r="O309" s="720" t="n"/>
      <c r="P309" s="720" t="n"/>
      <c r="Q309" s="720" t="n"/>
      <c r="R309" s="720" t="n"/>
      <c r="S309" s="720" t="n"/>
      <c r="T309" s="720" t="n"/>
      <c r="U309" s="720" t="n"/>
      <c r="V309" s="720" t="n"/>
      <c r="W309" s="720" t="n"/>
      <c r="X309" s="720" t="n"/>
      <c r="Y309" s="55" t="n"/>
      <c r="Z309" s="55" t="n"/>
    </row>
    <row r="310" ht="16.5" customHeight="1">
      <c r="A310" s="397" t="inlineStr">
        <is>
          <t>Особая</t>
        </is>
      </c>
      <c r="B310" s="677" t="n"/>
      <c r="C310" s="677" t="n"/>
      <c r="D310" s="677" t="n"/>
      <c r="E310" s="677" t="n"/>
      <c r="F310" s="677" t="n"/>
      <c r="G310" s="677" t="n"/>
      <c r="H310" s="677" t="n"/>
      <c r="I310" s="677" t="n"/>
      <c r="J310" s="677" t="n"/>
      <c r="K310" s="677" t="n"/>
      <c r="L310" s="677" t="n"/>
      <c r="M310" s="677" t="n"/>
      <c r="N310" s="677" t="n"/>
      <c r="O310" s="677" t="n"/>
      <c r="P310" s="677" t="n"/>
      <c r="Q310" s="677" t="n"/>
      <c r="R310" s="677" t="n"/>
      <c r="S310" s="677" t="n"/>
      <c r="T310" s="677" t="n"/>
      <c r="U310" s="677" t="n"/>
      <c r="V310" s="677" t="n"/>
      <c r="W310" s="677" t="n"/>
      <c r="X310" s="677" t="n"/>
      <c r="Y310" s="397" t="n"/>
      <c r="Z310" s="397" t="n"/>
    </row>
    <row r="311" ht="14.25" customHeight="1">
      <c r="A311" s="398" t="inlineStr">
        <is>
          <t>Вареные колбасы</t>
        </is>
      </c>
      <c r="B311" s="677" t="n"/>
      <c r="C311" s="677" t="n"/>
      <c r="D311" s="677" t="n"/>
      <c r="E311" s="677" t="n"/>
      <c r="F311" s="677" t="n"/>
      <c r="G311" s="677" t="n"/>
      <c r="H311" s="677" t="n"/>
      <c r="I311" s="677" t="n"/>
      <c r="J311" s="677" t="n"/>
      <c r="K311" s="677" t="n"/>
      <c r="L311" s="677" t="n"/>
      <c r="M311" s="677" t="n"/>
      <c r="N311" s="677" t="n"/>
      <c r="O311" s="677" t="n"/>
      <c r="P311" s="677" t="n"/>
      <c r="Q311" s="677" t="n"/>
      <c r="R311" s="677" t="n"/>
      <c r="S311" s="677" t="n"/>
      <c r="T311" s="677" t="n"/>
      <c r="U311" s="677" t="n"/>
      <c r="V311" s="677" t="n"/>
      <c r="W311" s="677" t="n"/>
      <c r="X311" s="677" t="n"/>
      <c r="Y311" s="398" t="n"/>
      <c r="Z311" s="398" t="n"/>
    </row>
    <row r="312" ht="27" customHeight="1">
      <c r="A312" s="64" t="inlineStr">
        <is>
          <t>SU000251</t>
        </is>
      </c>
      <c r="B312" s="64" t="inlineStr">
        <is>
          <t>P002584</t>
        </is>
      </c>
      <c r="C312" s="37" t="n">
        <v>4301011339</v>
      </c>
      <c r="D312" s="399" t="n">
        <v>4607091383997</v>
      </c>
      <c r="E312" s="689" t="n"/>
      <c r="F312" s="721" t="n">
        <v>2.5</v>
      </c>
      <c r="G312" s="38" t="n">
        <v>6</v>
      </c>
      <c r="H312" s="721" t="n">
        <v>15</v>
      </c>
      <c r="I312" s="721" t="n">
        <v>15.48</v>
      </c>
      <c r="J312" s="38" t="n">
        <v>48</v>
      </c>
      <c r="K312" s="38" t="inlineStr">
        <is>
          <t>8</t>
        </is>
      </c>
      <c r="L312" s="39" t="inlineStr">
        <is>
          <t>СК2</t>
        </is>
      </c>
      <c r="M312" s="38" t="n">
        <v>60</v>
      </c>
      <c r="N312" s="898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12" s="723" t="n"/>
      <c r="P312" s="723" t="n"/>
      <c r="Q312" s="723" t="n"/>
      <c r="R312" s="689" t="n"/>
      <c r="S312" s="40" t="inlineStr"/>
      <c r="T312" s="40" t="inlineStr"/>
      <c r="U312" s="41" t="inlineStr">
        <is>
          <t>кг</t>
        </is>
      </c>
      <c r="V312" s="724" t="n">
        <v>1045</v>
      </c>
      <c r="W312" s="725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42" t="inlineStr">
        <is>
          <t>КИ</t>
        </is>
      </c>
    </row>
    <row r="313" ht="27" customHeight="1">
      <c r="A313" s="64" t="inlineStr">
        <is>
          <t>SU000251</t>
        </is>
      </c>
      <c r="B313" s="64" t="inlineStr">
        <is>
          <t>P002581</t>
        </is>
      </c>
      <c r="C313" s="37" t="n">
        <v>4301011239</v>
      </c>
      <c r="D313" s="399" t="n">
        <v>4607091383997</v>
      </c>
      <c r="E313" s="689" t="n"/>
      <c r="F313" s="721" t="n">
        <v>2.5</v>
      </c>
      <c r="G313" s="38" t="n">
        <v>6</v>
      </c>
      <c r="H313" s="721" t="n">
        <v>15</v>
      </c>
      <c r="I313" s="721" t="n">
        <v>15.48</v>
      </c>
      <c r="J313" s="38" t="n">
        <v>48</v>
      </c>
      <c r="K313" s="38" t="inlineStr">
        <is>
          <t>8</t>
        </is>
      </c>
      <c r="L313" s="39" t="inlineStr">
        <is>
          <t>ВЗ</t>
        </is>
      </c>
      <c r="M313" s="38" t="n">
        <v>60</v>
      </c>
      <c r="N313" s="89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13" s="723" t="n"/>
      <c r="P313" s="723" t="n"/>
      <c r="Q313" s="723" t="n"/>
      <c r="R313" s="689" t="n"/>
      <c r="S313" s="40" t="inlineStr"/>
      <c r="T313" s="40" t="inlineStr"/>
      <c r="U313" s="41" t="inlineStr">
        <is>
          <t>кг</t>
        </is>
      </c>
      <c r="V313" s="724" t="n">
        <v>0</v>
      </c>
      <c r="W313" s="725">
        <f>IFERROR(IF(V313="",0,CEILING((V313/$H313),1)*$H313),"")</f>
        <v/>
      </c>
      <c r="X313" s="42">
        <f>IFERROR(IF(W313=0,"",ROUNDUP(W313/H313,0)*0.02039),"")</f>
        <v/>
      </c>
      <c r="Y313" s="69" t="inlineStr"/>
      <c r="Z313" s="70" t="inlineStr"/>
      <c r="AD313" s="71" t="n"/>
      <c r="BA313" s="243" t="inlineStr">
        <is>
          <t>КИ</t>
        </is>
      </c>
    </row>
    <row r="314" ht="27" customHeight="1">
      <c r="A314" s="64" t="inlineStr">
        <is>
          <t>SU001578</t>
        </is>
      </c>
      <c r="B314" s="64" t="inlineStr">
        <is>
          <t>P002562</t>
        </is>
      </c>
      <c r="C314" s="37" t="n">
        <v>4301011326</v>
      </c>
      <c r="D314" s="399" t="n">
        <v>4607091384130</v>
      </c>
      <c r="E314" s="689" t="n"/>
      <c r="F314" s="721" t="n">
        <v>2.5</v>
      </c>
      <c r="G314" s="38" t="n">
        <v>6</v>
      </c>
      <c r="H314" s="721" t="n">
        <v>15</v>
      </c>
      <c r="I314" s="721" t="n">
        <v>15.48</v>
      </c>
      <c r="J314" s="38" t="n">
        <v>48</v>
      </c>
      <c r="K314" s="38" t="inlineStr">
        <is>
          <t>8</t>
        </is>
      </c>
      <c r="L314" s="39" t="inlineStr">
        <is>
          <t>СК2</t>
        </is>
      </c>
      <c r="M314" s="38" t="n">
        <v>60</v>
      </c>
      <c r="N314" s="900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14" s="723" t="n"/>
      <c r="P314" s="723" t="n"/>
      <c r="Q314" s="723" t="n"/>
      <c r="R314" s="689" t="n"/>
      <c r="S314" s="40" t="inlineStr"/>
      <c r="T314" s="40" t="inlineStr"/>
      <c r="U314" s="41" t="inlineStr">
        <is>
          <t>кг</t>
        </is>
      </c>
      <c r="V314" s="724" t="n">
        <v>1278</v>
      </c>
      <c r="W314" s="725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44" t="inlineStr">
        <is>
          <t>КИ</t>
        </is>
      </c>
    </row>
    <row r="315" ht="27" customHeight="1">
      <c r="A315" s="64" t="inlineStr">
        <is>
          <t>SU001578</t>
        </is>
      </c>
      <c r="B315" s="64" t="inlineStr">
        <is>
          <t>P002582</t>
        </is>
      </c>
      <c r="C315" s="37" t="n">
        <v>4301011240</v>
      </c>
      <c r="D315" s="399" t="n">
        <v>4607091384130</v>
      </c>
      <c r="E315" s="689" t="n"/>
      <c r="F315" s="721" t="n">
        <v>2.5</v>
      </c>
      <c r="G315" s="38" t="n">
        <v>6</v>
      </c>
      <c r="H315" s="721" t="n">
        <v>15</v>
      </c>
      <c r="I315" s="721" t="n">
        <v>15.48</v>
      </c>
      <c r="J315" s="38" t="n">
        <v>48</v>
      </c>
      <c r="K315" s="38" t="inlineStr">
        <is>
          <t>8</t>
        </is>
      </c>
      <c r="L315" s="39" t="inlineStr">
        <is>
          <t>ВЗ</t>
        </is>
      </c>
      <c r="M315" s="38" t="n">
        <v>60</v>
      </c>
      <c r="N315" s="901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15" s="723" t="n"/>
      <c r="P315" s="723" t="n"/>
      <c r="Q315" s="723" t="n"/>
      <c r="R315" s="689" t="n"/>
      <c r="S315" s="40" t="inlineStr"/>
      <c r="T315" s="40" t="inlineStr"/>
      <c r="U315" s="41" t="inlineStr">
        <is>
          <t>кг</t>
        </is>
      </c>
      <c r="V315" s="724" t="n">
        <v>0</v>
      </c>
      <c r="W315" s="725">
        <f>IFERROR(IF(V315="",0,CEILING((V315/$H315),1)*$H315),"")</f>
        <v/>
      </c>
      <c r="X315" s="42">
        <f>IFERROR(IF(W315=0,"",ROUNDUP(W315/H315,0)*0.02039),"")</f>
        <v/>
      </c>
      <c r="Y315" s="69" t="inlineStr"/>
      <c r="Z315" s="70" t="inlineStr"/>
      <c r="AD315" s="71" t="n"/>
      <c r="BA315" s="245" t="inlineStr">
        <is>
          <t>КИ</t>
        </is>
      </c>
    </row>
    <row r="316" ht="16.5" customHeight="1">
      <c r="A316" s="64" t="inlineStr">
        <is>
          <t>SU000102</t>
        </is>
      </c>
      <c r="B316" s="64" t="inlineStr">
        <is>
          <t>P002564</t>
        </is>
      </c>
      <c r="C316" s="37" t="n">
        <v>4301011330</v>
      </c>
      <c r="D316" s="399" t="n">
        <v>4607091384147</v>
      </c>
      <c r="E316" s="689" t="n"/>
      <c r="F316" s="721" t="n">
        <v>2.5</v>
      </c>
      <c r="G316" s="38" t="n">
        <v>6</v>
      </c>
      <c r="H316" s="721" t="n">
        <v>15</v>
      </c>
      <c r="I316" s="721" t="n">
        <v>15.48</v>
      </c>
      <c r="J316" s="38" t="n">
        <v>48</v>
      </c>
      <c r="K316" s="38" t="inlineStr">
        <is>
          <t>8</t>
        </is>
      </c>
      <c r="L316" s="39" t="inlineStr">
        <is>
          <t>СК2</t>
        </is>
      </c>
      <c r="M316" s="38" t="n">
        <v>60</v>
      </c>
      <c r="N316" s="90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16" s="723" t="n"/>
      <c r="P316" s="723" t="n"/>
      <c r="Q316" s="723" t="n"/>
      <c r="R316" s="689" t="n"/>
      <c r="S316" s="40" t="inlineStr"/>
      <c r="T316" s="40" t="inlineStr"/>
      <c r="U316" s="41" t="inlineStr">
        <is>
          <t>кг</t>
        </is>
      </c>
      <c r="V316" s="724" t="n">
        <v>694</v>
      </c>
      <c r="W316" s="725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6" t="inlineStr">
        <is>
          <t>КИ</t>
        </is>
      </c>
    </row>
    <row r="317" ht="16.5" customHeight="1">
      <c r="A317" s="64" t="inlineStr">
        <is>
          <t>SU000102</t>
        </is>
      </c>
      <c r="B317" s="64" t="inlineStr">
        <is>
          <t>P002580</t>
        </is>
      </c>
      <c r="C317" s="37" t="n">
        <v>4301011238</v>
      </c>
      <c r="D317" s="399" t="n">
        <v>4607091384147</v>
      </c>
      <c r="E317" s="689" t="n"/>
      <c r="F317" s="721" t="n">
        <v>2.5</v>
      </c>
      <c r="G317" s="38" t="n">
        <v>6</v>
      </c>
      <c r="H317" s="721" t="n">
        <v>15</v>
      </c>
      <c r="I317" s="721" t="n">
        <v>15.48</v>
      </c>
      <c r="J317" s="38" t="n">
        <v>48</v>
      </c>
      <c r="K317" s="38" t="inlineStr">
        <is>
          <t>8</t>
        </is>
      </c>
      <c r="L317" s="39" t="inlineStr">
        <is>
          <t>ВЗ</t>
        </is>
      </c>
      <c r="M317" s="38" t="n">
        <v>60</v>
      </c>
      <c r="N317" s="903" t="inlineStr">
        <is>
          <t>Вареные колбасы Особая Особая Весовые П/а Особый рецепт</t>
        </is>
      </c>
      <c r="O317" s="723" t="n"/>
      <c r="P317" s="723" t="n"/>
      <c r="Q317" s="723" t="n"/>
      <c r="R317" s="689" t="n"/>
      <c r="S317" s="40" t="inlineStr"/>
      <c r="T317" s="40" t="inlineStr"/>
      <c r="U317" s="41" t="inlineStr">
        <is>
          <t>кг</t>
        </is>
      </c>
      <c r="V317" s="724" t="n">
        <v>0</v>
      </c>
      <c r="W317" s="725">
        <f>IFERROR(IF(V317="",0,CEILING((V317/$H317),1)*$H317),"")</f>
        <v/>
      </c>
      <c r="X317" s="42">
        <f>IFERROR(IF(W317=0,"",ROUNDUP(W317/H317,0)*0.02039),"")</f>
        <v/>
      </c>
      <c r="Y317" s="69" t="inlineStr"/>
      <c r="Z317" s="70" t="inlineStr"/>
      <c r="AD317" s="71" t="n"/>
      <c r="BA317" s="247" t="inlineStr">
        <is>
          <t>КИ</t>
        </is>
      </c>
    </row>
    <row r="318" ht="27" customHeight="1">
      <c r="A318" s="64" t="inlineStr">
        <is>
          <t>SU001989</t>
        </is>
      </c>
      <c r="B318" s="64" t="inlineStr">
        <is>
          <t>P002560</t>
        </is>
      </c>
      <c r="C318" s="37" t="n">
        <v>4301011327</v>
      </c>
      <c r="D318" s="399" t="n">
        <v>4607091384154</v>
      </c>
      <c r="E318" s="689" t="n"/>
      <c r="F318" s="721" t="n">
        <v>0.5</v>
      </c>
      <c r="G318" s="38" t="n">
        <v>10</v>
      </c>
      <c r="H318" s="721" t="n">
        <v>5</v>
      </c>
      <c r="I318" s="721" t="n">
        <v>5.21</v>
      </c>
      <c r="J318" s="38" t="n">
        <v>120</v>
      </c>
      <c r="K318" s="38" t="inlineStr">
        <is>
          <t>12</t>
        </is>
      </c>
      <c r="L318" s="39" t="inlineStr">
        <is>
          <t>СК2</t>
        </is>
      </c>
      <c r="M318" s="38" t="n">
        <v>60</v>
      </c>
      <c r="N318" s="904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18" s="723" t="n"/>
      <c r="P318" s="723" t="n"/>
      <c r="Q318" s="723" t="n"/>
      <c r="R318" s="689" t="n"/>
      <c r="S318" s="40" t="inlineStr"/>
      <c r="T318" s="40" t="inlineStr"/>
      <c r="U318" s="41" t="inlineStr">
        <is>
          <t>кг</t>
        </is>
      </c>
      <c r="V318" s="724" t="n">
        <v>25</v>
      </c>
      <c r="W318" s="725">
        <f>IFERROR(IF(V318="",0,CEILING((V318/$H318),1)*$H318),"")</f>
        <v/>
      </c>
      <c r="X318" s="42">
        <f>IFERROR(IF(W318=0,"",ROUNDUP(W318/H318,0)*0.00937),"")</f>
        <v/>
      </c>
      <c r="Y318" s="69" t="inlineStr"/>
      <c r="Z318" s="70" t="inlineStr"/>
      <c r="AD318" s="71" t="n"/>
      <c r="BA318" s="248" t="inlineStr">
        <is>
          <t>КИ</t>
        </is>
      </c>
    </row>
    <row r="319" ht="27" customHeight="1">
      <c r="A319" s="64" t="inlineStr">
        <is>
          <t>SU000256</t>
        </is>
      </c>
      <c r="B319" s="64" t="inlineStr">
        <is>
          <t>P002565</t>
        </is>
      </c>
      <c r="C319" s="37" t="n">
        <v>4301011332</v>
      </c>
      <c r="D319" s="399" t="n">
        <v>4607091384161</v>
      </c>
      <c r="E319" s="689" t="n"/>
      <c r="F319" s="721" t="n">
        <v>0.5</v>
      </c>
      <c r="G319" s="38" t="n">
        <v>10</v>
      </c>
      <c r="H319" s="721" t="n">
        <v>5</v>
      </c>
      <c r="I319" s="721" t="n">
        <v>5.21</v>
      </c>
      <c r="J319" s="38" t="n">
        <v>120</v>
      </c>
      <c r="K319" s="38" t="inlineStr">
        <is>
          <t>12</t>
        </is>
      </c>
      <c r="L319" s="39" t="inlineStr">
        <is>
          <t>СК2</t>
        </is>
      </c>
      <c r="M319" s="38" t="n">
        <v>60</v>
      </c>
      <c r="N319" s="905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19" s="723" t="n"/>
      <c r="P319" s="723" t="n"/>
      <c r="Q319" s="723" t="n"/>
      <c r="R319" s="689" t="n"/>
      <c r="S319" s="40" t="inlineStr"/>
      <c r="T319" s="40" t="inlineStr"/>
      <c r="U319" s="41" t="inlineStr">
        <is>
          <t>кг</t>
        </is>
      </c>
      <c r="V319" s="724" t="n">
        <v>0</v>
      </c>
      <c r="W319" s="725">
        <f>IFERROR(IF(V319="",0,CEILING((V319/$H319),1)*$H319),"")</f>
        <v/>
      </c>
      <c r="X319" s="42">
        <f>IFERROR(IF(W319=0,"",ROUNDUP(W319/H319,0)*0.00937),"")</f>
        <v/>
      </c>
      <c r="Y319" s="69" t="inlineStr"/>
      <c r="Z319" s="70" t="inlineStr"/>
      <c r="AD319" s="71" t="n"/>
      <c r="BA319" s="249" t="inlineStr">
        <is>
          <t>КИ</t>
        </is>
      </c>
    </row>
    <row r="320">
      <c r="A320" s="407" t="n"/>
      <c r="B320" s="677" t="n"/>
      <c r="C320" s="677" t="n"/>
      <c r="D320" s="677" t="n"/>
      <c r="E320" s="677" t="n"/>
      <c r="F320" s="677" t="n"/>
      <c r="G320" s="677" t="n"/>
      <c r="H320" s="677" t="n"/>
      <c r="I320" s="677" t="n"/>
      <c r="J320" s="677" t="n"/>
      <c r="K320" s="677" t="n"/>
      <c r="L320" s="677" t="n"/>
      <c r="M320" s="726" t="n"/>
      <c r="N320" s="727" t="inlineStr">
        <is>
          <t>Итого</t>
        </is>
      </c>
      <c r="O320" s="697" t="n"/>
      <c r="P320" s="697" t="n"/>
      <c r="Q320" s="697" t="n"/>
      <c r="R320" s="697" t="n"/>
      <c r="S320" s="697" t="n"/>
      <c r="T320" s="698" t="n"/>
      <c r="U320" s="43" t="inlineStr">
        <is>
          <t>кор</t>
        </is>
      </c>
      <c r="V320" s="728">
        <f>IFERROR(V312/H312,"0")+IFERROR(V313/H313,"0")+IFERROR(V314/H314,"0")+IFERROR(V315/H315,"0")+IFERROR(V316/H316,"0")+IFERROR(V317/H317,"0")+IFERROR(V318/H318,"0")+IFERROR(V319/H319,"0")</f>
        <v/>
      </c>
      <c r="W320" s="728">
        <f>IFERROR(W312/H312,"0")+IFERROR(W313/H313,"0")+IFERROR(W314/H314,"0")+IFERROR(W315/H315,"0")+IFERROR(W316/H316,"0")+IFERROR(W317/H317,"0")+IFERROR(W318/H318,"0")+IFERROR(W319/H319,"0")</f>
        <v/>
      </c>
      <c r="X320" s="728">
        <f>IFERROR(IF(X312="",0,X312),"0")+IFERROR(IF(X313="",0,X313),"0")+IFERROR(IF(X314="",0,X314),"0")+IFERROR(IF(X315="",0,X315),"0")+IFERROR(IF(X316="",0,X316),"0")+IFERROR(IF(X317="",0,X317),"0")+IFERROR(IF(X318="",0,X318),"0")+IFERROR(IF(X319="",0,X319),"0")</f>
        <v/>
      </c>
      <c r="Y320" s="729" t="n"/>
      <c r="Z320" s="729" t="n"/>
    </row>
    <row r="321">
      <c r="A321" s="677" t="n"/>
      <c r="B321" s="677" t="n"/>
      <c r="C321" s="677" t="n"/>
      <c r="D321" s="677" t="n"/>
      <c r="E321" s="677" t="n"/>
      <c r="F321" s="677" t="n"/>
      <c r="G321" s="677" t="n"/>
      <c r="H321" s="677" t="n"/>
      <c r="I321" s="677" t="n"/>
      <c r="J321" s="677" t="n"/>
      <c r="K321" s="677" t="n"/>
      <c r="L321" s="677" t="n"/>
      <c r="M321" s="726" t="n"/>
      <c r="N321" s="727" t="inlineStr">
        <is>
          <t>Итого</t>
        </is>
      </c>
      <c r="O321" s="697" t="n"/>
      <c r="P321" s="697" t="n"/>
      <c r="Q321" s="697" t="n"/>
      <c r="R321" s="697" t="n"/>
      <c r="S321" s="697" t="n"/>
      <c r="T321" s="698" t="n"/>
      <c r="U321" s="43" t="inlineStr">
        <is>
          <t>кг</t>
        </is>
      </c>
      <c r="V321" s="728">
        <f>IFERROR(SUM(V312:V319),"0")</f>
        <v/>
      </c>
      <c r="W321" s="728">
        <f>IFERROR(SUM(W312:W319),"0")</f>
        <v/>
      </c>
      <c r="X321" s="43" t="n"/>
      <c r="Y321" s="729" t="n"/>
      <c r="Z321" s="729" t="n"/>
    </row>
    <row r="322" ht="14.25" customHeight="1">
      <c r="A322" s="398" t="inlineStr">
        <is>
          <t>Ветчины</t>
        </is>
      </c>
      <c r="B322" s="677" t="n"/>
      <c r="C322" s="677" t="n"/>
      <c r="D322" s="677" t="n"/>
      <c r="E322" s="677" t="n"/>
      <c r="F322" s="677" t="n"/>
      <c r="G322" s="677" t="n"/>
      <c r="H322" s="677" t="n"/>
      <c r="I322" s="677" t="n"/>
      <c r="J322" s="677" t="n"/>
      <c r="K322" s="677" t="n"/>
      <c r="L322" s="677" t="n"/>
      <c r="M322" s="677" t="n"/>
      <c r="N322" s="677" t="n"/>
      <c r="O322" s="677" t="n"/>
      <c r="P322" s="677" t="n"/>
      <c r="Q322" s="677" t="n"/>
      <c r="R322" s="677" t="n"/>
      <c r="S322" s="677" t="n"/>
      <c r="T322" s="677" t="n"/>
      <c r="U322" s="677" t="n"/>
      <c r="V322" s="677" t="n"/>
      <c r="W322" s="677" t="n"/>
      <c r="X322" s="677" t="n"/>
      <c r="Y322" s="398" t="n"/>
      <c r="Z322" s="398" t="n"/>
    </row>
    <row r="323" ht="27" customHeight="1">
      <c r="A323" s="64" t="inlineStr">
        <is>
          <t>SU000126</t>
        </is>
      </c>
      <c r="B323" s="64" t="inlineStr">
        <is>
          <t>P002555</t>
        </is>
      </c>
      <c r="C323" s="37" t="n">
        <v>4301020178</v>
      </c>
      <c r="D323" s="399" t="n">
        <v>4607091383980</v>
      </c>
      <c r="E323" s="689" t="n"/>
      <c r="F323" s="721" t="n">
        <v>2.5</v>
      </c>
      <c r="G323" s="38" t="n">
        <v>6</v>
      </c>
      <c r="H323" s="721" t="n">
        <v>15</v>
      </c>
      <c r="I323" s="721" t="n">
        <v>15.48</v>
      </c>
      <c r="J323" s="38" t="n">
        <v>48</v>
      </c>
      <c r="K323" s="38" t="inlineStr">
        <is>
          <t>8</t>
        </is>
      </c>
      <c r="L323" s="39" t="inlineStr">
        <is>
          <t>СК1</t>
        </is>
      </c>
      <c r="M323" s="38" t="n">
        <v>50</v>
      </c>
      <c r="N323" s="906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23" s="723" t="n"/>
      <c r="P323" s="723" t="n"/>
      <c r="Q323" s="723" t="n"/>
      <c r="R323" s="689" t="n"/>
      <c r="S323" s="40" t="inlineStr"/>
      <c r="T323" s="40" t="inlineStr"/>
      <c r="U323" s="41" t="inlineStr">
        <is>
          <t>кг</t>
        </is>
      </c>
      <c r="V323" s="724" t="n">
        <v>1597</v>
      </c>
      <c r="W323" s="725">
        <f>IFERROR(IF(V323="",0,CEILING((V323/$H323),1)*$H323),"")</f>
        <v/>
      </c>
      <c r="X323" s="42">
        <f>IFERROR(IF(W323=0,"",ROUNDUP(W323/H323,0)*0.02175),"")</f>
        <v/>
      </c>
      <c r="Y323" s="69" t="inlineStr"/>
      <c r="Z323" s="70" t="inlineStr"/>
      <c r="AD323" s="71" t="n"/>
      <c r="BA323" s="250" t="inlineStr">
        <is>
          <t>КИ</t>
        </is>
      </c>
    </row>
    <row r="324" ht="16.5" customHeight="1">
      <c r="A324" s="64" t="inlineStr">
        <is>
          <t>SU003121</t>
        </is>
      </c>
      <c r="B324" s="64" t="inlineStr">
        <is>
          <t>P003715</t>
        </is>
      </c>
      <c r="C324" s="37" t="n">
        <v>4301020270</v>
      </c>
      <c r="D324" s="399" t="n">
        <v>4680115883314</v>
      </c>
      <c r="E324" s="689" t="n"/>
      <c r="F324" s="721" t="n">
        <v>1.35</v>
      </c>
      <c r="G324" s="38" t="n">
        <v>8</v>
      </c>
      <c r="H324" s="721" t="n">
        <v>10.8</v>
      </c>
      <c r="I324" s="721" t="n">
        <v>11.28</v>
      </c>
      <c r="J324" s="38" t="n">
        <v>56</v>
      </c>
      <c r="K324" s="38" t="inlineStr">
        <is>
          <t>8</t>
        </is>
      </c>
      <c r="L324" s="39" t="inlineStr">
        <is>
          <t>СК3</t>
        </is>
      </c>
      <c r="M324" s="38" t="n">
        <v>50</v>
      </c>
      <c r="N324" s="907" t="inlineStr">
        <is>
          <t>Ветчины «Славница» Весовой п/а ТМ «Особый рецепт»</t>
        </is>
      </c>
      <c r="O324" s="723" t="n"/>
      <c r="P324" s="723" t="n"/>
      <c r="Q324" s="723" t="n"/>
      <c r="R324" s="689" t="n"/>
      <c r="S324" s="40" t="inlineStr"/>
      <c r="T324" s="40" t="inlineStr"/>
      <c r="U324" s="41" t="inlineStr">
        <is>
          <t>кг</t>
        </is>
      </c>
      <c r="V324" s="724" t="n">
        <v>0</v>
      </c>
      <c r="W324" s="725">
        <f>IFERROR(IF(V324="",0,CEILING((V324/$H324),1)*$H324),"")</f>
        <v/>
      </c>
      <c r="X324" s="42">
        <f>IFERROR(IF(W324=0,"",ROUNDUP(W324/H324,0)*0.02175),"")</f>
        <v/>
      </c>
      <c r="Y324" s="69" t="inlineStr"/>
      <c r="Z324" s="70" t="inlineStr"/>
      <c r="AD324" s="71" t="n"/>
      <c r="BA324" s="251" t="inlineStr">
        <is>
          <t>КИ</t>
        </is>
      </c>
    </row>
    <row r="325" ht="27" customHeight="1">
      <c r="A325" s="64" t="inlineStr">
        <is>
          <t>SU002027</t>
        </is>
      </c>
      <c r="B325" s="64" t="inlineStr">
        <is>
          <t>P002556</t>
        </is>
      </c>
      <c r="C325" s="37" t="n">
        <v>4301020179</v>
      </c>
      <c r="D325" s="399" t="n">
        <v>4607091384178</v>
      </c>
      <c r="E325" s="689" t="n"/>
      <c r="F325" s="721" t="n">
        <v>0.4</v>
      </c>
      <c r="G325" s="38" t="n">
        <v>10</v>
      </c>
      <c r="H325" s="721" t="n">
        <v>4</v>
      </c>
      <c r="I325" s="721" t="n">
        <v>4.24</v>
      </c>
      <c r="J325" s="38" t="n">
        <v>120</v>
      </c>
      <c r="K325" s="38" t="inlineStr">
        <is>
          <t>12</t>
        </is>
      </c>
      <c r="L325" s="39" t="inlineStr">
        <is>
          <t>СК1</t>
        </is>
      </c>
      <c r="M325" s="38" t="n">
        <v>50</v>
      </c>
      <c r="N325" s="90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25" s="723" t="n"/>
      <c r="P325" s="723" t="n"/>
      <c r="Q325" s="723" t="n"/>
      <c r="R325" s="689" t="n"/>
      <c r="S325" s="40" t="inlineStr"/>
      <c r="T325" s="40" t="inlineStr"/>
      <c r="U325" s="41" t="inlineStr">
        <is>
          <t>кг</t>
        </is>
      </c>
      <c r="V325" s="724" t="n">
        <v>0</v>
      </c>
      <c r="W325" s="725">
        <f>IFERROR(IF(V325="",0,CEILING((V325/$H325),1)*$H325),"")</f>
        <v/>
      </c>
      <c r="X325" s="42">
        <f>IFERROR(IF(W325=0,"",ROUNDUP(W325/H325,0)*0.00937),"")</f>
        <v/>
      </c>
      <c r="Y325" s="69" t="inlineStr"/>
      <c r="Z325" s="70" t="inlineStr"/>
      <c r="AD325" s="71" t="n"/>
      <c r="BA325" s="252" t="inlineStr">
        <is>
          <t>КИ</t>
        </is>
      </c>
    </row>
    <row r="326">
      <c r="A326" s="407" t="n"/>
      <c r="B326" s="677" t="n"/>
      <c r="C326" s="677" t="n"/>
      <c r="D326" s="677" t="n"/>
      <c r="E326" s="677" t="n"/>
      <c r="F326" s="677" t="n"/>
      <c r="G326" s="677" t="n"/>
      <c r="H326" s="677" t="n"/>
      <c r="I326" s="677" t="n"/>
      <c r="J326" s="677" t="n"/>
      <c r="K326" s="677" t="n"/>
      <c r="L326" s="677" t="n"/>
      <c r="M326" s="726" t="n"/>
      <c r="N326" s="727" t="inlineStr">
        <is>
          <t>Итого</t>
        </is>
      </c>
      <c r="O326" s="697" t="n"/>
      <c r="P326" s="697" t="n"/>
      <c r="Q326" s="697" t="n"/>
      <c r="R326" s="697" t="n"/>
      <c r="S326" s="697" t="n"/>
      <c r="T326" s="698" t="n"/>
      <c r="U326" s="43" t="inlineStr">
        <is>
          <t>кор</t>
        </is>
      </c>
      <c r="V326" s="728">
        <f>IFERROR(V323/H323,"0")+IFERROR(V324/H324,"0")+IFERROR(V325/H325,"0")</f>
        <v/>
      </c>
      <c r="W326" s="728">
        <f>IFERROR(W323/H323,"0")+IFERROR(W324/H324,"0")+IFERROR(W325/H325,"0")</f>
        <v/>
      </c>
      <c r="X326" s="728">
        <f>IFERROR(IF(X323="",0,X323),"0")+IFERROR(IF(X324="",0,X324),"0")+IFERROR(IF(X325="",0,X325),"0")</f>
        <v/>
      </c>
      <c r="Y326" s="729" t="n"/>
      <c r="Z326" s="729" t="n"/>
    </row>
    <row r="327">
      <c r="A327" s="677" t="n"/>
      <c r="B327" s="677" t="n"/>
      <c r="C327" s="677" t="n"/>
      <c r="D327" s="677" t="n"/>
      <c r="E327" s="677" t="n"/>
      <c r="F327" s="677" t="n"/>
      <c r="G327" s="677" t="n"/>
      <c r="H327" s="677" t="n"/>
      <c r="I327" s="677" t="n"/>
      <c r="J327" s="677" t="n"/>
      <c r="K327" s="677" t="n"/>
      <c r="L327" s="677" t="n"/>
      <c r="M327" s="726" t="n"/>
      <c r="N327" s="727" t="inlineStr">
        <is>
          <t>Итого</t>
        </is>
      </c>
      <c r="O327" s="697" t="n"/>
      <c r="P327" s="697" t="n"/>
      <c r="Q327" s="697" t="n"/>
      <c r="R327" s="697" t="n"/>
      <c r="S327" s="697" t="n"/>
      <c r="T327" s="698" t="n"/>
      <c r="U327" s="43" t="inlineStr">
        <is>
          <t>кг</t>
        </is>
      </c>
      <c r="V327" s="728">
        <f>IFERROR(SUM(V323:V325),"0")</f>
        <v/>
      </c>
      <c r="W327" s="728">
        <f>IFERROR(SUM(W323:W325),"0")</f>
        <v/>
      </c>
      <c r="X327" s="43" t="n"/>
      <c r="Y327" s="729" t="n"/>
      <c r="Z327" s="729" t="n"/>
    </row>
    <row r="328" ht="14.25" customHeight="1">
      <c r="A328" s="398" t="inlineStr">
        <is>
          <t>Сосиски</t>
        </is>
      </c>
      <c r="B328" s="677" t="n"/>
      <c r="C328" s="677" t="n"/>
      <c r="D328" s="677" t="n"/>
      <c r="E328" s="677" t="n"/>
      <c r="F328" s="677" t="n"/>
      <c r="G328" s="677" t="n"/>
      <c r="H328" s="677" t="n"/>
      <c r="I328" s="677" t="n"/>
      <c r="J328" s="677" t="n"/>
      <c r="K328" s="677" t="n"/>
      <c r="L328" s="677" t="n"/>
      <c r="M328" s="677" t="n"/>
      <c r="N328" s="677" t="n"/>
      <c r="O328" s="677" t="n"/>
      <c r="P328" s="677" t="n"/>
      <c r="Q328" s="677" t="n"/>
      <c r="R328" s="677" t="n"/>
      <c r="S328" s="677" t="n"/>
      <c r="T328" s="677" t="n"/>
      <c r="U328" s="677" t="n"/>
      <c r="V328" s="677" t="n"/>
      <c r="W328" s="677" t="n"/>
      <c r="X328" s="677" t="n"/>
      <c r="Y328" s="398" t="n"/>
      <c r="Z328" s="398" t="n"/>
    </row>
    <row r="329" ht="27" customHeight="1">
      <c r="A329" s="64" t="inlineStr">
        <is>
          <t>SU003161</t>
        </is>
      </c>
      <c r="B329" s="64" t="inlineStr">
        <is>
          <t>P003767</t>
        </is>
      </c>
      <c r="C329" s="37" t="n">
        <v>4301051560</v>
      </c>
      <c r="D329" s="399" t="n">
        <v>4607091383928</v>
      </c>
      <c r="E329" s="689" t="n"/>
      <c r="F329" s="721" t="n">
        <v>1.3</v>
      </c>
      <c r="G329" s="38" t="n">
        <v>6</v>
      </c>
      <c r="H329" s="721" t="n">
        <v>7.8</v>
      </c>
      <c r="I329" s="721" t="n">
        <v>8.369999999999999</v>
      </c>
      <c r="J329" s="38" t="n">
        <v>56</v>
      </c>
      <c r="K329" s="38" t="inlineStr">
        <is>
          <t>8</t>
        </is>
      </c>
      <c r="L329" s="39" t="inlineStr">
        <is>
          <t>СК3</t>
        </is>
      </c>
      <c r="M329" s="38" t="n">
        <v>40</v>
      </c>
      <c r="N329" s="909" t="inlineStr">
        <is>
          <t>Сосиски «Датские» Весовые п/а мгс ТМ «Особый рецепт»</t>
        </is>
      </c>
      <c r="O329" s="723" t="n"/>
      <c r="P329" s="723" t="n"/>
      <c r="Q329" s="723" t="n"/>
      <c r="R329" s="689" t="n"/>
      <c r="S329" s="40" t="inlineStr"/>
      <c r="T329" s="40" t="inlineStr"/>
      <c r="U329" s="41" t="inlineStr">
        <is>
          <t>кг</t>
        </is>
      </c>
      <c r="V329" s="724" t="n">
        <v>0</v>
      </c>
      <c r="W329" s="725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53" t="inlineStr">
        <is>
          <t>КИ</t>
        </is>
      </c>
    </row>
    <row r="330" ht="27" customHeight="1">
      <c r="A330" s="64" t="inlineStr">
        <is>
          <t>SU000246</t>
        </is>
      </c>
      <c r="B330" s="64" t="inlineStr">
        <is>
          <t>P002690</t>
        </is>
      </c>
      <c r="C330" s="37" t="n">
        <v>4301051298</v>
      </c>
      <c r="D330" s="399" t="n">
        <v>4607091384260</v>
      </c>
      <c r="E330" s="689" t="n"/>
      <c r="F330" s="721" t="n">
        <v>1.3</v>
      </c>
      <c r="G330" s="38" t="n">
        <v>6</v>
      </c>
      <c r="H330" s="721" t="n">
        <v>7.8</v>
      </c>
      <c r="I330" s="721" t="n">
        <v>8.364000000000001</v>
      </c>
      <c r="J330" s="38" t="n">
        <v>56</v>
      </c>
      <c r="K330" s="38" t="inlineStr">
        <is>
          <t>8</t>
        </is>
      </c>
      <c r="L330" s="39" t="inlineStr">
        <is>
          <t>СК2</t>
        </is>
      </c>
      <c r="M330" s="38" t="n">
        <v>35</v>
      </c>
      <c r="N330" s="910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30" s="723" t="n"/>
      <c r="P330" s="723" t="n"/>
      <c r="Q330" s="723" t="n"/>
      <c r="R330" s="689" t="n"/>
      <c r="S330" s="40" t="inlineStr"/>
      <c r="T330" s="40" t="inlineStr"/>
      <c r="U330" s="41" t="inlineStr">
        <is>
          <t>кг</t>
        </is>
      </c>
      <c r="V330" s="724" t="n">
        <v>0</v>
      </c>
      <c r="W330" s="725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54" t="inlineStr">
        <is>
          <t>КИ</t>
        </is>
      </c>
    </row>
    <row r="331">
      <c r="A331" s="407" t="n"/>
      <c r="B331" s="677" t="n"/>
      <c r="C331" s="677" t="n"/>
      <c r="D331" s="677" t="n"/>
      <c r="E331" s="677" t="n"/>
      <c r="F331" s="677" t="n"/>
      <c r="G331" s="677" t="n"/>
      <c r="H331" s="677" t="n"/>
      <c r="I331" s="677" t="n"/>
      <c r="J331" s="677" t="n"/>
      <c r="K331" s="677" t="n"/>
      <c r="L331" s="677" t="n"/>
      <c r="M331" s="726" t="n"/>
      <c r="N331" s="727" t="inlineStr">
        <is>
          <t>Итого</t>
        </is>
      </c>
      <c r="O331" s="697" t="n"/>
      <c r="P331" s="697" t="n"/>
      <c r="Q331" s="697" t="n"/>
      <c r="R331" s="697" t="n"/>
      <c r="S331" s="697" t="n"/>
      <c r="T331" s="698" t="n"/>
      <c r="U331" s="43" t="inlineStr">
        <is>
          <t>кор</t>
        </is>
      </c>
      <c r="V331" s="728">
        <f>IFERROR(V329/H329,"0")+IFERROR(V330/H330,"0")</f>
        <v/>
      </c>
      <c r="W331" s="728">
        <f>IFERROR(W329/H329,"0")+IFERROR(W330/H330,"0")</f>
        <v/>
      </c>
      <c r="X331" s="728">
        <f>IFERROR(IF(X329="",0,X329),"0")+IFERROR(IF(X330="",0,X330),"0")</f>
        <v/>
      </c>
      <c r="Y331" s="729" t="n"/>
      <c r="Z331" s="729" t="n"/>
    </row>
    <row r="332">
      <c r="A332" s="677" t="n"/>
      <c r="B332" s="677" t="n"/>
      <c r="C332" s="677" t="n"/>
      <c r="D332" s="677" t="n"/>
      <c r="E332" s="677" t="n"/>
      <c r="F332" s="677" t="n"/>
      <c r="G332" s="677" t="n"/>
      <c r="H332" s="677" t="n"/>
      <c r="I332" s="677" t="n"/>
      <c r="J332" s="677" t="n"/>
      <c r="K332" s="677" t="n"/>
      <c r="L332" s="677" t="n"/>
      <c r="M332" s="726" t="n"/>
      <c r="N332" s="727" t="inlineStr">
        <is>
          <t>Итого</t>
        </is>
      </c>
      <c r="O332" s="697" t="n"/>
      <c r="P332" s="697" t="n"/>
      <c r="Q332" s="697" t="n"/>
      <c r="R332" s="697" t="n"/>
      <c r="S332" s="697" t="n"/>
      <c r="T332" s="698" t="n"/>
      <c r="U332" s="43" t="inlineStr">
        <is>
          <t>кг</t>
        </is>
      </c>
      <c r="V332" s="728">
        <f>IFERROR(SUM(V329:V330),"0")</f>
        <v/>
      </c>
      <c r="W332" s="728">
        <f>IFERROR(SUM(W329:W330),"0")</f>
        <v/>
      </c>
      <c r="X332" s="43" t="n"/>
      <c r="Y332" s="729" t="n"/>
      <c r="Z332" s="729" t="n"/>
    </row>
    <row r="333" ht="14.25" customHeight="1">
      <c r="A333" s="398" t="inlineStr">
        <is>
          <t>Сардельки</t>
        </is>
      </c>
      <c r="B333" s="677" t="n"/>
      <c r="C333" s="677" t="n"/>
      <c r="D333" s="677" t="n"/>
      <c r="E333" s="677" t="n"/>
      <c r="F333" s="677" t="n"/>
      <c r="G333" s="677" t="n"/>
      <c r="H333" s="677" t="n"/>
      <c r="I333" s="677" t="n"/>
      <c r="J333" s="677" t="n"/>
      <c r="K333" s="677" t="n"/>
      <c r="L333" s="677" t="n"/>
      <c r="M333" s="677" t="n"/>
      <c r="N333" s="677" t="n"/>
      <c r="O333" s="677" t="n"/>
      <c r="P333" s="677" t="n"/>
      <c r="Q333" s="677" t="n"/>
      <c r="R333" s="677" t="n"/>
      <c r="S333" s="677" t="n"/>
      <c r="T333" s="677" t="n"/>
      <c r="U333" s="677" t="n"/>
      <c r="V333" s="677" t="n"/>
      <c r="W333" s="677" t="n"/>
      <c r="X333" s="677" t="n"/>
      <c r="Y333" s="398" t="n"/>
      <c r="Z333" s="398" t="n"/>
    </row>
    <row r="334" ht="16.5" customHeight="1">
      <c r="A334" s="64" t="inlineStr">
        <is>
          <t>SU002287</t>
        </is>
      </c>
      <c r="B334" s="64" t="inlineStr">
        <is>
          <t>P002490</t>
        </is>
      </c>
      <c r="C334" s="37" t="n">
        <v>4301060314</v>
      </c>
      <c r="D334" s="399" t="n">
        <v>4607091384673</v>
      </c>
      <c r="E334" s="689" t="n"/>
      <c r="F334" s="721" t="n">
        <v>1.3</v>
      </c>
      <c r="G334" s="38" t="n">
        <v>6</v>
      </c>
      <c r="H334" s="721" t="n">
        <v>7.8</v>
      </c>
      <c r="I334" s="721" t="n">
        <v>8.364000000000001</v>
      </c>
      <c r="J334" s="38" t="n">
        <v>56</v>
      </c>
      <c r="K334" s="38" t="inlineStr">
        <is>
          <t>8</t>
        </is>
      </c>
      <c r="L334" s="39" t="inlineStr">
        <is>
          <t>СК2</t>
        </is>
      </c>
      <c r="M334" s="38" t="n">
        <v>30</v>
      </c>
      <c r="N334" s="911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34" s="723" t="n"/>
      <c r="P334" s="723" t="n"/>
      <c r="Q334" s="723" t="n"/>
      <c r="R334" s="689" t="n"/>
      <c r="S334" s="40" t="inlineStr"/>
      <c r="T334" s="40" t="inlineStr"/>
      <c r="U334" s="41" t="inlineStr">
        <is>
          <t>кг</t>
        </is>
      </c>
      <c r="V334" s="724" t="n">
        <v>215</v>
      </c>
      <c r="W334" s="725">
        <f>IFERROR(IF(V334="",0,CEILING((V334/$H334),1)*$H334),"")</f>
        <v/>
      </c>
      <c r="X334" s="42">
        <f>IFERROR(IF(W334=0,"",ROUNDUP(W334/H334,0)*0.02175),"")</f>
        <v/>
      </c>
      <c r="Y334" s="69" t="inlineStr"/>
      <c r="Z334" s="70" t="inlineStr"/>
      <c r="AD334" s="71" t="n"/>
      <c r="BA334" s="255" t="inlineStr">
        <is>
          <t>КИ</t>
        </is>
      </c>
    </row>
    <row r="335">
      <c r="A335" s="407" t="n"/>
      <c r="B335" s="677" t="n"/>
      <c r="C335" s="677" t="n"/>
      <c r="D335" s="677" t="n"/>
      <c r="E335" s="677" t="n"/>
      <c r="F335" s="677" t="n"/>
      <c r="G335" s="677" t="n"/>
      <c r="H335" s="677" t="n"/>
      <c r="I335" s="677" t="n"/>
      <c r="J335" s="677" t="n"/>
      <c r="K335" s="677" t="n"/>
      <c r="L335" s="677" t="n"/>
      <c r="M335" s="726" t="n"/>
      <c r="N335" s="727" t="inlineStr">
        <is>
          <t>Итого</t>
        </is>
      </c>
      <c r="O335" s="697" t="n"/>
      <c r="P335" s="697" t="n"/>
      <c r="Q335" s="697" t="n"/>
      <c r="R335" s="697" t="n"/>
      <c r="S335" s="697" t="n"/>
      <c r="T335" s="698" t="n"/>
      <c r="U335" s="43" t="inlineStr">
        <is>
          <t>кор</t>
        </is>
      </c>
      <c r="V335" s="728">
        <f>IFERROR(V334/H334,"0")</f>
        <v/>
      </c>
      <c r="W335" s="728">
        <f>IFERROR(W334/H334,"0")</f>
        <v/>
      </c>
      <c r="X335" s="728">
        <f>IFERROR(IF(X334="",0,X334),"0")</f>
        <v/>
      </c>
      <c r="Y335" s="729" t="n"/>
      <c r="Z335" s="729" t="n"/>
    </row>
    <row r="336">
      <c r="A336" s="677" t="n"/>
      <c r="B336" s="677" t="n"/>
      <c r="C336" s="677" t="n"/>
      <c r="D336" s="677" t="n"/>
      <c r="E336" s="677" t="n"/>
      <c r="F336" s="677" t="n"/>
      <c r="G336" s="677" t="n"/>
      <c r="H336" s="677" t="n"/>
      <c r="I336" s="677" t="n"/>
      <c r="J336" s="677" t="n"/>
      <c r="K336" s="677" t="n"/>
      <c r="L336" s="677" t="n"/>
      <c r="M336" s="726" t="n"/>
      <c r="N336" s="727" t="inlineStr">
        <is>
          <t>Итого</t>
        </is>
      </c>
      <c r="O336" s="697" t="n"/>
      <c r="P336" s="697" t="n"/>
      <c r="Q336" s="697" t="n"/>
      <c r="R336" s="697" t="n"/>
      <c r="S336" s="697" t="n"/>
      <c r="T336" s="698" t="n"/>
      <c r="U336" s="43" t="inlineStr">
        <is>
          <t>кг</t>
        </is>
      </c>
      <c r="V336" s="728">
        <f>IFERROR(SUM(V334:V334),"0")</f>
        <v/>
      </c>
      <c r="W336" s="728">
        <f>IFERROR(SUM(W334:W334),"0")</f>
        <v/>
      </c>
      <c r="X336" s="43" t="n"/>
      <c r="Y336" s="729" t="n"/>
      <c r="Z336" s="729" t="n"/>
    </row>
    <row r="337" ht="16.5" customHeight="1">
      <c r="A337" s="397" t="inlineStr">
        <is>
          <t>Особая Без свинины</t>
        </is>
      </c>
      <c r="B337" s="677" t="n"/>
      <c r="C337" s="677" t="n"/>
      <c r="D337" s="677" t="n"/>
      <c r="E337" s="677" t="n"/>
      <c r="F337" s="677" t="n"/>
      <c r="G337" s="677" t="n"/>
      <c r="H337" s="677" t="n"/>
      <c r="I337" s="677" t="n"/>
      <c r="J337" s="677" t="n"/>
      <c r="K337" s="677" t="n"/>
      <c r="L337" s="677" t="n"/>
      <c r="M337" s="677" t="n"/>
      <c r="N337" s="677" t="n"/>
      <c r="O337" s="677" t="n"/>
      <c r="P337" s="677" t="n"/>
      <c r="Q337" s="677" t="n"/>
      <c r="R337" s="677" t="n"/>
      <c r="S337" s="677" t="n"/>
      <c r="T337" s="677" t="n"/>
      <c r="U337" s="677" t="n"/>
      <c r="V337" s="677" t="n"/>
      <c r="W337" s="677" t="n"/>
      <c r="X337" s="677" t="n"/>
      <c r="Y337" s="397" t="n"/>
      <c r="Z337" s="397" t="n"/>
    </row>
    <row r="338" ht="14.25" customHeight="1">
      <c r="A338" s="398" t="inlineStr">
        <is>
          <t>Вареные колбасы</t>
        </is>
      </c>
      <c r="B338" s="677" t="n"/>
      <c r="C338" s="677" t="n"/>
      <c r="D338" s="677" t="n"/>
      <c r="E338" s="677" t="n"/>
      <c r="F338" s="677" t="n"/>
      <c r="G338" s="677" t="n"/>
      <c r="H338" s="677" t="n"/>
      <c r="I338" s="677" t="n"/>
      <c r="J338" s="677" t="n"/>
      <c r="K338" s="677" t="n"/>
      <c r="L338" s="677" t="n"/>
      <c r="M338" s="677" t="n"/>
      <c r="N338" s="677" t="n"/>
      <c r="O338" s="677" t="n"/>
      <c r="P338" s="677" t="n"/>
      <c r="Q338" s="677" t="n"/>
      <c r="R338" s="677" t="n"/>
      <c r="S338" s="677" t="n"/>
      <c r="T338" s="677" t="n"/>
      <c r="U338" s="677" t="n"/>
      <c r="V338" s="677" t="n"/>
      <c r="W338" s="677" t="n"/>
      <c r="X338" s="677" t="n"/>
      <c r="Y338" s="398" t="n"/>
      <c r="Z338" s="398" t="n"/>
    </row>
    <row r="339" ht="27" customHeight="1">
      <c r="A339" s="64" t="inlineStr">
        <is>
          <t>SU002073</t>
        </is>
      </c>
      <c r="B339" s="64" t="inlineStr">
        <is>
          <t>P002563</t>
        </is>
      </c>
      <c r="C339" s="37" t="n">
        <v>4301011324</v>
      </c>
      <c r="D339" s="399" t="n">
        <v>4607091384185</v>
      </c>
      <c r="E339" s="689" t="n"/>
      <c r="F339" s="721" t="n">
        <v>0.8</v>
      </c>
      <c r="G339" s="38" t="n">
        <v>15</v>
      </c>
      <c r="H339" s="721" t="n">
        <v>12</v>
      </c>
      <c r="I339" s="721" t="n">
        <v>12.48</v>
      </c>
      <c r="J339" s="38" t="n">
        <v>56</v>
      </c>
      <c r="K339" s="38" t="inlineStr">
        <is>
          <t>8</t>
        </is>
      </c>
      <c r="L339" s="39" t="inlineStr">
        <is>
          <t>СК2</t>
        </is>
      </c>
      <c r="M339" s="38" t="n">
        <v>60</v>
      </c>
      <c r="N339" s="912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39" s="723" t="n"/>
      <c r="P339" s="723" t="n"/>
      <c r="Q339" s="723" t="n"/>
      <c r="R339" s="689" t="n"/>
      <c r="S339" s="40" t="inlineStr"/>
      <c r="T339" s="40" t="inlineStr"/>
      <c r="U339" s="41" t="inlineStr">
        <is>
          <t>кг</t>
        </is>
      </c>
      <c r="V339" s="724" t="n">
        <v>97</v>
      </c>
      <c r="W339" s="725">
        <f>IFERROR(IF(V339="",0,CEILING((V339/$H339),1)*$H339),"")</f>
        <v/>
      </c>
      <c r="X339" s="42">
        <f>IFERROR(IF(W339=0,"",ROUNDUP(W339/H339,0)*0.02175),"")</f>
        <v/>
      </c>
      <c r="Y339" s="69" t="inlineStr"/>
      <c r="Z339" s="70" t="inlineStr"/>
      <c r="AD339" s="71" t="n"/>
      <c r="BA339" s="256" t="inlineStr">
        <is>
          <t>КИ</t>
        </is>
      </c>
    </row>
    <row r="340" ht="27" customHeight="1">
      <c r="A340" s="64" t="inlineStr">
        <is>
          <t>SU002187</t>
        </is>
      </c>
      <c r="B340" s="64" t="inlineStr">
        <is>
          <t>P002559</t>
        </is>
      </c>
      <c r="C340" s="37" t="n">
        <v>4301011312</v>
      </c>
      <c r="D340" s="399" t="n">
        <v>4607091384192</v>
      </c>
      <c r="E340" s="689" t="n"/>
      <c r="F340" s="721" t="n">
        <v>1.8</v>
      </c>
      <c r="G340" s="38" t="n">
        <v>6</v>
      </c>
      <c r="H340" s="721" t="n">
        <v>10.8</v>
      </c>
      <c r="I340" s="721" t="n">
        <v>11.28</v>
      </c>
      <c r="J340" s="38" t="n">
        <v>56</v>
      </c>
      <c r="K340" s="38" t="inlineStr">
        <is>
          <t>8</t>
        </is>
      </c>
      <c r="L340" s="39" t="inlineStr">
        <is>
          <t>СК1</t>
        </is>
      </c>
      <c r="M340" s="38" t="n">
        <v>60</v>
      </c>
      <c r="N340" s="913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40" s="723" t="n"/>
      <c r="P340" s="723" t="n"/>
      <c r="Q340" s="723" t="n"/>
      <c r="R340" s="689" t="n"/>
      <c r="S340" s="40" t="inlineStr"/>
      <c r="T340" s="40" t="inlineStr"/>
      <c r="U340" s="41" t="inlineStr">
        <is>
          <t>кг</t>
        </is>
      </c>
      <c r="V340" s="724" t="n">
        <v>0</v>
      </c>
      <c r="W340" s="725">
        <f>IFERROR(IF(V340="",0,CEILING((V340/$H340),1)*$H340),"")</f>
        <v/>
      </c>
      <c r="X340" s="42">
        <f>IFERROR(IF(W340=0,"",ROUNDUP(W340/H340,0)*0.02175),"")</f>
        <v/>
      </c>
      <c r="Y340" s="69" t="inlineStr"/>
      <c r="Z340" s="70" t="inlineStr"/>
      <c r="AD340" s="71" t="n"/>
      <c r="BA340" s="257" t="inlineStr">
        <is>
          <t>КИ</t>
        </is>
      </c>
    </row>
    <row r="341" ht="27" customHeight="1">
      <c r="A341" s="64" t="inlineStr">
        <is>
          <t>SU002899</t>
        </is>
      </c>
      <c r="B341" s="64" t="inlineStr">
        <is>
          <t>P003323</t>
        </is>
      </c>
      <c r="C341" s="37" t="n">
        <v>4301011483</v>
      </c>
      <c r="D341" s="399" t="n">
        <v>4680115881907</v>
      </c>
      <c r="E341" s="689" t="n"/>
      <c r="F341" s="721" t="n">
        <v>1.8</v>
      </c>
      <c r="G341" s="38" t="n">
        <v>6</v>
      </c>
      <c r="H341" s="721" t="n">
        <v>10.8</v>
      </c>
      <c r="I341" s="721" t="n">
        <v>11.28</v>
      </c>
      <c r="J341" s="38" t="n">
        <v>56</v>
      </c>
      <c r="K341" s="38" t="inlineStr">
        <is>
          <t>8</t>
        </is>
      </c>
      <c r="L341" s="39" t="inlineStr">
        <is>
          <t>СК2</t>
        </is>
      </c>
      <c r="M341" s="38" t="n">
        <v>60</v>
      </c>
      <c r="N341" s="914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41" s="723" t="n"/>
      <c r="P341" s="723" t="n"/>
      <c r="Q341" s="723" t="n"/>
      <c r="R341" s="689" t="n"/>
      <c r="S341" s="40" t="inlineStr"/>
      <c r="T341" s="40" t="inlineStr"/>
      <c r="U341" s="41" t="inlineStr">
        <is>
          <t>кг</t>
        </is>
      </c>
      <c r="V341" s="724" t="n">
        <v>0</v>
      </c>
      <c r="W341" s="725">
        <f>IFERROR(IF(V341="",0,CEILING((V341/$H341),1)*$H341),"")</f>
        <v/>
      </c>
      <c r="X341" s="42">
        <f>IFERROR(IF(W341=0,"",ROUNDUP(W341/H341,0)*0.02175),"")</f>
        <v/>
      </c>
      <c r="Y341" s="69" t="inlineStr"/>
      <c r="Z341" s="70" t="inlineStr"/>
      <c r="AD341" s="71" t="n"/>
      <c r="BA341" s="258" t="inlineStr">
        <is>
          <t>КИ</t>
        </is>
      </c>
    </row>
    <row r="342" ht="27" customHeight="1">
      <c r="A342" s="64" t="inlineStr">
        <is>
          <t>SU003226</t>
        </is>
      </c>
      <c r="B342" s="64" t="inlineStr">
        <is>
          <t>P003844</t>
        </is>
      </c>
      <c r="C342" s="37" t="n">
        <v>4301011655</v>
      </c>
      <c r="D342" s="399" t="n">
        <v>4680115883925</v>
      </c>
      <c r="E342" s="689" t="n"/>
      <c r="F342" s="721" t="n">
        <v>2.5</v>
      </c>
      <c r="G342" s="38" t="n">
        <v>6</v>
      </c>
      <c r="H342" s="721" t="n">
        <v>15</v>
      </c>
      <c r="I342" s="721" t="n">
        <v>15.48</v>
      </c>
      <c r="J342" s="38" t="n">
        <v>48</v>
      </c>
      <c r="K342" s="38" t="inlineStr">
        <is>
          <t>8</t>
        </is>
      </c>
      <c r="L342" s="39" t="inlineStr">
        <is>
          <t>СК2</t>
        </is>
      </c>
      <c r="M342" s="38" t="n">
        <v>60</v>
      </c>
      <c r="N342" s="915" t="inlineStr">
        <is>
          <t>Вареные колбасы «Молочная оригинальная» Вес П/а ТМ «Особый рецепт» большой батон 2,5 кг</t>
        </is>
      </c>
      <c r="O342" s="723" t="n"/>
      <c r="P342" s="723" t="n"/>
      <c r="Q342" s="723" t="n"/>
      <c r="R342" s="689" t="n"/>
      <c r="S342" s="40" t="inlineStr"/>
      <c r="T342" s="40" t="inlineStr"/>
      <c r="U342" s="41" t="inlineStr">
        <is>
          <t>кг</t>
        </is>
      </c>
      <c r="V342" s="724" t="n">
        <v>0</v>
      </c>
      <c r="W342" s="725">
        <f>IFERROR(IF(V342="",0,CEILING((V342/$H342),1)*$H342),"")</f>
        <v/>
      </c>
      <c r="X342" s="42">
        <f>IFERROR(IF(W342=0,"",ROUNDUP(W342/H342,0)*0.02175),"")</f>
        <v/>
      </c>
      <c r="Y342" s="69" t="inlineStr"/>
      <c r="Z342" s="70" t="inlineStr"/>
      <c r="AD342" s="71" t="n"/>
      <c r="BA342" s="259" t="inlineStr">
        <is>
          <t>КИ</t>
        </is>
      </c>
    </row>
    <row r="343" ht="27" customHeight="1">
      <c r="A343" s="64" t="inlineStr">
        <is>
          <t>SU002462</t>
        </is>
      </c>
      <c r="B343" s="64" t="inlineStr">
        <is>
          <t>P002768</t>
        </is>
      </c>
      <c r="C343" s="37" t="n">
        <v>4301011303</v>
      </c>
      <c r="D343" s="399" t="n">
        <v>4607091384680</v>
      </c>
      <c r="E343" s="689" t="n"/>
      <c r="F343" s="721" t="n">
        <v>0.4</v>
      </c>
      <c r="G343" s="38" t="n">
        <v>10</v>
      </c>
      <c r="H343" s="721" t="n">
        <v>4</v>
      </c>
      <c r="I343" s="721" t="n">
        <v>4.21</v>
      </c>
      <c r="J343" s="38" t="n">
        <v>120</v>
      </c>
      <c r="K343" s="38" t="inlineStr">
        <is>
          <t>12</t>
        </is>
      </c>
      <c r="L343" s="39" t="inlineStr">
        <is>
          <t>СК2</t>
        </is>
      </c>
      <c r="M343" s="38" t="n">
        <v>60</v>
      </c>
      <c r="N343" s="91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43" s="723" t="n"/>
      <c r="P343" s="723" t="n"/>
      <c r="Q343" s="723" t="n"/>
      <c r="R343" s="689" t="n"/>
      <c r="S343" s="40" t="inlineStr"/>
      <c r="T343" s="40" t="inlineStr"/>
      <c r="U343" s="41" t="inlineStr">
        <is>
          <t>кг</t>
        </is>
      </c>
      <c r="V343" s="724" t="n">
        <v>10</v>
      </c>
      <c r="W343" s="725">
        <f>IFERROR(IF(V343="",0,CEILING((V343/$H343),1)*$H343),"")</f>
        <v/>
      </c>
      <c r="X343" s="42">
        <f>IFERROR(IF(W343=0,"",ROUNDUP(W343/H343,0)*0.00937),"")</f>
        <v/>
      </c>
      <c r="Y343" s="69" t="inlineStr"/>
      <c r="Z343" s="70" t="inlineStr"/>
      <c r="AD343" s="71" t="n"/>
      <c r="BA343" s="260" t="inlineStr">
        <is>
          <t>КИ</t>
        </is>
      </c>
    </row>
    <row r="344">
      <c r="A344" s="407" t="n"/>
      <c r="B344" s="677" t="n"/>
      <c r="C344" s="677" t="n"/>
      <c r="D344" s="677" t="n"/>
      <c r="E344" s="677" t="n"/>
      <c r="F344" s="677" t="n"/>
      <c r="G344" s="677" t="n"/>
      <c r="H344" s="677" t="n"/>
      <c r="I344" s="677" t="n"/>
      <c r="J344" s="677" t="n"/>
      <c r="K344" s="677" t="n"/>
      <c r="L344" s="677" t="n"/>
      <c r="M344" s="726" t="n"/>
      <c r="N344" s="727" t="inlineStr">
        <is>
          <t>Итого</t>
        </is>
      </c>
      <c r="O344" s="697" t="n"/>
      <c r="P344" s="697" t="n"/>
      <c r="Q344" s="697" t="n"/>
      <c r="R344" s="697" t="n"/>
      <c r="S344" s="697" t="n"/>
      <c r="T344" s="698" t="n"/>
      <c r="U344" s="43" t="inlineStr">
        <is>
          <t>кор</t>
        </is>
      </c>
      <c r="V344" s="728">
        <f>IFERROR(V339/H339,"0")+IFERROR(V340/H340,"0")+IFERROR(V341/H341,"0")+IFERROR(V342/H342,"0")+IFERROR(V343/H343,"0")</f>
        <v/>
      </c>
      <c r="W344" s="728">
        <f>IFERROR(W339/H339,"0")+IFERROR(W340/H340,"0")+IFERROR(W341/H341,"0")+IFERROR(W342/H342,"0")+IFERROR(W343/H343,"0")</f>
        <v/>
      </c>
      <c r="X344" s="728">
        <f>IFERROR(IF(X339="",0,X339),"0")+IFERROR(IF(X340="",0,X340),"0")+IFERROR(IF(X341="",0,X341),"0")+IFERROR(IF(X342="",0,X342),"0")+IFERROR(IF(X343="",0,X343),"0")</f>
        <v/>
      </c>
      <c r="Y344" s="729" t="n"/>
      <c r="Z344" s="729" t="n"/>
    </row>
    <row r="345">
      <c r="A345" s="677" t="n"/>
      <c r="B345" s="677" t="n"/>
      <c r="C345" s="677" t="n"/>
      <c r="D345" s="677" t="n"/>
      <c r="E345" s="677" t="n"/>
      <c r="F345" s="677" t="n"/>
      <c r="G345" s="677" t="n"/>
      <c r="H345" s="677" t="n"/>
      <c r="I345" s="677" t="n"/>
      <c r="J345" s="677" t="n"/>
      <c r="K345" s="677" t="n"/>
      <c r="L345" s="677" t="n"/>
      <c r="M345" s="726" t="n"/>
      <c r="N345" s="727" t="inlineStr">
        <is>
          <t>Итого</t>
        </is>
      </c>
      <c r="O345" s="697" t="n"/>
      <c r="P345" s="697" t="n"/>
      <c r="Q345" s="697" t="n"/>
      <c r="R345" s="697" t="n"/>
      <c r="S345" s="697" t="n"/>
      <c r="T345" s="698" t="n"/>
      <c r="U345" s="43" t="inlineStr">
        <is>
          <t>кг</t>
        </is>
      </c>
      <c r="V345" s="728">
        <f>IFERROR(SUM(V339:V343),"0")</f>
        <v/>
      </c>
      <c r="W345" s="728">
        <f>IFERROR(SUM(W339:W343),"0")</f>
        <v/>
      </c>
      <c r="X345" s="43" t="n"/>
      <c r="Y345" s="729" t="n"/>
      <c r="Z345" s="729" t="n"/>
    </row>
    <row r="346" ht="14.25" customHeight="1">
      <c r="A346" s="398" t="inlineStr">
        <is>
          <t>Копченые колбасы</t>
        </is>
      </c>
      <c r="B346" s="677" t="n"/>
      <c r="C346" s="677" t="n"/>
      <c r="D346" s="677" t="n"/>
      <c r="E346" s="677" t="n"/>
      <c r="F346" s="677" t="n"/>
      <c r="G346" s="677" t="n"/>
      <c r="H346" s="677" t="n"/>
      <c r="I346" s="677" t="n"/>
      <c r="J346" s="677" t="n"/>
      <c r="K346" s="677" t="n"/>
      <c r="L346" s="677" t="n"/>
      <c r="M346" s="677" t="n"/>
      <c r="N346" s="677" t="n"/>
      <c r="O346" s="677" t="n"/>
      <c r="P346" s="677" t="n"/>
      <c r="Q346" s="677" t="n"/>
      <c r="R346" s="677" t="n"/>
      <c r="S346" s="677" t="n"/>
      <c r="T346" s="677" t="n"/>
      <c r="U346" s="677" t="n"/>
      <c r="V346" s="677" t="n"/>
      <c r="W346" s="677" t="n"/>
      <c r="X346" s="677" t="n"/>
      <c r="Y346" s="398" t="n"/>
      <c r="Z346" s="398" t="n"/>
    </row>
    <row r="347" ht="27" customHeight="1">
      <c r="A347" s="64" t="inlineStr">
        <is>
          <t>SU002360</t>
        </is>
      </c>
      <c r="B347" s="64" t="inlineStr">
        <is>
          <t>P002629</t>
        </is>
      </c>
      <c r="C347" s="37" t="n">
        <v>4301031139</v>
      </c>
      <c r="D347" s="399" t="n">
        <v>4607091384802</v>
      </c>
      <c r="E347" s="689" t="n"/>
      <c r="F347" s="721" t="n">
        <v>0.73</v>
      </c>
      <c r="G347" s="38" t="n">
        <v>6</v>
      </c>
      <c r="H347" s="721" t="n">
        <v>4.38</v>
      </c>
      <c r="I347" s="721" t="n">
        <v>4.58</v>
      </c>
      <c r="J347" s="38" t="n">
        <v>156</v>
      </c>
      <c r="K347" s="38" t="inlineStr">
        <is>
          <t>12</t>
        </is>
      </c>
      <c r="L347" s="39" t="inlineStr">
        <is>
          <t>СК2</t>
        </is>
      </c>
      <c r="M347" s="38" t="n">
        <v>35</v>
      </c>
      <c r="N347" s="91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47" s="723" t="n"/>
      <c r="P347" s="723" t="n"/>
      <c r="Q347" s="723" t="n"/>
      <c r="R347" s="689" t="n"/>
      <c r="S347" s="40" t="inlineStr"/>
      <c r="T347" s="40" t="inlineStr"/>
      <c r="U347" s="41" t="inlineStr">
        <is>
          <t>кг</t>
        </is>
      </c>
      <c r="V347" s="724" t="n">
        <v>10</v>
      </c>
      <c r="W347" s="725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61" t="inlineStr">
        <is>
          <t>КИ</t>
        </is>
      </c>
    </row>
    <row r="348" ht="27" customHeight="1">
      <c r="A348" s="64" t="inlineStr">
        <is>
          <t>SU002361</t>
        </is>
      </c>
      <c r="B348" s="64" t="inlineStr">
        <is>
          <t>P002630</t>
        </is>
      </c>
      <c r="C348" s="37" t="n">
        <v>4301031140</v>
      </c>
      <c r="D348" s="399" t="n">
        <v>4607091384826</v>
      </c>
      <c r="E348" s="689" t="n"/>
      <c r="F348" s="721" t="n">
        <v>0.35</v>
      </c>
      <c r="G348" s="38" t="n">
        <v>8</v>
      </c>
      <c r="H348" s="721" t="n">
        <v>2.8</v>
      </c>
      <c r="I348" s="721" t="n">
        <v>2.9</v>
      </c>
      <c r="J348" s="38" t="n">
        <v>234</v>
      </c>
      <c r="K348" s="38" t="inlineStr">
        <is>
          <t>18</t>
        </is>
      </c>
      <c r="L348" s="39" t="inlineStr">
        <is>
          <t>СК2</t>
        </is>
      </c>
      <c r="M348" s="38" t="n">
        <v>35</v>
      </c>
      <c r="N348" s="91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48" s="723" t="n"/>
      <c r="P348" s="723" t="n"/>
      <c r="Q348" s="723" t="n"/>
      <c r="R348" s="689" t="n"/>
      <c r="S348" s="40" t="inlineStr"/>
      <c r="T348" s="40" t="inlineStr"/>
      <c r="U348" s="41" t="inlineStr">
        <is>
          <t>кг</t>
        </is>
      </c>
      <c r="V348" s="724" t="n">
        <v>0</v>
      </c>
      <c r="W348" s="725">
        <f>IFERROR(IF(V348="",0,CEILING((V348/$H348),1)*$H348),"")</f>
        <v/>
      </c>
      <c r="X348" s="42">
        <f>IFERROR(IF(W348=0,"",ROUNDUP(W348/H348,0)*0.00502),"")</f>
        <v/>
      </c>
      <c r="Y348" s="69" t="inlineStr"/>
      <c r="Z348" s="70" t="inlineStr"/>
      <c r="AD348" s="71" t="n"/>
      <c r="BA348" s="262" t="inlineStr">
        <is>
          <t>КИ</t>
        </is>
      </c>
    </row>
    <row r="349">
      <c r="A349" s="407" t="n"/>
      <c r="B349" s="677" t="n"/>
      <c r="C349" s="677" t="n"/>
      <c r="D349" s="677" t="n"/>
      <c r="E349" s="677" t="n"/>
      <c r="F349" s="677" t="n"/>
      <c r="G349" s="677" t="n"/>
      <c r="H349" s="677" t="n"/>
      <c r="I349" s="677" t="n"/>
      <c r="J349" s="677" t="n"/>
      <c r="K349" s="677" t="n"/>
      <c r="L349" s="677" t="n"/>
      <c r="M349" s="726" t="n"/>
      <c r="N349" s="727" t="inlineStr">
        <is>
          <t>Итого</t>
        </is>
      </c>
      <c r="O349" s="697" t="n"/>
      <c r="P349" s="697" t="n"/>
      <c r="Q349" s="697" t="n"/>
      <c r="R349" s="697" t="n"/>
      <c r="S349" s="697" t="n"/>
      <c r="T349" s="698" t="n"/>
      <c r="U349" s="43" t="inlineStr">
        <is>
          <t>кор</t>
        </is>
      </c>
      <c r="V349" s="728">
        <f>IFERROR(V347/H347,"0")+IFERROR(V348/H348,"0")</f>
        <v/>
      </c>
      <c r="W349" s="728">
        <f>IFERROR(W347/H347,"0")+IFERROR(W348/H348,"0")</f>
        <v/>
      </c>
      <c r="X349" s="728">
        <f>IFERROR(IF(X347="",0,X347),"0")+IFERROR(IF(X348="",0,X348),"0")</f>
        <v/>
      </c>
      <c r="Y349" s="729" t="n"/>
      <c r="Z349" s="729" t="n"/>
    </row>
    <row r="350">
      <c r="A350" s="677" t="n"/>
      <c r="B350" s="677" t="n"/>
      <c r="C350" s="677" t="n"/>
      <c r="D350" s="677" t="n"/>
      <c r="E350" s="677" t="n"/>
      <c r="F350" s="677" t="n"/>
      <c r="G350" s="677" t="n"/>
      <c r="H350" s="677" t="n"/>
      <c r="I350" s="677" t="n"/>
      <c r="J350" s="677" t="n"/>
      <c r="K350" s="677" t="n"/>
      <c r="L350" s="677" t="n"/>
      <c r="M350" s="726" t="n"/>
      <c r="N350" s="727" t="inlineStr">
        <is>
          <t>Итого</t>
        </is>
      </c>
      <c r="O350" s="697" t="n"/>
      <c r="P350" s="697" t="n"/>
      <c r="Q350" s="697" t="n"/>
      <c r="R350" s="697" t="n"/>
      <c r="S350" s="697" t="n"/>
      <c r="T350" s="698" t="n"/>
      <c r="U350" s="43" t="inlineStr">
        <is>
          <t>кг</t>
        </is>
      </c>
      <c r="V350" s="728">
        <f>IFERROR(SUM(V347:V348),"0")</f>
        <v/>
      </c>
      <c r="W350" s="728">
        <f>IFERROR(SUM(W347:W348),"0")</f>
        <v/>
      </c>
      <c r="X350" s="43" t="n"/>
      <c r="Y350" s="729" t="n"/>
      <c r="Z350" s="729" t="n"/>
    </row>
    <row r="351" ht="14.25" customHeight="1">
      <c r="A351" s="398" t="inlineStr">
        <is>
          <t>Сосиски</t>
        </is>
      </c>
      <c r="B351" s="677" t="n"/>
      <c r="C351" s="677" t="n"/>
      <c r="D351" s="677" t="n"/>
      <c r="E351" s="677" t="n"/>
      <c r="F351" s="677" t="n"/>
      <c r="G351" s="677" t="n"/>
      <c r="H351" s="677" t="n"/>
      <c r="I351" s="677" t="n"/>
      <c r="J351" s="677" t="n"/>
      <c r="K351" s="677" t="n"/>
      <c r="L351" s="677" t="n"/>
      <c r="M351" s="677" t="n"/>
      <c r="N351" s="677" t="n"/>
      <c r="O351" s="677" t="n"/>
      <c r="P351" s="677" t="n"/>
      <c r="Q351" s="677" t="n"/>
      <c r="R351" s="677" t="n"/>
      <c r="S351" s="677" t="n"/>
      <c r="T351" s="677" t="n"/>
      <c r="U351" s="677" t="n"/>
      <c r="V351" s="677" t="n"/>
      <c r="W351" s="677" t="n"/>
      <c r="X351" s="677" t="n"/>
      <c r="Y351" s="398" t="n"/>
      <c r="Z351" s="398" t="n"/>
    </row>
    <row r="352" ht="27" customHeight="1">
      <c r="A352" s="64" t="inlineStr">
        <is>
          <t>SU002074</t>
        </is>
      </c>
      <c r="B352" s="64" t="inlineStr">
        <is>
          <t>P002693</t>
        </is>
      </c>
      <c r="C352" s="37" t="n">
        <v>4301051303</v>
      </c>
      <c r="D352" s="399" t="n">
        <v>4607091384246</v>
      </c>
      <c r="E352" s="689" t="n"/>
      <c r="F352" s="721" t="n">
        <v>1.3</v>
      </c>
      <c r="G352" s="38" t="n">
        <v>6</v>
      </c>
      <c r="H352" s="721" t="n">
        <v>7.8</v>
      </c>
      <c r="I352" s="721" t="n">
        <v>8.364000000000001</v>
      </c>
      <c r="J352" s="38" t="n">
        <v>56</v>
      </c>
      <c r="K352" s="38" t="inlineStr">
        <is>
          <t>8</t>
        </is>
      </c>
      <c r="L352" s="39" t="inlineStr">
        <is>
          <t>СК2</t>
        </is>
      </c>
      <c r="M352" s="38" t="n">
        <v>40</v>
      </c>
      <c r="N352" s="919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52" s="723" t="n"/>
      <c r="P352" s="723" t="n"/>
      <c r="Q352" s="723" t="n"/>
      <c r="R352" s="689" t="n"/>
      <c r="S352" s="40" t="inlineStr"/>
      <c r="T352" s="40" t="inlineStr"/>
      <c r="U352" s="41" t="inlineStr">
        <is>
          <t>кг</t>
        </is>
      </c>
      <c r="V352" s="724" t="n">
        <v>24</v>
      </c>
      <c r="W352" s="725">
        <f>IFERROR(IF(V352="",0,CEILING((V352/$H352),1)*$H352),"")</f>
        <v/>
      </c>
      <c r="X352" s="42">
        <f>IFERROR(IF(W352=0,"",ROUNDUP(W352/H352,0)*0.02175),"")</f>
        <v/>
      </c>
      <c r="Y352" s="69" t="inlineStr"/>
      <c r="Z352" s="70" t="inlineStr"/>
      <c r="AD352" s="71" t="n"/>
      <c r="BA352" s="263" t="inlineStr">
        <is>
          <t>КИ</t>
        </is>
      </c>
    </row>
    <row r="353" ht="27" customHeight="1">
      <c r="A353" s="64" t="inlineStr">
        <is>
          <t>SU002896</t>
        </is>
      </c>
      <c r="B353" s="64" t="inlineStr">
        <is>
          <t>P003330</t>
        </is>
      </c>
      <c r="C353" s="37" t="n">
        <v>4301051445</v>
      </c>
      <c r="D353" s="399" t="n">
        <v>4680115881976</v>
      </c>
      <c r="E353" s="689" t="n"/>
      <c r="F353" s="721" t="n">
        <v>1.3</v>
      </c>
      <c r="G353" s="38" t="n">
        <v>6</v>
      </c>
      <c r="H353" s="721" t="n">
        <v>7.8</v>
      </c>
      <c r="I353" s="721" t="n">
        <v>8.279999999999999</v>
      </c>
      <c r="J353" s="38" t="n">
        <v>56</v>
      </c>
      <c r="K353" s="38" t="inlineStr">
        <is>
          <t>8</t>
        </is>
      </c>
      <c r="L353" s="39" t="inlineStr">
        <is>
          <t>СК2</t>
        </is>
      </c>
      <c r="M353" s="38" t="n">
        <v>40</v>
      </c>
      <c r="N353" s="920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53" s="723" t="n"/>
      <c r="P353" s="723" t="n"/>
      <c r="Q353" s="723" t="n"/>
      <c r="R353" s="689" t="n"/>
      <c r="S353" s="40" t="inlineStr"/>
      <c r="T353" s="40" t="inlineStr"/>
      <c r="U353" s="41" t="inlineStr">
        <is>
          <t>кг</t>
        </is>
      </c>
      <c r="V353" s="724" t="n">
        <v>0</v>
      </c>
      <c r="W353" s="725">
        <f>IFERROR(IF(V353="",0,CEILING((V353/$H353),1)*$H353),"")</f>
        <v/>
      </c>
      <c r="X353" s="42">
        <f>IFERROR(IF(W353=0,"",ROUNDUP(W353/H353,0)*0.02175),"")</f>
        <v/>
      </c>
      <c r="Y353" s="69" t="inlineStr"/>
      <c r="Z353" s="70" t="inlineStr"/>
      <c r="AD353" s="71" t="n"/>
      <c r="BA353" s="264" t="inlineStr">
        <is>
          <t>КИ</t>
        </is>
      </c>
    </row>
    <row r="354" ht="27" customHeight="1">
      <c r="A354" s="64" t="inlineStr">
        <is>
          <t>SU002205</t>
        </is>
      </c>
      <c r="B354" s="64" t="inlineStr">
        <is>
          <t>P002694</t>
        </is>
      </c>
      <c r="C354" s="37" t="n">
        <v>4301051297</v>
      </c>
      <c r="D354" s="399" t="n">
        <v>4607091384253</v>
      </c>
      <c r="E354" s="689" t="n"/>
      <c r="F354" s="721" t="n">
        <v>0.4</v>
      </c>
      <c r="G354" s="38" t="n">
        <v>6</v>
      </c>
      <c r="H354" s="721" t="n">
        <v>2.4</v>
      </c>
      <c r="I354" s="721" t="n">
        <v>2.684</v>
      </c>
      <c r="J354" s="38" t="n">
        <v>156</v>
      </c>
      <c r="K354" s="38" t="inlineStr">
        <is>
          <t>12</t>
        </is>
      </c>
      <c r="L354" s="39" t="inlineStr">
        <is>
          <t>СК2</t>
        </is>
      </c>
      <c r="M354" s="38" t="n">
        <v>40</v>
      </c>
      <c r="N354" s="921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54" s="723" t="n"/>
      <c r="P354" s="723" t="n"/>
      <c r="Q354" s="723" t="n"/>
      <c r="R354" s="689" t="n"/>
      <c r="S354" s="40" t="inlineStr"/>
      <c r="T354" s="40" t="inlineStr"/>
      <c r="U354" s="41" t="inlineStr">
        <is>
          <t>кг</t>
        </is>
      </c>
      <c r="V354" s="724" t="n">
        <v>56</v>
      </c>
      <c r="W354" s="725">
        <f>IFERROR(IF(V354="",0,CEILING((V354/$H354),1)*$H354),"")</f>
        <v/>
      </c>
      <c r="X354" s="42">
        <f>IFERROR(IF(W354=0,"",ROUNDUP(W354/H354,0)*0.00753),"")</f>
        <v/>
      </c>
      <c r="Y354" s="69" t="inlineStr"/>
      <c r="Z354" s="70" t="inlineStr"/>
      <c r="AD354" s="71" t="n"/>
      <c r="BA354" s="265" t="inlineStr">
        <is>
          <t>КИ</t>
        </is>
      </c>
    </row>
    <row r="355" ht="27" customHeight="1">
      <c r="A355" s="64" t="inlineStr">
        <is>
          <t>SU002895</t>
        </is>
      </c>
      <c r="B355" s="64" t="inlineStr">
        <is>
          <t>P003329</t>
        </is>
      </c>
      <c r="C355" s="37" t="n">
        <v>4301051444</v>
      </c>
      <c r="D355" s="399" t="n">
        <v>4680115881969</v>
      </c>
      <c r="E355" s="689" t="n"/>
      <c r="F355" s="721" t="n">
        <v>0.4</v>
      </c>
      <c r="G355" s="38" t="n">
        <v>6</v>
      </c>
      <c r="H355" s="721" t="n">
        <v>2.4</v>
      </c>
      <c r="I355" s="721" t="n">
        <v>2.6</v>
      </c>
      <c r="J355" s="38" t="n">
        <v>156</v>
      </c>
      <c r="K355" s="38" t="inlineStr">
        <is>
          <t>12</t>
        </is>
      </c>
      <c r="L355" s="39" t="inlineStr">
        <is>
          <t>СК2</t>
        </is>
      </c>
      <c r="M355" s="38" t="n">
        <v>40</v>
      </c>
      <c r="N355" s="922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55" s="723" t="n"/>
      <c r="P355" s="723" t="n"/>
      <c r="Q355" s="723" t="n"/>
      <c r="R355" s="689" t="n"/>
      <c r="S355" s="40" t="inlineStr"/>
      <c r="T355" s="40" t="inlineStr"/>
      <c r="U355" s="41" t="inlineStr">
        <is>
          <t>кг</t>
        </is>
      </c>
      <c r="V355" s="724" t="n">
        <v>0</v>
      </c>
      <c r="W355" s="725">
        <f>IFERROR(IF(V355="",0,CEILING((V355/$H355),1)*$H355),"")</f>
        <v/>
      </c>
      <c r="X355" s="42">
        <f>IFERROR(IF(W355=0,"",ROUNDUP(W355/H355,0)*0.00753),"")</f>
        <v/>
      </c>
      <c r="Y355" s="69" t="inlineStr"/>
      <c r="Z355" s="70" t="inlineStr"/>
      <c r="AD355" s="71" t="n"/>
      <c r="BA355" s="266" t="inlineStr">
        <is>
          <t>КИ</t>
        </is>
      </c>
    </row>
    <row r="356">
      <c r="A356" s="407" t="n"/>
      <c r="B356" s="677" t="n"/>
      <c r="C356" s="677" t="n"/>
      <c r="D356" s="677" t="n"/>
      <c r="E356" s="677" t="n"/>
      <c r="F356" s="677" t="n"/>
      <c r="G356" s="677" t="n"/>
      <c r="H356" s="677" t="n"/>
      <c r="I356" s="677" t="n"/>
      <c r="J356" s="677" t="n"/>
      <c r="K356" s="677" t="n"/>
      <c r="L356" s="677" t="n"/>
      <c r="M356" s="726" t="n"/>
      <c r="N356" s="727" t="inlineStr">
        <is>
          <t>Итого</t>
        </is>
      </c>
      <c r="O356" s="697" t="n"/>
      <c r="P356" s="697" t="n"/>
      <c r="Q356" s="697" t="n"/>
      <c r="R356" s="697" t="n"/>
      <c r="S356" s="697" t="n"/>
      <c r="T356" s="698" t="n"/>
      <c r="U356" s="43" t="inlineStr">
        <is>
          <t>кор</t>
        </is>
      </c>
      <c r="V356" s="728">
        <f>IFERROR(V352/H352,"0")+IFERROR(V353/H353,"0")+IFERROR(V354/H354,"0")+IFERROR(V355/H355,"0")</f>
        <v/>
      </c>
      <c r="W356" s="728">
        <f>IFERROR(W352/H352,"0")+IFERROR(W353/H353,"0")+IFERROR(W354/H354,"0")+IFERROR(W355/H355,"0")</f>
        <v/>
      </c>
      <c r="X356" s="728">
        <f>IFERROR(IF(X352="",0,X352),"0")+IFERROR(IF(X353="",0,X353),"0")+IFERROR(IF(X354="",0,X354),"0")+IFERROR(IF(X355="",0,X355),"0")</f>
        <v/>
      </c>
      <c r="Y356" s="729" t="n"/>
      <c r="Z356" s="729" t="n"/>
    </row>
    <row r="357">
      <c r="A357" s="677" t="n"/>
      <c r="B357" s="677" t="n"/>
      <c r="C357" s="677" t="n"/>
      <c r="D357" s="677" t="n"/>
      <c r="E357" s="677" t="n"/>
      <c r="F357" s="677" t="n"/>
      <c r="G357" s="677" t="n"/>
      <c r="H357" s="677" t="n"/>
      <c r="I357" s="677" t="n"/>
      <c r="J357" s="677" t="n"/>
      <c r="K357" s="677" t="n"/>
      <c r="L357" s="677" t="n"/>
      <c r="M357" s="726" t="n"/>
      <c r="N357" s="727" t="inlineStr">
        <is>
          <t>Итого</t>
        </is>
      </c>
      <c r="O357" s="697" t="n"/>
      <c r="P357" s="697" t="n"/>
      <c r="Q357" s="697" t="n"/>
      <c r="R357" s="697" t="n"/>
      <c r="S357" s="697" t="n"/>
      <c r="T357" s="698" t="n"/>
      <c r="U357" s="43" t="inlineStr">
        <is>
          <t>кг</t>
        </is>
      </c>
      <c r="V357" s="728">
        <f>IFERROR(SUM(V352:V355),"0")</f>
        <v/>
      </c>
      <c r="W357" s="728">
        <f>IFERROR(SUM(W352:W355),"0")</f>
        <v/>
      </c>
      <c r="X357" s="43" t="n"/>
      <c r="Y357" s="729" t="n"/>
      <c r="Z357" s="729" t="n"/>
    </row>
    <row r="358" ht="14.25" customHeight="1">
      <c r="A358" s="398" t="inlineStr">
        <is>
          <t>Сардельки</t>
        </is>
      </c>
      <c r="B358" s="677" t="n"/>
      <c r="C358" s="677" t="n"/>
      <c r="D358" s="677" t="n"/>
      <c r="E358" s="677" t="n"/>
      <c r="F358" s="677" t="n"/>
      <c r="G358" s="677" t="n"/>
      <c r="H358" s="677" t="n"/>
      <c r="I358" s="677" t="n"/>
      <c r="J358" s="677" t="n"/>
      <c r="K358" s="677" t="n"/>
      <c r="L358" s="677" t="n"/>
      <c r="M358" s="677" t="n"/>
      <c r="N358" s="677" t="n"/>
      <c r="O358" s="677" t="n"/>
      <c r="P358" s="677" t="n"/>
      <c r="Q358" s="677" t="n"/>
      <c r="R358" s="677" t="n"/>
      <c r="S358" s="677" t="n"/>
      <c r="T358" s="677" t="n"/>
      <c r="U358" s="677" t="n"/>
      <c r="V358" s="677" t="n"/>
      <c r="W358" s="677" t="n"/>
      <c r="X358" s="677" t="n"/>
      <c r="Y358" s="398" t="n"/>
      <c r="Z358" s="398" t="n"/>
    </row>
    <row r="359" ht="27" customHeight="1">
      <c r="A359" s="64" t="inlineStr">
        <is>
          <t>SU002472</t>
        </is>
      </c>
      <c r="B359" s="64" t="inlineStr">
        <is>
          <t>P002973</t>
        </is>
      </c>
      <c r="C359" s="37" t="n">
        <v>4301060322</v>
      </c>
      <c r="D359" s="399" t="n">
        <v>4607091389357</v>
      </c>
      <c r="E359" s="689" t="n"/>
      <c r="F359" s="721" t="n">
        <v>1.3</v>
      </c>
      <c r="G359" s="38" t="n">
        <v>6</v>
      </c>
      <c r="H359" s="721" t="n">
        <v>7.8</v>
      </c>
      <c r="I359" s="721" t="n">
        <v>8.279999999999999</v>
      </c>
      <c r="J359" s="38" t="n">
        <v>56</v>
      </c>
      <c r="K359" s="38" t="inlineStr">
        <is>
          <t>8</t>
        </is>
      </c>
      <c r="L359" s="39" t="inlineStr">
        <is>
          <t>СК2</t>
        </is>
      </c>
      <c r="M359" s="38" t="n">
        <v>40</v>
      </c>
      <c r="N359" s="923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59" s="723" t="n"/>
      <c r="P359" s="723" t="n"/>
      <c r="Q359" s="723" t="n"/>
      <c r="R359" s="689" t="n"/>
      <c r="S359" s="40" t="inlineStr"/>
      <c r="T359" s="40" t="inlineStr"/>
      <c r="U359" s="41" t="inlineStr">
        <is>
          <t>кг</t>
        </is>
      </c>
      <c r="V359" s="724" t="n">
        <v>0</v>
      </c>
      <c r="W359" s="725">
        <f>IFERROR(IF(V359="",0,CEILING((V359/$H359),1)*$H359),"")</f>
        <v/>
      </c>
      <c r="X359" s="42">
        <f>IFERROR(IF(W359=0,"",ROUNDUP(W359/H359,0)*0.02175),"")</f>
        <v/>
      </c>
      <c r="Y359" s="69" t="inlineStr"/>
      <c r="Z359" s="70" t="inlineStr"/>
      <c r="AD359" s="71" t="n"/>
      <c r="BA359" s="267" t="inlineStr">
        <is>
          <t>КИ</t>
        </is>
      </c>
    </row>
    <row r="360">
      <c r="A360" s="407" t="n"/>
      <c r="B360" s="677" t="n"/>
      <c r="C360" s="677" t="n"/>
      <c r="D360" s="677" t="n"/>
      <c r="E360" s="677" t="n"/>
      <c r="F360" s="677" t="n"/>
      <c r="G360" s="677" t="n"/>
      <c r="H360" s="677" t="n"/>
      <c r="I360" s="677" t="n"/>
      <c r="J360" s="677" t="n"/>
      <c r="K360" s="677" t="n"/>
      <c r="L360" s="677" t="n"/>
      <c r="M360" s="726" t="n"/>
      <c r="N360" s="727" t="inlineStr">
        <is>
          <t>Итого</t>
        </is>
      </c>
      <c r="O360" s="697" t="n"/>
      <c r="P360" s="697" t="n"/>
      <c r="Q360" s="697" t="n"/>
      <c r="R360" s="697" t="n"/>
      <c r="S360" s="697" t="n"/>
      <c r="T360" s="698" t="n"/>
      <c r="U360" s="43" t="inlineStr">
        <is>
          <t>кор</t>
        </is>
      </c>
      <c r="V360" s="728">
        <f>IFERROR(V359/H359,"0")</f>
        <v/>
      </c>
      <c r="W360" s="728">
        <f>IFERROR(W359/H359,"0")</f>
        <v/>
      </c>
      <c r="X360" s="728">
        <f>IFERROR(IF(X359="",0,X359),"0")</f>
        <v/>
      </c>
      <c r="Y360" s="729" t="n"/>
      <c r="Z360" s="729" t="n"/>
    </row>
    <row r="361">
      <c r="A361" s="677" t="n"/>
      <c r="B361" s="677" t="n"/>
      <c r="C361" s="677" t="n"/>
      <c r="D361" s="677" t="n"/>
      <c r="E361" s="677" t="n"/>
      <c r="F361" s="677" t="n"/>
      <c r="G361" s="677" t="n"/>
      <c r="H361" s="677" t="n"/>
      <c r="I361" s="677" t="n"/>
      <c r="J361" s="677" t="n"/>
      <c r="K361" s="677" t="n"/>
      <c r="L361" s="677" t="n"/>
      <c r="M361" s="726" t="n"/>
      <c r="N361" s="727" t="inlineStr">
        <is>
          <t>Итого</t>
        </is>
      </c>
      <c r="O361" s="697" t="n"/>
      <c r="P361" s="697" t="n"/>
      <c r="Q361" s="697" t="n"/>
      <c r="R361" s="697" t="n"/>
      <c r="S361" s="697" t="n"/>
      <c r="T361" s="698" t="n"/>
      <c r="U361" s="43" t="inlineStr">
        <is>
          <t>кг</t>
        </is>
      </c>
      <c r="V361" s="728">
        <f>IFERROR(SUM(V359:V359),"0")</f>
        <v/>
      </c>
      <c r="W361" s="728">
        <f>IFERROR(SUM(W359:W359),"0")</f>
        <v/>
      </c>
      <c r="X361" s="43" t="n"/>
      <c r="Y361" s="729" t="n"/>
      <c r="Z361" s="729" t="n"/>
    </row>
    <row r="362" ht="27.75" customHeight="1">
      <c r="A362" s="396" t="inlineStr">
        <is>
          <t>Баварушка</t>
        </is>
      </c>
      <c r="B362" s="720" t="n"/>
      <c r="C362" s="720" t="n"/>
      <c r="D362" s="720" t="n"/>
      <c r="E362" s="720" t="n"/>
      <c r="F362" s="720" t="n"/>
      <c r="G362" s="720" t="n"/>
      <c r="H362" s="720" t="n"/>
      <c r="I362" s="720" t="n"/>
      <c r="J362" s="720" t="n"/>
      <c r="K362" s="720" t="n"/>
      <c r="L362" s="720" t="n"/>
      <c r="M362" s="720" t="n"/>
      <c r="N362" s="720" t="n"/>
      <c r="O362" s="720" t="n"/>
      <c r="P362" s="720" t="n"/>
      <c r="Q362" s="720" t="n"/>
      <c r="R362" s="720" t="n"/>
      <c r="S362" s="720" t="n"/>
      <c r="T362" s="720" t="n"/>
      <c r="U362" s="720" t="n"/>
      <c r="V362" s="720" t="n"/>
      <c r="W362" s="720" t="n"/>
      <c r="X362" s="720" t="n"/>
      <c r="Y362" s="55" t="n"/>
      <c r="Z362" s="55" t="n"/>
    </row>
    <row r="363" ht="16.5" customHeight="1">
      <c r="A363" s="397" t="inlineStr">
        <is>
          <t>Филейбургская</t>
        </is>
      </c>
      <c r="B363" s="677" t="n"/>
      <c r="C363" s="677" t="n"/>
      <c r="D363" s="677" t="n"/>
      <c r="E363" s="677" t="n"/>
      <c r="F363" s="677" t="n"/>
      <c r="G363" s="677" t="n"/>
      <c r="H363" s="677" t="n"/>
      <c r="I363" s="677" t="n"/>
      <c r="J363" s="677" t="n"/>
      <c r="K363" s="677" t="n"/>
      <c r="L363" s="677" t="n"/>
      <c r="M363" s="677" t="n"/>
      <c r="N363" s="677" t="n"/>
      <c r="O363" s="677" t="n"/>
      <c r="P363" s="677" t="n"/>
      <c r="Q363" s="677" t="n"/>
      <c r="R363" s="677" t="n"/>
      <c r="S363" s="677" t="n"/>
      <c r="T363" s="677" t="n"/>
      <c r="U363" s="677" t="n"/>
      <c r="V363" s="677" t="n"/>
      <c r="W363" s="677" t="n"/>
      <c r="X363" s="677" t="n"/>
      <c r="Y363" s="397" t="n"/>
      <c r="Z363" s="397" t="n"/>
    </row>
    <row r="364" ht="14.25" customHeight="1">
      <c r="A364" s="398" t="inlineStr">
        <is>
          <t>Вареные колбасы</t>
        </is>
      </c>
      <c r="B364" s="677" t="n"/>
      <c r="C364" s="677" t="n"/>
      <c r="D364" s="677" t="n"/>
      <c r="E364" s="677" t="n"/>
      <c r="F364" s="677" t="n"/>
      <c r="G364" s="677" t="n"/>
      <c r="H364" s="677" t="n"/>
      <c r="I364" s="677" t="n"/>
      <c r="J364" s="677" t="n"/>
      <c r="K364" s="677" t="n"/>
      <c r="L364" s="677" t="n"/>
      <c r="M364" s="677" t="n"/>
      <c r="N364" s="677" t="n"/>
      <c r="O364" s="677" t="n"/>
      <c r="P364" s="677" t="n"/>
      <c r="Q364" s="677" t="n"/>
      <c r="R364" s="677" t="n"/>
      <c r="S364" s="677" t="n"/>
      <c r="T364" s="677" t="n"/>
      <c r="U364" s="677" t="n"/>
      <c r="V364" s="677" t="n"/>
      <c r="W364" s="677" t="n"/>
      <c r="X364" s="677" t="n"/>
      <c r="Y364" s="398" t="n"/>
      <c r="Z364" s="398" t="n"/>
    </row>
    <row r="365" ht="27" customHeight="1">
      <c r="A365" s="64" t="inlineStr">
        <is>
          <t>SU002477</t>
        </is>
      </c>
      <c r="B365" s="64" t="inlineStr">
        <is>
          <t>P003148</t>
        </is>
      </c>
      <c r="C365" s="37" t="n">
        <v>4301011428</v>
      </c>
      <c r="D365" s="399" t="n">
        <v>4607091389708</v>
      </c>
      <c r="E365" s="689" t="n"/>
      <c r="F365" s="721" t="n">
        <v>0.45</v>
      </c>
      <c r="G365" s="38" t="n">
        <v>6</v>
      </c>
      <c r="H365" s="721" t="n">
        <v>2.7</v>
      </c>
      <c r="I365" s="721" t="n">
        <v>2.9</v>
      </c>
      <c r="J365" s="38" t="n">
        <v>156</v>
      </c>
      <c r="K365" s="38" t="inlineStr">
        <is>
          <t>12</t>
        </is>
      </c>
      <c r="L365" s="39" t="inlineStr">
        <is>
          <t>СК1</t>
        </is>
      </c>
      <c r="M365" s="38" t="n">
        <v>50</v>
      </c>
      <c r="N365" s="92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65" s="723" t="n"/>
      <c r="P365" s="723" t="n"/>
      <c r="Q365" s="723" t="n"/>
      <c r="R365" s="689" t="n"/>
      <c r="S365" s="40" t="inlineStr"/>
      <c r="T365" s="40" t="inlineStr"/>
      <c r="U365" s="41" t="inlineStr">
        <is>
          <t>кг</t>
        </is>
      </c>
      <c r="V365" s="724" t="n">
        <v>0</v>
      </c>
      <c r="W365" s="725">
        <f>IFERROR(IF(V365="",0,CEILING((V365/$H365),1)*$H365),"")</f>
        <v/>
      </c>
      <c r="X365" s="42">
        <f>IFERROR(IF(W365=0,"",ROUNDUP(W365/H365,0)*0.00753),"")</f>
        <v/>
      </c>
      <c r="Y365" s="69" t="inlineStr"/>
      <c r="Z365" s="70" t="inlineStr"/>
      <c r="AD365" s="71" t="n"/>
      <c r="BA365" s="268" t="inlineStr">
        <is>
          <t>КИ</t>
        </is>
      </c>
    </row>
    <row r="366" ht="27" customHeight="1">
      <c r="A366" s="64" t="inlineStr">
        <is>
          <t>SU002476</t>
        </is>
      </c>
      <c r="B366" s="64" t="inlineStr">
        <is>
          <t>P003147</t>
        </is>
      </c>
      <c r="C366" s="37" t="n">
        <v>4301011427</v>
      </c>
      <c r="D366" s="399" t="n">
        <v>4607091389692</v>
      </c>
      <c r="E366" s="689" t="n"/>
      <c r="F366" s="721" t="n">
        <v>0.45</v>
      </c>
      <c r="G366" s="38" t="n">
        <v>6</v>
      </c>
      <c r="H366" s="721" t="n">
        <v>2.7</v>
      </c>
      <c r="I366" s="721" t="n">
        <v>2.9</v>
      </c>
      <c r="J366" s="38" t="n">
        <v>156</v>
      </c>
      <c r="K366" s="38" t="inlineStr">
        <is>
          <t>12</t>
        </is>
      </c>
      <c r="L366" s="39" t="inlineStr">
        <is>
          <t>СК1</t>
        </is>
      </c>
      <c r="M366" s="38" t="n">
        <v>50</v>
      </c>
      <c r="N366" s="925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66" s="723" t="n"/>
      <c r="P366" s="723" t="n"/>
      <c r="Q366" s="723" t="n"/>
      <c r="R366" s="689" t="n"/>
      <c r="S366" s="40" t="inlineStr"/>
      <c r="T366" s="40" t="inlineStr"/>
      <c r="U366" s="41" t="inlineStr">
        <is>
          <t>кг</t>
        </is>
      </c>
      <c r="V366" s="724" t="n">
        <v>0</v>
      </c>
      <c r="W366" s="725">
        <f>IFERROR(IF(V366="",0,CEILING((V366/$H366),1)*$H366),"")</f>
        <v/>
      </c>
      <c r="X366" s="42">
        <f>IFERROR(IF(W366=0,"",ROUNDUP(W366/H366,0)*0.00753),"")</f>
        <v/>
      </c>
      <c r="Y366" s="69" t="inlineStr"/>
      <c r="Z366" s="70" t="inlineStr"/>
      <c r="AD366" s="71" t="n"/>
      <c r="BA366" s="269" t="inlineStr">
        <is>
          <t>КИ</t>
        </is>
      </c>
    </row>
    <row r="367">
      <c r="A367" s="407" t="n"/>
      <c r="B367" s="677" t="n"/>
      <c r="C367" s="677" t="n"/>
      <c r="D367" s="677" t="n"/>
      <c r="E367" s="677" t="n"/>
      <c r="F367" s="677" t="n"/>
      <c r="G367" s="677" t="n"/>
      <c r="H367" s="677" t="n"/>
      <c r="I367" s="677" t="n"/>
      <c r="J367" s="677" t="n"/>
      <c r="K367" s="677" t="n"/>
      <c r="L367" s="677" t="n"/>
      <c r="M367" s="726" t="n"/>
      <c r="N367" s="727" t="inlineStr">
        <is>
          <t>Итого</t>
        </is>
      </c>
      <c r="O367" s="697" t="n"/>
      <c r="P367" s="697" t="n"/>
      <c r="Q367" s="697" t="n"/>
      <c r="R367" s="697" t="n"/>
      <c r="S367" s="697" t="n"/>
      <c r="T367" s="698" t="n"/>
      <c r="U367" s="43" t="inlineStr">
        <is>
          <t>кор</t>
        </is>
      </c>
      <c r="V367" s="728">
        <f>IFERROR(V365/H365,"0")+IFERROR(V366/H366,"0")</f>
        <v/>
      </c>
      <c r="W367" s="728">
        <f>IFERROR(W365/H365,"0")+IFERROR(W366/H366,"0")</f>
        <v/>
      </c>
      <c r="X367" s="728">
        <f>IFERROR(IF(X365="",0,X365),"0")+IFERROR(IF(X366="",0,X366),"0")</f>
        <v/>
      </c>
      <c r="Y367" s="729" t="n"/>
      <c r="Z367" s="729" t="n"/>
    </row>
    <row r="368">
      <c r="A368" s="677" t="n"/>
      <c r="B368" s="677" t="n"/>
      <c r="C368" s="677" t="n"/>
      <c r="D368" s="677" t="n"/>
      <c r="E368" s="677" t="n"/>
      <c r="F368" s="677" t="n"/>
      <c r="G368" s="677" t="n"/>
      <c r="H368" s="677" t="n"/>
      <c r="I368" s="677" t="n"/>
      <c r="J368" s="677" t="n"/>
      <c r="K368" s="677" t="n"/>
      <c r="L368" s="677" t="n"/>
      <c r="M368" s="726" t="n"/>
      <c r="N368" s="727" t="inlineStr">
        <is>
          <t>Итого</t>
        </is>
      </c>
      <c r="O368" s="697" t="n"/>
      <c r="P368" s="697" t="n"/>
      <c r="Q368" s="697" t="n"/>
      <c r="R368" s="697" t="n"/>
      <c r="S368" s="697" t="n"/>
      <c r="T368" s="698" t="n"/>
      <c r="U368" s="43" t="inlineStr">
        <is>
          <t>кг</t>
        </is>
      </c>
      <c r="V368" s="728">
        <f>IFERROR(SUM(V365:V366),"0")</f>
        <v/>
      </c>
      <c r="W368" s="728">
        <f>IFERROR(SUM(W365:W366),"0")</f>
        <v/>
      </c>
      <c r="X368" s="43" t="n"/>
      <c r="Y368" s="729" t="n"/>
      <c r="Z368" s="729" t="n"/>
    </row>
    <row r="369" ht="14.25" customHeight="1">
      <c r="A369" s="398" t="inlineStr">
        <is>
          <t>Копченые колбасы</t>
        </is>
      </c>
      <c r="B369" s="677" t="n"/>
      <c r="C369" s="677" t="n"/>
      <c r="D369" s="677" t="n"/>
      <c r="E369" s="677" t="n"/>
      <c r="F369" s="677" t="n"/>
      <c r="G369" s="677" t="n"/>
      <c r="H369" s="677" t="n"/>
      <c r="I369" s="677" t="n"/>
      <c r="J369" s="677" t="n"/>
      <c r="K369" s="677" t="n"/>
      <c r="L369" s="677" t="n"/>
      <c r="M369" s="677" t="n"/>
      <c r="N369" s="677" t="n"/>
      <c r="O369" s="677" t="n"/>
      <c r="P369" s="677" t="n"/>
      <c r="Q369" s="677" t="n"/>
      <c r="R369" s="677" t="n"/>
      <c r="S369" s="677" t="n"/>
      <c r="T369" s="677" t="n"/>
      <c r="U369" s="677" t="n"/>
      <c r="V369" s="677" t="n"/>
      <c r="W369" s="677" t="n"/>
      <c r="X369" s="677" t="n"/>
      <c r="Y369" s="398" t="n"/>
      <c r="Z369" s="398" t="n"/>
    </row>
    <row r="370" ht="27" customHeight="1">
      <c r="A370" s="64" t="inlineStr">
        <is>
          <t>SU002614</t>
        </is>
      </c>
      <c r="B370" s="64" t="inlineStr">
        <is>
          <t>P003138</t>
        </is>
      </c>
      <c r="C370" s="37" t="n">
        <v>4301031177</v>
      </c>
      <c r="D370" s="399" t="n">
        <v>4607091389753</v>
      </c>
      <c r="E370" s="689" t="n"/>
      <c r="F370" s="721" t="n">
        <v>0.7</v>
      </c>
      <c r="G370" s="38" t="n">
        <v>6</v>
      </c>
      <c r="H370" s="721" t="n">
        <v>4.2</v>
      </c>
      <c r="I370" s="721" t="n">
        <v>4.43</v>
      </c>
      <c r="J370" s="38" t="n">
        <v>156</v>
      </c>
      <c r="K370" s="38" t="inlineStr">
        <is>
          <t>12</t>
        </is>
      </c>
      <c r="L370" s="39" t="inlineStr">
        <is>
          <t>СК2</t>
        </is>
      </c>
      <c r="M370" s="38" t="n">
        <v>45</v>
      </c>
      <c r="N370" s="926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70" s="723" t="n"/>
      <c r="P370" s="723" t="n"/>
      <c r="Q370" s="723" t="n"/>
      <c r="R370" s="689" t="n"/>
      <c r="S370" s="40" t="inlineStr"/>
      <c r="T370" s="40" t="inlineStr"/>
      <c r="U370" s="41" t="inlineStr">
        <is>
          <t>кг</t>
        </is>
      </c>
      <c r="V370" s="724" t="n">
        <v>0</v>
      </c>
      <c r="W370" s="725">
        <f>IFERROR(IF(V370="",0,CEILING((V370/$H370),1)*$H370),"")</f>
        <v/>
      </c>
      <c r="X370" s="42">
        <f>IFERROR(IF(W370=0,"",ROUNDUP(W370/H370,0)*0.00753),"")</f>
        <v/>
      </c>
      <c r="Y370" s="69" t="inlineStr"/>
      <c r="Z370" s="70" t="inlineStr"/>
      <c r="AD370" s="71" t="n"/>
      <c r="BA370" s="270" t="inlineStr">
        <is>
          <t>КИ</t>
        </is>
      </c>
    </row>
    <row r="371" ht="27" customHeight="1">
      <c r="A371" s="64" t="inlineStr">
        <is>
          <t>SU002615</t>
        </is>
      </c>
      <c r="B371" s="64" t="inlineStr">
        <is>
          <t>P003136</t>
        </is>
      </c>
      <c r="C371" s="37" t="n">
        <v>4301031174</v>
      </c>
      <c r="D371" s="399" t="n">
        <v>4607091389760</v>
      </c>
      <c r="E371" s="689" t="n"/>
      <c r="F371" s="721" t="n">
        <v>0.7</v>
      </c>
      <c r="G371" s="38" t="n">
        <v>6</v>
      </c>
      <c r="H371" s="721" t="n">
        <v>4.2</v>
      </c>
      <c r="I371" s="721" t="n">
        <v>4.43</v>
      </c>
      <c r="J371" s="38" t="n">
        <v>156</v>
      </c>
      <c r="K371" s="38" t="inlineStr">
        <is>
          <t>12</t>
        </is>
      </c>
      <c r="L371" s="39" t="inlineStr">
        <is>
          <t>СК2</t>
        </is>
      </c>
      <c r="M371" s="38" t="n">
        <v>45</v>
      </c>
      <c r="N371" s="927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71" s="723" t="n"/>
      <c r="P371" s="723" t="n"/>
      <c r="Q371" s="723" t="n"/>
      <c r="R371" s="689" t="n"/>
      <c r="S371" s="40" t="inlineStr"/>
      <c r="T371" s="40" t="inlineStr"/>
      <c r="U371" s="41" t="inlineStr">
        <is>
          <t>кг</t>
        </is>
      </c>
      <c r="V371" s="724" t="n">
        <v>0</v>
      </c>
      <c r="W371" s="725">
        <f>IFERROR(IF(V371="",0,CEILING((V371/$H371),1)*$H371),"")</f>
        <v/>
      </c>
      <c r="X371" s="42">
        <f>IFERROR(IF(W371=0,"",ROUNDUP(W371/H371,0)*0.00753),"")</f>
        <v/>
      </c>
      <c r="Y371" s="69" t="inlineStr"/>
      <c r="Z371" s="70" t="inlineStr"/>
      <c r="AD371" s="71" t="n"/>
      <c r="BA371" s="271" t="inlineStr">
        <is>
          <t>КИ</t>
        </is>
      </c>
    </row>
    <row r="372" ht="27" customHeight="1">
      <c r="A372" s="64" t="inlineStr">
        <is>
          <t>SU002613</t>
        </is>
      </c>
      <c r="B372" s="64" t="inlineStr">
        <is>
          <t>P003133</t>
        </is>
      </c>
      <c r="C372" s="37" t="n">
        <v>4301031175</v>
      </c>
      <c r="D372" s="399" t="n">
        <v>4607091389746</v>
      </c>
      <c r="E372" s="689" t="n"/>
      <c r="F372" s="721" t="n">
        <v>0.7</v>
      </c>
      <c r="G372" s="38" t="n">
        <v>6</v>
      </c>
      <c r="H372" s="721" t="n">
        <v>4.2</v>
      </c>
      <c r="I372" s="721" t="n">
        <v>4.43</v>
      </c>
      <c r="J372" s="38" t="n">
        <v>156</v>
      </c>
      <c r="K372" s="38" t="inlineStr">
        <is>
          <t>12</t>
        </is>
      </c>
      <c r="L372" s="39" t="inlineStr">
        <is>
          <t>СК2</t>
        </is>
      </c>
      <c r="M372" s="38" t="n">
        <v>45</v>
      </c>
      <c r="N372" s="928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72" s="723" t="n"/>
      <c r="P372" s="723" t="n"/>
      <c r="Q372" s="723" t="n"/>
      <c r="R372" s="689" t="n"/>
      <c r="S372" s="40" t="inlineStr"/>
      <c r="T372" s="40" t="inlineStr"/>
      <c r="U372" s="41" t="inlineStr">
        <is>
          <t>кг</t>
        </is>
      </c>
      <c r="V372" s="724" t="n">
        <v>113</v>
      </c>
      <c r="W372" s="725">
        <f>IFERROR(IF(V372="",0,CEILING((V372/$H372),1)*$H372),"")</f>
        <v/>
      </c>
      <c r="X372" s="42">
        <f>IFERROR(IF(W372=0,"",ROUNDUP(W372/H372,0)*0.00753),"")</f>
        <v/>
      </c>
      <c r="Y372" s="69" t="inlineStr"/>
      <c r="Z372" s="70" t="inlineStr"/>
      <c r="AD372" s="71" t="n"/>
      <c r="BA372" s="272" t="inlineStr">
        <is>
          <t>КИ</t>
        </is>
      </c>
    </row>
    <row r="373" ht="37.5" customHeight="1">
      <c r="A373" s="64" t="inlineStr">
        <is>
          <t>SU003035</t>
        </is>
      </c>
      <c r="B373" s="64" t="inlineStr">
        <is>
          <t>P003496</t>
        </is>
      </c>
      <c r="C373" s="37" t="n">
        <v>4301031236</v>
      </c>
      <c r="D373" s="399" t="n">
        <v>4680115882928</v>
      </c>
      <c r="E373" s="689" t="n"/>
      <c r="F373" s="721" t="n">
        <v>0.28</v>
      </c>
      <c r="G373" s="38" t="n">
        <v>6</v>
      </c>
      <c r="H373" s="721" t="n">
        <v>1.68</v>
      </c>
      <c r="I373" s="721" t="n">
        <v>2.6</v>
      </c>
      <c r="J373" s="38" t="n">
        <v>156</v>
      </c>
      <c r="K373" s="38" t="inlineStr">
        <is>
          <t>12</t>
        </is>
      </c>
      <c r="L373" s="39" t="inlineStr">
        <is>
          <t>СК2</t>
        </is>
      </c>
      <c r="M373" s="38" t="n">
        <v>35</v>
      </c>
      <c r="N373" s="929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73" s="723" t="n"/>
      <c r="P373" s="723" t="n"/>
      <c r="Q373" s="723" t="n"/>
      <c r="R373" s="689" t="n"/>
      <c r="S373" s="40" t="inlineStr"/>
      <c r="T373" s="40" t="inlineStr"/>
      <c r="U373" s="41" t="inlineStr">
        <is>
          <t>кг</t>
        </is>
      </c>
      <c r="V373" s="724" t="n">
        <v>0</v>
      </c>
      <c r="W373" s="725">
        <f>IFERROR(IF(V373="",0,CEILING((V373/$H373),1)*$H373),"")</f>
        <v/>
      </c>
      <c r="X373" s="42">
        <f>IFERROR(IF(W373=0,"",ROUNDUP(W373/H373,0)*0.00753),"")</f>
        <v/>
      </c>
      <c r="Y373" s="69" t="inlineStr"/>
      <c r="Z373" s="70" t="inlineStr"/>
      <c r="AD373" s="71" t="n"/>
      <c r="BA373" s="273" t="inlineStr">
        <is>
          <t>КИ</t>
        </is>
      </c>
    </row>
    <row r="374" ht="27" customHeight="1">
      <c r="A374" s="64" t="inlineStr">
        <is>
          <t>SU003083</t>
        </is>
      </c>
      <c r="B374" s="64" t="inlineStr">
        <is>
          <t>P003646</t>
        </is>
      </c>
      <c r="C374" s="37" t="n">
        <v>4301031257</v>
      </c>
      <c r="D374" s="399" t="n">
        <v>4680115883147</v>
      </c>
      <c r="E374" s="689" t="n"/>
      <c r="F374" s="721" t="n">
        <v>0.28</v>
      </c>
      <c r="G374" s="38" t="n">
        <v>6</v>
      </c>
      <c r="H374" s="721" t="n">
        <v>1.68</v>
      </c>
      <c r="I374" s="721" t="n">
        <v>1.81</v>
      </c>
      <c r="J374" s="38" t="n">
        <v>234</v>
      </c>
      <c r="K374" s="38" t="inlineStr">
        <is>
          <t>18</t>
        </is>
      </c>
      <c r="L374" s="39" t="inlineStr">
        <is>
          <t>СК2</t>
        </is>
      </c>
      <c r="M374" s="38" t="n">
        <v>45</v>
      </c>
      <c r="N374" s="930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74" s="723" t="n"/>
      <c r="P374" s="723" t="n"/>
      <c r="Q374" s="723" t="n"/>
      <c r="R374" s="689" t="n"/>
      <c r="S374" s="40" t="inlineStr"/>
      <c r="T374" s="40" t="inlineStr"/>
      <c r="U374" s="41" t="inlineStr">
        <is>
          <t>кг</t>
        </is>
      </c>
      <c r="V374" s="724" t="n">
        <v>0</v>
      </c>
      <c r="W374" s="725">
        <f>IFERROR(IF(V374="",0,CEILING((V374/$H374),1)*$H374),"")</f>
        <v/>
      </c>
      <c r="X374" s="42">
        <f>IFERROR(IF(W374=0,"",ROUNDUP(W374/H374,0)*0.00502),"")</f>
        <v/>
      </c>
      <c r="Y374" s="69" t="inlineStr"/>
      <c r="Z374" s="70" t="inlineStr"/>
      <c r="AD374" s="71" t="n"/>
      <c r="BA374" s="274" t="inlineStr">
        <is>
          <t>КИ</t>
        </is>
      </c>
    </row>
    <row r="375" ht="27" customHeight="1">
      <c r="A375" s="64" t="inlineStr">
        <is>
          <t>SU002538</t>
        </is>
      </c>
      <c r="B375" s="64" t="inlineStr">
        <is>
          <t>P003139</t>
        </is>
      </c>
      <c r="C375" s="37" t="n">
        <v>4301031178</v>
      </c>
      <c r="D375" s="399" t="n">
        <v>4607091384338</v>
      </c>
      <c r="E375" s="689" t="n"/>
      <c r="F375" s="721" t="n">
        <v>0.35</v>
      </c>
      <c r="G375" s="38" t="n">
        <v>6</v>
      </c>
      <c r="H375" s="721" t="n">
        <v>2.1</v>
      </c>
      <c r="I375" s="721" t="n">
        <v>2.23</v>
      </c>
      <c r="J375" s="38" t="n">
        <v>234</v>
      </c>
      <c r="K375" s="38" t="inlineStr">
        <is>
          <t>18</t>
        </is>
      </c>
      <c r="L375" s="39" t="inlineStr">
        <is>
          <t>СК2</t>
        </is>
      </c>
      <c r="M375" s="38" t="n">
        <v>45</v>
      </c>
      <c r="N375" s="931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75" s="723" t="n"/>
      <c r="P375" s="723" t="n"/>
      <c r="Q375" s="723" t="n"/>
      <c r="R375" s="689" t="n"/>
      <c r="S375" s="40" t="inlineStr"/>
      <c r="T375" s="40" t="inlineStr"/>
      <c r="U375" s="41" t="inlineStr">
        <is>
          <t>кг</t>
        </is>
      </c>
      <c r="V375" s="724" t="n">
        <v>14</v>
      </c>
      <c r="W375" s="725">
        <f>IFERROR(IF(V375="",0,CEILING((V375/$H375),1)*$H375),"")</f>
        <v/>
      </c>
      <c r="X375" s="42">
        <f>IFERROR(IF(W375=0,"",ROUNDUP(W375/H375,0)*0.00502),"")</f>
        <v/>
      </c>
      <c r="Y375" s="69" t="inlineStr"/>
      <c r="Z375" s="70" t="inlineStr"/>
      <c r="AD375" s="71" t="n"/>
      <c r="BA375" s="275" t="inlineStr">
        <is>
          <t>КИ</t>
        </is>
      </c>
    </row>
    <row r="376" ht="37.5" customHeight="1">
      <c r="A376" s="64" t="inlineStr">
        <is>
          <t>SU003079</t>
        </is>
      </c>
      <c r="B376" s="64" t="inlineStr">
        <is>
          <t>P003643</t>
        </is>
      </c>
      <c r="C376" s="37" t="n">
        <v>4301031254</v>
      </c>
      <c r="D376" s="399" t="n">
        <v>4680115883154</v>
      </c>
      <c r="E376" s="689" t="n"/>
      <c r="F376" s="721" t="n">
        <v>0.28</v>
      </c>
      <c r="G376" s="38" t="n">
        <v>6</v>
      </c>
      <c r="H376" s="721" t="n">
        <v>1.68</v>
      </c>
      <c r="I376" s="721" t="n">
        <v>1.81</v>
      </c>
      <c r="J376" s="38" t="n">
        <v>234</v>
      </c>
      <c r="K376" s="38" t="inlineStr">
        <is>
          <t>18</t>
        </is>
      </c>
      <c r="L376" s="39" t="inlineStr">
        <is>
          <t>СК2</t>
        </is>
      </c>
      <c r="M376" s="38" t="n">
        <v>45</v>
      </c>
      <c r="N376" s="932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76" s="723" t="n"/>
      <c r="P376" s="723" t="n"/>
      <c r="Q376" s="723" t="n"/>
      <c r="R376" s="689" t="n"/>
      <c r="S376" s="40" t="inlineStr"/>
      <c r="T376" s="40" t="inlineStr"/>
      <c r="U376" s="41" t="inlineStr">
        <is>
          <t>кг</t>
        </is>
      </c>
      <c r="V376" s="724" t="n">
        <v>0</v>
      </c>
      <c r="W376" s="725">
        <f>IFERROR(IF(V376="",0,CEILING((V376/$H376),1)*$H376),"")</f>
        <v/>
      </c>
      <c r="X376" s="42">
        <f>IFERROR(IF(W376=0,"",ROUNDUP(W376/H376,0)*0.00502),"")</f>
        <v/>
      </c>
      <c r="Y376" s="69" t="inlineStr"/>
      <c r="Z376" s="70" t="inlineStr"/>
      <c r="AD376" s="71" t="n"/>
      <c r="BA376" s="276" t="inlineStr">
        <is>
          <t>КИ</t>
        </is>
      </c>
    </row>
    <row r="377" ht="37.5" customHeight="1">
      <c r="A377" s="64" t="inlineStr">
        <is>
          <t>SU002602</t>
        </is>
      </c>
      <c r="B377" s="64" t="inlineStr">
        <is>
          <t>P003132</t>
        </is>
      </c>
      <c r="C377" s="37" t="n">
        <v>4301031171</v>
      </c>
      <c r="D377" s="399" t="n">
        <v>4607091389524</v>
      </c>
      <c r="E377" s="689" t="n"/>
      <c r="F377" s="721" t="n">
        <v>0.35</v>
      </c>
      <c r="G377" s="38" t="n">
        <v>6</v>
      </c>
      <c r="H377" s="721" t="n">
        <v>2.1</v>
      </c>
      <c r="I377" s="721" t="n">
        <v>2.23</v>
      </c>
      <c r="J377" s="38" t="n">
        <v>234</v>
      </c>
      <c r="K377" s="38" t="inlineStr">
        <is>
          <t>18</t>
        </is>
      </c>
      <c r="L377" s="39" t="inlineStr">
        <is>
          <t>СК2</t>
        </is>
      </c>
      <c r="M377" s="38" t="n">
        <v>45</v>
      </c>
      <c r="N377" s="933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77" s="723" t="n"/>
      <c r="P377" s="723" t="n"/>
      <c r="Q377" s="723" t="n"/>
      <c r="R377" s="689" t="n"/>
      <c r="S377" s="40" t="inlineStr"/>
      <c r="T377" s="40" t="inlineStr"/>
      <c r="U377" s="41" t="inlineStr">
        <is>
          <t>кг</t>
        </is>
      </c>
      <c r="V377" s="724" t="n">
        <v>0</v>
      </c>
      <c r="W377" s="725">
        <f>IFERROR(IF(V377="",0,CEILING((V377/$H377),1)*$H377),"")</f>
        <v/>
      </c>
      <c r="X377" s="42">
        <f>IFERROR(IF(W377=0,"",ROUNDUP(W377/H377,0)*0.00502),"")</f>
        <v/>
      </c>
      <c r="Y377" s="69" t="inlineStr"/>
      <c r="Z377" s="70" t="inlineStr"/>
      <c r="AD377" s="71" t="n"/>
      <c r="BA377" s="277" t="inlineStr">
        <is>
          <t>КИ</t>
        </is>
      </c>
    </row>
    <row r="378" ht="27" customHeight="1">
      <c r="A378" s="64" t="inlineStr">
        <is>
          <t>SU003080</t>
        </is>
      </c>
      <c r="B378" s="64" t="inlineStr">
        <is>
          <t>P003647</t>
        </is>
      </c>
      <c r="C378" s="37" t="n">
        <v>4301031258</v>
      </c>
      <c r="D378" s="399" t="n">
        <v>4680115883161</v>
      </c>
      <c r="E378" s="689" t="n"/>
      <c r="F378" s="721" t="n">
        <v>0.28</v>
      </c>
      <c r="G378" s="38" t="n">
        <v>6</v>
      </c>
      <c r="H378" s="721" t="n">
        <v>1.68</v>
      </c>
      <c r="I378" s="721" t="n">
        <v>1.81</v>
      </c>
      <c r="J378" s="38" t="n">
        <v>234</v>
      </c>
      <c r="K378" s="38" t="inlineStr">
        <is>
          <t>18</t>
        </is>
      </c>
      <c r="L378" s="39" t="inlineStr">
        <is>
          <t>СК2</t>
        </is>
      </c>
      <c r="M378" s="38" t="n">
        <v>45</v>
      </c>
      <c r="N378" s="934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78" s="723" t="n"/>
      <c r="P378" s="723" t="n"/>
      <c r="Q378" s="723" t="n"/>
      <c r="R378" s="689" t="n"/>
      <c r="S378" s="40" t="inlineStr"/>
      <c r="T378" s="40" t="inlineStr"/>
      <c r="U378" s="41" t="inlineStr">
        <is>
          <t>кг</t>
        </is>
      </c>
      <c r="V378" s="724" t="n">
        <v>0</v>
      </c>
      <c r="W378" s="725">
        <f>IFERROR(IF(V378="",0,CEILING((V378/$H378),1)*$H378),"")</f>
        <v/>
      </c>
      <c r="X378" s="42">
        <f>IFERROR(IF(W378=0,"",ROUNDUP(W378/H378,0)*0.00502),"")</f>
        <v/>
      </c>
      <c r="Y378" s="69" t="inlineStr"/>
      <c r="Z378" s="70" t="inlineStr"/>
      <c r="AD378" s="71" t="n"/>
      <c r="BA378" s="278" t="inlineStr">
        <is>
          <t>КИ</t>
        </is>
      </c>
    </row>
    <row r="379" ht="27" customHeight="1">
      <c r="A379" s="64" t="inlineStr">
        <is>
          <t>SU002603</t>
        </is>
      </c>
      <c r="B379" s="64" t="inlineStr">
        <is>
          <t>P003131</t>
        </is>
      </c>
      <c r="C379" s="37" t="n">
        <v>4301031170</v>
      </c>
      <c r="D379" s="399" t="n">
        <v>4607091384345</v>
      </c>
      <c r="E379" s="689" t="n"/>
      <c r="F379" s="721" t="n">
        <v>0.35</v>
      </c>
      <c r="G379" s="38" t="n">
        <v>6</v>
      </c>
      <c r="H379" s="721" t="n">
        <v>2.1</v>
      </c>
      <c r="I379" s="721" t="n">
        <v>2.23</v>
      </c>
      <c r="J379" s="38" t="n">
        <v>234</v>
      </c>
      <c r="K379" s="38" t="inlineStr">
        <is>
          <t>18</t>
        </is>
      </c>
      <c r="L379" s="39" t="inlineStr">
        <is>
          <t>СК2</t>
        </is>
      </c>
      <c r="M379" s="38" t="n">
        <v>45</v>
      </c>
      <c r="N379" s="935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79" s="723" t="n"/>
      <c r="P379" s="723" t="n"/>
      <c r="Q379" s="723" t="n"/>
      <c r="R379" s="689" t="n"/>
      <c r="S379" s="40" t="inlineStr"/>
      <c r="T379" s="40" t="inlineStr"/>
      <c r="U379" s="41" t="inlineStr">
        <is>
          <t>кг</t>
        </is>
      </c>
      <c r="V379" s="724" t="n">
        <v>0</v>
      </c>
      <c r="W379" s="725">
        <f>IFERROR(IF(V379="",0,CEILING((V379/$H379),1)*$H379),"")</f>
        <v/>
      </c>
      <c r="X379" s="42">
        <f>IFERROR(IF(W379=0,"",ROUNDUP(W379/H379,0)*0.00502),"")</f>
        <v/>
      </c>
      <c r="Y379" s="69" t="inlineStr"/>
      <c r="Z379" s="70" t="inlineStr"/>
      <c r="AD379" s="71" t="n"/>
      <c r="BA379" s="279" t="inlineStr">
        <is>
          <t>КИ</t>
        </is>
      </c>
    </row>
    <row r="380" ht="27" customHeight="1">
      <c r="A380" s="64" t="inlineStr">
        <is>
          <t>SU003081</t>
        </is>
      </c>
      <c r="B380" s="64" t="inlineStr">
        <is>
          <t>P003645</t>
        </is>
      </c>
      <c r="C380" s="37" t="n">
        <v>4301031256</v>
      </c>
      <c r="D380" s="399" t="n">
        <v>4680115883178</v>
      </c>
      <c r="E380" s="689" t="n"/>
      <c r="F380" s="721" t="n">
        <v>0.28</v>
      </c>
      <c r="G380" s="38" t="n">
        <v>6</v>
      </c>
      <c r="H380" s="721" t="n">
        <v>1.68</v>
      </c>
      <c r="I380" s="721" t="n">
        <v>1.81</v>
      </c>
      <c r="J380" s="38" t="n">
        <v>234</v>
      </c>
      <c r="K380" s="38" t="inlineStr">
        <is>
          <t>18</t>
        </is>
      </c>
      <c r="L380" s="39" t="inlineStr">
        <is>
          <t>СК2</t>
        </is>
      </c>
      <c r="M380" s="38" t="n">
        <v>45</v>
      </c>
      <c r="N380" s="936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80" s="723" t="n"/>
      <c r="P380" s="723" t="n"/>
      <c r="Q380" s="723" t="n"/>
      <c r="R380" s="689" t="n"/>
      <c r="S380" s="40" t="inlineStr"/>
      <c r="T380" s="40" t="inlineStr"/>
      <c r="U380" s="41" t="inlineStr">
        <is>
          <t>кг</t>
        </is>
      </c>
      <c r="V380" s="724" t="n">
        <v>0</v>
      </c>
      <c r="W380" s="725">
        <f>IFERROR(IF(V380="",0,CEILING((V380/$H380),1)*$H380),"")</f>
        <v/>
      </c>
      <c r="X380" s="42">
        <f>IFERROR(IF(W380=0,"",ROUNDUP(W380/H380,0)*0.00502),"")</f>
        <v/>
      </c>
      <c r="Y380" s="69" t="inlineStr"/>
      <c r="Z380" s="70" t="inlineStr"/>
      <c r="AD380" s="71" t="n"/>
      <c r="BA380" s="280" t="inlineStr">
        <is>
          <t>КИ</t>
        </is>
      </c>
    </row>
    <row r="381" ht="27" customHeight="1">
      <c r="A381" s="64" t="inlineStr">
        <is>
          <t>SU002606</t>
        </is>
      </c>
      <c r="B381" s="64" t="inlineStr">
        <is>
          <t>P003134</t>
        </is>
      </c>
      <c r="C381" s="37" t="n">
        <v>4301031172</v>
      </c>
      <c r="D381" s="399" t="n">
        <v>4607091389531</v>
      </c>
      <c r="E381" s="689" t="n"/>
      <c r="F381" s="721" t="n">
        <v>0.35</v>
      </c>
      <c r="G381" s="38" t="n">
        <v>6</v>
      </c>
      <c r="H381" s="721" t="n">
        <v>2.1</v>
      </c>
      <c r="I381" s="721" t="n">
        <v>2.23</v>
      </c>
      <c r="J381" s="38" t="n">
        <v>234</v>
      </c>
      <c r="K381" s="38" t="inlineStr">
        <is>
          <t>18</t>
        </is>
      </c>
      <c r="L381" s="39" t="inlineStr">
        <is>
          <t>СК2</t>
        </is>
      </c>
      <c r="M381" s="38" t="n">
        <v>45</v>
      </c>
      <c r="N381" s="937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81" s="723" t="n"/>
      <c r="P381" s="723" t="n"/>
      <c r="Q381" s="723" t="n"/>
      <c r="R381" s="689" t="n"/>
      <c r="S381" s="40" t="inlineStr"/>
      <c r="T381" s="40" t="inlineStr"/>
      <c r="U381" s="41" t="inlineStr">
        <is>
          <t>кг</t>
        </is>
      </c>
      <c r="V381" s="724" t="n">
        <v>0</v>
      </c>
      <c r="W381" s="725">
        <f>IFERROR(IF(V381="",0,CEILING((V381/$H381),1)*$H381),"")</f>
        <v/>
      </c>
      <c r="X381" s="42">
        <f>IFERROR(IF(W381=0,"",ROUNDUP(W381/H381,0)*0.00502),"")</f>
        <v/>
      </c>
      <c r="Y381" s="69" t="inlineStr"/>
      <c r="Z381" s="70" t="inlineStr"/>
      <c r="AD381" s="71" t="n"/>
      <c r="BA381" s="281" t="inlineStr">
        <is>
          <t>КИ</t>
        </is>
      </c>
    </row>
    <row r="382" ht="27" customHeight="1">
      <c r="A382" s="64" t="inlineStr">
        <is>
          <t>SU003082</t>
        </is>
      </c>
      <c r="B382" s="64" t="inlineStr">
        <is>
          <t>P003644</t>
        </is>
      </c>
      <c r="C382" s="37" t="n">
        <v>4301031255</v>
      </c>
      <c r="D382" s="399" t="n">
        <v>4680115883185</v>
      </c>
      <c r="E382" s="689" t="n"/>
      <c r="F382" s="721" t="n">
        <v>0.28</v>
      </c>
      <c r="G382" s="38" t="n">
        <v>6</v>
      </c>
      <c r="H382" s="721" t="n">
        <v>1.68</v>
      </c>
      <c r="I382" s="721" t="n">
        <v>1.81</v>
      </c>
      <c r="J382" s="38" t="n">
        <v>234</v>
      </c>
      <c r="K382" s="38" t="inlineStr">
        <is>
          <t>18</t>
        </is>
      </c>
      <c r="L382" s="39" t="inlineStr">
        <is>
          <t>СК2</t>
        </is>
      </c>
      <c r="M382" s="38" t="n">
        <v>45</v>
      </c>
      <c r="N382" s="938" t="inlineStr">
        <is>
          <t>В/к колбасы «Филейбургская с душистым чесноком» срез Фикс.вес 0,28 фиброуз в/у Баварушка</t>
        </is>
      </c>
      <c r="O382" s="723" t="n"/>
      <c r="P382" s="723" t="n"/>
      <c r="Q382" s="723" t="n"/>
      <c r="R382" s="689" t="n"/>
      <c r="S382" s="40" t="inlineStr"/>
      <c r="T382" s="40" t="inlineStr"/>
      <c r="U382" s="41" t="inlineStr">
        <is>
          <t>кг</t>
        </is>
      </c>
      <c r="V382" s="724" t="n">
        <v>0</v>
      </c>
      <c r="W382" s="725">
        <f>IFERROR(IF(V382="",0,CEILING((V382/$H382),1)*$H382),"")</f>
        <v/>
      </c>
      <c r="X382" s="42">
        <f>IFERROR(IF(W382=0,"",ROUNDUP(W382/H382,0)*0.00502),"")</f>
        <v/>
      </c>
      <c r="Y382" s="69" t="inlineStr"/>
      <c r="Z382" s="70" t="inlineStr"/>
      <c r="AD382" s="71" t="n"/>
      <c r="BA382" s="282" t="inlineStr">
        <is>
          <t>КИ</t>
        </is>
      </c>
    </row>
    <row r="383">
      <c r="A383" s="407" t="n"/>
      <c r="B383" s="677" t="n"/>
      <c r="C383" s="677" t="n"/>
      <c r="D383" s="677" t="n"/>
      <c r="E383" s="677" t="n"/>
      <c r="F383" s="677" t="n"/>
      <c r="G383" s="677" t="n"/>
      <c r="H383" s="677" t="n"/>
      <c r="I383" s="677" t="n"/>
      <c r="J383" s="677" t="n"/>
      <c r="K383" s="677" t="n"/>
      <c r="L383" s="677" t="n"/>
      <c r="M383" s="726" t="n"/>
      <c r="N383" s="727" t="inlineStr">
        <is>
          <t>Итого</t>
        </is>
      </c>
      <c r="O383" s="697" t="n"/>
      <c r="P383" s="697" t="n"/>
      <c r="Q383" s="697" t="n"/>
      <c r="R383" s="697" t="n"/>
      <c r="S383" s="697" t="n"/>
      <c r="T383" s="698" t="n"/>
      <c r="U383" s="43" t="inlineStr">
        <is>
          <t>кор</t>
        </is>
      </c>
      <c r="V383" s="728">
        <f>IFERROR(V370/H370,"0")+IFERROR(V371/H371,"0")+IFERROR(V372/H372,"0")+IFERROR(V373/H373,"0")+IFERROR(V374/H374,"0")+IFERROR(V375/H375,"0")+IFERROR(V376/H376,"0")+IFERROR(V377/H377,"0")+IFERROR(V378/H378,"0")+IFERROR(V379/H379,"0")+IFERROR(V380/H380,"0")+IFERROR(V381/H381,"0")+IFERROR(V382/H382,"0")</f>
        <v/>
      </c>
      <c r="W383" s="728">
        <f>IFERROR(W370/H370,"0")+IFERROR(W371/H371,"0")+IFERROR(W372/H372,"0")+IFERROR(W373/H373,"0")+IFERROR(W374/H374,"0")+IFERROR(W375/H375,"0")+IFERROR(W376/H376,"0")+IFERROR(W377/H377,"0")+IFERROR(W378/H378,"0")+IFERROR(W379/H379,"0")+IFERROR(W380/H380,"0")+IFERROR(W381/H381,"0")+IFERROR(W382/H382,"0")</f>
        <v/>
      </c>
      <c r="X383" s="728">
        <f>IFERROR(IF(X370="",0,X370),"0")+IFERROR(IF(X371="",0,X371),"0")+IFERROR(IF(X372="",0,X372),"0")+IFERROR(IF(X373="",0,X373),"0")+IFERROR(IF(X374="",0,X374),"0")+IFERROR(IF(X375="",0,X375),"0")+IFERROR(IF(X376="",0,X376),"0")+IFERROR(IF(X377="",0,X377),"0")+IFERROR(IF(X378="",0,X378),"0")+IFERROR(IF(X379="",0,X379),"0")+IFERROR(IF(X380="",0,X380),"0")+IFERROR(IF(X381="",0,X381),"0")+IFERROR(IF(X382="",0,X382),"0")</f>
        <v/>
      </c>
      <c r="Y383" s="729" t="n"/>
      <c r="Z383" s="729" t="n"/>
    </row>
    <row r="384">
      <c r="A384" s="677" t="n"/>
      <c r="B384" s="677" t="n"/>
      <c r="C384" s="677" t="n"/>
      <c r="D384" s="677" t="n"/>
      <c r="E384" s="677" t="n"/>
      <c r="F384" s="677" t="n"/>
      <c r="G384" s="677" t="n"/>
      <c r="H384" s="677" t="n"/>
      <c r="I384" s="677" t="n"/>
      <c r="J384" s="677" t="n"/>
      <c r="K384" s="677" t="n"/>
      <c r="L384" s="677" t="n"/>
      <c r="M384" s="726" t="n"/>
      <c r="N384" s="727" t="inlineStr">
        <is>
          <t>Итого</t>
        </is>
      </c>
      <c r="O384" s="697" t="n"/>
      <c r="P384" s="697" t="n"/>
      <c r="Q384" s="697" t="n"/>
      <c r="R384" s="697" t="n"/>
      <c r="S384" s="697" t="n"/>
      <c r="T384" s="698" t="n"/>
      <c r="U384" s="43" t="inlineStr">
        <is>
          <t>кг</t>
        </is>
      </c>
      <c r="V384" s="728">
        <f>IFERROR(SUM(V370:V382),"0")</f>
        <v/>
      </c>
      <c r="W384" s="728">
        <f>IFERROR(SUM(W370:W382),"0")</f>
        <v/>
      </c>
      <c r="X384" s="43" t="n"/>
      <c r="Y384" s="729" t="n"/>
      <c r="Z384" s="729" t="n"/>
    </row>
    <row r="385" ht="14.25" customHeight="1">
      <c r="A385" s="398" t="inlineStr">
        <is>
          <t>Сосиски</t>
        </is>
      </c>
      <c r="B385" s="677" t="n"/>
      <c r="C385" s="677" t="n"/>
      <c r="D385" s="677" t="n"/>
      <c r="E385" s="677" t="n"/>
      <c r="F385" s="677" t="n"/>
      <c r="G385" s="677" t="n"/>
      <c r="H385" s="677" t="n"/>
      <c r="I385" s="677" t="n"/>
      <c r="J385" s="677" t="n"/>
      <c r="K385" s="677" t="n"/>
      <c r="L385" s="677" t="n"/>
      <c r="M385" s="677" t="n"/>
      <c r="N385" s="677" t="n"/>
      <c r="O385" s="677" t="n"/>
      <c r="P385" s="677" t="n"/>
      <c r="Q385" s="677" t="n"/>
      <c r="R385" s="677" t="n"/>
      <c r="S385" s="677" t="n"/>
      <c r="T385" s="677" t="n"/>
      <c r="U385" s="677" t="n"/>
      <c r="V385" s="677" t="n"/>
      <c r="W385" s="677" t="n"/>
      <c r="X385" s="677" t="n"/>
      <c r="Y385" s="398" t="n"/>
      <c r="Z385" s="398" t="n"/>
    </row>
    <row r="386" ht="27" customHeight="1">
      <c r="A386" s="64" t="inlineStr">
        <is>
          <t>SU002448</t>
        </is>
      </c>
      <c r="B386" s="64" t="inlineStr">
        <is>
          <t>P002914</t>
        </is>
      </c>
      <c r="C386" s="37" t="n">
        <v>4301051258</v>
      </c>
      <c r="D386" s="399" t="n">
        <v>4607091389685</v>
      </c>
      <c r="E386" s="689" t="n"/>
      <c r="F386" s="721" t="n">
        <v>1.3</v>
      </c>
      <c r="G386" s="38" t="n">
        <v>6</v>
      </c>
      <c r="H386" s="721" t="n">
        <v>7.8</v>
      </c>
      <c r="I386" s="721" t="n">
        <v>8.346</v>
      </c>
      <c r="J386" s="38" t="n">
        <v>56</v>
      </c>
      <c r="K386" s="38" t="inlineStr">
        <is>
          <t>8</t>
        </is>
      </c>
      <c r="L386" s="39" t="inlineStr">
        <is>
          <t>СК3</t>
        </is>
      </c>
      <c r="M386" s="38" t="n">
        <v>45</v>
      </c>
      <c r="N386" s="939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86" s="723" t="n"/>
      <c r="P386" s="723" t="n"/>
      <c r="Q386" s="723" t="n"/>
      <c r="R386" s="689" t="n"/>
      <c r="S386" s="40" t="inlineStr"/>
      <c r="T386" s="40" t="inlineStr"/>
      <c r="U386" s="41" t="inlineStr">
        <is>
          <t>кг</t>
        </is>
      </c>
      <c r="V386" s="724" t="n">
        <v>0</v>
      </c>
      <c r="W386" s="725">
        <f>IFERROR(IF(V386="",0,CEILING((V386/$H386),1)*$H386),"")</f>
        <v/>
      </c>
      <c r="X386" s="42">
        <f>IFERROR(IF(W386=0,"",ROUNDUP(W386/H386,0)*0.02175),"")</f>
        <v/>
      </c>
      <c r="Y386" s="69" t="inlineStr"/>
      <c r="Z386" s="70" t="inlineStr"/>
      <c r="AD386" s="71" t="n"/>
      <c r="BA386" s="283" t="inlineStr">
        <is>
          <t>КИ</t>
        </is>
      </c>
    </row>
    <row r="387" ht="27" customHeight="1">
      <c r="A387" s="64" t="inlineStr">
        <is>
          <t>SU002557</t>
        </is>
      </c>
      <c r="B387" s="64" t="inlineStr">
        <is>
          <t>P003318</t>
        </is>
      </c>
      <c r="C387" s="37" t="n">
        <v>4301051431</v>
      </c>
      <c r="D387" s="399" t="n">
        <v>4607091389654</v>
      </c>
      <c r="E387" s="689" t="n"/>
      <c r="F387" s="721" t="n">
        <v>0.33</v>
      </c>
      <c r="G387" s="38" t="n">
        <v>6</v>
      </c>
      <c r="H387" s="721" t="n">
        <v>1.98</v>
      </c>
      <c r="I387" s="721" t="n">
        <v>2.258</v>
      </c>
      <c r="J387" s="38" t="n">
        <v>156</v>
      </c>
      <c r="K387" s="38" t="inlineStr">
        <is>
          <t>12</t>
        </is>
      </c>
      <c r="L387" s="39" t="inlineStr">
        <is>
          <t>СК3</t>
        </is>
      </c>
      <c r="M387" s="38" t="n">
        <v>45</v>
      </c>
      <c r="N387" s="940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87" s="723" t="n"/>
      <c r="P387" s="723" t="n"/>
      <c r="Q387" s="723" t="n"/>
      <c r="R387" s="689" t="n"/>
      <c r="S387" s="40" t="inlineStr"/>
      <c r="T387" s="40" t="inlineStr"/>
      <c r="U387" s="41" t="inlineStr">
        <is>
          <t>кг</t>
        </is>
      </c>
      <c r="V387" s="724" t="n">
        <v>0</v>
      </c>
      <c r="W387" s="725">
        <f>IFERROR(IF(V387="",0,CEILING((V387/$H387),1)*$H387),"")</f>
        <v/>
      </c>
      <c r="X387" s="42">
        <f>IFERROR(IF(W387=0,"",ROUNDUP(W387/H387,0)*0.00753),"")</f>
        <v/>
      </c>
      <c r="Y387" s="69" t="inlineStr"/>
      <c r="Z387" s="70" t="inlineStr"/>
      <c r="AD387" s="71" t="n"/>
      <c r="BA387" s="284" t="inlineStr">
        <is>
          <t>КИ</t>
        </is>
      </c>
    </row>
    <row r="388" ht="27" customHeight="1">
      <c r="A388" s="64" t="inlineStr">
        <is>
          <t>SU002285</t>
        </is>
      </c>
      <c r="B388" s="64" t="inlineStr">
        <is>
          <t>P002969</t>
        </is>
      </c>
      <c r="C388" s="37" t="n">
        <v>4301051284</v>
      </c>
      <c r="D388" s="399" t="n">
        <v>4607091384352</v>
      </c>
      <c r="E388" s="689" t="n"/>
      <c r="F388" s="721" t="n">
        <v>0.6</v>
      </c>
      <c r="G388" s="38" t="n">
        <v>4</v>
      </c>
      <c r="H388" s="721" t="n">
        <v>2.4</v>
      </c>
      <c r="I388" s="721" t="n">
        <v>2.646</v>
      </c>
      <c r="J388" s="38" t="n">
        <v>120</v>
      </c>
      <c r="K388" s="38" t="inlineStr">
        <is>
          <t>12</t>
        </is>
      </c>
      <c r="L388" s="39" t="inlineStr">
        <is>
          <t>СК3</t>
        </is>
      </c>
      <c r="M388" s="38" t="n">
        <v>45</v>
      </c>
      <c r="N388" s="941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88" s="723" t="n"/>
      <c r="P388" s="723" t="n"/>
      <c r="Q388" s="723" t="n"/>
      <c r="R388" s="689" t="n"/>
      <c r="S388" s="40" t="inlineStr"/>
      <c r="T388" s="40" t="inlineStr"/>
      <c r="U388" s="41" t="inlineStr">
        <is>
          <t>кг</t>
        </is>
      </c>
      <c r="V388" s="724" t="n">
        <v>0</v>
      </c>
      <c r="W388" s="725">
        <f>IFERROR(IF(V388="",0,CEILING((V388/$H388),1)*$H388),"")</f>
        <v/>
      </c>
      <c r="X388" s="42">
        <f>IFERROR(IF(W388=0,"",ROUNDUP(W388/H388,0)*0.00937),"")</f>
        <v/>
      </c>
      <c r="Y388" s="69" t="inlineStr"/>
      <c r="Z388" s="70" t="inlineStr"/>
      <c r="AD388" s="71" t="n"/>
      <c r="BA388" s="285" t="inlineStr">
        <is>
          <t>КИ</t>
        </is>
      </c>
    </row>
    <row r="389" ht="27" customHeight="1">
      <c r="A389" s="64" t="inlineStr">
        <is>
          <t>SU002419</t>
        </is>
      </c>
      <c r="B389" s="64" t="inlineStr">
        <is>
          <t>P002913</t>
        </is>
      </c>
      <c r="C389" s="37" t="n">
        <v>4301051257</v>
      </c>
      <c r="D389" s="399" t="n">
        <v>4607091389661</v>
      </c>
      <c r="E389" s="689" t="n"/>
      <c r="F389" s="721" t="n">
        <v>0.55</v>
      </c>
      <c r="G389" s="38" t="n">
        <v>4</v>
      </c>
      <c r="H389" s="721" t="n">
        <v>2.2</v>
      </c>
      <c r="I389" s="721" t="n">
        <v>2.492</v>
      </c>
      <c r="J389" s="38" t="n">
        <v>120</v>
      </c>
      <c r="K389" s="38" t="inlineStr">
        <is>
          <t>12</t>
        </is>
      </c>
      <c r="L389" s="39" t="inlineStr">
        <is>
          <t>СК3</t>
        </is>
      </c>
      <c r="M389" s="38" t="n">
        <v>45</v>
      </c>
      <c r="N389" s="942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89" s="723" t="n"/>
      <c r="P389" s="723" t="n"/>
      <c r="Q389" s="723" t="n"/>
      <c r="R389" s="689" t="n"/>
      <c r="S389" s="40" t="inlineStr"/>
      <c r="T389" s="40" t="inlineStr"/>
      <c r="U389" s="41" t="inlineStr">
        <is>
          <t>кг</t>
        </is>
      </c>
      <c r="V389" s="724" t="n">
        <v>0</v>
      </c>
      <c r="W389" s="725">
        <f>IFERROR(IF(V389="",0,CEILING((V389/$H389),1)*$H389),"")</f>
        <v/>
      </c>
      <c r="X389" s="42">
        <f>IFERROR(IF(W389=0,"",ROUNDUP(W389/H389,0)*0.00937),"")</f>
        <v/>
      </c>
      <c r="Y389" s="69" t="inlineStr"/>
      <c r="Z389" s="70" t="inlineStr"/>
      <c r="AD389" s="71" t="n"/>
      <c r="BA389" s="286" t="inlineStr">
        <is>
          <t>КИ</t>
        </is>
      </c>
    </row>
    <row r="390">
      <c r="A390" s="407" t="n"/>
      <c r="B390" s="677" t="n"/>
      <c r="C390" s="677" t="n"/>
      <c r="D390" s="677" t="n"/>
      <c r="E390" s="677" t="n"/>
      <c r="F390" s="677" t="n"/>
      <c r="G390" s="677" t="n"/>
      <c r="H390" s="677" t="n"/>
      <c r="I390" s="677" t="n"/>
      <c r="J390" s="677" t="n"/>
      <c r="K390" s="677" t="n"/>
      <c r="L390" s="677" t="n"/>
      <c r="M390" s="726" t="n"/>
      <c r="N390" s="727" t="inlineStr">
        <is>
          <t>Итого</t>
        </is>
      </c>
      <c r="O390" s="697" t="n"/>
      <c r="P390" s="697" t="n"/>
      <c r="Q390" s="697" t="n"/>
      <c r="R390" s="697" t="n"/>
      <c r="S390" s="697" t="n"/>
      <c r="T390" s="698" t="n"/>
      <c r="U390" s="43" t="inlineStr">
        <is>
          <t>кор</t>
        </is>
      </c>
      <c r="V390" s="728">
        <f>IFERROR(V386/H386,"0")+IFERROR(V387/H387,"0")+IFERROR(V388/H388,"0")+IFERROR(V389/H389,"0")</f>
        <v/>
      </c>
      <c r="W390" s="728">
        <f>IFERROR(W386/H386,"0")+IFERROR(W387/H387,"0")+IFERROR(W388/H388,"0")+IFERROR(W389/H389,"0")</f>
        <v/>
      </c>
      <c r="X390" s="728">
        <f>IFERROR(IF(X386="",0,X386),"0")+IFERROR(IF(X387="",0,X387),"0")+IFERROR(IF(X388="",0,X388),"0")+IFERROR(IF(X389="",0,X389),"0")</f>
        <v/>
      </c>
      <c r="Y390" s="729" t="n"/>
      <c r="Z390" s="729" t="n"/>
    </row>
    <row r="391">
      <c r="A391" s="677" t="n"/>
      <c r="B391" s="677" t="n"/>
      <c r="C391" s="677" t="n"/>
      <c r="D391" s="677" t="n"/>
      <c r="E391" s="677" t="n"/>
      <c r="F391" s="677" t="n"/>
      <c r="G391" s="677" t="n"/>
      <c r="H391" s="677" t="n"/>
      <c r="I391" s="677" t="n"/>
      <c r="J391" s="677" t="n"/>
      <c r="K391" s="677" t="n"/>
      <c r="L391" s="677" t="n"/>
      <c r="M391" s="726" t="n"/>
      <c r="N391" s="727" t="inlineStr">
        <is>
          <t>Итого</t>
        </is>
      </c>
      <c r="O391" s="697" t="n"/>
      <c r="P391" s="697" t="n"/>
      <c r="Q391" s="697" t="n"/>
      <c r="R391" s="697" t="n"/>
      <c r="S391" s="697" t="n"/>
      <c r="T391" s="698" t="n"/>
      <c r="U391" s="43" t="inlineStr">
        <is>
          <t>кг</t>
        </is>
      </c>
      <c r="V391" s="728">
        <f>IFERROR(SUM(V386:V389),"0")</f>
        <v/>
      </c>
      <c r="W391" s="728">
        <f>IFERROR(SUM(W386:W389),"0")</f>
        <v/>
      </c>
      <c r="X391" s="43" t="n"/>
      <c r="Y391" s="729" t="n"/>
      <c r="Z391" s="729" t="n"/>
    </row>
    <row r="392" ht="14.25" customHeight="1">
      <c r="A392" s="398" t="inlineStr">
        <is>
          <t>Сардельки</t>
        </is>
      </c>
      <c r="B392" s="677" t="n"/>
      <c r="C392" s="677" t="n"/>
      <c r="D392" s="677" t="n"/>
      <c r="E392" s="677" t="n"/>
      <c r="F392" s="677" t="n"/>
      <c r="G392" s="677" t="n"/>
      <c r="H392" s="677" t="n"/>
      <c r="I392" s="677" t="n"/>
      <c r="J392" s="677" t="n"/>
      <c r="K392" s="677" t="n"/>
      <c r="L392" s="677" t="n"/>
      <c r="M392" s="677" t="n"/>
      <c r="N392" s="677" t="n"/>
      <c r="O392" s="677" t="n"/>
      <c r="P392" s="677" t="n"/>
      <c r="Q392" s="677" t="n"/>
      <c r="R392" s="677" t="n"/>
      <c r="S392" s="677" t="n"/>
      <c r="T392" s="677" t="n"/>
      <c r="U392" s="677" t="n"/>
      <c r="V392" s="677" t="n"/>
      <c r="W392" s="677" t="n"/>
      <c r="X392" s="677" t="n"/>
      <c r="Y392" s="398" t="n"/>
      <c r="Z392" s="398" t="n"/>
    </row>
    <row r="393" ht="27" customHeight="1">
      <c r="A393" s="64" t="inlineStr">
        <is>
          <t>SU002846</t>
        </is>
      </c>
      <c r="B393" s="64" t="inlineStr">
        <is>
          <t>P003254</t>
        </is>
      </c>
      <c r="C393" s="37" t="n">
        <v>4301060352</v>
      </c>
      <c r="D393" s="399" t="n">
        <v>4680115881648</v>
      </c>
      <c r="E393" s="689" t="n"/>
      <c r="F393" s="721" t="n">
        <v>1</v>
      </c>
      <c r="G393" s="38" t="n">
        <v>4</v>
      </c>
      <c r="H393" s="721" t="n">
        <v>4</v>
      </c>
      <c r="I393" s="721" t="n">
        <v>4.404</v>
      </c>
      <c r="J393" s="38" t="n">
        <v>104</v>
      </c>
      <c r="K393" s="38" t="inlineStr">
        <is>
          <t>8</t>
        </is>
      </c>
      <c r="L393" s="39" t="inlineStr">
        <is>
          <t>СК2</t>
        </is>
      </c>
      <c r="M393" s="38" t="n">
        <v>35</v>
      </c>
      <c r="N393" s="943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93" s="723" t="n"/>
      <c r="P393" s="723" t="n"/>
      <c r="Q393" s="723" t="n"/>
      <c r="R393" s="689" t="n"/>
      <c r="S393" s="40" t="inlineStr"/>
      <c r="T393" s="40" t="inlineStr"/>
      <c r="U393" s="41" t="inlineStr">
        <is>
          <t>кг</t>
        </is>
      </c>
      <c r="V393" s="724" t="n">
        <v>0</v>
      </c>
      <c r="W393" s="725">
        <f>IFERROR(IF(V393="",0,CEILING((V393/$H393),1)*$H393),"")</f>
        <v/>
      </c>
      <c r="X393" s="42">
        <f>IFERROR(IF(W393=0,"",ROUNDUP(W393/H393,0)*0.01196),"")</f>
        <v/>
      </c>
      <c r="Y393" s="69" t="inlineStr"/>
      <c r="Z393" s="70" t="inlineStr"/>
      <c r="AD393" s="71" t="n"/>
      <c r="BA393" s="287" t="inlineStr">
        <is>
          <t>КИ</t>
        </is>
      </c>
    </row>
    <row r="394">
      <c r="A394" s="407" t="n"/>
      <c r="B394" s="677" t="n"/>
      <c r="C394" s="677" t="n"/>
      <c r="D394" s="677" t="n"/>
      <c r="E394" s="677" t="n"/>
      <c r="F394" s="677" t="n"/>
      <c r="G394" s="677" t="n"/>
      <c r="H394" s="677" t="n"/>
      <c r="I394" s="677" t="n"/>
      <c r="J394" s="677" t="n"/>
      <c r="K394" s="677" t="n"/>
      <c r="L394" s="677" t="n"/>
      <c r="M394" s="726" t="n"/>
      <c r="N394" s="727" t="inlineStr">
        <is>
          <t>Итого</t>
        </is>
      </c>
      <c r="O394" s="697" t="n"/>
      <c r="P394" s="697" t="n"/>
      <c r="Q394" s="697" t="n"/>
      <c r="R394" s="697" t="n"/>
      <c r="S394" s="697" t="n"/>
      <c r="T394" s="698" t="n"/>
      <c r="U394" s="43" t="inlineStr">
        <is>
          <t>кор</t>
        </is>
      </c>
      <c r="V394" s="728">
        <f>IFERROR(V393/H393,"0")</f>
        <v/>
      </c>
      <c r="W394" s="728">
        <f>IFERROR(W393/H393,"0")</f>
        <v/>
      </c>
      <c r="X394" s="728">
        <f>IFERROR(IF(X393="",0,X393),"0")</f>
        <v/>
      </c>
      <c r="Y394" s="729" t="n"/>
      <c r="Z394" s="729" t="n"/>
    </row>
    <row r="395">
      <c r="A395" s="677" t="n"/>
      <c r="B395" s="677" t="n"/>
      <c r="C395" s="677" t="n"/>
      <c r="D395" s="677" t="n"/>
      <c r="E395" s="677" t="n"/>
      <c r="F395" s="677" t="n"/>
      <c r="G395" s="677" t="n"/>
      <c r="H395" s="677" t="n"/>
      <c r="I395" s="677" t="n"/>
      <c r="J395" s="677" t="n"/>
      <c r="K395" s="677" t="n"/>
      <c r="L395" s="677" t="n"/>
      <c r="M395" s="726" t="n"/>
      <c r="N395" s="727" t="inlineStr">
        <is>
          <t>Итого</t>
        </is>
      </c>
      <c r="O395" s="697" t="n"/>
      <c r="P395" s="697" t="n"/>
      <c r="Q395" s="697" t="n"/>
      <c r="R395" s="697" t="n"/>
      <c r="S395" s="697" t="n"/>
      <c r="T395" s="698" t="n"/>
      <c r="U395" s="43" t="inlineStr">
        <is>
          <t>кг</t>
        </is>
      </c>
      <c r="V395" s="728">
        <f>IFERROR(SUM(V393:V393),"0")</f>
        <v/>
      </c>
      <c r="W395" s="728">
        <f>IFERROR(SUM(W393:W393),"0")</f>
        <v/>
      </c>
      <c r="X395" s="43" t="n"/>
      <c r="Y395" s="729" t="n"/>
      <c r="Z395" s="729" t="n"/>
    </row>
    <row r="396" ht="14.25" customHeight="1">
      <c r="A396" s="398" t="inlineStr">
        <is>
          <t>Сырокопченые колбасы</t>
        </is>
      </c>
      <c r="B396" s="677" t="n"/>
      <c r="C396" s="677" t="n"/>
      <c r="D396" s="677" t="n"/>
      <c r="E396" s="677" t="n"/>
      <c r="F396" s="677" t="n"/>
      <c r="G396" s="677" t="n"/>
      <c r="H396" s="677" t="n"/>
      <c r="I396" s="677" t="n"/>
      <c r="J396" s="677" t="n"/>
      <c r="K396" s="677" t="n"/>
      <c r="L396" s="677" t="n"/>
      <c r="M396" s="677" t="n"/>
      <c r="N396" s="677" t="n"/>
      <c r="O396" s="677" t="n"/>
      <c r="P396" s="677" t="n"/>
      <c r="Q396" s="677" t="n"/>
      <c r="R396" s="677" t="n"/>
      <c r="S396" s="677" t="n"/>
      <c r="T396" s="677" t="n"/>
      <c r="U396" s="677" t="n"/>
      <c r="V396" s="677" t="n"/>
      <c r="W396" s="677" t="n"/>
      <c r="X396" s="677" t="n"/>
      <c r="Y396" s="398" t="n"/>
      <c r="Z396" s="398" t="n"/>
    </row>
    <row r="397" ht="27" customHeight="1">
      <c r="A397" s="64" t="inlineStr">
        <is>
          <t>SU003280</t>
        </is>
      </c>
      <c r="B397" s="64" t="inlineStr">
        <is>
          <t>P003776</t>
        </is>
      </c>
      <c r="C397" s="37" t="n">
        <v>4301032046</v>
      </c>
      <c r="D397" s="399" t="n">
        <v>4680115884359</v>
      </c>
      <c r="E397" s="689" t="n"/>
      <c r="F397" s="721" t="n">
        <v>0.06</v>
      </c>
      <c r="G397" s="38" t="n">
        <v>20</v>
      </c>
      <c r="H397" s="721" t="n">
        <v>1.2</v>
      </c>
      <c r="I397" s="721" t="n">
        <v>1.8</v>
      </c>
      <c r="J397" s="38" t="n">
        <v>200</v>
      </c>
      <c r="K397" s="38" t="inlineStr">
        <is>
          <t>10</t>
        </is>
      </c>
      <c r="L397" s="39" t="inlineStr">
        <is>
          <t>ДК</t>
        </is>
      </c>
      <c r="M397" s="38" t="n">
        <v>60</v>
      </c>
      <c r="N397" s="944" t="inlineStr">
        <is>
          <t>с/к колбасы «Балыкбургская с мраморным балыком и нотками кориандра» ф/в 0,06 нарезка ТМ «Баварушка»</t>
        </is>
      </c>
      <c r="O397" s="723" t="n"/>
      <c r="P397" s="723" t="n"/>
      <c r="Q397" s="723" t="n"/>
      <c r="R397" s="689" t="n"/>
      <c r="S397" s="40" t="inlineStr"/>
      <c r="T397" s="40" t="inlineStr"/>
      <c r="U397" s="41" t="inlineStr">
        <is>
          <t>кг</t>
        </is>
      </c>
      <c r="V397" s="724" t="n">
        <v>0</v>
      </c>
      <c r="W397" s="725">
        <f>IFERROR(IF(V397="",0,CEILING((V397/$H397),1)*$H397),"")</f>
        <v/>
      </c>
      <c r="X397" s="42">
        <f>IFERROR(IF(W397=0,"",ROUNDUP(W397/H397,0)*0.00627),"")</f>
        <v/>
      </c>
      <c r="Y397" s="69" t="inlineStr"/>
      <c r="Z397" s="70" t="inlineStr"/>
      <c r="AD397" s="71" t="n"/>
      <c r="BA397" s="288" t="inlineStr">
        <is>
          <t>КИ</t>
        </is>
      </c>
    </row>
    <row r="398" ht="27" customHeight="1">
      <c r="A398" s="64" t="inlineStr">
        <is>
          <t>SU003277</t>
        </is>
      </c>
      <c r="B398" s="64" t="inlineStr">
        <is>
          <t>P003775</t>
        </is>
      </c>
      <c r="C398" s="37" t="n">
        <v>4301032045</v>
      </c>
      <c r="D398" s="399" t="n">
        <v>4680115884335</v>
      </c>
      <c r="E398" s="689" t="n"/>
      <c r="F398" s="721" t="n">
        <v>0.06</v>
      </c>
      <c r="G398" s="38" t="n">
        <v>20</v>
      </c>
      <c r="H398" s="721" t="n">
        <v>1.2</v>
      </c>
      <c r="I398" s="721" t="n">
        <v>1.8</v>
      </c>
      <c r="J398" s="38" t="n">
        <v>200</v>
      </c>
      <c r="K398" s="38" t="inlineStr">
        <is>
          <t>10</t>
        </is>
      </c>
      <c r="L398" s="39" t="inlineStr">
        <is>
          <t>ДК</t>
        </is>
      </c>
      <c r="M398" s="38" t="n">
        <v>60</v>
      </c>
      <c r="N398" s="945" t="inlineStr">
        <is>
          <t>с/к колбасы «Филейбургская зернистая» ф/в 0,06 нарезка ТМ «Баварушка»</t>
        </is>
      </c>
      <c r="O398" s="723" t="n"/>
      <c r="P398" s="723" t="n"/>
      <c r="Q398" s="723" t="n"/>
      <c r="R398" s="689" t="n"/>
      <c r="S398" s="40" t="inlineStr"/>
      <c r="T398" s="40" t="inlineStr"/>
      <c r="U398" s="41" t="inlineStr">
        <is>
          <t>кг</t>
        </is>
      </c>
      <c r="V398" s="724" t="n">
        <v>0</v>
      </c>
      <c r="W398" s="725">
        <f>IFERROR(IF(V398="",0,CEILING((V398/$H398),1)*$H398),"")</f>
        <v/>
      </c>
      <c r="X398" s="42">
        <f>IFERROR(IF(W398=0,"",ROUNDUP(W398/H398,0)*0.00627),"")</f>
        <v/>
      </c>
      <c r="Y398" s="69" t="inlineStr"/>
      <c r="Z398" s="70" t="inlineStr"/>
      <c r="AD398" s="71" t="n"/>
      <c r="BA398" s="289" t="inlineStr">
        <is>
          <t>КИ</t>
        </is>
      </c>
    </row>
    <row r="399" ht="27" customHeight="1">
      <c r="A399" s="64" t="inlineStr">
        <is>
          <t>SU003278</t>
        </is>
      </c>
      <c r="B399" s="64" t="inlineStr">
        <is>
          <t>P003777</t>
        </is>
      </c>
      <c r="C399" s="37" t="n">
        <v>4301032047</v>
      </c>
      <c r="D399" s="399" t="n">
        <v>4680115884342</v>
      </c>
      <c r="E399" s="689" t="n"/>
      <c r="F399" s="721" t="n">
        <v>0.06</v>
      </c>
      <c r="G399" s="38" t="n">
        <v>20</v>
      </c>
      <c r="H399" s="721" t="n">
        <v>1.2</v>
      </c>
      <c r="I399" s="721" t="n">
        <v>1.8</v>
      </c>
      <c r="J399" s="38" t="n">
        <v>200</v>
      </c>
      <c r="K399" s="38" t="inlineStr">
        <is>
          <t>10</t>
        </is>
      </c>
      <c r="L399" s="39" t="inlineStr">
        <is>
          <t>ДК</t>
        </is>
      </c>
      <c r="M399" s="38" t="n">
        <v>60</v>
      </c>
      <c r="N399" s="946" t="inlineStr">
        <is>
          <t>с/к колбасы «Филейбургская с ароматными пряностями» ф/в 0,06 нарезка ТМ «Баварушка»</t>
        </is>
      </c>
      <c r="O399" s="723" t="n"/>
      <c r="P399" s="723" t="n"/>
      <c r="Q399" s="723" t="n"/>
      <c r="R399" s="689" t="n"/>
      <c r="S399" s="40" t="inlineStr"/>
      <c r="T399" s="40" t="inlineStr"/>
      <c r="U399" s="41" t="inlineStr">
        <is>
          <t>кг</t>
        </is>
      </c>
      <c r="V399" s="724" t="n">
        <v>0</v>
      </c>
      <c r="W399" s="725">
        <f>IFERROR(IF(V399="",0,CEILING((V399/$H399),1)*$H399),"")</f>
        <v/>
      </c>
      <c r="X399" s="42">
        <f>IFERROR(IF(W399=0,"",ROUNDUP(W399/H399,0)*0.00627),"")</f>
        <v/>
      </c>
      <c r="Y399" s="69" t="inlineStr"/>
      <c r="Z399" s="70" t="inlineStr"/>
      <c r="AD399" s="71" t="n"/>
      <c r="BA399" s="290" t="inlineStr">
        <is>
          <t>КИ</t>
        </is>
      </c>
    </row>
    <row r="400" ht="27" customHeight="1">
      <c r="A400" s="64" t="inlineStr">
        <is>
          <t>SU003281</t>
        </is>
      </c>
      <c r="B400" s="64" t="inlineStr">
        <is>
          <t>P003774</t>
        </is>
      </c>
      <c r="C400" s="37" t="n">
        <v>4301170011</v>
      </c>
      <c r="D400" s="399" t="n">
        <v>4680115884113</v>
      </c>
      <c r="E400" s="689" t="n"/>
      <c r="F400" s="721" t="n">
        <v>0.11</v>
      </c>
      <c r="G400" s="38" t="n">
        <v>12</v>
      </c>
      <c r="H400" s="721" t="n">
        <v>1.32</v>
      </c>
      <c r="I400" s="721" t="n">
        <v>1.88</v>
      </c>
      <c r="J400" s="38" t="n">
        <v>200</v>
      </c>
      <c r="K400" s="38" t="inlineStr">
        <is>
          <t>10</t>
        </is>
      </c>
      <c r="L400" s="39" t="inlineStr">
        <is>
          <t>ДК</t>
        </is>
      </c>
      <c r="M400" s="38" t="n">
        <v>150</v>
      </c>
      <c r="N400" s="947" t="inlineStr">
        <is>
          <t>с/к колбасы «Филейбургская с филе сочного окорока» ф/в 0,11 н/о ТМ «Баварушка»</t>
        </is>
      </c>
      <c r="O400" s="723" t="n"/>
      <c r="P400" s="723" t="n"/>
      <c r="Q400" s="723" t="n"/>
      <c r="R400" s="689" t="n"/>
      <c r="S400" s="40" t="inlineStr"/>
      <c r="T400" s="40" t="inlineStr"/>
      <c r="U400" s="41" t="inlineStr">
        <is>
          <t>кг</t>
        </is>
      </c>
      <c r="V400" s="724" t="n">
        <v>0</v>
      </c>
      <c r="W400" s="725">
        <f>IFERROR(IF(V400="",0,CEILING((V400/$H400),1)*$H400),"")</f>
        <v/>
      </c>
      <c r="X400" s="42">
        <f>IFERROR(IF(W400=0,"",ROUNDUP(W400/H400,0)*0.00627),"")</f>
        <v/>
      </c>
      <c r="Y400" s="69" t="inlineStr"/>
      <c r="Z400" s="70" t="inlineStr"/>
      <c r="AD400" s="71" t="n"/>
      <c r="BA400" s="291" t="inlineStr">
        <is>
          <t>КИ</t>
        </is>
      </c>
    </row>
    <row r="401">
      <c r="A401" s="407" t="n"/>
      <c r="B401" s="677" t="n"/>
      <c r="C401" s="677" t="n"/>
      <c r="D401" s="677" t="n"/>
      <c r="E401" s="677" t="n"/>
      <c r="F401" s="677" t="n"/>
      <c r="G401" s="677" t="n"/>
      <c r="H401" s="677" t="n"/>
      <c r="I401" s="677" t="n"/>
      <c r="J401" s="677" t="n"/>
      <c r="K401" s="677" t="n"/>
      <c r="L401" s="677" t="n"/>
      <c r="M401" s="726" t="n"/>
      <c r="N401" s="727" t="inlineStr">
        <is>
          <t>Итого</t>
        </is>
      </c>
      <c r="O401" s="697" t="n"/>
      <c r="P401" s="697" t="n"/>
      <c r="Q401" s="697" t="n"/>
      <c r="R401" s="697" t="n"/>
      <c r="S401" s="697" t="n"/>
      <c r="T401" s="698" t="n"/>
      <c r="U401" s="43" t="inlineStr">
        <is>
          <t>кор</t>
        </is>
      </c>
      <c r="V401" s="728">
        <f>IFERROR(V397/H397,"0")+IFERROR(V398/H398,"0")+IFERROR(V399/H399,"0")+IFERROR(V400/H400,"0")</f>
        <v/>
      </c>
      <c r="W401" s="728">
        <f>IFERROR(W397/H397,"0")+IFERROR(W398/H398,"0")+IFERROR(W399/H399,"0")+IFERROR(W400/H400,"0")</f>
        <v/>
      </c>
      <c r="X401" s="728">
        <f>IFERROR(IF(X397="",0,X397),"0")+IFERROR(IF(X398="",0,X398),"0")+IFERROR(IF(X399="",0,X399),"0")+IFERROR(IF(X400="",0,X400),"0")</f>
        <v/>
      </c>
      <c r="Y401" s="729" t="n"/>
      <c r="Z401" s="729" t="n"/>
    </row>
    <row r="402">
      <c r="A402" s="677" t="n"/>
      <c r="B402" s="677" t="n"/>
      <c r="C402" s="677" t="n"/>
      <c r="D402" s="677" t="n"/>
      <c r="E402" s="677" t="n"/>
      <c r="F402" s="677" t="n"/>
      <c r="G402" s="677" t="n"/>
      <c r="H402" s="677" t="n"/>
      <c r="I402" s="677" t="n"/>
      <c r="J402" s="677" t="n"/>
      <c r="K402" s="677" t="n"/>
      <c r="L402" s="677" t="n"/>
      <c r="M402" s="726" t="n"/>
      <c r="N402" s="727" t="inlineStr">
        <is>
          <t>Итого</t>
        </is>
      </c>
      <c r="O402" s="697" t="n"/>
      <c r="P402" s="697" t="n"/>
      <c r="Q402" s="697" t="n"/>
      <c r="R402" s="697" t="n"/>
      <c r="S402" s="697" t="n"/>
      <c r="T402" s="698" t="n"/>
      <c r="U402" s="43" t="inlineStr">
        <is>
          <t>кг</t>
        </is>
      </c>
      <c r="V402" s="728">
        <f>IFERROR(SUM(V397:V400),"0")</f>
        <v/>
      </c>
      <c r="W402" s="728">
        <f>IFERROR(SUM(W397:W400),"0")</f>
        <v/>
      </c>
      <c r="X402" s="43" t="n"/>
      <c r="Y402" s="729" t="n"/>
      <c r="Z402" s="729" t="n"/>
    </row>
    <row r="403" ht="16.5" customHeight="1">
      <c r="A403" s="397" t="inlineStr">
        <is>
          <t>Балыкбургская</t>
        </is>
      </c>
      <c r="B403" s="677" t="n"/>
      <c r="C403" s="677" t="n"/>
      <c r="D403" s="677" t="n"/>
      <c r="E403" s="677" t="n"/>
      <c r="F403" s="677" t="n"/>
      <c r="G403" s="677" t="n"/>
      <c r="H403" s="677" t="n"/>
      <c r="I403" s="677" t="n"/>
      <c r="J403" s="677" t="n"/>
      <c r="K403" s="677" t="n"/>
      <c r="L403" s="677" t="n"/>
      <c r="M403" s="677" t="n"/>
      <c r="N403" s="677" t="n"/>
      <c r="O403" s="677" t="n"/>
      <c r="P403" s="677" t="n"/>
      <c r="Q403" s="677" t="n"/>
      <c r="R403" s="677" t="n"/>
      <c r="S403" s="677" t="n"/>
      <c r="T403" s="677" t="n"/>
      <c r="U403" s="677" t="n"/>
      <c r="V403" s="677" t="n"/>
      <c r="W403" s="677" t="n"/>
      <c r="X403" s="677" t="n"/>
      <c r="Y403" s="397" t="n"/>
      <c r="Z403" s="397" t="n"/>
    </row>
    <row r="404" ht="14.25" customHeight="1">
      <c r="A404" s="398" t="inlineStr">
        <is>
          <t>Ветчины</t>
        </is>
      </c>
      <c r="B404" s="677" t="n"/>
      <c r="C404" s="677" t="n"/>
      <c r="D404" s="677" t="n"/>
      <c r="E404" s="677" t="n"/>
      <c r="F404" s="677" t="n"/>
      <c r="G404" s="677" t="n"/>
      <c r="H404" s="677" t="n"/>
      <c r="I404" s="677" t="n"/>
      <c r="J404" s="677" t="n"/>
      <c r="K404" s="677" t="n"/>
      <c r="L404" s="677" t="n"/>
      <c r="M404" s="677" t="n"/>
      <c r="N404" s="677" t="n"/>
      <c r="O404" s="677" t="n"/>
      <c r="P404" s="677" t="n"/>
      <c r="Q404" s="677" t="n"/>
      <c r="R404" s="677" t="n"/>
      <c r="S404" s="677" t="n"/>
      <c r="T404" s="677" t="n"/>
      <c r="U404" s="677" t="n"/>
      <c r="V404" s="677" t="n"/>
      <c r="W404" s="677" t="n"/>
      <c r="X404" s="677" t="n"/>
      <c r="Y404" s="398" t="n"/>
      <c r="Z404" s="398" t="n"/>
    </row>
    <row r="405" ht="27" customHeight="1">
      <c r="A405" s="64" t="inlineStr">
        <is>
          <t>SU002542</t>
        </is>
      </c>
      <c r="B405" s="64" t="inlineStr">
        <is>
          <t>P002847</t>
        </is>
      </c>
      <c r="C405" s="37" t="n">
        <v>4301020196</v>
      </c>
      <c r="D405" s="399" t="n">
        <v>4607091389388</v>
      </c>
      <c r="E405" s="689" t="n"/>
      <c r="F405" s="721" t="n">
        <v>1.3</v>
      </c>
      <c r="G405" s="38" t="n">
        <v>4</v>
      </c>
      <c r="H405" s="721" t="n">
        <v>5.2</v>
      </c>
      <c r="I405" s="721" t="n">
        <v>5.608</v>
      </c>
      <c r="J405" s="38" t="n">
        <v>104</v>
      </c>
      <c r="K405" s="38" t="inlineStr">
        <is>
          <t>8</t>
        </is>
      </c>
      <c r="L405" s="39" t="inlineStr">
        <is>
          <t>СК3</t>
        </is>
      </c>
      <c r="M405" s="38" t="n">
        <v>35</v>
      </c>
      <c r="N405" s="94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05" s="723" t="n"/>
      <c r="P405" s="723" t="n"/>
      <c r="Q405" s="723" t="n"/>
      <c r="R405" s="689" t="n"/>
      <c r="S405" s="40" t="inlineStr"/>
      <c r="T405" s="40" t="inlineStr"/>
      <c r="U405" s="41" t="inlineStr">
        <is>
          <t>кг</t>
        </is>
      </c>
      <c r="V405" s="724" t="n">
        <v>0</v>
      </c>
      <c r="W405" s="725">
        <f>IFERROR(IF(V405="",0,CEILING((V405/$H405),1)*$H405),"")</f>
        <v/>
      </c>
      <c r="X405" s="42">
        <f>IFERROR(IF(W405=0,"",ROUNDUP(W405/H405,0)*0.01196),"")</f>
        <v/>
      </c>
      <c r="Y405" s="69" t="inlineStr"/>
      <c r="Z405" s="70" t="inlineStr"/>
      <c r="AD405" s="71" t="n"/>
      <c r="BA405" s="292" t="inlineStr">
        <is>
          <t>КИ</t>
        </is>
      </c>
    </row>
    <row r="406" ht="27" customHeight="1">
      <c r="A406" s="64" t="inlineStr">
        <is>
          <t>SU002319</t>
        </is>
      </c>
      <c r="B406" s="64" t="inlineStr">
        <is>
          <t>P002597</t>
        </is>
      </c>
      <c r="C406" s="37" t="n">
        <v>4301020185</v>
      </c>
      <c r="D406" s="399" t="n">
        <v>4607091389364</v>
      </c>
      <c r="E406" s="689" t="n"/>
      <c r="F406" s="721" t="n">
        <v>0.42</v>
      </c>
      <c r="G406" s="38" t="n">
        <v>6</v>
      </c>
      <c r="H406" s="721" t="n">
        <v>2.52</v>
      </c>
      <c r="I406" s="721" t="n">
        <v>2.75</v>
      </c>
      <c r="J406" s="38" t="n">
        <v>156</v>
      </c>
      <c r="K406" s="38" t="inlineStr">
        <is>
          <t>12</t>
        </is>
      </c>
      <c r="L406" s="39" t="inlineStr">
        <is>
          <t>СК3</t>
        </is>
      </c>
      <c r="M406" s="38" t="n">
        <v>35</v>
      </c>
      <c r="N406" s="94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06" s="723" t="n"/>
      <c r="P406" s="723" t="n"/>
      <c r="Q406" s="723" t="n"/>
      <c r="R406" s="689" t="n"/>
      <c r="S406" s="40" t="inlineStr"/>
      <c r="T406" s="40" t="inlineStr"/>
      <c r="U406" s="41" t="inlineStr">
        <is>
          <t>кг</t>
        </is>
      </c>
      <c r="V406" s="724" t="n">
        <v>0</v>
      </c>
      <c r="W406" s="725">
        <f>IFERROR(IF(V406="",0,CEILING((V406/$H406),1)*$H406),"")</f>
        <v/>
      </c>
      <c r="X406" s="42">
        <f>IFERROR(IF(W406=0,"",ROUNDUP(W406/H406,0)*0.00753),"")</f>
        <v/>
      </c>
      <c r="Y406" s="69" t="inlineStr"/>
      <c r="Z406" s="70" t="inlineStr"/>
      <c r="AD406" s="71" t="n"/>
      <c r="BA406" s="293" t="inlineStr">
        <is>
          <t>КИ</t>
        </is>
      </c>
    </row>
    <row r="407">
      <c r="A407" s="407" t="n"/>
      <c r="B407" s="677" t="n"/>
      <c r="C407" s="677" t="n"/>
      <c r="D407" s="677" t="n"/>
      <c r="E407" s="677" t="n"/>
      <c r="F407" s="677" t="n"/>
      <c r="G407" s="677" t="n"/>
      <c r="H407" s="677" t="n"/>
      <c r="I407" s="677" t="n"/>
      <c r="J407" s="677" t="n"/>
      <c r="K407" s="677" t="n"/>
      <c r="L407" s="677" t="n"/>
      <c r="M407" s="726" t="n"/>
      <c r="N407" s="727" t="inlineStr">
        <is>
          <t>Итого</t>
        </is>
      </c>
      <c r="O407" s="697" t="n"/>
      <c r="P407" s="697" t="n"/>
      <c r="Q407" s="697" t="n"/>
      <c r="R407" s="697" t="n"/>
      <c r="S407" s="697" t="n"/>
      <c r="T407" s="698" t="n"/>
      <c r="U407" s="43" t="inlineStr">
        <is>
          <t>кор</t>
        </is>
      </c>
      <c r="V407" s="728">
        <f>IFERROR(V405/H405,"0")+IFERROR(V406/H406,"0")</f>
        <v/>
      </c>
      <c r="W407" s="728">
        <f>IFERROR(W405/H405,"0")+IFERROR(W406/H406,"0")</f>
        <v/>
      </c>
      <c r="X407" s="728">
        <f>IFERROR(IF(X405="",0,X405),"0")+IFERROR(IF(X406="",0,X406),"0")</f>
        <v/>
      </c>
      <c r="Y407" s="729" t="n"/>
      <c r="Z407" s="729" t="n"/>
    </row>
    <row r="408">
      <c r="A408" s="677" t="n"/>
      <c r="B408" s="677" t="n"/>
      <c r="C408" s="677" t="n"/>
      <c r="D408" s="677" t="n"/>
      <c r="E408" s="677" t="n"/>
      <c r="F408" s="677" t="n"/>
      <c r="G408" s="677" t="n"/>
      <c r="H408" s="677" t="n"/>
      <c r="I408" s="677" t="n"/>
      <c r="J408" s="677" t="n"/>
      <c r="K408" s="677" t="n"/>
      <c r="L408" s="677" t="n"/>
      <c r="M408" s="726" t="n"/>
      <c r="N408" s="727" t="inlineStr">
        <is>
          <t>Итого</t>
        </is>
      </c>
      <c r="O408" s="697" t="n"/>
      <c r="P408" s="697" t="n"/>
      <c r="Q408" s="697" t="n"/>
      <c r="R408" s="697" t="n"/>
      <c r="S408" s="697" t="n"/>
      <c r="T408" s="698" t="n"/>
      <c r="U408" s="43" t="inlineStr">
        <is>
          <t>кг</t>
        </is>
      </c>
      <c r="V408" s="728">
        <f>IFERROR(SUM(V405:V406),"0")</f>
        <v/>
      </c>
      <c r="W408" s="728">
        <f>IFERROR(SUM(W405:W406),"0")</f>
        <v/>
      </c>
      <c r="X408" s="43" t="n"/>
      <c r="Y408" s="729" t="n"/>
      <c r="Z408" s="729" t="n"/>
    </row>
    <row r="409" ht="14.25" customHeight="1">
      <c r="A409" s="398" t="inlineStr">
        <is>
          <t>Копченые колбасы</t>
        </is>
      </c>
      <c r="B409" s="677" t="n"/>
      <c r="C409" s="677" t="n"/>
      <c r="D409" s="677" t="n"/>
      <c r="E409" s="677" t="n"/>
      <c r="F409" s="677" t="n"/>
      <c r="G409" s="677" t="n"/>
      <c r="H409" s="677" t="n"/>
      <c r="I409" s="677" t="n"/>
      <c r="J409" s="677" t="n"/>
      <c r="K409" s="677" t="n"/>
      <c r="L409" s="677" t="n"/>
      <c r="M409" s="677" t="n"/>
      <c r="N409" s="677" t="n"/>
      <c r="O409" s="677" t="n"/>
      <c r="P409" s="677" t="n"/>
      <c r="Q409" s="677" t="n"/>
      <c r="R409" s="677" t="n"/>
      <c r="S409" s="677" t="n"/>
      <c r="T409" s="677" t="n"/>
      <c r="U409" s="677" t="n"/>
      <c r="V409" s="677" t="n"/>
      <c r="W409" s="677" t="n"/>
      <c r="X409" s="677" t="n"/>
      <c r="Y409" s="398" t="n"/>
      <c r="Z409" s="398" t="n"/>
    </row>
    <row r="410" ht="27" customHeight="1">
      <c r="A410" s="64" t="inlineStr">
        <is>
          <t>SU002612</t>
        </is>
      </c>
      <c r="B410" s="64" t="inlineStr">
        <is>
          <t>P003140</t>
        </is>
      </c>
      <c r="C410" s="37" t="n">
        <v>4301031212</v>
      </c>
      <c r="D410" s="399" t="n">
        <v>4607091389739</v>
      </c>
      <c r="E410" s="689" t="n"/>
      <c r="F410" s="721" t="n">
        <v>0.7</v>
      </c>
      <c r="G410" s="38" t="n">
        <v>6</v>
      </c>
      <c r="H410" s="721" t="n">
        <v>4.2</v>
      </c>
      <c r="I410" s="721" t="n">
        <v>4.43</v>
      </c>
      <c r="J410" s="38" t="n">
        <v>156</v>
      </c>
      <c r="K410" s="38" t="inlineStr">
        <is>
          <t>12</t>
        </is>
      </c>
      <c r="L410" s="39" t="inlineStr">
        <is>
          <t>СК1</t>
        </is>
      </c>
      <c r="M410" s="38" t="n">
        <v>45</v>
      </c>
      <c r="N410" s="950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10" s="723" t="n"/>
      <c r="P410" s="723" t="n"/>
      <c r="Q410" s="723" t="n"/>
      <c r="R410" s="689" t="n"/>
      <c r="S410" s="40" t="inlineStr"/>
      <c r="T410" s="40" t="inlineStr"/>
      <c r="U410" s="41" t="inlineStr">
        <is>
          <t>кг</t>
        </is>
      </c>
      <c r="V410" s="724" t="n">
        <v>107</v>
      </c>
      <c r="W410" s="725">
        <f>IFERROR(IF(V410="",0,CEILING((V410/$H410),1)*$H410),"")</f>
        <v/>
      </c>
      <c r="X410" s="42">
        <f>IFERROR(IF(W410=0,"",ROUNDUP(W410/H410,0)*0.00753),"")</f>
        <v/>
      </c>
      <c r="Y410" s="69" t="inlineStr"/>
      <c r="Z410" s="70" t="inlineStr"/>
      <c r="AD410" s="71" t="n"/>
      <c r="BA410" s="294" t="inlineStr">
        <is>
          <t>КИ</t>
        </is>
      </c>
    </row>
    <row r="411" ht="27" customHeight="1">
      <c r="A411" s="64" t="inlineStr">
        <is>
          <t>SU003071</t>
        </is>
      </c>
      <c r="B411" s="64" t="inlineStr">
        <is>
          <t>P003612</t>
        </is>
      </c>
      <c r="C411" s="37" t="n">
        <v>4301031247</v>
      </c>
      <c r="D411" s="399" t="n">
        <v>4680115883048</v>
      </c>
      <c r="E411" s="689" t="n"/>
      <c r="F411" s="721" t="n">
        <v>1</v>
      </c>
      <c r="G411" s="38" t="n">
        <v>4</v>
      </c>
      <c r="H411" s="721" t="n">
        <v>4</v>
      </c>
      <c r="I411" s="721" t="n">
        <v>4.21</v>
      </c>
      <c r="J411" s="38" t="n">
        <v>120</v>
      </c>
      <c r="K411" s="38" t="inlineStr">
        <is>
          <t>12</t>
        </is>
      </c>
      <c r="L411" s="39" t="inlineStr">
        <is>
          <t>СК2</t>
        </is>
      </c>
      <c r="M411" s="38" t="n">
        <v>40</v>
      </c>
      <c r="N411" s="951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11" s="723" t="n"/>
      <c r="P411" s="723" t="n"/>
      <c r="Q411" s="723" t="n"/>
      <c r="R411" s="689" t="n"/>
      <c r="S411" s="40" t="inlineStr"/>
      <c r="T411" s="40" t="inlineStr"/>
      <c r="U411" s="41" t="inlineStr">
        <is>
          <t>кг</t>
        </is>
      </c>
      <c r="V411" s="724" t="n">
        <v>0</v>
      </c>
      <c r="W411" s="725">
        <f>IFERROR(IF(V411="",0,CEILING((V411/$H411),1)*$H411),"")</f>
        <v/>
      </c>
      <c r="X411" s="42">
        <f>IFERROR(IF(W411=0,"",ROUNDUP(W411/H411,0)*0.00937),"")</f>
        <v/>
      </c>
      <c r="Y411" s="69" t="inlineStr"/>
      <c r="Z411" s="70" t="inlineStr"/>
      <c r="AD411" s="71" t="n"/>
      <c r="BA411" s="295" t="inlineStr">
        <is>
          <t>КИ</t>
        </is>
      </c>
    </row>
    <row r="412" ht="27" customHeight="1">
      <c r="A412" s="64" t="inlineStr">
        <is>
          <t>SU002545</t>
        </is>
      </c>
      <c r="B412" s="64" t="inlineStr">
        <is>
          <t>P003137</t>
        </is>
      </c>
      <c r="C412" s="37" t="n">
        <v>4301031176</v>
      </c>
      <c r="D412" s="399" t="n">
        <v>4607091389425</v>
      </c>
      <c r="E412" s="689" t="n"/>
      <c r="F412" s="721" t="n">
        <v>0.35</v>
      </c>
      <c r="G412" s="38" t="n">
        <v>6</v>
      </c>
      <c r="H412" s="721" t="n">
        <v>2.1</v>
      </c>
      <c r="I412" s="721" t="n">
        <v>2.23</v>
      </c>
      <c r="J412" s="38" t="n">
        <v>234</v>
      </c>
      <c r="K412" s="38" t="inlineStr">
        <is>
          <t>18</t>
        </is>
      </c>
      <c r="L412" s="39" t="inlineStr">
        <is>
          <t>СК2</t>
        </is>
      </c>
      <c r="M412" s="38" t="n">
        <v>45</v>
      </c>
      <c r="N412" s="95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12" s="723" t="n"/>
      <c r="P412" s="723" t="n"/>
      <c r="Q412" s="723" t="n"/>
      <c r="R412" s="689" t="n"/>
      <c r="S412" s="40" t="inlineStr"/>
      <c r="T412" s="40" t="inlineStr"/>
      <c r="U412" s="41" t="inlineStr">
        <is>
          <t>кг</t>
        </is>
      </c>
      <c r="V412" s="724" t="n">
        <v>24</v>
      </c>
      <c r="W412" s="725">
        <f>IFERROR(IF(V412="",0,CEILING((V412/$H412),1)*$H412),"")</f>
        <v/>
      </c>
      <c r="X412" s="42">
        <f>IFERROR(IF(W412=0,"",ROUNDUP(W412/H412,0)*0.00502),"")</f>
        <v/>
      </c>
      <c r="Y412" s="69" t="inlineStr"/>
      <c r="Z412" s="70" t="inlineStr"/>
      <c r="AD412" s="71" t="n"/>
      <c r="BA412" s="296" t="inlineStr">
        <is>
          <t>КИ</t>
        </is>
      </c>
    </row>
    <row r="413" ht="27" customHeight="1">
      <c r="A413" s="64" t="inlineStr">
        <is>
          <t>SU002917</t>
        </is>
      </c>
      <c r="B413" s="64" t="inlineStr">
        <is>
          <t>P003343</t>
        </is>
      </c>
      <c r="C413" s="37" t="n">
        <v>4301031215</v>
      </c>
      <c r="D413" s="399" t="n">
        <v>4680115882911</v>
      </c>
      <c r="E413" s="689" t="n"/>
      <c r="F413" s="721" t="n">
        <v>0.4</v>
      </c>
      <c r="G413" s="38" t="n">
        <v>6</v>
      </c>
      <c r="H413" s="721" t="n">
        <v>2.4</v>
      </c>
      <c r="I413" s="721" t="n">
        <v>2.53</v>
      </c>
      <c r="J413" s="38" t="n">
        <v>234</v>
      </c>
      <c r="K413" s="38" t="inlineStr">
        <is>
          <t>18</t>
        </is>
      </c>
      <c r="L413" s="39" t="inlineStr">
        <is>
          <t>СК2</t>
        </is>
      </c>
      <c r="M413" s="38" t="n">
        <v>40</v>
      </c>
      <c r="N413" s="953" t="inlineStr">
        <is>
          <t>П/к колбасы «Балыкбургская по-баварски» Фикс.вес 0,4 н/о мгс ТМ «Баварушка»</t>
        </is>
      </c>
      <c r="O413" s="723" t="n"/>
      <c r="P413" s="723" t="n"/>
      <c r="Q413" s="723" t="n"/>
      <c r="R413" s="689" t="n"/>
      <c r="S413" s="40" t="inlineStr"/>
      <c r="T413" s="40" t="inlineStr"/>
      <c r="U413" s="41" t="inlineStr">
        <is>
          <t>кг</t>
        </is>
      </c>
      <c r="V413" s="724" t="n">
        <v>0</v>
      </c>
      <c r="W413" s="725">
        <f>IFERROR(IF(V413="",0,CEILING((V413/$H413),1)*$H413),"")</f>
        <v/>
      </c>
      <c r="X413" s="42">
        <f>IFERROR(IF(W413=0,"",ROUNDUP(W413/H413,0)*0.00502),"")</f>
        <v/>
      </c>
      <c r="Y413" s="69" t="inlineStr"/>
      <c r="Z413" s="70" t="inlineStr"/>
      <c r="AD413" s="71" t="n"/>
      <c r="BA413" s="297" t="inlineStr">
        <is>
          <t>КИ</t>
        </is>
      </c>
    </row>
    <row r="414" ht="27" customHeight="1">
      <c r="A414" s="64" t="inlineStr">
        <is>
          <t>SU002726</t>
        </is>
      </c>
      <c r="B414" s="64" t="inlineStr">
        <is>
          <t>P003095</t>
        </is>
      </c>
      <c r="C414" s="37" t="n">
        <v>4301031167</v>
      </c>
      <c r="D414" s="399" t="n">
        <v>4680115880771</v>
      </c>
      <c r="E414" s="689" t="n"/>
      <c r="F414" s="721" t="n">
        <v>0.28</v>
      </c>
      <c r="G414" s="38" t="n">
        <v>6</v>
      </c>
      <c r="H414" s="721" t="n">
        <v>1.68</v>
      </c>
      <c r="I414" s="721" t="n">
        <v>1.81</v>
      </c>
      <c r="J414" s="38" t="n">
        <v>234</v>
      </c>
      <c r="K414" s="38" t="inlineStr">
        <is>
          <t>18</t>
        </is>
      </c>
      <c r="L414" s="39" t="inlineStr">
        <is>
          <t>СК2</t>
        </is>
      </c>
      <c r="M414" s="38" t="n">
        <v>45</v>
      </c>
      <c r="N414" s="954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14" s="723" t="n"/>
      <c r="P414" s="723" t="n"/>
      <c r="Q414" s="723" t="n"/>
      <c r="R414" s="689" t="n"/>
      <c r="S414" s="40" t="inlineStr"/>
      <c r="T414" s="40" t="inlineStr"/>
      <c r="U414" s="41" t="inlineStr">
        <is>
          <t>кг</t>
        </is>
      </c>
      <c r="V414" s="724" t="n">
        <v>0</v>
      </c>
      <c r="W414" s="725">
        <f>IFERROR(IF(V414="",0,CEILING((V414/$H414),1)*$H414),"")</f>
        <v/>
      </c>
      <c r="X414" s="42">
        <f>IFERROR(IF(W414=0,"",ROUNDUP(W414/H414,0)*0.00502),"")</f>
        <v/>
      </c>
      <c r="Y414" s="69" t="inlineStr"/>
      <c r="Z414" s="70" t="inlineStr"/>
      <c r="AD414" s="71" t="n"/>
      <c r="BA414" s="298" t="inlineStr">
        <is>
          <t>КИ</t>
        </is>
      </c>
    </row>
    <row r="415" ht="27" customHeight="1">
      <c r="A415" s="64" t="inlineStr">
        <is>
          <t>SU002604</t>
        </is>
      </c>
      <c r="B415" s="64" t="inlineStr">
        <is>
          <t>P003135</t>
        </is>
      </c>
      <c r="C415" s="37" t="n">
        <v>4301031173</v>
      </c>
      <c r="D415" s="399" t="n">
        <v>4607091389500</v>
      </c>
      <c r="E415" s="689" t="n"/>
      <c r="F415" s="721" t="n">
        <v>0.35</v>
      </c>
      <c r="G415" s="38" t="n">
        <v>6</v>
      </c>
      <c r="H415" s="721" t="n">
        <v>2.1</v>
      </c>
      <c r="I415" s="721" t="n">
        <v>2.23</v>
      </c>
      <c r="J415" s="38" t="n">
        <v>234</v>
      </c>
      <c r="K415" s="38" t="inlineStr">
        <is>
          <t>18</t>
        </is>
      </c>
      <c r="L415" s="39" t="inlineStr">
        <is>
          <t>СК2</t>
        </is>
      </c>
      <c r="M415" s="38" t="n">
        <v>45</v>
      </c>
      <c r="N415" s="955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15" s="723" t="n"/>
      <c r="P415" s="723" t="n"/>
      <c r="Q415" s="723" t="n"/>
      <c r="R415" s="689" t="n"/>
      <c r="S415" s="40" t="inlineStr"/>
      <c r="T415" s="40" t="inlineStr"/>
      <c r="U415" s="41" t="inlineStr">
        <is>
          <t>кг</t>
        </is>
      </c>
      <c r="V415" s="724" t="n">
        <v>0</v>
      </c>
      <c r="W415" s="725">
        <f>IFERROR(IF(V415="",0,CEILING((V415/$H415),1)*$H415),"")</f>
        <v/>
      </c>
      <c r="X415" s="42">
        <f>IFERROR(IF(W415=0,"",ROUNDUP(W415/H415,0)*0.00502),"")</f>
        <v/>
      </c>
      <c r="Y415" s="69" t="inlineStr"/>
      <c r="Z415" s="70" t="inlineStr"/>
      <c r="AD415" s="71" t="n"/>
      <c r="BA415" s="299" t="inlineStr">
        <is>
          <t>КИ</t>
        </is>
      </c>
    </row>
    <row r="416" ht="27" customHeight="1">
      <c r="A416" s="64" t="inlineStr">
        <is>
          <t>SU002358</t>
        </is>
      </c>
      <c r="B416" s="64" t="inlineStr">
        <is>
          <t>P002642</t>
        </is>
      </c>
      <c r="C416" s="37" t="n">
        <v>4301031103</v>
      </c>
      <c r="D416" s="399" t="n">
        <v>4680115881983</v>
      </c>
      <c r="E416" s="689" t="n"/>
      <c r="F416" s="721" t="n">
        <v>0.28</v>
      </c>
      <c r="G416" s="38" t="n">
        <v>4</v>
      </c>
      <c r="H416" s="721" t="n">
        <v>1.12</v>
      </c>
      <c r="I416" s="721" t="n">
        <v>1.252</v>
      </c>
      <c r="J416" s="38" t="n">
        <v>234</v>
      </c>
      <c r="K416" s="38" t="inlineStr">
        <is>
          <t>18</t>
        </is>
      </c>
      <c r="L416" s="39" t="inlineStr">
        <is>
          <t>СК2</t>
        </is>
      </c>
      <c r="M416" s="38" t="n">
        <v>40</v>
      </c>
      <c r="N416" s="956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16" s="723" t="n"/>
      <c r="P416" s="723" t="n"/>
      <c r="Q416" s="723" t="n"/>
      <c r="R416" s="689" t="n"/>
      <c r="S416" s="40" t="inlineStr"/>
      <c r="T416" s="40" t="inlineStr"/>
      <c r="U416" s="41" t="inlineStr">
        <is>
          <t>кг</t>
        </is>
      </c>
      <c r="V416" s="724" t="n">
        <v>0</v>
      </c>
      <c r="W416" s="725">
        <f>IFERROR(IF(V416="",0,CEILING((V416/$H416),1)*$H416),"")</f>
        <v/>
      </c>
      <c r="X416" s="42">
        <f>IFERROR(IF(W416=0,"",ROUNDUP(W416/H416,0)*0.00502),"")</f>
        <v/>
      </c>
      <c r="Y416" s="69" t="inlineStr"/>
      <c r="Z416" s="70" t="inlineStr"/>
      <c r="AD416" s="71" t="n"/>
      <c r="BA416" s="300" t="inlineStr">
        <is>
          <t>КИ</t>
        </is>
      </c>
    </row>
    <row r="417">
      <c r="A417" s="407" t="n"/>
      <c r="B417" s="677" t="n"/>
      <c r="C417" s="677" t="n"/>
      <c r="D417" s="677" t="n"/>
      <c r="E417" s="677" t="n"/>
      <c r="F417" s="677" t="n"/>
      <c r="G417" s="677" t="n"/>
      <c r="H417" s="677" t="n"/>
      <c r="I417" s="677" t="n"/>
      <c r="J417" s="677" t="n"/>
      <c r="K417" s="677" t="n"/>
      <c r="L417" s="677" t="n"/>
      <c r="M417" s="726" t="n"/>
      <c r="N417" s="727" t="inlineStr">
        <is>
          <t>Итого</t>
        </is>
      </c>
      <c r="O417" s="697" t="n"/>
      <c r="P417" s="697" t="n"/>
      <c r="Q417" s="697" t="n"/>
      <c r="R417" s="697" t="n"/>
      <c r="S417" s="697" t="n"/>
      <c r="T417" s="698" t="n"/>
      <c r="U417" s="43" t="inlineStr">
        <is>
          <t>кор</t>
        </is>
      </c>
      <c r="V417" s="728">
        <f>IFERROR(V410/H410,"0")+IFERROR(V411/H411,"0")+IFERROR(V412/H412,"0")+IFERROR(V413/H413,"0")+IFERROR(V414/H414,"0")+IFERROR(V415/H415,"0")+IFERROR(V416/H416,"0")</f>
        <v/>
      </c>
      <c r="W417" s="728">
        <f>IFERROR(W410/H410,"0")+IFERROR(W411/H411,"0")+IFERROR(W412/H412,"0")+IFERROR(W413/H413,"0")+IFERROR(W414/H414,"0")+IFERROR(W415/H415,"0")+IFERROR(W416/H416,"0")</f>
        <v/>
      </c>
      <c r="X417" s="728">
        <f>IFERROR(IF(X410="",0,X410),"0")+IFERROR(IF(X411="",0,X411),"0")+IFERROR(IF(X412="",0,X412),"0")+IFERROR(IF(X413="",0,X413),"0")+IFERROR(IF(X414="",0,X414),"0")+IFERROR(IF(X415="",0,X415),"0")+IFERROR(IF(X416="",0,X416),"0")</f>
        <v/>
      </c>
      <c r="Y417" s="729" t="n"/>
      <c r="Z417" s="729" t="n"/>
    </row>
    <row r="418">
      <c r="A418" s="677" t="n"/>
      <c r="B418" s="677" t="n"/>
      <c r="C418" s="677" t="n"/>
      <c r="D418" s="677" t="n"/>
      <c r="E418" s="677" t="n"/>
      <c r="F418" s="677" t="n"/>
      <c r="G418" s="677" t="n"/>
      <c r="H418" s="677" t="n"/>
      <c r="I418" s="677" t="n"/>
      <c r="J418" s="677" t="n"/>
      <c r="K418" s="677" t="n"/>
      <c r="L418" s="677" t="n"/>
      <c r="M418" s="726" t="n"/>
      <c r="N418" s="727" t="inlineStr">
        <is>
          <t>Итого</t>
        </is>
      </c>
      <c r="O418" s="697" t="n"/>
      <c r="P418" s="697" t="n"/>
      <c r="Q418" s="697" t="n"/>
      <c r="R418" s="697" t="n"/>
      <c r="S418" s="697" t="n"/>
      <c r="T418" s="698" t="n"/>
      <c r="U418" s="43" t="inlineStr">
        <is>
          <t>кг</t>
        </is>
      </c>
      <c r="V418" s="728">
        <f>IFERROR(SUM(V410:V416),"0")</f>
        <v/>
      </c>
      <c r="W418" s="728">
        <f>IFERROR(SUM(W410:W416),"0")</f>
        <v/>
      </c>
      <c r="X418" s="43" t="n"/>
      <c r="Y418" s="729" t="n"/>
      <c r="Z418" s="729" t="n"/>
    </row>
    <row r="419" ht="14.25" customHeight="1">
      <c r="A419" s="398" t="inlineStr">
        <is>
          <t>Сырокопченые колбасы</t>
        </is>
      </c>
      <c r="B419" s="677" t="n"/>
      <c r="C419" s="677" t="n"/>
      <c r="D419" s="677" t="n"/>
      <c r="E419" s="677" t="n"/>
      <c r="F419" s="677" t="n"/>
      <c r="G419" s="677" t="n"/>
      <c r="H419" s="677" t="n"/>
      <c r="I419" s="677" t="n"/>
      <c r="J419" s="677" t="n"/>
      <c r="K419" s="677" t="n"/>
      <c r="L419" s="677" t="n"/>
      <c r="M419" s="677" t="n"/>
      <c r="N419" s="677" t="n"/>
      <c r="O419" s="677" t="n"/>
      <c r="P419" s="677" t="n"/>
      <c r="Q419" s="677" t="n"/>
      <c r="R419" s="677" t="n"/>
      <c r="S419" s="677" t="n"/>
      <c r="T419" s="677" t="n"/>
      <c r="U419" s="677" t="n"/>
      <c r="V419" s="677" t="n"/>
      <c r="W419" s="677" t="n"/>
      <c r="X419" s="677" t="n"/>
      <c r="Y419" s="398" t="n"/>
      <c r="Z419" s="398" t="n"/>
    </row>
    <row r="420" ht="27" customHeight="1">
      <c r="A420" s="64" t="inlineStr">
        <is>
          <t>SU003315</t>
        </is>
      </c>
      <c r="B420" s="64" t="inlineStr">
        <is>
          <t>P004036</t>
        </is>
      </c>
      <c r="C420" s="37" t="n">
        <v>4301040358</v>
      </c>
      <c r="D420" s="399" t="n">
        <v>4680115884571</v>
      </c>
      <c r="E420" s="689" t="n"/>
      <c r="F420" s="721" t="n">
        <v>0.1</v>
      </c>
      <c r="G420" s="38" t="n">
        <v>20</v>
      </c>
      <c r="H420" s="721" t="n">
        <v>2</v>
      </c>
      <c r="I420" s="721" t="n">
        <v>2.6</v>
      </c>
      <c r="J420" s="38" t="n">
        <v>200</v>
      </c>
      <c r="K420" s="38" t="inlineStr">
        <is>
          <t>10</t>
        </is>
      </c>
      <c r="L420" s="39" t="inlineStr">
        <is>
          <t>ДК</t>
        </is>
      </c>
      <c r="M420" s="38" t="n">
        <v>60</v>
      </c>
      <c r="N420" s="957" t="inlineStr">
        <is>
          <t>с/к колбасы «Ветчина Балыкбургская с мраморным балыком» ф/в 0,1 нарезка ТМ «Баварушка»</t>
        </is>
      </c>
      <c r="O420" s="723" t="n"/>
      <c r="P420" s="723" t="n"/>
      <c r="Q420" s="723" t="n"/>
      <c r="R420" s="689" t="n"/>
      <c r="S420" s="40" t="inlineStr"/>
      <c r="T420" s="40" t="inlineStr"/>
      <c r="U420" s="41" t="inlineStr">
        <is>
          <t>кг</t>
        </is>
      </c>
      <c r="V420" s="724" t="n">
        <v>0</v>
      </c>
      <c r="W420" s="725">
        <f>IFERROR(IF(V420="",0,CEILING((V420/$H420),1)*$H420),"")</f>
        <v/>
      </c>
      <c r="X420" s="42">
        <f>IFERROR(IF(W420=0,"",ROUNDUP(W420/H420,0)*0.00627),"")</f>
        <v/>
      </c>
      <c r="Y420" s="69" t="inlineStr"/>
      <c r="Z420" s="70" t="inlineStr"/>
      <c r="AD420" s="71" t="n"/>
      <c r="BA420" s="301" t="inlineStr">
        <is>
          <t>КИ</t>
        </is>
      </c>
    </row>
    <row r="421">
      <c r="A421" s="407" t="n"/>
      <c r="B421" s="677" t="n"/>
      <c r="C421" s="677" t="n"/>
      <c r="D421" s="677" t="n"/>
      <c r="E421" s="677" t="n"/>
      <c r="F421" s="677" t="n"/>
      <c r="G421" s="677" t="n"/>
      <c r="H421" s="677" t="n"/>
      <c r="I421" s="677" t="n"/>
      <c r="J421" s="677" t="n"/>
      <c r="K421" s="677" t="n"/>
      <c r="L421" s="677" t="n"/>
      <c r="M421" s="726" t="n"/>
      <c r="N421" s="727" t="inlineStr">
        <is>
          <t>Итого</t>
        </is>
      </c>
      <c r="O421" s="697" t="n"/>
      <c r="P421" s="697" t="n"/>
      <c r="Q421" s="697" t="n"/>
      <c r="R421" s="697" t="n"/>
      <c r="S421" s="697" t="n"/>
      <c r="T421" s="698" t="n"/>
      <c r="U421" s="43" t="inlineStr">
        <is>
          <t>кор</t>
        </is>
      </c>
      <c r="V421" s="728">
        <f>IFERROR(V420/H420,"0")</f>
        <v/>
      </c>
      <c r="W421" s="728">
        <f>IFERROR(W420/H420,"0")</f>
        <v/>
      </c>
      <c r="X421" s="728">
        <f>IFERROR(IF(X420="",0,X420),"0")</f>
        <v/>
      </c>
      <c r="Y421" s="729" t="n"/>
      <c r="Z421" s="729" t="n"/>
    </row>
    <row r="422">
      <c r="A422" s="677" t="n"/>
      <c r="B422" s="677" t="n"/>
      <c r="C422" s="677" t="n"/>
      <c r="D422" s="677" t="n"/>
      <c r="E422" s="677" t="n"/>
      <c r="F422" s="677" t="n"/>
      <c r="G422" s="677" t="n"/>
      <c r="H422" s="677" t="n"/>
      <c r="I422" s="677" t="n"/>
      <c r="J422" s="677" t="n"/>
      <c r="K422" s="677" t="n"/>
      <c r="L422" s="677" t="n"/>
      <c r="M422" s="726" t="n"/>
      <c r="N422" s="727" t="inlineStr">
        <is>
          <t>Итого</t>
        </is>
      </c>
      <c r="O422" s="697" t="n"/>
      <c r="P422" s="697" t="n"/>
      <c r="Q422" s="697" t="n"/>
      <c r="R422" s="697" t="n"/>
      <c r="S422" s="697" t="n"/>
      <c r="T422" s="698" t="n"/>
      <c r="U422" s="43" t="inlineStr">
        <is>
          <t>кг</t>
        </is>
      </c>
      <c r="V422" s="728">
        <f>IFERROR(SUM(V420:V420),"0")</f>
        <v/>
      </c>
      <c r="W422" s="728">
        <f>IFERROR(SUM(W420:W420),"0")</f>
        <v/>
      </c>
      <c r="X422" s="43" t="n"/>
      <c r="Y422" s="729" t="n"/>
      <c r="Z422" s="729" t="n"/>
    </row>
    <row r="423" ht="14.25" customHeight="1">
      <c r="A423" s="398" t="inlineStr">
        <is>
          <t>Сыровяленые колбасы</t>
        </is>
      </c>
      <c r="B423" s="677" t="n"/>
      <c r="C423" s="677" t="n"/>
      <c r="D423" s="677" t="n"/>
      <c r="E423" s="677" t="n"/>
      <c r="F423" s="677" t="n"/>
      <c r="G423" s="677" t="n"/>
      <c r="H423" s="677" t="n"/>
      <c r="I423" s="677" t="n"/>
      <c r="J423" s="677" t="n"/>
      <c r="K423" s="677" t="n"/>
      <c r="L423" s="677" t="n"/>
      <c r="M423" s="677" t="n"/>
      <c r="N423" s="677" t="n"/>
      <c r="O423" s="677" t="n"/>
      <c r="P423" s="677" t="n"/>
      <c r="Q423" s="677" t="n"/>
      <c r="R423" s="677" t="n"/>
      <c r="S423" s="677" t="n"/>
      <c r="T423" s="677" t="n"/>
      <c r="U423" s="677" t="n"/>
      <c r="V423" s="677" t="n"/>
      <c r="W423" s="677" t="n"/>
      <c r="X423" s="677" t="n"/>
      <c r="Y423" s="398" t="n"/>
      <c r="Z423" s="398" t="n"/>
    </row>
    <row r="424" ht="27" customHeight="1">
      <c r="A424" s="64" t="inlineStr">
        <is>
          <t>SU003279</t>
        </is>
      </c>
      <c r="B424" s="64" t="inlineStr">
        <is>
          <t>P003773</t>
        </is>
      </c>
      <c r="C424" s="37" t="n">
        <v>4301170010</v>
      </c>
      <c r="D424" s="399" t="n">
        <v>4680115884090</v>
      </c>
      <c r="E424" s="689" t="n"/>
      <c r="F424" s="721" t="n">
        <v>0.11</v>
      </c>
      <c r="G424" s="38" t="n">
        <v>12</v>
      </c>
      <c r="H424" s="721" t="n">
        <v>1.32</v>
      </c>
      <c r="I424" s="721" t="n">
        <v>1.88</v>
      </c>
      <c r="J424" s="38" t="n">
        <v>200</v>
      </c>
      <c r="K424" s="38" t="inlineStr">
        <is>
          <t>10</t>
        </is>
      </c>
      <c r="L424" s="39" t="inlineStr">
        <is>
          <t>ДК</t>
        </is>
      </c>
      <c r="M424" s="38" t="n">
        <v>150</v>
      </c>
      <c r="N424" s="958" t="inlineStr">
        <is>
          <t>с/в колбасы «Балыкбургская с мраморным балыком» ф/в 0,11 н/о ТМ «Баварушка»</t>
        </is>
      </c>
      <c r="O424" s="723" t="n"/>
      <c r="P424" s="723" t="n"/>
      <c r="Q424" s="723" t="n"/>
      <c r="R424" s="689" t="n"/>
      <c r="S424" s="40" t="inlineStr"/>
      <c r="T424" s="40" t="inlineStr"/>
      <c r="U424" s="41" t="inlineStr">
        <is>
          <t>кг</t>
        </is>
      </c>
      <c r="V424" s="724" t="n">
        <v>0</v>
      </c>
      <c r="W424" s="725">
        <f>IFERROR(IF(V424="",0,CEILING((V424/$H424),1)*$H424),"")</f>
        <v/>
      </c>
      <c r="X424" s="42">
        <f>IFERROR(IF(W424=0,"",ROUNDUP(W424/H424,0)*0.00627),"")</f>
        <v/>
      </c>
      <c r="Y424" s="69" t="inlineStr"/>
      <c r="Z424" s="70" t="inlineStr"/>
      <c r="AD424" s="71" t="n"/>
      <c r="BA424" s="302" t="inlineStr">
        <is>
          <t>КИ</t>
        </is>
      </c>
    </row>
    <row r="425">
      <c r="A425" s="407" t="n"/>
      <c r="B425" s="677" t="n"/>
      <c r="C425" s="677" t="n"/>
      <c r="D425" s="677" t="n"/>
      <c r="E425" s="677" t="n"/>
      <c r="F425" s="677" t="n"/>
      <c r="G425" s="677" t="n"/>
      <c r="H425" s="677" t="n"/>
      <c r="I425" s="677" t="n"/>
      <c r="J425" s="677" t="n"/>
      <c r="K425" s="677" t="n"/>
      <c r="L425" s="677" t="n"/>
      <c r="M425" s="726" t="n"/>
      <c r="N425" s="727" t="inlineStr">
        <is>
          <t>Итого</t>
        </is>
      </c>
      <c r="O425" s="697" t="n"/>
      <c r="P425" s="697" t="n"/>
      <c r="Q425" s="697" t="n"/>
      <c r="R425" s="697" t="n"/>
      <c r="S425" s="697" t="n"/>
      <c r="T425" s="698" t="n"/>
      <c r="U425" s="43" t="inlineStr">
        <is>
          <t>кор</t>
        </is>
      </c>
      <c r="V425" s="728">
        <f>IFERROR(V424/H424,"0")</f>
        <v/>
      </c>
      <c r="W425" s="728">
        <f>IFERROR(W424/H424,"0")</f>
        <v/>
      </c>
      <c r="X425" s="728">
        <f>IFERROR(IF(X424="",0,X424),"0")</f>
        <v/>
      </c>
      <c r="Y425" s="729" t="n"/>
      <c r="Z425" s="729" t="n"/>
    </row>
    <row r="426">
      <c r="A426" s="677" t="n"/>
      <c r="B426" s="677" t="n"/>
      <c r="C426" s="677" t="n"/>
      <c r="D426" s="677" t="n"/>
      <c r="E426" s="677" t="n"/>
      <c r="F426" s="677" t="n"/>
      <c r="G426" s="677" t="n"/>
      <c r="H426" s="677" t="n"/>
      <c r="I426" s="677" t="n"/>
      <c r="J426" s="677" t="n"/>
      <c r="K426" s="677" t="n"/>
      <c r="L426" s="677" t="n"/>
      <c r="M426" s="726" t="n"/>
      <c r="N426" s="727" t="inlineStr">
        <is>
          <t>Итого</t>
        </is>
      </c>
      <c r="O426" s="697" t="n"/>
      <c r="P426" s="697" t="n"/>
      <c r="Q426" s="697" t="n"/>
      <c r="R426" s="697" t="n"/>
      <c r="S426" s="697" t="n"/>
      <c r="T426" s="698" t="n"/>
      <c r="U426" s="43" t="inlineStr">
        <is>
          <t>кг</t>
        </is>
      </c>
      <c r="V426" s="728">
        <f>IFERROR(SUM(V424:V424),"0")</f>
        <v/>
      </c>
      <c r="W426" s="728">
        <f>IFERROR(SUM(W424:W424),"0")</f>
        <v/>
      </c>
      <c r="X426" s="43" t="n"/>
      <c r="Y426" s="729" t="n"/>
      <c r="Z426" s="729" t="n"/>
    </row>
    <row r="427" ht="14.25" customHeight="1">
      <c r="A427" s="398" t="inlineStr">
        <is>
          <t>Деликатесы</t>
        </is>
      </c>
      <c r="B427" s="677" t="n"/>
      <c r="C427" s="677" t="n"/>
      <c r="D427" s="677" t="n"/>
      <c r="E427" s="677" t="n"/>
      <c r="F427" s="677" t="n"/>
      <c r="G427" s="677" t="n"/>
      <c r="H427" s="677" t="n"/>
      <c r="I427" s="677" t="n"/>
      <c r="J427" s="677" t="n"/>
      <c r="K427" s="677" t="n"/>
      <c r="L427" s="677" t="n"/>
      <c r="M427" s="677" t="n"/>
      <c r="N427" s="677" t="n"/>
      <c r="O427" s="677" t="n"/>
      <c r="P427" s="677" t="n"/>
      <c r="Q427" s="677" t="n"/>
      <c r="R427" s="677" t="n"/>
      <c r="S427" s="677" t="n"/>
      <c r="T427" s="677" t="n"/>
      <c r="U427" s="677" t="n"/>
      <c r="V427" s="677" t="n"/>
      <c r="W427" s="677" t="n"/>
      <c r="X427" s="677" t="n"/>
      <c r="Y427" s="398" t="n"/>
      <c r="Z427" s="398" t="n"/>
    </row>
    <row r="428" ht="27" customHeight="1">
      <c r="A428" s="64" t="inlineStr">
        <is>
          <t>SU003314</t>
        </is>
      </c>
      <c r="B428" s="64" t="inlineStr">
        <is>
          <t>P004035</t>
        </is>
      </c>
      <c r="C428" s="37" t="n">
        <v>4301040357</v>
      </c>
      <c r="D428" s="399" t="n">
        <v>4680115884564</v>
      </c>
      <c r="E428" s="689" t="n"/>
      <c r="F428" s="721" t="n">
        <v>0.15</v>
      </c>
      <c r="G428" s="38" t="n">
        <v>20</v>
      </c>
      <c r="H428" s="721" t="n">
        <v>3</v>
      </c>
      <c r="I428" s="721" t="n">
        <v>3.6</v>
      </c>
      <c r="J428" s="38" t="n">
        <v>200</v>
      </c>
      <c r="K428" s="38" t="inlineStr">
        <is>
          <t>10</t>
        </is>
      </c>
      <c r="L428" s="39" t="inlineStr">
        <is>
          <t>ДК</t>
        </is>
      </c>
      <c r="M428" s="38" t="n">
        <v>60</v>
      </c>
      <c r="N428" s="959" t="inlineStr">
        <is>
          <t>Деликатесы «Бекон Балыкбургский с натуральным копчением» ф/в 0,15 нарезка ТМ «Баварушка»</t>
        </is>
      </c>
      <c r="O428" s="723" t="n"/>
      <c r="P428" s="723" t="n"/>
      <c r="Q428" s="723" t="n"/>
      <c r="R428" s="689" t="n"/>
      <c r="S428" s="40" t="inlineStr"/>
      <c r="T428" s="40" t="inlineStr"/>
      <c r="U428" s="41" t="inlineStr">
        <is>
          <t>кг</t>
        </is>
      </c>
      <c r="V428" s="724" t="n">
        <v>0</v>
      </c>
      <c r="W428" s="725">
        <f>IFERROR(IF(V428="",0,CEILING((V428/$H428),1)*$H428),"")</f>
        <v/>
      </c>
      <c r="X428" s="42">
        <f>IFERROR(IF(W428=0,"",ROUNDUP(W428/H428,0)*0.00627),"")</f>
        <v/>
      </c>
      <c r="Y428" s="69" t="inlineStr"/>
      <c r="Z428" s="70" t="inlineStr"/>
      <c r="AD428" s="71" t="n"/>
      <c r="BA428" s="303" t="inlineStr">
        <is>
          <t>КИ</t>
        </is>
      </c>
    </row>
    <row r="429">
      <c r="A429" s="407" t="n"/>
      <c r="B429" s="677" t="n"/>
      <c r="C429" s="677" t="n"/>
      <c r="D429" s="677" t="n"/>
      <c r="E429" s="677" t="n"/>
      <c r="F429" s="677" t="n"/>
      <c r="G429" s="677" t="n"/>
      <c r="H429" s="677" t="n"/>
      <c r="I429" s="677" t="n"/>
      <c r="J429" s="677" t="n"/>
      <c r="K429" s="677" t="n"/>
      <c r="L429" s="677" t="n"/>
      <c r="M429" s="726" t="n"/>
      <c r="N429" s="727" t="inlineStr">
        <is>
          <t>Итого</t>
        </is>
      </c>
      <c r="O429" s="697" t="n"/>
      <c r="P429" s="697" t="n"/>
      <c r="Q429" s="697" t="n"/>
      <c r="R429" s="697" t="n"/>
      <c r="S429" s="697" t="n"/>
      <c r="T429" s="698" t="n"/>
      <c r="U429" s="43" t="inlineStr">
        <is>
          <t>кор</t>
        </is>
      </c>
      <c r="V429" s="728">
        <f>IFERROR(V428/H428,"0")</f>
        <v/>
      </c>
      <c r="W429" s="728">
        <f>IFERROR(W428/H428,"0")</f>
        <v/>
      </c>
      <c r="X429" s="728">
        <f>IFERROR(IF(X428="",0,X428),"0")</f>
        <v/>
      </c>
      <c r="Y429" s="729" t="n"/>
      <c r="Z429" s="729" t="n"/>
    </row>
    <row r="430">
      <c r="A430" s="677" t="n"/>
      <c r="B430" s="677" t="n"/>
      <c r="C430" s="677" t="n"/>
      <c r="D430" s="677" t="n"/>
      <c r="E430" s="677" t="n"/>
      <c r="F430" s="677" t="n"/>
      <c r="G430" s="677" t="n"/>
      <c r="H430" s="677" t="n"/>
      <c r="I430" s="677" t="n"/>
      <c r="J430" s="677" t="n"/>
      <c r="K430" s="677" t="n"/>
      <c r="L430" s="677" t="n"/>
      <c r="M430" s="726" t="n"/>
      <c r="N430" s="727" t="inlineStr">
        <is>
          <t>Итого</t>
        </is>
      </c>
      <c r="O430" s="697" t="n"/>
      <c r="P430" s="697" t="n"/>
      <c r="Q430" s="697" t="n"/>
      <c r="R430" s="697" t="n"/>
      <c r="S430" s="697" t="n"/>
      <c r="T430" s="698" t="n"/>
      <c r="U430" s="43" t="inlineStr">
        <is>
          <t>кг</t>
        </is>
      </c>
      <c r="V430" s="728">
        <f>IFERROR(SUM(V428:V428),"0")</f>
        <v/>
      </c>
      <c r="W430" s="728">
        <f>IFERROR(SUM(W428:W428),"0")</f>
        <v/>
      </c>
      <c r="X430" s="43" t="n"/>
      <c r="Y430" s="729" t="n"/>
      <c r="Z430" s="729" t="n"/>
    </row>
    <row r="431" ht="27.75" customHeight="1">
      <c r="A431" s="396" t="inlineStr">
        <is>
          <t>Дугушка</t>
        </is>
      </c>
      <c r="B431" s="720" t="n"/>
      <c r="C431" s="720" t="n"/>
      <c r="D431" s="720" t="n"/>
      <c r="E431" s="720" t="n"/>
      <c r="F431" s="720" t="n"/>
      <c r="G431" s="720" t="n"/>
      <c r="H431" s="720" t="n"/>
      <c r="I431" s="720" t="n"/>
      <c r="J431" s="720" t="n"/>
      <c r="K431" s="720" t="n"/>
      <c r="L431" s="720" t="n"/>
      <c r="M431" s="720" t="n"/>
      <c r="N431" s="720" t="n"/>
      <c r="O431" s="720" t="n"/>
      <c r="P431" s="720" t="n"/>
      <c r="Q431" s="720" t="n"/>
      <c r="R431" s="720" t="n"/>
      <c r="S431" s="720" t="n"/>
      <c r="T431" s="720" t="n"/>
      <c r="U431" s="720" t="n"/>
      <c r="V431" s="720" t="n"/>
      <c r="W431" s="720" t="n"/>
      <c r="X431" s="720" t="n"/>
      <c r="Y431" s="55" t="n"/>
      <c r="Z431" s="55" t="n"/>
    </row>
    <row r="432" ht="16.5" customHeight="1">
      <c r="A432" s="397" t="inlineStr">
        <is>
          <t>Дугушка</t>
        </is>
      </c>
      <c r="B432" s="677" t="n"/>
      <c r="C432" s="677" t="n"/>
      <c r="D432" s="677" t="n"/>
      <c r="E432" s="677" t="n"/>
      <c r="F432" s="677" t="n"/>
      <c r="G432" s="677" t="n"/>
      <c r="H432" s="677" t="n"/>
      <c r="I432" s="677" t="n"/>
      <c r="J432" s="677" t="n"/>
      <c r="K432" s="677" t="n"/>
      <c r="L432" s="677" t="n"/>
      <c r="M432" s="677" t="n"/>
      <c r="N432" s="677" t="n"/>
      <c r="O432" s="677" t="n"/>
      <c r="P432" s="677" t="n"/>
      <c r="Q432" s="677" t="n"/>
      <c r="R432" s="677" t="n"/>
      <c r="S432" s="677" t="n"/>
      <c r="T432" s="677" t="n"/>
      <c r="U432" s="677" t="n"/>
      <c r="V432" s="677" t="n"/>
      <c r="W432" s="677" t="n"/>
      <c r="X432" s="677" t="n"/>
      <c r="Y432" s="397" t="n"/>
      <c r="Z432" s="397" t="n"/>
    </row>
    <row r="433" ht="14.25" customHeight="1">
      <c r="A433" s="398" t="inlineStr">
        <is>
          <t>Вареные колбасы</t>
        </is>
      </c>
      <c r="B433" s="677" t="n"/>
      <c r="C433" s="677" t="n"/>
      <c r="D433" s="677" t="n"/>
      <c r="E433" s="677" t="n"/>
      <c r="F433" s="677" t="n"/>
      <c r="G433" s="677" t="n"/>
      <c r="H433" s="677" t="n"/>
      <c r="I433" s="677" t="n"/>
      <c r="J433" s="677" t="n"/>
      <c r="K433" s="677" t="n"/>
      <c r="L433" s="677" t="n"/>
      <c r="M433" s="677" t="n"/>
      <c r="N433" s="677" t="n"/>
      <c r="O433" s="677" t="n"/>
      <c r="P433" s="677" t="n"/>
      <c r="Q433" s="677" t="n"/>
      <c r="R433" s="677" t="n"/>
      <c r="S433" s="677" t="n"/>
      <c r="T433" s="677" t="n"/>
      <c r="U433" s="677" t="n"/>
      <c r="V433" s="677" t="n"/>
      <c r="W433" s="677" t="n"/>
      <c r="X433" s="677" t="n"/>
      <c r="Y433" s="398" t="n"/>
      <c r="Z433" s="398" t="n"/>
    </row>
    <row r="434" ht="27" customHeight="1">
      <c r="A434" s="64" t="inlineStr">
        <is>
          <t>SU002011</t>
        </is>
      </c>
      <c r="B434" s="64" t="inlineStr">
        <is>
          <t>P002991</t>
        </is>
      </c>
      <c r="C434" s="37" t="n">
        <v>4301011371</v>
      </c>
      <c r="D434" s="399" t="n">
        <v>4607091389067</v>
      </c>
      <c r="E434" s="689" t="n"/>
      <c r="F434" s="721" t="n">
        <v>0.88</v>
      </c>
      <c r="G434" s="38" t="n">
        <v>6</v>
      </c>
      <c r="H434" s="721" t="n">
        <v>5.28</v>
      </c>
      <c r="I434" s="721" t="n">
        <v>5.64</v>
      </c>
      <c r="J434" s="38" t="n">
        <v>104</v>
      </c>
      <c r="K434" s="38" t="inlineStr">
        <is>
          <t>8</t>
        </is>
      </c>
      <c r="L434" s="39" t="inlineStr">
        <is>
          <t>СК3</t>
        </is>
      </c>
      <c r="M434" s="38" t="n">
        <v>55</v>
      </c>
      <c r="N434" s="960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34" s="723" t="n"/>
      <c r="P434" s="723" t="n"/>
      <c r="Q434" s="723" t="n"/>
      <c r="R434" s="689" t="n"/>
      <c r="S434" s="40" t="inlineStr"/>
      <c r="T434" s="40" t="inlineStr"/>
      <c r="U434" s="41" t="inlineStr">
        <is>
          <t>кг</t>
        </is>
      </c>
      <c r="V434" s="724" t="n">
        <v>0</v>
      </c>
      <c r="W434" s="725">
        <f>IFERROR(IF(V434="",0,CEILING((V434/$H434),1)*$H434),"")</f>
        <v/>
      </c>
      <c r="X434" s="42">
        <f>IFERROR(IF(W434=0,"",ROUNDUP(W434/H434,0)*0.01196),"")</f>
        <v/>
      </c>
      <c r="Y434" s="69" t="inlineStr"/>
      <c r="Z434" s="70" t="inlineStr"/>
      <c r="AD434" s="71" t="n"/>
      <c r="BA434" s="304" t="inlineStr">
        <is>
          <t>КИ</t>
        </is>
      </c>
    </row>
    <row r="435" ht="27" customHeight="1">
      <c r="A435" s="64" t="inlineStr">
        <is>
          <t>SU002094</t>
        </is>
      </c>
      <c r="B435" s="64" t="inlineStr">
        <is>
          <t>P002975</t>
        </is>
      </c>
      <c r="C435" s="37" t="n">
        <v>4301011363</v>
      </c>
      <c r="D435" s="399" t="n">
        <v>4607091383522</v>
      </c>
      <c r="E435" s="689" t="n"/>
      <c r="F435" s="721" t="n">
        <v>0.88</v>
      </c>
      <c r="G435" s="38" t="n">
        <v>6</v>
      </c>
      <c r="H435" s="721" t="n">
        <v>5.28</v>
      </c>
      <c r="I435" s="721" t="n">
        <v>5.64</v>
      </c>
      <c r="J435" s="38" t="n">
        <v>104</v>
      </c>
      <c r="K435" s="38" t="inlineStr">
        <is>
          <t>8</t>
        </is>
      </c>
      <c r="L435" s="39" t="inlineStr">
        <is>
          <t>СК1</t>
        </is>
      </c>
      <c r="M435" s="38" t="n">
        <v>55</v>
      </c>
      <c r="N435" s="961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35" s="723" t="n"/>
      <c r="P435" s="723" t="n"/>
      <c r="Q435" s="723" t="n"/>
      <c r="R435" s="689" t="n"/>
      <c r="S435" s="40" t="inlineStr"/>
      <c r="T435" s="40" t="inlineStr"/>
      <c r="U435" s="41" t="inlineStr">
        <is>
          <t>кг</t>
        </is>
      </c>
      <c r="V435" s="724" t="n">
        <v>261</v>
      </c>
      <c r="W435" s="725">
        <f>IFERROR(IF(V435="",0,CEILING((V435/$H435),1)*$H435),"")</f>
        <v/>
      </c>
      <c r="X435" s="42">
        <f>IFERROR(IF(W435=0,"",ROUNDUP(W435/H435,0)*0.01196),"")</f>
        <v/>
      </c>
      <c r="Y435" s="69" t="inlineStr"/>
      <c r="Z435" s="70" t="inlineStr"/>
      <c r="AD435" s="71" t="n"/>
      <c r="BA435" s="305" t="inlineStr">
        <is>
          <t>КИ</t>
        </is>
      </c>
    </row>
    <row r="436" ht="27" customHeight="1">
      <c r="A436" s="64" t="inlineStr">
        <is>
          <t>SU002182</t>
        </is>
      </c>
      <c r="B436" s="64" t="inlineStr">
        <is>
          <t>P002990</t>
        </is>
      </c>
      <c r="C436" s="37" t="n">
        <v>4301011431</v>
      </c>
      <c r="D436" s="399" t="n">
        <v>4607091384437</v>
      </c>
      <c r="E436" s="689" t="n"/>
      <c r="F436" s="721" t="n">
        <v>0.88</v>
      </c>
      <c r="G436" s="38" t="n">
        <v>6</v>
      </c>
      <c r="H436" s="721" t="n">
        <v>5.28</v>
      </c>
      <c r="I436" s="721" t="n">
        <v>5.64</v>
      </c>
      <c r="J436" s="38" t="n">
        <v>104</v>
      </c>
      <c r="K436" s="38" t="inlineStr">
        <is>
          <t>8</t>
        </is>
      </c>
      <c r="L436" s="39" t="inlineStr">
        <is>
          <t>СК1</t>
        </is>
      </c>
      <c r="M436" s="38" t="n">
        <v>50</v>
      </c>
      <c r="N436" s="962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36" s="723" t="n"/>
      <c r="P436" s="723" t="n"/>
      <c r="Q436" s="723" t="n"/>
      <c r="R436" s="689" t="n"/>
      <c r="S436" s="40" t="inlineStr"/>
      <c r="T436" s="40" t="inlineStr"/>
      <c r="U436" s="41" t="inlineStr">
        <is>
          <t>кг</t>
        </is>
      </c>
      <c r="V436" s="724" t="n">
        <v>51</v>
      </c>
      <c r="W436" s="725">
        <f>IFERROR(IF(V436="",0,CEILING((V436/$H436),1)*$H436),"")</f>
        <v/>
      </c>
      <c r="X436" s="42">
        <f>IFERROR(IF(W436=0,"",ROUNDUP(W436/H436,0)*0.01196),"")</f>
        <v/>
      </c>
      <c r="Y436" s="69" t="inlineStr"/>
      <c r="Z436" s="70" t="inlineStr"/>
      <c r="AD436" s="71" t="n"/>
      <c r="BA436" s="306" t="inlineStr">
        <is>
          <t>КИ</t>
        </is>
      </c>
    </row>
    <row r="437" ht="27" customHeight="1">
      <c r="A437" s="64" t="inlineStr">
        <is>
          <t>SU002010</t>
        </is>
      </c>
      <c r="B437" s="64" t="inlineStr">
        <is>
          <t>P002979</t>
        </is>
      </c>
      <c r="C437" s="37" t="n">
        <v>4301011365</v>
      </c>
      <c r="D437" s="399" t="n">
        <v>4607091389104</v>
      </c>
      <c r="E437" s="689" t="n"/>
      <c r="F437" s="721" t="n">
        <v>0.88</v>
      </c>
      <c r="G437" s="38" t="n">
        <v>6</v>
      </c>
      <c r="H437" s="721" t="n">
        <v>5.28</v>
      </c>
      <c r="I437" s="721" t="n">
        <v>5.64</v>
      </c>
      <c r="J437" s="38" t="n">
        <v>104</v>
      </c>
      <c r="K437" s="38" t="inlineStr">
        <is>
          <t>8</t>
        </is>
      </c>
      <c r="L437" s="39" t="inlineStr">
        <is>
          <t>СК1</t>
        </is>
      </c>
      <c r="M437" s="38" t="n">
        <v>55</v>
      </c>
      <c r="N437" s="963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37" s="723" t="n"/>
      <c r="P437" s="723" t="n"/>
      <c r="Q437" s="723" t="n"/>
      <c r="R437" s="689" t="n"/>
      <c r="S437" s="40" t="inlineStr"/>
      <c r="T437" s="40" t="inlineStr"/>
      <c r="U437" s="41" t="inlineStr">
        <is>
          <t>кг</t>
        </is>
      </c>
      <c r="V437" s="724" t="n">
        <v>54</v>
      </c>
      <c r="W437" s="725">
        <f>IFERROR(IF(V437="",0,CEILING((V437/$H437),1)*$H437),"")</f>
        <v/>
      </c>
      <c r="X437" s="42">
        <f>IFERROR(IF(W437=0,"",ROUNDUP(W437/H437,0)*0.01196),"")</f>
        <v/>
      </c>
      <c r="Y437" s="69" t="inlineStr"/>
      <c r="Z437" s="70" t="inlineStr"/>
      <c r="AD437" s="71" t="n"/>
      <c r="BA437" s="307" t="inlineStr">
        <is>
          <t>КИ</t>
        </is>
      </c>
    </row>
    <row r="438" ht="27" customHeight="1">
      <c r="A438" s="64" t="inlineStr">
        <is>
          <t>SU002632</t>
        </is>
      </c>
      <c r="B438" s="64" t="inlineStr">
        <is>
          <t>P002982</t>
        </is>
      </c>
      <c r="C438" s="37" t="n">
        <v>4301011367</v>
      </c>
      <c r="D438" s="399" t="n">
        <v>4680115880603</v>
      </c>
      <c r="E438" s="689" t="n"/>
      <c r="F438" s="721" t="n">
        <v>0.6</v>
      </c>
      <c r="G438" s="38" t="n">
        <v>6</v>
      </c>
      <c r="H438" s="721" t="n">
        <v>3.6</v>
      </c>
      <c r="I438" s="721" t="n">
        <v>3.84</v>
      </c>
      <c r="J438" s="38" t="n">
        <v>120</v>
      </c>
      <c r="K438" s="38" t="inlineStr">
        <is>
          <t>12</t>
        </is>
      </c>
      <c r="L438" s="39" t="inlineStr">
        <is>
          <t>СК1</t>
        </is>
      </c>
      <c r="M438" s="38" t="n">
        <v>55</v>
      </c>
      <c r="N438" s="964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38" s="723" t="n"/>
      <c r="P438" s="723" t="n"/>
      <c r="Q438" s="723" t="n"/>
      <c r="R438" s="689" t="n"/>
      <c r="S438" s="40" t="inlineStr"/>
      <c r="T438" s="40" t="inlineStr"/>
      <c r="U438" s="41" t="inlineStr">
        <is>
          <t>кг</t>
        </is>
      </c>
      <c r="V438" s="724" t="n">
        <v>0</v>
      </c>
      <c r="W438" s="725">
        <f>IFERROR(IF(V438="",0,CEILING((V438/$H438),1)*$H438),"")</f>
        <v/>
      </c>
      <c r="X438" s="42">
        <f>IFERROR(IF(W438=0,"",ROUNDUP(W438/H438,0)*0.00937),"")</f>
        <v/>
      </c>
      <c r="Y438" s="69" t="inlineStr"/>
      <c r="Z438" s="70" t="inlineStr"/>
      <c r="AD438" s="71" t="n"/>
      <c r="BA438" s="308" t="inlineStr">
        <is>
          <t>КИ</t>
        </is>
      </c>
    </row>
    <row r="439" ht="27" customHeight="1">
      <c r="A439" s="64" t="inlineStr">
        <is>
          <t>SU002220</t>
        </is>
      </c>
      <c r="B439" s="64" t="inlineStr">
        <is>
          <t>P002404</t>
        </is>
      </c>
      <c r="C439" s="37" t="n">
        <v>4301011168</v>
      </c>
      <c r="D439" s="399" t="n">
        <v>4607091389999</v>
      </c>
      <c r="E439" s="689" t="n"/>
      <c r="F439" s="721" t="n">
        <v>0.6</v>
      </c>
      <c r="G439" s="38" t="n">
        <v>6</v>
      </c>
      <c r="H439" s="721" t="n">
        <v>3.6</v>
      </c>
      <c r="I439" s="721" t="n">
        <v>3.84</v>
      </c>
      <c r="J439" s="38" t="n">
        <v>120</v>
      </c>
      <c r="K439" s="38" t="inlineStr">
        <is>
          <t>12</t>
        </is>
      </c>
      <c r="L439" s="39" t="inlineStr">
        <is>
          <t>СК1</t>
        </is>
      </c>
      <c r="M439" s="38" t="n">
        <v>55</v>
      </c>
      <c r="N439" s="965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39" s="723" t="n"/>
      <c r="P439" s="723" t="n"/>
      <c r="Q439" s="723" t="n"/>
      <c r="R439" s="689" t="n"/>
      <c r="S439" s="40" t="inlineStr"/>
      <c r="T439" s="40" t="inlineStr"/>
      <c r="U439" s="41" t="inlineStr">
        <is>
          <t>кг</t>
        </is>
      </c>
      <c r="V439" s="724" t="n">
        <v>0</v>
      </c>
      <c r="W439" s="725">
        <f>IFERROR(IF(V439="",0,CEILING((V439/$H439),1)*$H439),"")</f>
        <v/>
      </c>
      <c r="X439" s="42">
        <f>IFERROR(IF(W439=0,"",ROUNDUP(W439/H439,0)*0.00937),"")</f>
        <v/>
      </c>
      <c r="Y439" s="69" t="inlineStr"/>
      <c r="Z439" s="70" t="inlineStr"/>
      <c r="AD439" s="71" t="n"/>
      <c r="BA439" s="309" t="inlineStr">
        <is>
          <t>КИ</t>
        </is>
      </c>
    </row>
    <row r="440" ht="27" customHeight="1">
      <c r="A440" s="64" t="inlineStr">
        <is>
          <t>SU002635</t>
        </is>
      </c>
      <c r="B440" s="64" t="inlineStr">
        <is>
          <t>P002992</t>
        </is>
      </c>
      <c r="C440" s="37" t="n">
        <v>4301011372</v>
      </c>
      <c r="D440" s="399" t="n">
        <v>4680115882782</v>
      </c>
      <c r="E440" s="689" t="n"/>
      <c r="F440" s="721" t="n">
        <v>0.6</v>
      </c>
      <c r="G440" s="38" t="n">
        <v>6</v>
      </c>
      <c r="H440" s="721" t="n">
        <v>3.6</v>
      </c>
      <c r="I440" s="721" t="n">
        <v>3.84</v>
      </c>
      <c r="J440" s="38" t="n">
        <v>120</v>
      </c>
      <c r="K440" s="38" t="inlineStr">
        <is>
          <t>12</t>
        </is>
      </c>
      <c r="L440" s="39" t="inlineStr">
        <is>
          <t>СК1</t>
        </is>
      </c>
      <c r="M440" s="38" t="n">
        <v>50</v>
      </c>
      <c r="N440" s="966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40" s="723" t="n"/>
      <c r="P440" s="723" t="n"/>
      <c r="Q440" s="723" t="n"/>
      <c r="R440" s="689" t="n"/>
      <c r="S440" s="40" t="inlineStr"/>
      <c r="T440" s="40" t="inlineStr"/>
      <c r="U440" s="41" t="inlineStr">
        <is>
          <t>кг</t>
        </is>
      </c>
      <c r="V440" s="724" t="n">
        <v>0</v>
      </c>
      <c r="W440" s="725">
        <f>IFERROR(IF(V440="",0,CEILING((V440/$H440),1)*$H440),"")</f>
        <v/>
      </c>
      <c r="X440" s="42">
        <f>IFERROR(IF(W440=0,"",ROUNDUP(W440/H440,0)*0.00937),"")</f>
        <v/>
      </c>
      <c r="Y440" s="69" t="inlineStr"/>
      <c r="Z440" s="70" t="inlineStr"/>
      <c r="AD440" s="71" t="n"/>
      <c r="BA440" s="310" t="inlineStr">
        <is>
          <t>КИ</t>
        </is>
      </c>
    </row>
    <row r="441" ht="27" customHeight="1">
      <c r="A441" s="64" t="inlineStr">
        <is>
          <t>SU002020</t>
        </is>
      </c>
      <c r="B441" s="64" t="inlineStr">
        <is>
          <t>P002308</t>
        </is>
      </c>
      <c r="C441" s="37" t="n">
        <v>4301011190</v>
      </c>
      <c r="D441" s="399" t="n">
        <v>4607091389098</v>
      </c>
      <c r="E441" s="689" t="n"/>
      <c r="F441" s="721" t="n">
        <v>0.4</v>
      </c>
      <c r="G441" s="38" t="n">
        <v>6</v>
      </c>
      <c r="H441" s="721" t="n">
        <v>2.4</v>
      </c>
      <c r="I441" s="721" t="n">
        <v>2.6</v>
      </c>
      <c r="J441" s="38" t="n">
        <v>156</v>
      </c>
      <c r="K441" s="38" t="inlineStr">
        <is>
          <t>12</t>
        </is>
      </c>
      <c r="L441" s="39" t="inlineStr">
        <is>
          <t>СК3</t>
        </is>
      </c>
      <c r="M441" s="38" t="n">
        <v>50</v>
      </c>
      <c r="N441" s="967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41" s="723" t="n"/>
      <c r="P441" s="723" t="n"/>
      <c r="Q441" s="723" t="n"/>
      <c r="R441" s="689" t="n"/>
      <c r="S441" s="40" t="inlineStr"/>
      <c r="T441" s="40" t="inlineStr"/>
      <c r="U441" s="41" t="inlineStr">
        <is>
          <t>кг</t>
        </is>
      </c>
      <c r="V441" s="724" t="n">
        <v>0</v>
      </c>
      <c r="W441" s="725">
        <f>IFERROR(IF(V441="",0,CEILING((V441/$H441),1)*$H441),"")</f>
        <v/>
      </c>
      <c r="X441" s="42">
        <f>IFERROR(IF(W441=0,"",ROUNDUP(W441/H441,0)*0.00753),"")</f>
        <v/>
      </c>
      <c r="Y441" s="69" t="inlineStr"/>
      <c r="Z441" s="70" t="inlineStr"/>
      <c r="AD441" s="71" t="n"/>
      <c r="BA441" s="311" t="inlineStr">
        <is>
          <t>КИ</t>
        </is>
      </c>
    </row>
    <row r="442" ht="27" customHeight="1">
      <c r="A442" s="64" t="inlineStr">
        <is>
          <t>SU002631</t>
        </is>
      </c>
      <c r="B442" s="64" t="inlineStr">
        <is>
          <t>P002981</t>
        </is>
      </c>
      <c r="C442" s="37" t="n">
        <v>4301011366</v>
      </c>
      <c r="D442" s="399" t="n">
        <v>4607091389982</v>
      </c>
      <c r="E442" s="689" t="n"/>
      <c r="F442" s="721" t="n">
        <v>0.6</v>
      </c>
      <c r="G442" s="38" t="n">
        <v>6</v>
      </c>
      <c r="H442" s="721" t="n">
        <v>3.6</v>
      </c>
      <c r="I442" s="721" t="n">
        <v>3.84</v>
      </c>
      <c r="J442" s="38" t="n">
        <v>120</v>
      </c>
      <c r="K442" s="38" t="inlineStr">
        <is>
          <t>12</t>
        </is>
      </c>
      <c r="L442" s="39" t="inlineStr">
        <is>
          <t>СК1</t>
        </is>
      </c>
      <c r="M442" s="38" t="n">
        <v>55</v>
      </c>
      <c r="N442" s="968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42" s="723" t="n"/>
      <c r="P442" s="723" t="n"/>
      <c r="Q442" s="723" t="n"/>
      <c r="R442" s="689" t="n"/>
      <c r="S442" s="40" t="inlineStr"/>
      <c r="T442" s="40" t="inlineStr"/>
      <c r="U442" s="41" t="inlineStr">
        <is>
          <t>кг</t>
        </is>
      </c>
      <c r="V442" s="724" t="n">
        <v>0</v>
      </c>
      <c r="W442" s="725">
        <f>IFERROR(IF(V442="",0,CEILING((V442/$H442),1)*$H442),"")</f>
        <v/>
      </c>
      <c r="X442" s="42">
        <f>IFERROR(IF(W442=0,"",ROUNDUP(W442/H442,0)*0.00937),"")</f>
        <v/>
      </c>
      <c r="Y442" s="69" t="inlineStr"/>
      <c r="Z442" s="70" t="inlineStr"/>
      <c r="AD442" s="71" t="n"/>
      <c r="BA442" s="312" t="inlineStr">
        <is>
          <t>КИ</t>
        </is>
      </c>
    </row>
    <row r="443">
      <c r="A443" s="407" t="n"/>
      <c r="B443" s="677" t="n"/>
      <c r="C443" s="677" t="n"/>
      <c r="D443" s="677" t="n"/>
      <c r="E443" s="677" t="n"/>
      <c r="F443" s="677" t="n"/>
      <c r="G443" s="677" t="n"/>
      <c r="H443" s="677" t="n"/>
      <c r="I443" s="677" t="n"/>
      <c r="J443" s="677" t="n"/>
      <c r="K443" s="677" t="n"/>
      <c r="L443" s="677" t="n"/>
      <c r="M443" s="726" t="n"/>
      <c r="N443" s="727" t="inlineStr">
        <is>
          <t>Итого</t>
        </is>
      </c>
      <c r="O443" s="697" t="n"/>
      <c r="P443" s="697" t="n"/>
      <c r="Q443" s="697" t="n"/>
      <c r="R443" s="697" t="n"/>
      <c r="S443" s="697" t="n"/>
      <c r="T443" s="698" t="n"/>
      <c r="U443" s="43" t="inlineStr">
        <is>
          <t>кор</t>
        </is>
      </c>
      <c r="V443" s="728">
        <f>IFERROR(V434/H434,"0")+IFERROR(V435/H435,"0")+IFERROR(V436/H436,"0")+IFERROR(V437/H437,"0")+IFERROR(V438/H438,"0")+IFERROR(V439/H439,"0")+IFERROR(V440/H440,"0")+IFERROR(V441/H441,"0")+IFERROR(V442/H442,"0")</f>
        <v/>
      </c>
      <c r="W443" s="728">
        <f>IFERROR(W434/H434,"0")+IFERROR(W435/H435,"0")+IFERROR(W436/H436,"0")+IFERROR(W437/H437,"0")+IFERROR(W438/H438,"0")+IFERROR(W439/H439,"0")+IFERROR(W440/H440,"0")+IFERROR(W441/H441,"0")+IFERROR(W442/H442,"0")</f>
        <v/>
      </c>
      <c r="X443" s="728">
        <f>IFERROR(IF(X434="",0,X434),"0")+IFERROR(IF(X435="",0,X435),"0")+IFERROR(IF(X436="",0,X436),"0")+IFERROR(IF(X437="",0,X437),"0")+IFERROR(IF(X438="",0,X438),"0")+IFERROR(IF(X439="",0,X439),"0")+IFERROR(IF(X440="",0,X440),"0")+IFERROR(IF(X441="",0,X441),"0")+IFERROR(IF(X442="",0,X442),"0")</f>
        <v/>
      </c>
      <c r="Y443" s="729" t="n"/>
      <c r="Z443" s="729" t="n"/>
    </row>
    <row r="444">
      <c r="A444" s="677" t="n"/>
      <c r="B444" s="677" t="n"/>
      <c r="C444" s="677" t="n"/>
      <c r="D444" s="677" t="n"/>
      <c r="E444" s="677" t="n"/>
      <c r="F444" s="677" t="n"/>
      <c r="G444" s="677" t="n"/>
      <c r="H444" s="677" t="n"/>
      <c r="I444" s="677" t="n"/>
      <c r="J444" s="677" t="n"/>
      <c r="K444" s="677" t="n"/>
      <c r="L444" s="677" t="n"/>
      <c r="M444" s="726" t="n"/>
      <c r="N444" s="727" t="inlineStr">
        <is>
          <t>Итого</t>
        </is>
      </c>
      <c r="O444" s="697" t="n"/>
      <c r="P444" s="697" t="n"/>
      <c r="Q444" s="697" t="n"/>
      <c r="R444" s="697" t="n"/>
      <c r="S444" s="697" t="n"/>
      <c r="T444" s="698" t="n"/>
      <c r="U444" s="43" t="inlineStr">
        <is>
          <t>кг</t>
        </is>
      </c>
      <c r="V444" s="728">
        <f>IFERROR(SUM(V434:V442),"0")</f>
        <v/>
      </c>
      <c r="W444" s="728">
        <f>IFERROR(SUM(W434:W442),"0")</f>
        <v/>
      </c>
      <c r="X444" s="43" t="n"/>
      <c r="Y444" s="729" t="n"/>
      <c r="Z444" s="729" t="n"/>
    </row>
    <row r="445" ht="14.25" customHeight="1">
      <c r="A445" s="398" t="inlineStr">
        <is>
          <t>Ветчины</t>
        </is>
      </c>
      <c r="B445" s="677" t="n"/>
      <c r="C445" s="677" t="n"/>
      <c r="D445" s="677" t="n"/>
      <c r="E445" s="677" t="n"/>
      <c r="F445" s="677" t="n"/>
      <c r="G445" s="677" t="n"/>
      <c r="H445" s="677" t="n"/>
      <c r="I445" s="677" t="n"/>
      <c r="J445" s="677" t="n"/>
      <c r="K445" s="677" t="n"/>
      <c r="L445" s="677" t="n"/>
      <c r="M445" s="677" t="n"/>
      <c r="N445" s="677" t="n"/>
      <c r="O445" s="677" t="n"/>
      <c r="P445" s="677" t="n"/>
      <c r="Q445" s="677" t="n"/>
      <c r="R445" s="677" t="n"/>
      <c r="S445" s="677" t="n"/>
      <c r="T445" s="677" t="n"/>
      <c r="U445" s="677" t="n"/>
      <c r="V445" s="677" t="n"/>
      <c r="W445" s="677" t="n"/>
      <c r="X445" s="677" t="n"/>
      <c r="Y445" s="398" t="n"/>
      <c r="Z445" s="398" t="n"/>
    </row>
    <row r="446" ht="16.5" customHeight="1">
      <c r="A446" s="64" t="inlineStr">
        <is>
          <t>SU002035</t>
        </is>
      </c>
      <c r="B446" s="64" t="inlineStr">
        <is>
          <t>P003146</t>
        </is>
      </c>
      <c r="C446" s="37" t="n">
        <v>4301020222</v>
      </c>
      <c r="D446" s="399" t="n">
        <v>4607091388930</v>
      </c>
      <c r="E446" s="689" t="n"/>
      <c r="F446" s="721" t="n">
        <v>0.88</v>
      </c>
      <c r="G446" s="38" t="n">
        <v>6</v>
      </c>
      <c r="H446" s="721" t="n">
        <v>5.28</v>
      </c>
      <c r="I446" s="721" t="n">
        <v>5.64</v>
      </c>
      <c r="J446" s="38" t="n">
        <v>104</v>
      </c>
      <c r="K446" s="38" t="inlineStr">
        <is>
          <t>8</t>
        </is>
      </c>
      <c r="L446" s="39" t="inlineStr">
        <is>
          <t>СК1</t>
        </is>
      </c>
      <c r="M446" s="38" t="n">
        <v>55</v>
      </c>
      <c r="N446" s="969">
        <f>HYPERLINK("https://abi.ru/products/Охлажденные/Дугушка/Дугушка/Ветчины/P003146/","Ветчины Дугушка Дугушка Вес б/о Дугушка")</f>
        <v/>
      </c>
      <c r="O446" s="723" t="n"/>
      <c r="P446" s="723" t="n"/>
      <c r="Q446" s="723" t="n"/>
      <c r="R446" s="689" t="n"/>
      <c r="S446" s="40" t="inlineStr"/>
      <c r="T446" s="40" t="inlineStr"/>
      <c r="U446" s="41" t="inlineStr">
        <is>
          <t>кг</t>
        </is>
      </c>
      <c r="V446" s="724" t="n">
        <v>260</v>
      </c>
      <c r="W446" s="725">
        <f>IFERROR(IF(V446="",0,CEILING((V446/$H446),1)*$H446),"")</f>
        <v/>
      </c>
      <c r="X446" s="42">
        <f>IFERROR(IF(W446=0,"",ROUNDUP(W446/H446,0)*0.01196),"")</f>
        <v/>
      </c>
      <c r="Y446" s="69" t="inlineStr"/>
      <c r="Z446" s="70" t="inlineStr"/>
      <c r="AD446" s="71" t="n"/>
      <c r="BA446" s="313" t="inlineStr">
        <is>
          <t>КИ</t>
        </is>
      </c>
    </row>
    <row r="447" ht="16.5" customHeight="1">
      <c r="A447" s="64" t="inlineStr">
        <is>
          <t>SU002643</t>
        </is>
      </c>
      <c r="B447" s="64" t="inlineStr">
        <is>
          <t>P002993</t>
        </is>
      </c>
      <c r="C447" s="37" t="n">
        <v>4301020206</v>
      </c>
      <c r="D447" s="399" t="n">
        <v>4680115880054</v>
      </c>
      <c r="E447" s="689" t="n"/>
      <c r="F447" s="721" t="n">
        <v>0.6</v>
      </c>
      <c r="G447" s="38" t="n">
        <v>6</v>
      </c>
      <c r="H447" s="721" t="n">
        <v>3.6</v>
      </c>
      <c r="I447" s="721" t="n">
        <v>3.84</v>
      </c>
      <c r="J447" s="38" t="n">
        <v>120</v>
      </c>
      <c r="K447" s="38" t="inlineStr">
        <is>
          <t>12</t>
        </is>
      </c>
      <c r="L447" s="39" t="inlineStr">
        <is>
          <t>СК1</t>
        </is>
      </c>
      <c r="M447" s="38" t="n">
        <v>55</v>
      </c>
      <c r="N447" s="970">
        <f>HYPERLINK("https://abi.ru/products/Охлажденные/Дугушка/Дугушка/Ветчины/P002993/","Ветчины «Дугушка» Фикс.вес 0,6 П/а ТМ «Дугушка»")</f>
        <v/>
      </c>
      <c r="O447" s="723" t="n"/>
      <c r="P447" s="723" t="n"/>
      <c r="Q447" s="723" t="n"/>
      <c r="R447" s="689" t="n"/>
      <c r="S447" s="40" t="inlineStr"/>
      <c r="T447" s="40" t="inlineStr"/>
      <c r="U447" s="41" t="inlineStr">
        <is>
          <t>кг</t>
        </is>
      </c>
      <c r="V447" s="724" t="n">
        <v>0</v>
      </c>
      <c r="W447" s="725">
        <f>IFERROR(IF(V447="",0,CEILING((V447/$H447),1)*$H447),"")</f>
        <v/>
      </c>
      <c r="X447" s="42">
        <f>IFERROR(IF(W447=0,"",ROUNDUP(W447/H447,0)*0.00937),"")</f>
        <v/>
      </c>
      <c r="Y447" s="69" t="inlineStr"/>
      <c r="Z447" s="70" t="inlineStr"/>
      <c r="AD447" s="71" t="n"/>
      <c r="BA447" s="314" t="inlineStr">
        <is>
          <t>КИ</t>
        </is>
      </c>
    </row>
    <row r="448">
      <c r="A448" s="407" t="n"/>
      <c r="B448" s="677" t="n"/>
      <c r="C448" s="677" t="n"/>
      <c r="D448" s="677" t="n"/>
      <c r="E448" s="677" t="n"/>
      <c r="F448" s="677" t="n"/>
      <c r="G448" s="677" t="n"/>
      <c r="H448" s="677" t="n"/>
      <c r="I448" s="677" t="n"/>
      <c r="J448" s="677" t="n"/>
      <c r="K448" s="677" t="n"/>
      <c r="L448" s="677" t="n"/>
      <c r="M448" s="726" t="n"/>
      <c r="N448" s="727" t="inlineStr">
        <is>
          <t>Итого</t>
        </is>
      </c>
      <c r="O448" s="697" t="n"/>
      <c r="P448" s="697" t="n"/>
      <c r="Q448" s="697" t="n"/>
      <c r="R448" s="697" t="n"/>
      <c r="S448" s="697" t="n"/>
      <c r="T448" s="698" t="n"/>
      <c r="U448" s="43" t="inlineStr">
        <is>
          <t>кор</t>
        </is>
      </c>
      <c r="V448" s="728">
        <f>IFERROR(V446/H446,"0")+IFERROR(V447/H447,"0")</f>
        <v/>
      </c>
      <c r="W448" s="728">
        <f>IFERROR(W446/H446,"0")+IFERROR(W447/H447,"0")</f>
        <v/>
      </c>
      <c r="X448" s="728">
        <f>IFERROR(IF(X446="",0,X446),"0")+IFERROR(IF(X447="",0,X447),"0")</f>
        <v/>
      </c>
      <c r="Y448" s="729" t="n"/>
      <c r="Z448" s="729" t="n"/>
    </row>
    <row r="449">
      <c r="A449" s="677" t="n"/>
      <c r="B449" s="677" t="n"/>
      <c r="C449" s="677" t="n"/>
      <c r="D449" s="677" t="n"/>
      <c r="E449" s="677" t="n"/>
      <c r="F449" s="677" t="n"/>
      <c r="G449" s="677" t="n"/>
      <c r="H449" s="677" t="n"/>
      <c r="I449" s="677" t="n"/>
      <c r="J449" s="677" t="n"/>
      <c r="K449" s="677" t="n"/>
      <c r="L449" s="677" t="n"/>
      <c r="M449" s="726" t="n"/>
      <c r="N449" s="727" t="inlineStr">
        <is>
          <t>Итого</t>
        </is>
      </c>
      <c r="O449" s="697" t="n"/>
      <c r="P449" s="697" t="n"/>
      <c r="Q449" s="697" t="n"/>
      <c r="R449" s="697" t="n"/>
      <c r="S449" s="697" t="n"/>
      <c r="T449" s="698" t="n"/>
      <c r="U449" s="43" t="inlineStr">
        <is>
          <t>кг</t>
        </is>
      </c>
      <c r="V449" s="728">
        <f>IFERROR(SUM(V446:V447),"0")</f>
        <v/>
      </c>
      <c r="W449" s="728">
        <f>IFERROR(SUM(W446:W447),"0")</f>
        <v/>
      </c>
      <c r="X449" s="43" t="n"/>
      <c r="Y449" s="729" t="n"/>
      <c r="Z449" s="729" t="n"/>
    </row>
    <row r="450" ht="14.25" customHeight="1">
      <c r="A450" s="398" t="inlineStr">
        <is>
          <t>Копченые колбасы</t>
        </is>
      </c>
      <c r="B450" s="677" t="n"/>
      <c r="C450" s="677" t="n"/>
      <c r="D450" s="677" t="n"/>
      <c r="E450" s="677" t="n"/>
      <c r="F450" s="677" t="n"/>
      <c r="G450" s="677" t="n"/>
      <c r="H450" s="677" t="n"/>
      <c r="I450" s="677" t="n"/>
      <c r="J450" s="677" t="n"/>
      <c r="K450" s="677" t="n"/>
      <c r="L450" s="677" t="n"/>
      <c r="M450" s="677" t="n"/>
      <c r="N450" s="677" t="n"/>
      <c r="O450" s="677" t="n"/>
      <c r="P450" s="677" t="n"/>
      <c r="Q450" s="677" t="n"/>
      <c r="R450" s="677" t="n"/>
      <c r="S450" s="677" t="n"/>
      <c r="T450" s="677" t="n"/>
      <c r="U450" s="677" t="n"/>
      <c r="V450" s="677" t="n"/>
      <c r="W450" s="677" t="n"/>
      <c r="X450" s="677" t="n"/>
      <c r="Y450" s="398" t="n"/>
      <c r="Z450" s="398" t="n"/>
    </row>
    <row r="451" ht="27" customHeight="1">
      <c r="A451" s="64" t="inlineStr">
        <is>
          <t>SU002150</t>
        </is>
      </c>
      <c r="B451" s="64" t="inlineStr">
        <is>
          <t>P003636</t>
        </is>
      </c>
      <c r="C451" s="37" t="n">
        <v>4301031252</v>
      </c>
      <c r="D451" s="399" t="n">
        <v>4680115883116</v>
      </c>
      <c r="E451" s="689" t="n"/>
      <c r="F451" s="721" t="n">
        <v>0.88</v>
      </c>
      <c r="G451" s="38" t="n">
        <v>6</v>
      </c>
      <c r="H451" s="721" t="n">
        <v>5.28</v>
      </c>
      <c r="I451" s="721" t="n">
        <v>5.64</v>
      </c>
      <c r="J451" s="38" t="n">
        <v>104</v>
      </c>
      <c r="K451" s="38" t="inlineStr">
        <is>
          <t>8</t>
        </is>
      </c>
      <c r="L451" s="39" t="inlineStr">
        <is>
          <t>СК1</t>
        </is>
      </c>
      <c r="M451" s="38" t="n">
        <v>60</v>
      </c>
      <c r="N451" s="971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51" s="723" t="n"/>
      <c r="P451" s="723" t="n"/>
      <c r="Q451" s="723" t="n"/>
      <c r="R451" s="689" t="n"/>
      <c r="S451" s="40" t="inlineStr"/>
      <c r="T451" s="40" t="inlineStr"/>
      <c r="U451" s="41" t="inlineStr">
        <is>
          <t>кг</t>
        </is>
      </c>
      <c r="V451" s="724" t="n">
        <v>34</v>
      </c>
      <c r="W451" s="725">
        <f>IFERROR(IF(V451="",0,CEILING((V451/$H451),1)*$H451),"")</f>
        <v/>
      </c>
      <c r="X451" s="42">
        <f>IFERROR(IF(W451=0,"",ROUNDUP(W451/H451,0)*0.01196),"")</f>
        <v/>
      </c>
      <c r="Y451" s="69" t="inlineStr"/>
      <c r="Z451" s="70" t="inlineStr"/>
      <c r="AD451" s="71" t="n"/>
      <c r="BA451" s="315" t="inlineStr">
        <is>
          <t>КИ</t>
        </is>
      </c>
    </row>
    <row r="452" ht="27" customHeight="1">
      <c r="A452" s="64" t="inlineStr">
        <is>
          <t>SU002158</t>
        </is>
      </c>
      <c r="B452" s="64" t="inlineStr">
        <is>
          <t>P003632</t>
        </is>
      </c>
      <c r="C452" s="37" t="n">
        <v>4301031248</v>
      </c>
      <c r="D452" s="399" t="n">
        <v>4680115883093</v>
      </c>
      <c r="E452" s="689" t="n"/>
      <c r="F452" s="721" t="n">
        <v>0.88</v>
      </c>
      <c r="G452" s="38" t="n">
        <v>6</v>
      </c>
      <c r="H452" s="721" t="n">
        <v>5.28</v>
      </c>
      <c r="I452" s="721" t="n">
        <v>5.64</v>
      </c>
      <c r="J452" s="38" t="n">
        <v>104</v>
      </c>
      <c r="K452" s="38" t="inlineStr">
        <is>
          <t>8</t>
        </is>
      </c>
      <c r="L452" s="39" t="inlineStr">
        <is>
          <t>СК2</t>
        </is>
      </c>
      <c r="M452" s="38" t="n">
        <v>60</v>
      </c>
      <c r="N452" s="972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52" s="723" t="n"/>
      <c r="P452" s="723" t="n"/>
      <c r="Q452" s="723" t="n"/>
      <c r="R452" s="689" t="n"/>
      <c r="S452" s="40" t="inlineStr"/>
      <c r="T452" s="40" t="inlineStr"/>
      <c r="U452" s="41" t="inlineStr">
        <is>
          <t>кг</t>
        </is>
      </c>
      <c r="V452" s="724" t="n">
        <v>44</v>
      </c>
      <c r="W452" s="725">
        <f>IFERROR(IF(V452="",0,CEILING((V452/$H452),1)*$H452),"")</f>
        <v/>
      </c>
      <c r="X452" s="42">
        <f>IFERROR(IF(W452=0,"",ROUNDUP(W452/H452,0)*0.01196),"")</f>
        <v/>
      </c>
      <c r="Y452" s="69" t="inlineStr"/>
      <c r="Z452" s="70" t="inlineStr"/>
      <c r="AD452" s="71" t="n"/>
      <c r="BA452" s="316" t="inlineStr">
        <is>
          <t>КИ</t>
        </is>
      </c>
    </row>
    <row r="453" ht="27" customHeight="1">
      <c r="A453" s="64" t="inlineStr">
        <is>
          <t>SU002151</t>
        </is>
      </c>
      <c r="B453" s="64" t="inlineStr">
        <is>
          <t>P003634</t>
        </is>
      </c>
      <c r="C453" s="37" t="n">
        <v>4301031250</v>
      </c>
      <c r="D453" s="399" t="n">
        <v>4680115883109</v>
      </c>
      <c r="E453" s="689" t="n"/>
      <c r="F453" s="721" t="n">
        <v>0.88</v>
      </c>
      <c r="G453" s="38" t="n">
        <v>6</v>
      </c>
      <c r="H453" s="721" t="n">
        <v>5.28</v>
      </c>
      <c r="I453" s="721" t="n">
        <v>5.64</v>
      </c>
      <c r="J453" s="38" t="n">
        <v>104</v>
      </c>
      <c r="K453" s="38" t="inlineStr">
        <is>
          <t>8</t>
        </is>
      </c>
      <c r="L453" s="39" t="inlineStr">
        <is>
          <t>СК2</t>
        </is>
      </c>
      <c r="M453" s="38" t="n">
        <v>60</v>
      </c>
      <c r="N453" s="973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53" s="723" t="n"/>
      <c r="P453" s="723" t="n"/>
      <c r="Q453" s="723" t="n"/>
      <c r="R453" s="689" t="n"/>
      <c r="S453" s="40" t="inlineStr"/>
      <c r="T453" s="40" t="inlineStr"/>
      <c r="U453" s="41" t="inlineStr">
        <is>
          <t>кг</t>
        </is>
      </c>
      <c r="V453" s="724" t="n">
        <v>68</v>
      </c>
      <c r="W453" s="725">
        <f>IFERROR(IF(V453="",0,CEILING((V453/$H453),1)*$H453),"")</f>
        <v/>
      </c>
      <c r="X453" s="42">
        <f>IFERROR(IF(W453=0,"",ROUNDUP(W453/H453,0)*0.01196),"")</f>
        <v/>
      </c>
      <c r="Y453" s="69" t="inlineStr"/>
      <c r="Z453" s="70" t="inlineStr"/>
      <c r="AD453" s="71" t="n"/>
      <c r="BA453" s="317" t="inlineStr">
        <is>
          <t>КИ</t>
        </is>
      </c>
    </row>
    <row r="454" ht="27" customHeight="1">
      <c r="A454" s="64" t="inlineStr">
        <is>
          <t>SU002916</t>
        </is>
      </c>
      <c r="B454" s="64" t="inlineStr">
        <is>
          <t>P003633</t>
        </is>
      </c>
      <c r="C454" s="37" t="n">
        <v>4301031249</v>
      </c>
      <c r="D454" s="399" t="n">
        <v>4680115882072</v>
      </c>
      <c r="E454" s="689" t="n"/>
      <c r="F454" s="721" t="n">
        <v>0.6</v>
      </c>
      <c r="G454" s="38" t="n">
        <v>6</v>
      </c>
      <c r="H454" s="721" t="n">
        <v>3.6</v>
      </c>
      <c r="I454" s="721" t="n">
        <v>3.84</v>
      </c>
      <c r="J454" s="38" t="n">
        <v>120</v>
      </c>
      <c r="K454" s="38" t="inlineStr">
        <is>
          <t>12</t>
        </is>
      </c>
      <c r="L454" s="39" t="inlineStr">
        <is>
          <t>СК1</t>
        </is>
      </c>
      <c r="M454" s="38" t="n">
        <v>60</v>
      </c>
      <c r="N454" s="974" t="inlineStr">
        <is>
          <t>В/к колбасы «Рубленая Запеченная» Фикс.вес 0,6 Вектор ТМ «Дугушка»</t>
        </is>
      </c>
      <c r="O454" s="723" t="n"/>
      <c r="P454" s="723" t="n"/>
      <c r="Q454" s="723" t="n"/>
      <c r="R454" s="689" t="n"/>
      <c r="S454" s="40" t="inlineStr"/>
      <c r="T454" s="40" t="inlineStr"/>
      <c r="U454" s="41" t="inlineStr">
        <is>
          <t>кг</t>
        </is>
      </c>
      <c r="V454" s="724" t="n">
        <v>0</v>
      </c>
      <c r="W454" s="725">
        <f>IFERROR(IF(V454="",0,CEILING((V454/$H454),1)*$H454),"")</f>
        <v/>
      </c>
      <c r="X454" s="42">
        <f>IFERROR(IF(W454=0,"",ROUNDUP(W454/H454,0)*0.00937),"")</f>
        <v/>
      </c>
      <c r="Y454" s="69" t="inlineStr"/>
      <c r="Z454" s="70" t="inlineStr"/>
      <c r="AD454" s="71" t="n"/>
      <c r="BA454" s="318" t="inlineStr">
        <is>
          <t>КИ</t>
        </is>
      </c>
    </row>
    <row r="455" ht="27" customHeight="1">
      <c r="A455" s="64" t="inlineStr">
        <is>
          <t>SU002919</t>
        </is>
      </c>
      <c r="B455" s="64" t="inlineStr">
        <is>
          <t>P003635</t>
        </is>
      </c>
      <c r="C455" s="37" t="n">
        <v>4301031251</v>
      </c>
      <c r="D455" s="399" t="n">
        <v>4680115882102</v>
      </c>
      <c r="E455" s="689" t="n"/>
      <c r="F455" s="721" t="n">
        <v>0.6</v>
      </c>
      <c r="G455" s="38" t="n">
        <v>6</v>
      </c>
      <c r="H455" s="721" t="n">
        <v>3.6</v>
      </c>
      <c r="I455" s="721" t="n">
        <v>3.81</v>
      </c>
      <c r="J455" s="38" t="n">
        <v>120</v>
      </c>
      <c r="K455" s="38" t="inlineStr">
        <is>
          <t>12</t>
        </is>
      </c>
      <c r="L455" s="39" t="inlineStr">
        <is>
          <t>СК2</t>
        </is>
      </c>
      <c r="M455" s="38" t="n">
        <v>60</v>
      </c>
      <c r="N455" s="975" t="inlineStr">
        <is>
          <t>В/к колбасы «Салями Запеченая» Фикс.вес 0,6 Вектор ТМ «Дугушка»</t>
        </is>
      </c>
      <c r="O455" s="723" t="n"/>
      <c r="P455" s="723" t="n"/>
      <c r="Q455" s="723" t="n"/>
      <c r="R455" s="689" t="n"/>
      <c r="S455" s="40" t="inlineStr"/>
      <c r="T455" s="40" t="inlineStr"/>
      <c r="U455" s="41" t="inlineStr">
        <is>
          <t>кг</t>
        </is>
      </c>
      <c r="V455" s="724" t="n">
        <v>0</v>
      </c>
      <c r="W455" s="725">
        <f>IFERROR(IF(V455="",0,CEILING((V455/$H455),1)*$H455),"")</f>
        <v/>
      </c>
      <c r="X455" s="42">
        <f>IFERROR(IF(W455=0,"",ROUNDUP(W455/H455,0)*0.00937),"")</f>
        <v/>
      </c>
      <c r="Y455" s="69" t="inlineStr"/>
      <c r="Z455" s="70" t="inlineStr"/>
      <c r="AD455" s="71" t="n"/>
      <c r="BA455" s="319" t="inlineStr">
        <is>
          <t>КИ</t>
        </is>
      </c>
    </row>
    <row r="456" ht="27" customHeight="1">
      <c r="A456" s="64" t="inlineStr">
        <is>
          <t>SU002918</t>
        </is>
      </c>
      <c r="B456" s="64" t="inlineStr">
        <is>
          <t>P003637</t>
        </is>
      </c>
      <c r="C456" s="37" t="n">
        <v>4301031253</v>
      </c>
      <c r="D456" s="399" t="n">
        <v>4680115882096</v>
      </c>
      <c r="E456" s="689" t="n"/>
      <c r="F456" s="721" t="n">
        <v>0.6</v>
      </c>
      <c r="G456" s="38" t="n">
        <v>6</v>
      </c>
      <c r="H456" s="721" t="n">
        <v>3.6</v>
      </c>
      <c r="I456" s="721" t="n">
        <v>3.81</v>
      </c>
      <c r="J456" s="38" t="n">
        <v>120</v>
      </c>
      <c r="K456" s="38" t="inlineStr">
        <is>
          <t>12</t>
        </is>
      </c>
      <c r="L456" s="39" t="inlineStr">
        <is>
          <t>СК2</t>
        </is>
      </c>
      <c r="M456" s="38" t="n">
        <v>60</v>
      </c>
      <c r="N456" s="976" t="inlineStr">
        <is>
          <t>В/к колбасы «Сервелат Запеченный» Фикс.вес 0,6 Вектор ТМ «Дугушка»</t>
        </is>
      </c>
      <c r="O456" s="723" t="n"/>
      <c r="P456" s="723" t="n"/>
      <c r="Q456" s="723" t="n"/>
      <c r="R456" s="689" t="n"/>
      <c r="S456" s="40" t="inlineStr"/>
      <c r="T456" s="40" t="inlineStr"/>
      <c r="U456" s="41" t="inlineStr">
        <is>
          <t>кг</t>
        </is>
      </c>
      <c r="V456" s="724" t="n">
        <v>0</v>
      </c>
      <c r="W456" s="725">
        <f>IFERROR(IF(V456="",0,CEILING((V456/$H456),1)*$H456),"")</f>
        <v/>
      </c>
      <c r="X456" s="42">
        <f>IFERROR(IF(W456=0,"",ROUNDUP(W456/H456,0)*0.00937),"")</f>
        <v/>
      </c>
      <c r="Y456" s="69" t="inlineStr"/>
      <c r="Z456" s="70" t="inlineStr"/>
      <c r="AD456" s="71" t="n"/>
      <c r="BA456" s="320" t="inlineStr">
        <is>
          <t>КИ</t>
        </is>
      </c>
    </row>
    <row r="457">
      <c r="A457" s="407" t="n"/>
      <c r="B457" s="677" t="n"/>
      <c r="C457" s="677" t="n"/>
      <c r="D457" s="677" t="n"/>
      <c r="E457" s="677" t="n"/>
      <c r="F457" s="677" t="n"/>
      <c r="G457" s="677" t="n"/>
      <c r="H457" s="677" t="n"/>
      <c r="I457" s="677" t="n"/>
      <c r="J457" s="677" t="n"/>
      <c r="K457" s="677" t="n"/>
      <c r="L457" s="677" t="n"/>
      <c r="M457" s="726" t="n"/>
      <c r="N457" s="727" t="inlineStr">
        <is>
          <t>Итого</t>
        </is>
      </c>
      <c r="O457" s="697" t="n"/>
      <c r="P457" s="697" t="n"/>
      <c r="Q457" s="697" t="n"/>
      <c r="R457" s="697" t="n"/>
      <c r="S457" s="697" t="n"/>
      <c r="T457" s="698" t="n"/>
      <c r="U457" s="43" t="inlineStr">
        <is>
          <t>кор</t>
        </is>
      </c>
      <c r="V457" s="728">
        <f>IFERROR(V451/H451,"0")+IFERROR(V452/H452,"0")+IFERROR(V453/H453,"0")+IFERROR(V454/H454,"0")+IFERROR(V455/H455,"0")+IFERROR(V456/H456,"0")</f>
        <v/>
      </c>
      <c r="W457" s="728">
        <f>IFERROR(W451/H451,"0")+IFERROR(W452/H452,"0")+IFERROR(W453/H453,"0")+IFERROR(W454/H454,"0")+IFERROR(W455/H455,"0")+IFERROR(W456/H456,"0")</f>
        <v/>
      </c>
      <c r="X457" s="728">
        <f>IFERROR(IF(X451="",0,X451),"0")+IFERROR(IF(X452="",0,X452),"0")+IFERROR(IF(X453="",0,X453),"0")+IFERROR(IF(X454="",0,X454),"0")+IFERROR(IF(X455="",0,X455),"0")+IFERROR(IF(X456="",0,X456),"0")</f>
        <v/>
      </c>
      <c r="Y457" s="729" t="n"/>
      <c r="Z457" s="729" t="n"/>
    </row>
    <row r="458">
      <c r="A458" s="677" t="n"/>
      <c r="B458" s="677" t="n"/>
      <c r="C458" s="677" t="n"/>
      <c r="D458" s="677" t="n"/>
      <c r="E458" s="677" t="n"/>
      <c r="F458" s="677" t="n"/>
      <c r="G458" s="677" t="n"/>
      <c r="H458" s="677" t="n"/>
      <c r="I458" s="677" t="n"/>
      <c r="J458" s="677" t="n"/>
      <c r="K458" s="677" t="n"/>
      <c r="L458" s="677" t="n"/>
      <c r="M458" s="726" t="n"/>
      <c r="N458" s="727" t="inlineStr">
        <is>
          <t>Итого</t>
        </is>
      </c>
      <c r="O458" s="697" t="n"/>
      <c r="P458" s="697" t="n"/>
      <c r="Q458" s="697" t="n"/>
      <c r="R458" s="697" t="n"/>
      <c r="S458" s="697" t="n"/>
      <c r="T458" s="698" t="n"/>
      <c r="U458" s="43" t="inlineStr">
        <is>
          <t>кг</t>
        </is>
      </c>
      <c r="V458" s="728">
        <f>IFERROR(SUM(V451:V456),"0")</f>
        <v/>
      </c>
      <c r="W458" s="728">
        <f>IFERROR(SUM(W451:W456),"0")</f>
        <v/>
      </c>
      <c r="X458" s="43" t="n"/>
      <c r="Y458" s="729" t="n"/>
      <c r="Z458" s="729" t="n"/>
    </row>
    <row r="459" ht="14.25" customHeight="1">
      <c r="A459" s="398" t="inlineStr">
        <is>
          <t>Сосиски</t>
        </is>
      </c>
      <c r="B459" s="677" t="n"/>
      <c r="C459" s="677" t="n"/>
      <c r="D459" s="677" t="n"/>
      <c r="E459" s="677" t="n"/>
      <c r="F459" s="677" t="n"/>
      <c r="G459" s="677" t="n"/>
      <c r="H459" s="677" t="n"/>
      <c r="I459" s="677" t="n"/>
      <c r="J459" s="677" t="n"/>
      <c r="K459" s="677" t="n"/>
      <c r="L459" s="677" t="n"/>
      <c r="M459" s="677" t="n"/>
      <c r="N459" s="677" t="n"/>
      <c r="O459" s="677" t="n"/>
      <c r="P459" s="677" t="n"/>
      <c r="Q459" s="677" t="n"/>
      <c r="R459" s="677" t="n"/>
      <c r="S459" s="677" t="n"/>
      <c r="T459" s="677" t="n"/>
      <c r="U459" s="677" t="n"/>
      <c r="V459" s="677" t="n"/>
      <c r="W459" s="677" t="n"/>
      <c r="X459" s="677" t="n"/>
      <c r="Y459" s="398" t="n"/>
      <c r="Z459" s="398" t="n"/>
    </row>
    <row r="460" ht="27" customHeight="1">
      <c r="A460" s="64" t="inlineStr">
        <is>
          <t>SU002146</t>
        </is>
      </c>
      <c r="B460" s="64" t="inlineStr">
        <is>
          <t>P002319</t>
        </is>
      </c>
      <c r="C460" s="37" t="n">
        <v>4301051058</v>
      </c>
      <c r="D460" s="399" t="n">
        <v>4680115883536</v>
      </c>
      <c r="E460" s="689" t="n"/>
      <c r="F460" s="721" t="n">
        <v>0.3</v>
      </c>
      <c r="G460" s="38" t="n">
        <v>6</v>
      </c>
      <c r="H460" s="721" t="n">
        <v>1.8</v>
      </c>
      <c r="I460" s="721" t="n">
        <v>2.066</v>
      </c>
      <c r="J460" s="38" t="n">
        <v>156</v>
      </c>
      <c r="K460" s="38" t="inlineStr">
        <is>
          <t>12</t>
        </is>
      </c>
      <c r="L460" s="39" t="inlineStr">
        <is>
          <t>СК2</t>
        </is>
      </c>
      <c r="M460" s="38" t="n">
        <v>45</v>
      </c>
      <c r="N460" s="977" t="inlineStr">
        <is>
          <t>Сосиски «Молочные Дугушки» ф/в 0,3 амицел ТМ «Дугушка»</t>
        </is>
      </c>
      <c r="O460" s="723" t="n"/>
      <c r="P460" s="723" t="n"/>
      <c r="Q460" s="723" t="n"/>
      <c r="R460" s="689" t="n"/>
      <c r="S460" s="40" t="inlineStr"/>
      <c r="T460" s="40" t="inlineStr"/>
      <c r="U460" s="41" t="inlineStr">
        <is>
          <t>кг</t>
        </is>
      </c>
      <c r="V460" s="724" t="n">
        <v>0</v>
      </c>
      <c r="W460" s="725">
        <f>IFERROR(IF(V460="",0,CEILING((V460/$H460),1)*$H460),"")</f>
        <v/>
      </c>
      <c r="X460" s="42">
        <f>IFERROR(IF(W460=0,"",ROUNDUP(W460/H460,0)*0.00753),"")</f>
        <v/>
      </c>
      <c r="Y460" s="69" t="inlineStr"/>
      <c r="Z460" s="70" t="inlineStr">
        <is>
          <t>Новинка</t>
        </is>
      </c>
      <c r="AD460" s="71" t="n"/>
      <c r="BA460" s="321" t="inlineStr">
        <is>
          <t>КИ</t>
        </is>
      </c>
    </row>
    <row r="461" ht="16.5" customHeight="1">
      <c r="A461" s="64" t="inlineStr">
        <is>
          <t>SU002218</t>
        </is>
      </c>
      <c r="B461" s="64" t="inlineStr">
        <is>
          <t>P002854</t>
        </is>
      </c>
      <c r="C461" s="37" t="n">
        <v>4301051230</v>
      </c>
      <c r="D461" s="399" t="n">
        <v>4607091383409</v>
      </c>
      <c r="E461" s="689" t="n"/>
      <c r="F461" s="721" t="n">
        <v>1.3</v>
      </c>
      <c r="G461" s="38" t="n">
        <v>6</v>
      </c>
      <c r="H461" s="721" t="n">
        <v>7.8</v>
      </c>
      <c r="I461" s="721" t="n">
        <v>8.346</v>
      </c>
      <c r="J461" s="38" t="n">
        <v>56</v>
      </c>
      <c r="K461" s="38" t="inlineStr">
        <is>
          <t>8</t>
        </is>
      </c>
      <c r="L461" s="39" t="inlineStr">
        <is>
          <t>СК2</t>
        </is>
      </c>
      <c r="M461" s="38" t="n">
        <v>45</v>
      </c>
      <c r="N461" s="978">
        <f>HYPERLINK("https://abi.ru/products/Охлажденные/Дугушка/Дугушка/Сосиски/P002854/","Сосиски Молочные Дугушки Дугушка Весовые П/а мгс Дугушка")</f>
        <v/>
      </c>
      <c r="O461" s="723" t="n"/>
      <c r="P461" s="723" t="n"/>
      <c r="Q461" s="723" t="n"/>
      <c r="R461" s="689" t="n"/>
      <c r="S461" s="40" t="inlineStr"/>
      <c r="T461" s="40" t="inlineStr"/>
      <c r="U461" s="41" t="inlineStr">
        <is>
          <t>кг</t>
        </is>
      </c>
      <c r="V461" s="724" t="n">
        <v>0</v>
      </c>
      <c r="W461" s="725">
        <f>IFERROR(IF(V461="",0,CEILING((V461/$H461),1)*$H461),"")</f>
        <v/>
      </c>
      <c r="X461" s="42">
        <f>IFERROR(IF(W461=0,"",ROUNDUP(W461/H461,0)*0.02175),"")</f>
        <v/>
      </c>
      <c r="Y461" s="69" t="inlineStr"/>
      <c r="Z461" s="70" t="inlineStr"/>
      <c r="AD461" s="71" t="n"/>
      <c r="BA461" s="322" t="inlineStr">
        <is>
          <t>КИ</t>
        </is>
      </c>
    </row>
    <row r="462" ht="16.5" customHeight="1">
      <c r="A462" s="64" t="inlineStr">
        <is>
          <t>SU002219</t>
        </is>
      </c>
      <c r="B462" s="64" t="inlineStr">
        <is>
          <t>P002855</t>
        </is>
      </c>
      <c r="C462" s="37" t="n">
        <v>4301051231</v>
      </c>
      <c r="D462" s="399" t="n">
        <v>4607091383416</v>
      </c>
      <c r="E462" s="689" t="n"/>
      <c r="F462" s="721" t="n">
        <v>1.3</v>
      </c>
      <c r="G462" s="38" t="n">
        <v>6</v>
      </c>
      <c r="H462" s="721" t="n">
        <v>7.8</v>
      </c>
      <c r="I462" s="721" t="n">
        <v>8.346</v>
      </c>
      <c r="J462" s="38" t="n">
        <v>56</v>
      </c>
      <c r="K462" s="38" t="inlineStr">
        <is>
          <t>8</t>
        </is>
      </c>
      <c r="L462" s="39" t="inlineStr">
        <is>
          <t>СК2</t>
        </is>
      </c>
      <c r="M462" s="38" t="n">
        <v>45</v>
      </c>
      <c r="N462" s="979">
        <f>HYPERLINK("https://abi.ru/products/Охлажденные/Дугушка/Дугушка/Сосиски/P002855/","Сосиски Сливочные Дугушки Дугушка Весовые П/а мгс Дугушка")</f>
        <v/>
      </c>
      <c r="O462" s="723" t="n"/>
      <c r="P462" s="723" t="n"/>
      <c r="Q462" s="723" t="n"/>
      <c r="R462" s="689" t="n"/>
      <c r="S462" s="40" t="inlineStr"/>
      <c r="T462" s="40" t="inlineStr"/>
      <c r="U462" s="41" t="inlineStr">
        <is>
          <t>кг</t>
        </is>
      </c>
      <c r="V462" s="724" t="n">
        <v>0</v>
      </c>
      <c r="W462" s="725">
        <f>IFERROR(IF(V462="",0,CEILING((V462/$H462),1)*$H462),"")</f>
        <v/>
      </c>
      <c r="X462" s="42">
        <f>IFERROR(IF(W462=0,"",ROUNDUP(W462/H462,0)*0.02175),"")</f>
        <v/>
      </c>
      <c r="Y462" s="69" t="inlineStr"/>
      <c r="Z462" s="70" t="inlineStr"/>
      <c r="AD462" s="71" t="n"/>
      <c r="BA462" s="323" t="inlineStr">
        <is>
          <t>КИ</t>
        </is>
      </c>
    </row>
    <row r="463">
      <c r="A463" s="407" t="n"/>
      <c r="B463" s="677" t="n"/>
      <c r="C463" s="677" t="n"/>
      <c r="D463" s="677" t="n"/>
      <c r="E463" s="677" t="n"/>
      <c r="F463" s="677" t="n"/>
      <c r="G463" s="677" t="n"/>
      <c r="H463" s="677" t="n"/>
      <c r="I463" s="677" t="n"/>
      <c r="J463" s="677" t="n"/>
      <c r="K463" s="677" t="n"/>
      <c r="L463" s="677" t="n"/>
      <c r="M463" s="726" t="n"/>
      <c r="N463" s="727" t="inlineStr">
        <is>
          <t>Итого</t>
        </is>
      </c>
      <c r="O463" s="697" t="n"/>
      <c r="P463" s="697" t="n"/>
      <c r="Q463" s="697" t="n"/>
      <c r="R463" s="697" t="n"/>
      <c r="S463" s="697" t="n"/>
      <c r="T463" s="698" t="n"/>
      <c r="U463" s="43" t="inlineStr">
        <is>
          <t>кор</t>
        </is>
      </c>
      <c r="V463" s="728">
        <f>IFERROR(V460/H460,"0")+IFERROR(V461/H461,"0")+IFERROR(V462/H462,"0")</f>
        <v/>
      </c>
      <c r="W463" s="728">
        <f>IFERROR(W460/H460,"0")+IFERROR(W461/H461,"0")+IFERROR(W462/H462,"0")</f>
        <v/>
      </c>
      <c r="X463" s="728">
        <f>IFERROR(IF(X460="",0,X460),"0")+IFERROR(IF(X461="",0,X461),"0")+IFERROR(IF(X462="",0,X462),"0")</f>
        <v/>
      </c>
      <c r="Y463" s="729" t="n"/>
      <c r="Z463" s="729" t="n"/>
    </row>
    <row r="464">
      <c r="A464" s="677" t="n"/>
      <c r="B464" s="677" t="n"/>
      <c r="C464" s="677" t="n"/>
      <c r="D464" s="677" t="n"/>
      <c r="E464" s="677" t="n"/>
      <c r="F464" s="677" t="n"/>
      <c r="G464" s="677" t="n"/>
      <c r="H464" s="677" t="n"/>
      <c r="I464" s="677" t="n"/>
      <c r="J464" s="677" t="n"/>
      <c r="K464" s="677" t="n"/>
      <c r="L464" s="677" t="n"/>
      <c r="M464" s="726" t="n"/>
      <c r="N464" s="727" t="inlineStr">
        <is>
          <t>Итого</t>
        </is>
      </c>
      <c r="O464" s="697" t="n"/>
      <c r="P464" s="697" t="n"/>
      <c r="Q464" s="697" t="n"/>
      <c r="R464" s="697" t="n"/>
      <c r="S464" s="697" t="n"/>
      <c r="T464" s="698" t="n"/>
      <c r="U464" s="43" t="inlineStr">
        <is>
          <t>кг</t>
        </is>
      </c>
      <c r="V464" s="728">
        <f>IFERROR(SUM(V460:V462),"0")</f>
        <v/>
      </c>
      <c r="W464" s="728">
        <f>IFERROR(SUM(W460:W462),"0")</f>
        <v/>
      </c>
      <c r="X464" s="43" t="n"/>
      <c r="Y464" s="729" t="n"/>
      <c r="Z464" s="729" t="n"/>
    </row>
    <row r="465" ht="27.75" customHeight="1">
      <c r="A465" s="396" t="inlineStr">
        <is>
          <t>Зареченские</t>
        </is>
      </c>
      <c r="B465" s="720" t="n"/>
      <c r="C465" s="720" t="n"/>
      <c r="D465" s="720" t="n"/>
      <c r="E465" s="720" t="n"/>
      <c r="F465" s="720" t="n"/>
      <c r="G465" s="720" t="n"/>
      <c r="H465" s="720" t="n"/>
      <c r="I465" s="720" t="n"/>
      <c r="J465" s="720" t="n"/>
      <c r="K465" s="720" t="n"/>
      <c r="L465" s="720" t="n"/>
      <c r="M465" s="720" t="n"/>
      <c r="N465" s="720" t="n"/>
      <c r="O465" s="720" t="n"/>
      <c r="P465" s="720" t="n"/>
      <c r="Q465" s="720" t="n"/>
      <c r="R465" s="720" t="n"/>
      <c r="S465" s="720" t="n"/>
      <c r="T465" s="720" t="n"/>
      <c r="U465" s="720" t="n"/>
      <c r="V465" s="720" t="n"/>
      <c r="W465" s="720" t="n"/>
      <c r="X465" s="720" t="n"/>
      <c r="Y465" s="55" t="n"/>
      <c r="Z465" s="55" t="n"/>
    </row>
    <row r="466" ht="16.5" customHeight="1">
      <c r="A466" s="397" t="inlineStr">
        <is>
          <t>Зареченские продукты</t>
        </is>
      </c>
      <c r="B466" s="677" t="n"/>
      <c r="C466" s="677" t="n"/>
      <c r="D466" s="677" t="n"/>
      <c r="E466" s="677" t="n"/>
      <c r="F466" s="677" t="n"/>
      <c r="G466" s="677" t="n"/>
      <c r="H466" s="677" t="n"/>
      <c r="I466" s="677" t="n"/>
      <c r="J466" s="677" t="n"/>
      <c r="K466" s="677" t="n"/>
      <c r="L466" s="677" t="n"/>
      <c r="M466" s="677" t="n"/>
      <c r="N466" s="677" t="n"/>
      <c r="O466" s="677" t="n"/>
      <c r="P466" s="677" t="n"/>
      <c r="Q466" s="677" t="n"/>
      <c r="R466" s="677" t="n"/>
      <c r="S466" s="677" t="n"/>
      <c r="T466" s="677" t="n"/>
      <c r="U466" s="677" t="n"/>
      <c r="V466" s="677" t="n"/>
      <c r="W466" s="677" t="n"/>
      <c r="X466" s="677" t="n"/>
      <c r="Y466" s="397" t="n"/>
      <c r="Z466" s="397" t="n"/>
    </row>
    <row r="467" ht="14.25" customHeight="1">
      <c r="A467" s="398" t="inlineStr">
        <is>
          <t>Вареные колбасы</t>
        </is>
      </c>
      <c r="B467" s="677" t="n"/>
      <c r="C467" s="677" t="n"/>
      <c r="D467" s="677" t="n"/>
      <c r="E467" s="677" t="n"/>
      <c r="F467" s="677" t="n"/>
      <c r="G467" s="677" t="n"/>
      <c r="H467" s="677" t="n"/>
      <c r="I467" s="677" t="n"/>
      <c r="J467" s="677" t="n"/>
      <c r="K467" s="677" t="n"/>
      <c r="L467" s="677" t="n"/>
      <c r="M467" s="677" t="n"/>
      <c r="N467" s="677" t="n"/>
      <c r="O467" s="677" t="n"/>
      <c r="P467" s="677" t="n"/>
      <c r="Q467" s="677" t="n"/>
      <c r="R467" s="677" t="n"/>
      <c r="S467" s="677" t="n"/>
      <c r="T467" s="677" t="n"/>
      <c r="U467" s="677" t="n"/>
      <c r="V467" s="677" t="n"/>
      <c r="W467" s="677" t="n"/>
      <c r="X467" s="677" t="n"/>
      <c r="Y467" s="398" t="n"/>
      <c r="Z467" s="398" t="n"/>
    </row>
    <row r="468" ht="27" customHeight="1">
      <c r="A468" s="64" t="inlineStr">
        <is>
          <t>SU002974</t>
        </is>
      </c>
      <c r="B468" s="64" t="inlineStr">
        <is>
          <t>P003426</t>
        </is>
      </c>
      <c r="C468" s="37" t="n">
        <v>4301011551</v>
      </c>
      <c r="D468" s="399" t="n">
        <v>4640242180038</v>
      </c>
      <c r="E468" s="689" t="n"/>
      <c r="F468" s="721" t="n">
        <v>0.4</v>
      </c>
      <c r="G468" s="38" t="n">
        <v>10</v>
      </c>
      <c r="H468" s="721" t="n">
        <v>4</v>
      </c>
      <c r="I468" s="721" t="n">
        <v>4.24</v>
      </c>
      <c r="J468" s="38" t="n">
        <v>120</v>
      </c>
      <c r="K468" s="38" t="inlineStr">
        <is>
          <t>12</t>
        </is>
      </c>
      <c r="L468" s="39" t="inlineStr">
        <is>
          <t>СК1</t>
        </is>
      </c>
      <c r="M468" s="38" t="n">
        <v>50</v>
      </c>
      <c r="N468" s="980" t="inlineStr">
        <is>
          <t>Вареные колбасы «Нежная» ф/в 0,4 п/а ТМ «Зареченские»</t>
        </is>
      </c>
      <c r="O468" s="723" t="n"/>
      <c r="P468" s="723" t="n"/>
      <c r="Q468" s="723" t="n"/>
      <c r="R468" s="689" t="n"/>
      <c r="S468" s="40" t="inlineStr"/>
      <c r="T468" s="40" t="inlineStr"/>
      <c r="U468" s="41" t="inlineStr">
        <is>
          <t>кг</t>
        </is>
      </c>
      <c r="V468" s="724" t="n">
        <v>0</v>
      </c>
      <c r="W468" s="725">
        <f>IFERROR(IF(V468="",0,CEILING((V468/$H468),1)*$H468),"")</f>
        <v/>
      </c>
      <c r="X468" s="42">
        <f>IFERROR(IF(W468=0,"",ROUNDUP(W468/H468,0)*0.00937),"")</f>
        <v/>
      </c>
      <c r="Y468" s="69" t="inlineStr"/>
      <c r="Z468" s="70" t="inlineStr">
        <is>
          <t>Новинка</t>
        </is>
      </c>
      <c r="AD468" s="71" t="n"/>
      <c r="BA468" s="324" t="inlineStr">
        <is>
          <t>КИ</t>
        </is>
      </c>
    </row>
    <row r="469" ht="27" customHeight="1">
      <c r="A469" s="64" t="inlineStr">
        <is>
          <t>SU002807</t>
        </is>
      </c>
      <c r="B469" s="64" t="inlineStr">
        <is>
          <t>P003583</t>
        </is>
      </c>
      <c r="C469" s="37" t="n">
        <v>4301011585</v>
      </c>
      <c r="D469" s="399" t="n">
        <v>4640242180441</v>
      </c>
      <c r="E469" s="689" t="n"/>
      <c r="F469" s="721" t="n">
        <v>1.5</v>
      </c>
      <c r="G469" s="38" t="n">
        <v>8</v>
      </c>
      <c r="H469" s="721" t="n">
        <v>12</v>
      </c>
      <c r="I469" s="721" t="n">
        <v>12.48</v>
      </c>
      <c r="J469" s="38" t="n">
        <v>56</v>
      </c>
      <c r="K469" s="38" t="inlineStr">
        <is>
          <t>8</t>
        </is>
      </c>
      <c r="L469" s="39" t="inlineStr">
        <is>
          <t>СК1</t>
        </is>
      </c>
      <c r="M469" s="38" t="n">
        <v>50</v>
      </c>
      <c r="N469" s="981" t="inlineStr">
        <is>
          <t>Вареные колбасы «Муромская» Весовой п/а ТМ «Зареченские»</t>
        </is>
      </c>
      <c r="O469" s="723" t="n"/>
      <c r="P469" s="723" t="n"/>
      <c r="Q469" s="723" t="n"/>
      <c r="R469" s="689" t="n"/>
      <c r="S469" s="40" t="inlineStr"/>
      <c r="T469" s="40" t="inlineStr"/>
      <c r="U469" s="41" t="inlineStr">
        <is>
          <t>кг</t>
        </is>
      </c>
      <c r="V469" s="724" t="n">
        <v>24</v>
      </c>
      <c r="W469" s="725">
        <f>IFERROR(IF(V469="",0,CEILING((V469/$H469),1)*$H469),"")</f>
        <v/>
      </c>
      <c r="X469" s="42">
        <f>IFERROR(IF(W469=0,"",ROUNDUP(W469/H469,0)*0.02175),"")</f>
        <v/>
      </c>
      <c r="Y469" s="69" t="inlineStr"/>
      <c r="Z469" s="70" t="inlineStr"/>
      <c r="AD469" s="71" t="n"/>
      <c r="BA469" s="325" t="inlineStr">
        <is>
          <t>КИ</t>
        </is>
      </c>
    </row>
    <row r="470" ht="27" customHeight="1">
      <c r="A470" s="64" t="inlineStr">
        <is>
          <t>SU002808</t>
        </is>
      </c>
      <c r="B470" s="64" t="inlineStr">
        <is>
          <t>P003582</t>
        </is>
      </c>
      <c r="C470" s="37" t="n">
        <v>4301011584</v>
      </c>
      <c r="D470" s="399" t="n">
        <v>4640242180564</v>
      </c>
      <c r="E470" s="689" t="n"/>
      <c r="F470" s="721" t="n">
        <v>1.5</v>
      </c>
      <c r="G470" s="38" t="n">
        <v>8</v>
      </c>
      <c r="H470" s="721" t="n">
        <v>12</v>
      </c>
      <c r="I470" s="721" t="n">
        <v>12.48</v>
      </c>
      <c r="J470" s="38" t="n">
        <v>56</v>
      </c>
      <c r="K470" s="38" t="inlineStr">
        <is>
          <t>8</t>
        </is>
      </c>
      <c r="L470" s="39" t="inlineStr">
        <is>
          <t>СК1</t>
        </is>
      </c>
      <c r="M470" s="38" t="n">
        <v>50</v>
      </c>
      <c r="N470" s="982" t="inlineStr">
        <is>
          <t>Вареные колбасы «Нежная» НТУ Весовые П/а ТМ «Зареченские»</t>
        </is>
      </c>
      <c r="O470" s="723" t="n"/>
      <c r="P470" s="723" t="n"/>
      <c r="Q470" s="723" t="n"/>
      <c r="R470" s="689" t="n"/>
      <c r="S470" s="40" t="inlineStr"/>
      <c r="T470" s="40" t="inlineStr"/>
      <c r="U470" s="41" t="inlineStr">
        <is>
          <t>кг</t>
        </is>
      </c>
      <c r="V470" s="724" t="n">
        <v>0</v>
      </c>
      <c r="W470" s="725">
        <f>IFERROR(IF(V470="",0,CEILING((V470/$H470),1)*$H470),"")</f>
        <v/>
      </c>
      <c r="X470" s="42">
        <f>IFERROR(IF(W470=0,"",ROUNDUP(W470/H470,0)*0.02175),"")</f>
        <v/>
      </c>
      <c r="Y470" s="69" t="inlineStr"/>
      <c r="Z470" s="70" t="inlineStr"/>
      <c r="AD470" s="71" t="n"/>
      <c r="BA470" s="326" t="inlineStr">
        <is>
          <t>КИ</t>
        </is>
      </c>
    </row>
    <row r="471">
      <c r="A471" s="407" t="n"/>
      <c r="B471" s="677" t="n"/>
      <c r="C471" s="677" t="n"/>
      <c r="D471" s="677" t="n"/>
      <c r="E471" s="677" t="n"/>
      <c r="F471" s="677" t="n"/>
      <c r="G471" s="677" t="n"/>
      <c r="H471" s="677" t="n"/>
      <c r="I471" s="677" t="n"/>
      <c r="J471" s="677" t="n"/>
      <c r="K471" s="677" t="n"/>
      <c r="L471" s="677" t="n"/>
      <c r="M471" s="726" t="n"/>
      <c r="N471" s="727" t="inlineStr">
        <is>
          <t>Итого</t>
        </is>
      </c>
      <c r="O471" s="697" t="n"/>
      <c r="P471" s="697" t="n"/>
      <c r="Q471" s="697" t="n"/>
      <c r="R471" s="697" t="n"/>
      <c r="S471" s="697" t="n"/>
      <c r="T471" s="698" t="n"/>
      <c r="U471" s="43" t="inlineStr">
        <is>
          <t>кор</t>
        </is>
      </c>
      <c r="V471" s="728">
        <f>IFERROR(V468/H468,"0")+IFERROR(V469/H469,"0")+IFERROR(V470/H470,"0")</f>
        <v/>
      </c>
      <c r="W471" s="728">
        <f>IFERROR(W468/H468,"0")+IFERROR(W469/H469,"0")+IFERROR(W470/H470,"0")</f>
        <v/>
      </c>
      <c r="X471" s="728">
        <f>IFERROR(IF(X468="",0,X468),"0")+IFERROR(IF(X469="",0,X469),"0")+IFERROR(IF(X470="",0,X470),"0")</f>
        <v/>
      </c>
      <c r="Y471" s="729" t="n"/>
      <c r="Z471" s="729" t="n"/>
    </row>
    <row r="472">
      <c r="A472" s="677" t="n"/>
      <c r="B472" s="677" t="n"/>
      <c r="C472" s="677" t="n"/>
      <c r="D472" s="677" t="n"/>
      <c r="E472" s="677" t="n"/>
      <c r="F472" s="677" t="n"/>
      <c r="G472" s="677" t="n"/>
      <c r="H472" s="677" t="n"/>
      <c r="I472" s="677" t="n"/>
      <c r="J472" s="677" t="n"/>
      <c r="K472" s="677" t="n"/>
      <c r="L472" s="677" t="n"/>
      <c r="M472" s="726" t="n"/>
      <c r="N472" s="727" t="inlineStr">
        <is>
          <t>Итого</t>
        </is>
      </c>
      <c r="O472" s="697" t="n"/>
      <c r="P472" s="697" t="n"/>
      <c r="Q472" s="697" t="n"/>
      <c r="R472" s="697" t="n"/>
      <c r="S472" s="697" t="n"/>
      <c r="T472" s="698" t="n"/>
      <c r="U472" s="43" t="inlineStr">
        <is>
          <t>кг</t>
        </is>
      </c>
      <c r="V472" s="728">
        <f>IFERROR(SUM(V468:V470),"0")</f>
        <v/>
      </c>
      <c r="W472" s="728">
        <f>IFERROR(SUM(W468:W470),"0")</f>
        <v/>
      </c>
      <c r="X472" s="43" t="n"/>
      <c r="Y472" s="729" t="n"/>
      <c r="Z472" s="729" t="n"/>
    </row>
    <row r="473" ht="14.25" customHeight="1">
      <c r="A473" s="398" t="inlineStr">
        <is>
          <t>Ветчины</t>
        </is>
      </c>
      <c r="B473" s="677" t="n"/>
      <c r="C473" s="677" t="n"/>
      <c r="D473" s="677" t="n"/>
      <c r="E473" s="677" t="n"/>
      <c r="F473" s="677" t="n"/>
      <c r="G473" s="677" t="n"/>
      <c r="H473" s="677" t="n"/>
      <c r="I473" s="677" t="n"/>
      <c r="J473" s="677" t="n"/>
      <c r="K473" s="677" t="n"/>
      <c r="L473" s="677" t="n"/>
      <c r="M473" s="677" t="n"/>
      <c r="N473" s="677" t="n"/>
      <c r="O473" s="677" t="n"/>
      <c r="P473" s="677" t="n"/>
      <c r="Q473" s="677" t="n"/>
      <c r="R473" s="677" t="n"/>
      <c r="S473" s="677" t="n"/>
      <c r="T473" s="677" t="n"/>
      <c r="U473" s="677" t="n"/>
      <c r="V473" s="677" t="n"/>
      <c r="W473" s="677" t="n"/>
      <c r="X473" s="677" t="n"/>
      <c r="Y473" s="398" t="n"/>
      <c r="Z473" s="398" t="n"/>
    </row>
    <row r="474" ht="27" customHeight="1">
      <c r="A474" s="64" t="inlineStr">
        <is>
          <t>SU002811</t>
        </is>
      </c>
      <c r="B474" s="64" t="inlineStr">
        <is>
          <t>P003588</t>
        </is>
      </c>
      <c r="C474" s="37" t="n">
        <v>4301020260</v>
      </c>
      <c r="D474" s="399" t="n">
        <v>4640242180526</v>
      </c>
      <c r="E474" s="689" t="n"/>
      <c r="F474" s="721" t="n">
        <v>1.8</v>
      </c>
      <c r="G474" s="38" t="n">
        <v>6</v>
      </c>
      <c r="H474" s="721" t="n">
        <v>10.8</v>
      </c>
      <c r="I474" s="721" t="n">
        <v>11.28</v>
      </c>
      <c r="J474" s="38" t="n">
        <v>56</v>
      </c>
      <c r="K474" s="38" t="inlineStr">
        <is>
          <t>8</t>
        </is>
      </c>
      <c r="L474" s="39" t="inlineStr">
        <is>
          <t>СК1</t>
        </is>
      </c>
      <c r="M474" s="38" t="n">
        <v>50</v>
      </c>
      <c r="N474" s="983" t="inlineStr">
        <is>
          <t>Ветчины «Нежная» Весовой п/а ТМ «Зареченские» большой батон</t>
        </is>
      </c>
      <c r="O474" s="723" t="n"/>
      <c r="P474" s="723" t="n"/>
      <c r="Q474" s="723" t="n"/>
      <c r="R474" s="689" t="n"/>
      <c r="S474" s="40" t="inlineStr"/>
      <c r="T474" s="40" t="inlineStr"/>
      <c r="U474" s="41" t="inlineStr">
        <is>
          <t>кг</t>
        </is>
      </c>
      <c r="V474" s="724" t="n">
        <v>0</v>
      </c>
      <c r="W474" s="725">
        <f>IFERROR(IF(V474="",0,CEILING((V474/$H474),1)*$H474),"")</f>
        <v/>
      </c>
      <c r="X474" s="42">
        <f>IFERROR(IF(W474=0,"",ROUNDUP(W474/H474,0)*0.02175),"")</f>
        <v/>
      </c>
      <c r="Y474" s="69" t="inlineStr"/>
      <c r="Z474" s="70" t="inlineStr"/>
      <c r="AD474" s="71" t="n"/>
      <c r="BA474" s="327" t="inlineStr">
        <is>
          <t>КИ</t>
        </is>
      </c>
    </row>
    <row r="475" ht="16.5" customHeight="1">
      <c r="A475" s="64" t="inlineStr">
        <is>
          <t>SU002806</t>
        </is>
      </c>
      <c r="B475" s="64" t="inlineStr">
        <is>
          <t>P003591</t>
        </is>
      </c>
      <c r="C475" s="37" t="n">
        <v>4301020269</v>
      </c>
      <c r="D475" s="399" t="n">
        <v>4640242180519</v>
      </c>
      <c r="E475" s="689" t="n"/>
      <c r="F475" s="721" t="n">
        <v>1.35</v>
      </c>
      <c r="G475" s="38" t="n">
        <v>8</v>
      </c>
      <c r="H475" s="721" t="n">
        <v>10.8</v>
      </c>
      <c r="I475" s="721" t="n">
        <v>11.28</v>
      </c>
      <c r="J475" s="38" t="n">
        <v>56</v>
      </c>
      <c r="K475" s="38" t="inlineStr">
        <is>
          <t>8</t>
        </is>
      </c>
      <c r="L475" s="39" t="inlineStr">
        <is>
          <t>СК3</t>
        </is>
      </c>
      <c r="M475" s="38" t="n">
        <v>50</v>
      </c>
      <c r="N475" s="984" t="inlineStr">
        <is>
          <t>Ветчины «Нежная» Весовой п/а ТМ «Зареченские»</t>
        </is>
      </c>
      <c r="O475" s="723" t="n"/>
      <c r="P475" s="723" t="n"/>
      <c r="Q475" s="723" t="n"/>
      <c r="R475" s="689" t="n"/>
      <c r="S475" s="40" t="inlineStr"/>
      <c r="T475" s="40" t="inlineStr"/>
      <c r="U475" s="41" t="inlineStr">
        <is>
          <t>кг</t>
        </is>
      </c>
      <c r="V475" s="724" t="n">
        <v>0</v>
      </c>
      <c r="W475" s="725">
        <f>IFERROR(IF(V475="",0,CEILING((V475/$H475),1)*$H475),"")</f>
        <v/>
      </c>
      <c r="X475" s="42">
        <f>IFERROR(IF(W475=0,"",ROUNDUP(W475/H475,0)*0.02175),"")</f>
        <v/>
      </c>
      <c r="Y475" s="69" t="inlineStr"/>
      <c r="Z475" s="70" t="inlineStr"/>
      <c r="AD475" s="71" t="n"/>
      <c r="BA475" s="328" t="inlineStr">
        <is>
          <t>КИ</t>
        </is>
      </c>
    </row>
    <row r="476">
      <c r="A476" s="407" t="n"/>
      <c r="B476" s="677" t="n"/>
      <c r="C476" s="677" t="n"/>
      <c r="D476" s="677" t="n"/>
      <c r="E476" s="677" t="n"/>
      <c r="F476" s="677" t="n"/>
      <c r="G476" s="677" t="n"/>
      <c r="H476" s="677" t="n"/>
      <c r="I476" s="677" t="n"/>
      <c r="J476" s="677" t="n"/>
      <c r="K476" s="677" t="n"/>
      <c r="L476" s="677" t="n"/>
      <c r="M476" s="726" t="n"/>
      <c r="N476" s="727" t="inlineStr">
        <is>
          <t>Итого</t>
        </is>
      </c>
      <c r="O476" s="697" t="n"/>
      <c r="P476" s="697" t="n"/>
      <c r="Q476" s="697" t="n"/>
      <c r="R476" s="697" t="n"/>
      <c r="S476" s="697" t="n"/>
      <c r="T476" s="698" t="n"/>
      <c r="U476" s="43" t="inlineStr">
        <is>
          <t>кор</t>
        </is>
      </c>
      <c r="V476" s="728">
        <f>IFERROR(V474/H474,"0")+IFERROR(V475/H475,"0")</f>
        <v/>
      </c>
      <c r="W476" s="728">
        <f>IFERROR(W474/H474,"0")+IFERROR(W475/H475,"0")</f>
        <v/>
      </c>
      <c r="X476" s="728">
        <f>IFERROR(IF(X474="",0,X474),"0")+IFERROR(IF(X475="",0,X475),"0")</f>
        <v/>
      </c>
      <c r="Y476" s="729" t="n"/>
      <c r="Z476" s="729" t="n"/>
    </row>
    <row r="477">
      <c r="A477" s="677" t="n"/>
      <c r="B477" s="677" t="n"/>
      <c r="C477" s="677" t="n"/>
      <c r="D477" s="677" t="n"/>
      <c r="E477" s="677" t="n"/>
      <c r="F477" s="677" t="n"/>
      <c r="G477" s="677" t="n"/>
      <c r="H477" s="677" t="n"/>
      <c r="I477" s="677" t="n"/>
      <c r="J477" s="677" t="n"/>
      <c r="K477" s="677" t="n"/>
      <c r="L477" s="677" t="n"/>
      <c r="M477" s="726" t="n"/>
      <c r="N477" s="727" t="inlineStr">
        <is>
          <t>Итого</t>
        </is>
      </c>
      <c r="O477" s="697" t="n"/>
      <c r="P477" s="697" t="n"/>
      <c r="Q477" s="697" t="n"/>
      <c r="R477" s="697" t="n"/>
      <c r="S477" s="697" t="n"/>
      <c r="T477" s="698" t="n"/>
      <c r="U477" s="43" t="inlineStr">
        <is>
          <t>кг</t>
        </is>
      </c>
      <c r="V477" s="728">
        <f>IFERROR(SUM(V474:V475),"0")</f>
        <v/>
      </c>
      <c r="W477" s="728">
        <f>IFERROR(SUM(W474:W475),"0")</f>
        <v/>
      </c>
      <c r="X477" s="43" t="n"/>
      <c r="Y477" s="729" t="n"/>
      <c r="Z477" s="729" t="n"/>
    </row>
    <row r="478" ht="14.25" customHeight="1">
      <c r="A478" s="398" t="inlineStr">
        <is>
          <t>Копченые колбасы</t>
        </is>
      </c>
      <c r="B478" s="677" t="n"/>
      <c r="C478" s="677" t="n"/>
      <c r="D478" s="677" t="n"/>
      <c r="E478" s="677" t="n"/>
      <c r="F478" s="677" t="n"/>
      <c r="G478" s="677" t="n"/>
      <c r="H478" s="677" t="n"/>
      <c r="I478" s="677" t="n"/>
      <c r="J478" s="677" t="n"/>
      <c r="K478" s="677" t="n"/>
      <c r="L478" s="677" t="n"/>
      <c r="M478" s="677" t="n"/>
      <c r="N478" s="677" t="n"/>
      <c r="O478" s="677" t="n"/>
      <c r="P478" s="677" t="n"/>
      <c r="Q478" s="677" t="n"/>
      <c r="R478" s="677" t="n"/>
      <c r="S478" s="677" t="n"/>
      <c r="T478" s="677" t="n"/>
      <c r="U478" s="677" t="n"/>
      <c r="V478" s="677" t="n"/>
      <c r="W478" s="677" t="n"/>
      <c r="X478" s="677" t="n"/>
      <c r="Y478" s="398" t="n"/>
      <c r="Z478" s="398" t="n"/>
    </row>
    <row r="479" ht="27" customHeight="1">
      <c r="A479" s="64" t="inlineStr">
        <is>
          <t>SU002805</t>
        </is>
      </c>
      <c r="B479" s="64" t="inlineStr">
        <is>
          <t>P003584</t>
        </is>
      </c>
      <c r="C479" s="37" t="n">
        <v>4301031280</v>
      </c>
      <c r="D479" s="399" t="n">
        <v>4640242180816</v>
      </c>
      <c r="E479" s="689" t="n"/>
      <c r="F479" s="721" t="n">
        <v>0.7</v>
      </c>
      <c r="G479" s="38" t="n">
        <v>6</v>
      </c>
      <c r="H479" s="721" t="n">
        <v>4.2</v>
      </c>
      <c r="I479" s="721" t="n">
        <v>4.46</v>
      </c>
      <c r="J479" s="38" t="n">
        <v>156</v>
      </c>
      <c r="K479" s="38" t="inlineStr">
        <is>
          <t>12</t>
        </is>
      </c>
      <c r="L479" s="39" t="inlineStr">
        <is>
          <t>СК2</t>
        </is>
      </c>
      <c r="M479" s="38" t="n">
        <v>40</v>
      </c>
      <c r="N479" s="985" t="inlineStr">
        <is>
          <t>Копченые колбасы «Сервелат Пражский» Весовой фиброуз ТМ «Зареченские»</t>
        </is>
      </c>
      <c r="O479" s="723" t="n"/>
      <c r="P479" s="723" t="n"/>
      <c r="Q479" s="723" t="n"/>
      <c r="R479" s="689" t="n"/>
      <c r="S479" s="40" t="inlineStr"/>
      <c r="T479" s="40" t="inlineStr"/>
      <c r="U479" s="41" t="inlineStr">
        <is>
          <t>кг</t>
        </is>
      </c>
      <c r="V479" s="724" t="n">
        <v>0</v>
      </c>
      <c r="W479" s="725">
        <f>IFERROR(IF(V479="",0,CEILING((V479/$H479),1)*$H479),"")</f>
        <v/>
      </c>
      <c r="X479" s="42">
        <f>IFERROR(IF(W479=0,"",ROUNDUP(W479/H479,0)*0.00753),"")</f>
        <v/>
      </c>
      <c r="Y479" s="69" t="inlineStr"/>
      <c r="Z479" s="70" t="inlineStr"/>
      <c r="AD479" s="71" t="n"/>
      <c r="BA479" s="329" t="inlineStr">
        <is>
          <t>КИ</t>
        </is>
      </c>
    </row>
    <row r="480" ht="27" customHeight="1">
      <c r="A480" s="64" t="inlineStr">
        <is>
          <t>SU002809</t>
        </is>
      </c>
      <c r="B480" s="64" t="inlineStr">
        <is>
          <t>P003586</t>
        </is>
      </c>
      <c r="C480" s="37" t="n">
        <v>4301031244</v>
      </c>
      <c r="D480" s="399" t="n">
        <v>4640242180595</v>
      </c>
      <c r="E480" s="689" t="n"/>
      <c r="F480" s="721" t="n">
        <v>0.7</v>
      </c>
      <c r="G480" s="38" t="n">
        <v>6</v>
      </c>
      <c r="H480" s="721" t="n">
        <v>4.2</v>
      </c>
      <c r="I480" s="721" t="n">
        <v>4.46</v>
      </c>
      <c r="J480" s="38" t="n">
        <v>156</v>
      </c>
      <c r="K480" s="38" t="inlineStr">
        <is>
          <t>12</t>
        </is>
      </c>
      <c r="L480" s="39" t="inlineStr">
        <is>
          <t>СК2</t>
        </is>
      </c>
      <c r="M480" s="38" t="n">
        <v>40</v>
      </c>
      <c r="N480" s="986" t="inlineStr">
        <is>
          <t>В/к колбасы «Сервелат Рижский» НТУ Весовые Фиброуз в/у ТМ «Зареченские»</t>
        </is>
      </c>
      <c r="O480" s="723" t="n"/>
      <c r="P480" s="723" t="n"/>
      <c r="Q480" s="723" t="n"/>
      <c r="R480" s="689" t="n"/>
      <c r="S480" s="40" t="inlineStr"/>
      <c r="T480" s="40" t="inlineStr"/>
      <c r="U480" s="41" t="inlineStr">
        <is>
          <t>кг</t>
        </is>
      </c>
      <c r="V480" s="724" t="n">
        <v>0</v>
      </c>
      <c r="W480" s="725">
        <f>IFERROR(IF(V480="",0,CEILING((V480/$H480),1)*$H480),"")</f>
        <v/>
      </c>
      <c r="X480" s="42">
        <f>IFERROR(IF(W480=0,"",ROUNDUP(W480/H480,0)*0.00753),"")</f>
        <v/>
      </c>
      <c r="Y480" s="69" t="inlineStr"/>
      <c r="Z480" s="70" t="inlineStr"/>
      <c r="AD480" s="71" t="n"/>
      <c r="BA480" s="330" t="inlineStr">
        <is>
          <t>КИ</t>
        </is>
      </c>
    </row>
    <row r="481" ht="27" customHeight="1">
      <c r="A481" s="64" t="inlineStr">
        <is>
          <t>SU002855</t>
        </is>
      </c>
      <c r="B481" s="64" t="inlineStr">
        <is>
          <t>P003261</t>
        </is>
      </c>
      <c r="C481" s="37" t="n">
        <v>4301031203</v>
      </c>
      <c r="D481" s="399" t="n">
        <v>4640242180908</v>
      </c>
      <c r="E481" s="689" t="n"/>
      <c r="F481" s="721" t="n">
        <v>0.28</v>
      </c>
      <c r="G481" s="38" t="n">
        <v>6</v>
      </c>
      <c r="H481" s="721" t="n">
        <v>1.68</v>
      </c>
      <c r="I481" s="721" t="n">
        <v>1.81</v>
      </c>
      <c r="J481" s="38" t="n">
        <v>234</v>
      </c>
      <c r="K481" s="38" t="inlineStr">
        <is>
          <t>18</t>
        </is>
      </c>
      <c r="L481" s="39" t="inlineStr">
        <is>
          <t>СК2</t>
        </is>
      </c>
      <c r="M481" s="38" t="n">
        <v>40</v>
      </c>
      <c r="N481" s="987" t="inlineStr">
        <is>
          <t>Копченые колбасы «Сервелат Пражский» срез Фикс.вес 0,28 фиброуз в/у ТМ «Зареченские»</t>
        </is>
      </c>
      <c r="O481" s="723" t="n"/>
      <c r="P481" s="723" t="n"/>
      <c r="Q481" s="723" t="n"/>
      <c r="R481" s="689" t="n"/>
      <c r="S481" s="40" t="inlineStr"/>
      <c r="T481" s="40" t="inlineStr"/>
      <c r="U481" s="41" t="inlineStr">
        <is>
          <t>кг</t>
        </is>
      </c>
      <c r="V481" s="724" t="n">
        <v>0</v>
      </c>
      <c r="W481" s="725">
        <f>IFERROR(IF(V481="",0,CEILING((V481/$H481),1)*$H481),"")</f>
        <v/>
      </c>
      <c r="X481" s="42">
        <f>IFERROR(IF(W481=0,"",ROUNDUP(W481/H481,0)*0.00502),"")</f>
        <v/>
      </c>
      <c r="Y481" s="69" t="inlineStr"/>
      <c r="Z481" s="70" t="inlineStr"/>
      <c r="AD481" s="71" t="n"/>
      <c r="BA481" s="331" t="inlineStr">
        <is>
          <t>КИ</t>
        </is>
      </c>
    </row>
    <row r="482" ht="27" customHeight="1">
      <c r="A482" s="64" t="inlineStr">
        <is>
          <t>SU002856</t>
        </is>
      </c>
      <c r="B482" s="64" t="inlineStr">
        <is>
          <t>P003257</t>
        </is>
      </c>
      <c r="C482" s="37" t="n">
        <v>4301031200</v>
      </c>
      <c r="D482" s="399" t="n">
        <v>4640242180489</v>
      </c>
      <c r="E482" s="689" t="n"/>
      <c r="F482" s="721" t="n">
        <v>0.28</v>
      </c>
      <c r="G482" s="38" t="n">
        <v>6</v>
      </c>
      <c r="H482" s="721" t="n">
        <v>1.68</v>
      </c>
      <c r="I482" s="721" t="n">
        <v>1.84</v>
      </c>
      <c r="J482" s="38" t="n">
        <v>234</v>
      </c>
      <c r="K482" s="38" t="inlineStr">
        <is>
          <t>18</t>
        </is>
      </c>
      <c r="L482" s="39" t="inlineStr">
        <is>
          <t>СК2</t>
        </is>
      </c>
      <c r="M482" s="38" t="n">
        <v>40</v>
      </c>
      <c r="N482" s="988" t="inlineStr">
        <is>
          <t>В/к колбасы «Сервелат Рижский» срез Фикс.вес 0,28 Фиброуз в/у ТМ «Зареченские»</t>
        </is>
      </c>
      <c r="O482" s="723" t="n"/>
      <c r="P482" s="723" t="n"/>
      <c r="Q482" s="723" t="n"/>
      <c r="R482" s="689" t="n"/>
      <c r="S482" s="40" t="inlineStr"/>
      <c r="T482" s="40" t="inlineStr"/>
      <c r="U482" s="41" t="inlineStr">
        <is>
          <t>кг</t>
        </is>
      </c>
      <c r="V482" s="724" t="n">
        <v>0</v>
      </c>
      <c r="W482" s="725">
        <f>IFERROR(IF(V482="",0,CEILING((V482/$H482),1)*$H482),"")</f>
        <v/>
      </c>
      <c r="X482" s="42">
        <f>IFERROR(IF(W482=0,"",ROUNDUP(W482/H482,0)*0.00502),"")</f>
        <v/>
      </c>
      <c r="Y482" s="69" t="inlineStr"/>
      <c r="Z482" s="70" t="inlineStr"/>
      <c r="AD482" s="71" t="n"/>
      <c r="BA482" s="332" t="inlineStr">
        <is>
          <t>КИ</t>
        </is>
      </c>
    </row>
    <row r="483">
      <c r="A483" s="407" t="n"/>
      <c r="B483" s="677" t="n"/>
      <c r="C483" s="677" t="n"/>
      <c r="D483" s="677" t="n"/>
      <c r="E483" s="677" t="n"/>
      <c r="F483" s="677" t="n"/>
      <c r="G483" s="677" t="n"/>
      <c r="H483" s="677" t="n"/>
      <c r="I483" s="677" t="n"/>
      <c r="J483" s="677" t="n"/>
      <c r="K483" s="677" t="n"/>
      <c r="L483" s="677" t="n"/>
      <c r="M483" s="726" t="n"/>
      <c r="N483" s="727" t="inlineStr">
        <is>
          <t>Итого</t>
        </is>
      </c>
      <c r="O483" s="697" t="n"/>
      <c r="P483" s="697" t="n"/>
      <c r="Q483" s="697" t="n"/>
      <c r="R483" s="697" t="n"/>
      <c r="S483" s="697" t="n"/>
      <c r="T483" s="698" t="n"/>
      <c r="U483" s="43" t="inlineStr">
        <is>
          <t>кор</t>
        </is>
      </c>
      <c r="V483" s="728">
        <f>IFERROR(V479/H479,"0")+IFERROR(V480/H480,"0")+IFERROR(V481/H481,"0")+IFERROR(V482/H482,"0")</f>
        <v/>
      </c>
      <c r="W483" s="728">
        <f>IFERROR(W479/H479,"0")+IFERROR(W480/H480,"0")+IFERROR(W481/H481,"0")+IFERROR(W482/H482,"0")</f>
        <v/>
      </c>
      <c r="X483" s="728">
        <f>IFERROR(IF(X479="",0,X479),"0")+IFERROR(IF(X480="",0,X480),"0")+IFERROR(IF(X481="",0,X481),"0")+IFERROR(IF(X482="",0,X482),"0")</f>
        <v/>
      </c>
      <c r="Y483" s="729" t="n"/>
      <c r="Z483" s="729" t="n"/>
    </row>
    <row r="484">
      <c r="A484" s="677" t="n"/>
      <c r="B484" s="677" t="n"/>
      <c r="C484" s="677" t="n"/>
      <c r="D484" s="677" t="n"/>
      <c r="E484" s="677" t="n"/>
      <c r="F484" s="677" t="n"/>
      <c r="G484" s="677" t="n"/>
      <c r="H484" s="677" t="n"/>
      <c r="I484" s="677" t="n"/>
      <c r="J484" s="677" t="n"/>
      <c r="K484" s="677" t="n"/>
      <c r="L484" s="677" t="n"/>
      <c r="M484" s="726" t="n"/>
      <c r="N484" s="727" t="inlineStr">
        <is>
          <t>Итого</t>
        </is>
      </c>
      <c r="O484" s="697" t="n"/>
      <c r="P484" s="697" t="n"/>
      <c r="Q484" s="697" t="n"/>
      <c r="R484" s="697" t="n"/>
      <c r="S484" s="697" t="n"/>
      <c r="T484" s="698" t="n"/>
      <c r="U484" s="43" t="inlineStr">
        <is>
          <t>кг</t>
        </is>
      </c>
      <c r="V484" s="728">
        <f>IFERROR(SUM(V479:V482),"0")</f>
        <v/>
      </c>
      <c r="W484" s="728">
        <f>IFERROR(SUM(W479:W482),"0")</f>
        <v/>
      </c>
      <c r="X484" s="43" t="n"/>
      <c r="Y484" s="729" t="n"/>
      <c r="Z484" s="729" t="n"/>
    </row>
    <row r="485" ht="14.25" customHeight="1">
      <c r="A485" s="398" t="inlineStr">
        <is>
          <t>Сосиски</t>
        </is>
      </c>
      <c r="B485" s="677" t="n"/>
      <c r="C485" s="677" t="n"/>
      <c r="D485" s="677" t="n"/>
      <c r="E485" s="677" t="n"/>
      <c r="F485" s="677" t="n"/>
      <c r="G485" s="677" t="n"/>
      <c r="H485" s="677" t="n"/>
      <c r="I485" s="677" t="n"/>
      <c r="J485" s="677" t="n"/>
      <c r="K485" s="677" t="n"/>
      <c r="L485" s="677" t="n"/>
      <c r="M485" s="677" t="n"/>
      <c r="N485" s="677" t="n"/>
      <c r="O485" s="677" t="n"/>
      <c r="P485" s="677" t="n"/>
      <c r="Q485" s="677" t="n"/>
      <c r="R485" s="677" t="n"/>
      <c r="S485" s="677" t="n"/>
      <c r="T485" s="677" t="n"/>
      <c r="U485" s="677" t="n"/>
      <c r="V485" s="677" t="n"/>
      <c r="W485" s="677" t="n"/>
      <c r="X485" s="677" t="n"/>
      <c r="Y485" s="398" t="n"/>
      <c r="Z485" s="398" t="n"/>
    </row>
    <row r="486" ht="27" customHeight="1">
      <c r="A486" s="64" t="inlineStr">
        <is>
          <t>SU002655</t>
        </is>
      </c>
      <c r="B486" s="64" t="inlineStr">
        <is>
          <t>P003022</t>
        </is>
      </c>
      <c r="C486" s="37" t="n">
        <v>4301051310</v>
      </c>
      <c r="D486" s="399" t="n">
        <v>4680115880870</v>
      </c>
      <c r="E486" s="689" t="n"/>
      <c r="F486" s="721" t="n">
        <v>1.3</v>
      </c>
      <c r="G486" s="38" t="n">
        <v>6</v>
      </c>
      <c r="H486" s="721" t="n">
        <v>7.8</v>
      </c>
      <c r="I486" s="721" t="n">
        <v>8.364000000000001</v>
      </c>
      <c r="J486" s="38" t="n">
        <v>56</v>
      </c>
      <c r="K486" s="38" t="inlineStr">
        <is>
          <t>8</t>
        </is>
      </c>
      <c r="L486" s="39" t="inlineStr">
        <is>
          <t>СК3</t>
        </is>
      </c>
      <c r="M486" s="38" t="n">
        <v>40</v>
      </c>
      <c r="N486" s="989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86" s="723" t="n"/>
      <c r="P486" s="723" t="n"/>
      <c r="Q486" s="723" t="n"/>
      <c r="R486" s="689" t="n"/>
      <c r="S486" s="40" t="inlineStr"/>
      <c r="T486" s="40" t="inlineStr"/>
      <c r="U486" s="41" t="inlineStr">
        <is>
          <t>кг</t>
        </is>
      </c>
      <c r="V486" s="724" t="n">
        <v>271</v>
      </c>
      <c r="W486" s="725">
        <f>IFERROR(IF(V486="",0,CEILING((V486/$H486),1)*$H486),"")</f>
        <v/>
      </c>
      <c r="X486" s="42">
        <f>IFERROR(IF(W486=0,"",ROUNDUP(W486/H486,0)*0.02175),"")</f>
        <v/>
      </c>
      <c r="Y486" s="69" t="inlineStr"/>
      <c r="Z486" s="70" t="inlineStr"/>
      <c r="AD486" s="71" t="n"/>
      <c r="BA486" s="333" t="inlineStr">
        <is>
          <t>КИ</t>
        </is>
      </c>
    </row>
    <row r="487" ht="27" customHeight="1">
      <c r="A487" s="64" t="inlineStr">
        <is>
          <t>SU002803</t>
        </is>
      </c>
      <c r="B487" s="64" t="inlineStr">
        <is>
          <t>P003590</t>
        </is>
      </c>
      <c r="C487" s="37" t="n">
        <v>4301051510</v>
      </c>
      <c r="D487" s="399" t="n">
        <v>4640242180540</v>
      </c>
      <c r="E487" s="689" t="n"/>
      <c r="F487" s="721" t="n">
        <v>1.3</v>
      </c>
      <c r="G487" s="38" t="n">
        <v>6</v>
      </c>
      <c r="H487" s="721" t="n">
        <v>7.8</v>
      </c>
      <c r="I487" s="721" t="n">
        <v>8.364000000000001</v>
      </c>
      <c r="J487" s="38" t="n">
        <v>56</v>
      </c>
      <c r="K487" s="38" t="inlineStr">
        <is>
          <t>8</t>
        </is>
      </c>
      <c r="L487" s="39" t="inlineStr">
        <is>
          <t>СК2</t>
        </is>
      </c>
      <c r="M487" s="38" t="n">
        <v>30</v>
      </c>
      <c r="N487" s="990" t="inlineStr">
        <is>
          <t>Сосиски «Сочные» Весовой п/а ТМ «Зареченские»</t>
        </is>
      </c>
      <c r="O487" s="723" t="n"/>
      <c r="P487" s="723" t="n"/>
      <c r="Q487" s="723" t="n"/>
      <c r="R487" s="689" t="n"/>
      <c r="S487" s="40" t="inlineStr"/>
      <c r="T487" s="40" t="inlineStr"/>
      <c r="U487" s="41" t="inlineStr">
        <is>
          <t>кг</t>
        </is>
      </c>
      <c r="V487" s="724" t="n">
        <v>0</v>
      </c>
      <c r="W487" s="725">
        <f>IFERROR(IF(V487="",0,CEILING((V487/$H487),1)*$H487),"")</f>
        <v/>
      </c>
      <c r="X487" s="42">
        <f>IFERROR(IF(W487=0,"",ROUNDUP(W487/H487,0)*0.02175),"")</f>
        <v/>
      </c>
      <c r="Y487" s="69" t="inlineStr"/>
      <c r="Z487" s="70" t="inlineStr"/>
      <c r="AD487" s="71" t="n"/>
      <c r="BA487" s="334" t="inlineStr">
        <is>
          <t>КИ</t>
        </is>
      </c>
    </row>
    <row r="488" ht="27" customHeight="1">
      <c r="A488" s="64" t="inlineStr">
        <is>
          <t>SU002812</t>
        </is>
      </c>
      <c r="B488" s="64" t="inlineStr">
        <is>
          <t>P003218</t>
        </is>
      </c>
      <c r="C488" s="37" t="n">
        <v>4301051390</v>
      </c>
      <c r="D488" s="399" t="n">
        <v>4640242181233</v>
      </c>
      <c r="E488" s="689" t="n"/>
      <c r="F488" s="721" t="n">
        <v>0.3</v>
      </c>
      <c r="G488" s="38" t="n">
        <v>6</v>
      </c>
      <c r="H488" s="721" t="n">
        <v>1.8</v>
      </c>
      <c r="I488" s="721" t="n">
        <v>1.984</v>
      </c>
      <c r="J488" s="38" t="n">
        <v>234</v>
      </c>
      <c r="K488" s="38" t="inlineStr">
        <is>
          <t>18</t>
        </is>
      </c>
      <c r="L488" s="39" t="inlineStr">
        <is>
          <t>СК2</t>
        </is>
      </c>
      <c r="M488" s="38" t="n">
        <v>40</v>
      </c>
      <c r="N488" s="991" t="inlineStr">
        <is>
          <t>Сосиски «Датские» Фикс.вес 0,3 П/а мгс ТМ «Зареченские»</t>
        </is>
      </c>
      <c r="O488" s="723" t="n"/>
      <c r="P488" s="723" t="n"/>
      <c r="Q488" s="723" t="n"/>
      <c r="R488" s="689" t="n"/>
      <c r="S488" s="40" t="inlineStr"/>
      <c r="T488" s="40" t="inlineStr"/>
      <c r="U488" s="41" t="inlineStr">
        <is>
          <t>кг</t>
        </is>
      </c>
      <c r="V488" s="724" t="n">
        <v>0</v>
      </c>
      <c r="W488" s="725">
        <f>IFERROR(IF(V488="",0,CEILING((V488/$H488),1)*$H488),"")</f>
        <v/>
      </c>
      <c r="X488" s="42">
        <f>IFERROR(IF(W488=0,"",ROUNDUP(W488/H488,0)*0.00502),"")</f>
        <v/>
      </c>
      <c r="Y488" s="69" t="inlineStr"/>
      <c r="Z488" s="70" t="inlineStr"/>
      <c r="AD488" s="71" t="n"/>
      <c r="BA488" s="335" t="inlineStr">
        <is>
          <t>КИ</t>
        </is>
      </c>
    </row>
    <row r="489" ht="27" customHeight="1">
      <c r="A489" s="64" t="inlineStr">
        <is>
          <t>SU002804</t>
        </is>
      </c>
      <c r="B489" s="64" t="inlineStr">
        <is>
          <t>P003585</t>
        </is>
      </c>
      <c r="C489" s="37" t="n">
        <v>4301051508</v>
      </c>
      <c r="D489" s="399" t="n">
        <v>4640242180557</v>
      </c>
      <c r="E489" s="689" t="n"/>
      <c r="F489" s="721" t="n">
        <v>0.5</v>
      </c>
      <c r="G489" s="38" t="n">
        <v>6</v>
      </c>
      <c r="H489" s="721" t="n">
        <v>3</v>
      </c>
      <c r="I489" s="721" t="n">
        <v>3.284</v>
      </c>
      <c r="J489" s="38" t="n">
        <v>156</v>
      </c>
      <c r="K489" s="38" t="inlineStr">
        <is>
          <t>12</t>
        </is>
      </c>
      <c r="L489" s="39" t="inlineStr">
        <is>
          <t>СК2</t>
        </is>
      </c>
      <c r="M489" s="38" t="n">
        <v>30</v>
      </c>
      <c r="N489" s="992" t="inlineStr">
        <is>
          <t>Сосиски «Сочные» Фикс.вес 0,5 п/а ТМ «Зареченские»</t>
        </is>
      </c>
      <c r="O489" s="723" t="n"/>
      <c r="P489" s="723" t="n"/>
      <c r="Q489" s="723" t="n"/>
      <c r="R489" s="689" t="n"/>
      <c r="S489" s="40" t="inlineStr"/>
      <c r="T489" s="40" t="inlineStr"/>
      <c r="U489" s="41" t="inlineStr">
        <is>
          <t>кг</t>
        </is>
      </c>
      <c r="V489" s="724" t="n">
        <v>0</v>
      </c>
      <c r="W489" s="725">
        <f>IFERROR(IF(V489="",0,CEILING((V489/$H489),1)*$H489),"")</f>
        <v/>
      </c>
      <c r="X489" s="42">
        <f>IFERROR(IF(W489=0,"",ROUNDUP(W489/H489,0)*0.00753),"")</f>
        <v/>
      </c>
      <c r="Y489" s="69" t="inlineStr"/>
      <c r="Z489" s="70" t="inlineStr"/>
      <c r="AD489" s="71" t="n"/>
      <c r="BA489" s="336" t="inlineStr">
        <is>
          <t>КИ</t>
        </is>
      </c>
    </row>
    <row r="490" ht="27" customHeight="1">
      <c r="A490" s="64" t="inlineStr">
        <is>
          <t>SU002922</t>
        </is>
      </c>
      <c r="B490" s="64" t="inlineStr">
        <is>
          <t>P003358</t>
        </is>
      </c>
      <c r="C490" s="37" t="n">
        <v>4301051448</v>
      </c>
      <c r="D490" s="399" t="n">
        <v>4640242181226</v>
      </c>
      <c r="E490" s="689" t="n"/>
      <c r="F490" s="721" t="n">
        <v>0.3</v>
      </c>
      <c r="G490" s="38" t="n">
        <v>6</v>
      </c>
      <c r="H490" s="721" t="n">
        <v>1.8</v>
      </c>
      <c r="I490" s="721" t="n">
        <v>1.972</v>
      </c>
      <c r="J490" s="38" t="n">
        <v>234</v>
      </c>
      <c r="K490" s="38" t="inlineStr">
        <is>
          <t>18</t>
        </is>
      </c>
      <c r="L490" s="39" t="inlineStr">
        <is>
          <t>СК2</t>
        </is>
      </c>
      <c r="M490" s="38" t="n">
        <v>30</v>
      </c>
      <c r="N490" s="993" t="inlineStr">
        <is>
          <t>Сосиски «Сочные» Фикс.Вес 0,3 п/а ТМ «Зареченские»</t>
        </is>
      </c>
      <c r="O490" s="723" t="n"/>
      <c r="P490" s="723" t="n"/>
      <c r="Q490" s="723" t="n"/>
      <c r="R490" s="689" t="n"/>
      <c r="S490" s="40" t="inlineStr"/>
      <c r="T490" s="40" t="inlineStr"/>
      <c r="U490" s="41" t="inlineStr">
        <is>
          <t>кг</t>
        </is>
      </c>
      <c r="V490" s="724" t="n">
        <v>0</v>
      </c>
      <c r="W490" s="725">
        <f>IFERROR(IF(V490="",0,CEILING((V490/$H490),1)*$H490),"")</f>
        <v/>
      </c>
      <c r="X490" s="42">
        <f>IFERROR(IF(W490=0,"",ROUNDUP(W490/H490,0)*0.00502),"")</f>
        <v/>
      </c>
      <c r="Y490" s="69" t="inlineStr"/>
      <c r="Z490" s="70" t="inlineStr"/>
      <c r="AD490" s="71" t="n"/>
      <c r="BA490" s="337" t="inlineStr">
        <is>
          <t>КИ</t>
        </is>
      </c>
    </row>
    <row r="491">
      <c r="A491" s="407" t="n"/>
      <c r="B491" s="677" t="n"/>
      <c r="C491" s="677" t="n"/>
      <c r="D491" s="677" t="n"/>
      <c r="E491" s="677" t="n"/>
      <c r="F491" s="677" t="n"/>
      <c r="G491" s="677" t="n"/>
      <c r="H491" s="677" t="n"/>
      <c r="I491" s="677" t="n"/>
      <c r="J491" s="677" t="n"/>
      <c r="K491" s="677" t="n"/>
      <c r="L491" s="677" t="n"/>
      <c r="M491" s="726" t="n"/>
      <c r="N491" s="727" t="inlineStr">
        <is>
          <t>Итого</t>
        </is>
      </c>
      <c r="O491" s="697" t="n"/>
      <c r="P491" s="697" t="n"/>
      <c r="Q491" s="697" t="n"/>
      <c r="R491" s="697" t="n"/>
      <c r="S491" s="697" t="n"/>
      <c r="T491" s="698" t="n"/>
      <c r="U491" s="43" t="inlineStr">
        <is>
          <t>кор</t>
        </is>
      </c>
      <c r="V491" s="728">
        <f>IFERROR(V486/H486,"0")+IFERROR(V487/H487,"0")+IFERROR(V488/H488,"0")+IFERROR(V489/H489,"0")+IFERROR(V490/H490,"0")</f>
        <v/>
      </c>
      <c r="W491" s="728">
        <f>IFERROR(W486/H486,"0")+IFERROR(W487/H487,"0")+IFERROR(W488/H488,"0")+IFERROR(W489/H489,"0")+IFERROR(W490/H490,"0")</f>
        <v/>
      </c>
      <c r="X491" s="728">
        <f>IFERROR(IF(X486="",0,X486),"0")+IFERROR(IF(X487="",0,X487),"0")+IFERROR(IF(X488="",0,X488),"0")+IFERROR(IF(X489="",0,X489),"0")+IFERROR(IF(X490="",0,X490),"0")</f>
        <v/>
      </c>
      <c r="Y491" s="729" t="n"/>
      <c r="Z491" s="729" t="n"/>
    </row>
    <row r="492">
      <c r="A492" s="677" t="n"/>
      <c r="B492" s="677" t="n"/>
      <c r="C492" s="677" t="n"/>
      <c r="D492" s="677" t="n"/>
      <c r="E492" s="677" t="n"/>
      <c r="F492" s="677" t="n"/>
      <c r="G492" s="677" t="n"/>
      <c r="H492" s="677" t="n"/>
      <c r="I492" s="677" t="n"/>
      <c r="J492" s="677" t="n"/>
      <c r="K492" s="677" t="n"/>
      <c r="L492" s="677" t="n"/>
      <c r="M492" s="726" t="n"/>
      <c r="N492" s="727" t="inlineStr">
        <is>
          <t>Итого</t>
        </is>
      </c>
      <c r="O492" s="697" t="n"/>
      <c r="P492" s="697" t="n"/>
      <c r="Q492" s="697" t="n"/>
      <c r="R492" s="697" t="n"/>
      <c r="S492" s="697" t="n"/>
      <c r="T492" s="698" t="n"/>
      <c r="U492" s="43" t="inlineStr">
        <is>
          <t>кг</t>
        </is>
      </c>
      <c r="V492" s="728">
        <f>IFERROR(SUM(V486:V490),"0")</f>
        <v/>
      </c>
      <c r="W492" s="728">
        <f>IFERROR(SUM(W486:W490),"0")</f>
        <v/>
      </c>
      <c r="X492" s="43" t="n"/>
      <c r="Y492" s="729" t="n"/>
      <c r="Z492" s="729" t="n"/>
    </row>
    <row r="493" ht="15" customHeight="1">
      <c r="A493" s="675" t="n"/>
      <c r="B493" s="677" t="n"/>
      <c r="C493" s="677" t="n"/>
      <c r="D493" s="677" t="n"/>
      <c r="E493" s="677" t="n"/>
      <c r="F493" s="677" t="n"/>
      <c r="G493" s="677" t="n"/>
      <c r="H493" s="677" t="n"/>
      <c r="I493" s="677" t="n"/>
      <c r="J493" s="677" t="n"/>
      <c r="K493" s="677" t="n"/>
      <c r="L493" s="677" t="n"/>
      <c r="M493" s="686" t="n"/>
      <c r="N493" s="994" t="inlineStr">
        <is>
          <t>ИТОГО НЕТТО</t>
        </is>
      </c>
      <c r="O493" s="680" t="n"/>
      <c r="P493" s="680" t="n"/>
      <c r="Q493" s="680" t="n"/>
      <c r="R493" s="680" t="n"/>
      <c r="S493" s="680" t="n"/>
      <c r="T493" s="681" t="n"/>
      <c r="U493" s="43" t="inlineStr">
        <is>
          <t>кг</t>
        </is>
      </c>
      <c r="V493" s="728">
        <f>IFERROR(V24+V33+V37+V41+V45+V52+V60+V85+V93+V104+V116+V126+V134+V142+V155+V161+V166+V173+V193+V200+V205+V213+V232+V236+V243+V256+V262+V268+V274+V286+V291+V296+V300+V304+V308+V321+V327+V332+V336+V345+V350+V357+V361+V368+V384+V391+V395+V402+V408+V418+V422+V426+V430+V444+V449+V458+V464+V472+V477+V484+V492,"0")</f>
        <v/>
      </c>
      <c r="W493" s="728">
        <f>IFERROR(W24+W33+W37+W41+W45+W52+W60+W85+W93+W104+W116+W126+W134+W142+W155+W161+W166+W173+W193+W200+W205+W213+W232+W236+W243+W256+W262+W268+W274+W286+W291+W296+W300+W304+W308+W321+W327+W332+W336+W345+W350+W357+W361+W368+W384+W391+W395+W402+W408+W418+W422+W426+W430+W444+W449+W458+W464+W472+W477+W484+W492,"0")</f>
        <v/>
      </c>
      <c r="X493" s="43" t="n"/>
      <c r="Y493" s="729" t="n"/>
      <c r="Z493" s="729" t="n"/>
    </row>
    <row r="494">
      <c r="A494" s="677" t="n"/>
      <c r="B494" s="677" t="n"/>
      <c r="C494" s="677" t="n"/>
      <c r="D494" s="677" t="n"/>
      <c r="E494" s="677" t="n"/>
      <c r="F494" s="677" t="n"/>
      <c r="G494" s="677" t="n"/>
      <c r="H494" s="677" t="n"/>
      <c r="I494" s="677" t="n"/>
      <c r="J494" s="677" t="n"/>
      <c r="K494" s="677" t="n"/>
      <c r="L494" s="677" t="n"/>
      <c r="M494" s="686" t="n"/>
      <c r="N494" s="994" t="inlineStr">
        <is>
          <t>ИТОГО БРУТТО</t>
        </is>
      </c>
      <c r="O494" s="680" t="n"/>
      <c r="P494" s="680" t="n"/>
      <c r="Q494" s="680" t="n"/>
      <c r="R494" s="680" t="n"/>
      <c r="S494" s="680" t="n"/>
      <c r="T494" s="681" t="n"/>
      <c r="U494" s="43" t="inlineStr">
        <is>
          <t>кг</t>
        </is>
      </c>
      <c r="V494" s="72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216*I216/H216,"0")+IFERROR(V217*I217/H217,"0")+IFERROR(V218*I218/H218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234*I234/H234,"0")+IFERROR(V238*I238/H238,"0")+IFERROR(V239*I239/H239,"0")+IFERROR(V240*I240/H240,"0")+IFERROR(V241*I241/H241,"0")+IFERROR(V245*I245/H245,"0")+IFERROR(V246*I246/H246,"0")+IFERROR(V247*I247/H247,"0")+IFERROR(V248*I248/H248,"0")+IFERROR(V249*I249/H249,"0")+IFERROR(V250*I250/H250,"0")+IFERROR(V251*I251/H251,"0")+IFERROR(V252*I252/H252,"0")+IFERROR(V253*I253/H253,"0")+IFERROR(V254*I254/H254,"0")+IFERROR(V258*I258/H258,"0")+IFERROR(V259*I259/H259,"0")+IFERROR(V260*I260/H260,"0")+IFERROR(V264*I264/H264,"0")+IFERROR(V265*I265/H265,"0")+IFERROR(V266*I266/H266,"0")+IFERROR(V270*I270/H270,"0")+IFERROR(V271*I271/H271,"0")+IFERROR(V272*I272/H272,"0")+IFERROR(V277*I277/H277,"0")+IFERROR(V278*I278/H278,"0")+IFERROR(V279*I279/H279,"0")+IFERROR(V280*I280/H280,"0")+IFERROR(V281*I281/H281,"0")+IFERROR(V282*I282/H282,"0")+IFERROR(V283*I283/H283,"0")+IFERROR(V284*I284/H284,"0")+IFERROR(V288*I288/H288,"0")+IFERROR(V289*I289/H289,"0")+IFERROR(V294*I294/H294,"0")+IFERROR(V298*I298/H298,"0")+IFERROR(V302*I302/H302,"0")+IFERROR(V306*I306/H306,"0")+IFERROR(V312*I312/H312,"0")+IFERROR(V313*I313/H313,"0")+IFERROR(V314*I314/H314,"0")+IFERROR(V315*I315/H315,"0")+IFERROR(V316*I316/H316,"0")+IFERROR(V317*I317/H317,"0")+IFERROR(V318*I318/H318,"0")+IFERROR(V319*I319/H319,"0")+IFERROR(V323*I323/H323,"0")+IFERROR(V324*I324/H324,"0")+IFERROR(V325*I325/H325,"0")+IFERROR(V329*I329/H329,"0")+IFERROR(V330*I330/H330,"0")+IFERROR(V334*I334/H334,"0")+IFERROR(V339*I339/H339,"0")+IFERROR(V340*I340/H340,"0")+IFERROR(V341*I341/H341,"0")+IFERROR(V342*I342/H342,"0")+IFERROR(V343*I343/H343,"0")+IFERROR(V347*I347/H347,"0")+IFERROR(V348*I348/H348,"0")+IFERROR(V352*I352/H352,"0")+IFERROR(V353*I353/H353,"0")+IFERROR(V354*I354/H354,"0")+IFERROR(V355*I355/H355,"0")+IFERROR(V359*I359/H359,"0")+IFERROR(V365*I365/H365,"0")+IFERROR(V366*I366/H366,"0")+IFERROR(V370*I370/H370,"0")+IFERROR(V371*I371/H371,"0")+IFERROR(V372*I372/H372,"0")+IFERROR(V373*I373/H373,"0")+IFERROR(V374*I374/H374,"0")+IFERROR(V375*I375/H375,"0")+IFERROR(V376*I376/H376,"0")+IFERROR(V377*I377/H377,"0")+IFERROR(V378*I378/H378,"0")+IFERROR(V379*I379/H379,"0")+IFERROR(V380*I380/H380,"0")+IFERROR(V381*I381/H381,"0")+IFERROR(V382*I382/H382,"0")+IFERROR(V386*I386/H386,"0")+IFERROR(V387*I387/H387,"0")+IFERROR(V388*I388/H388,"0")+IFERROR(V389*I389/H389,"0")+IFERROR(V393*I393/H393,"0")+IFERROR(V397*I397/H397,"0")+IFERROR(V398*I398/H398,"0")+IFERROR(V399*I399/H399,"0")+IFERROR(V400*I400/H400,"0")+IFERROR(V405*I405/H405,"0")+IFERROR(V406*I406/H406,"0")+IFERROR(V410*I410/H410,"0")+IFERROR(V411*I411/H411,"0")+IFERROR(V412*I412/H412,"0")+IFERROR(V413*I413/H413,"0")+IFERROR(V414*I414/H414,"0")+IFERROR(V415*I415/H415,"0")+IFERROR(V416*I416/H416,"0")+IFERROR(V420*I420/H420,"0")+IFERROR(V424*I424/H424,"0")+IFERROR(V428*I428/H428,"0")+IFERROR(V434*I434/H434,"0")+IFERROR(V435*I435/H435,"0")+IFERROR(V436*I436/H436,"0")+IFERROR(V437*I437/H437,"0")+IFERROR(V438*I438/H438,"0")+IFERROR(V439*I439/H439,"0")+IFERROR(V440*I440/H440,"0")+IFERROR(V441*I441/H441,"0")+IFERROR(V442*I442/H442,"0")+IFERROR(V446*I446/H446,"0")+IFERROR(V447*I447/H447,"0")+IFERROR(V451*I451/H451,"0")+IFERROR(V452*I452/H452,"0")+IFERROR(V453*I453/H453,"0")+IFERROR(V454*I454/H454,"0")+IFERROR(V455*I455/H455,"0")+IFERROR(V456*I456/H456,"0")+IFERROR(V460*I460/H460,"0")+IFERROR(V461*I461/H461,"0")+IFERROR(V462*I462/H462,"0")+IFERROR(V468*I468/H468,"0")+IFERROR(V469*I469/H469,"0")+IFERROR(V470*I470/H470,"0")+IFERROR(V474*I474/H474,"0")+IFERROR(V475*I475/H475,"0")+IFERROR(V479*I479/H479,"0")+IFERROR(V480*I480/H480,"0")+IFERROR(V481*I481/H481,"0")+IFERROR(V482*I482/H482,"0")+IFERROR(V486*I486/H486,"0")+IFERROR(V487*I487/H487,"0")+IFERROR(V488*I488/H488,"0")+IFERROR(V489*I489/H489,"0")+IFERROR(V490*I490/H490,"0"),"0")</f>
        <v/>
      </c>
      <c r="W494" s="72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216*I216/H216,"0")+IFERROR(W217*I217/H217,"0")+IFERROR(W218*I218/H218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234*I234/H234,"0")+IFERROR(W238*I238/H238,"0")+IFERROR(W239*I239/H239,"0")+IFERROR(W240*I240/H240,"0")+IFERROR(W241*I241/H241,"0")+IFERROR(W245*I245/H245,"0")+IFERROR(W246*I246/H246,"0")+IFERROR(W247*I247/H247,"0")+IFERROR(W248*I248/H248,"0")+IFERROR(W249*I249/H249,"0")+IFERROR(W250*I250/H250,"0")+IFERROR(W251*I251/H251,"0")+IFERROR(W252*I252/H252,"0")+IFERROR(W253*I253/H253,"0")+IFERROR(W254*I254/H254,"0")+IFERROR(W258*I258/H258,"0")+IFERROR(W259*I259/H259,"0")+IFERROR(W260*I260/H260,"0")+IFERROR(W264*I264/H264,"0")+IFERROR(W265*I265/H265,"0")+IFERROR(W266*I266/H266,"0")+IFERROR(W270*I270/H270,"0")+IFERROR(W271*I271/H271,"0")+IFERROR(W272*I272/H272,"0")+IFERROR(W277*I277/H277,"0")+IFERROR(W278*I278/H278,"0")+IFERROR(W279*I279/H279,"0")+IFERROR(W280*I280/H280,"0")+IFERROR(W281*I281/H281,"0")+IFERROR(W282*I282/H282,"0")+IFERROR(W283*I283/H283,"0")+IFERROR(W284*I284/H284,"0")+IFERROR(W288*I288/H288,"0")+IFERROR(W289*I289/H289,"0")+IFERROR(W294*I294/H294,"0")+IFERROR(W298*I298/H298,"0")+IFERROR(W302*I302/H302,"0")+IFERROR(W306*I306/H306,"0")+IFERROR(W312*I312/H312,"0")+IFERROR(W313*I313/H313,"0")+IFERROR(W314*I314/H314,"0")+IFERROR(W315*I315/H315,"0")+IFERROR(W316*I316/H316,"0")+IFERROR(W317*I317/H317,"0")+IFERROR(W318*I318/H318,"0")+IFERROR(W319*I319/H319,"0")+IFERROR(W323*I323/H323,"0")+IFERROR(W324*I324/H324,"0")+IFERROR(W325*I325/H325,"0")+IFERROR(W329*I329/H329,"0")+IFERROR(W330*I330/H330,"0")+IFERROR(W334*I334/H334,"0")+IFERROR(W339*I339/H339,"0")+IFERROR(W340*I340/H340,"0")+IFERROR(W341*I341/H341,"0")+IFERROR(W342*I342/H342,"0")+IFERROR(W343*I343/H343,"0")+IFERROR(W347*I347/H347,"0")+IFERROR(W348*I348/H348,"0")+IFERROR(W352*I352/H352,"0")+IFERROR(W353*I353/H353,"0")+IFERROR(W354*I354/H354,"0")+IFERROR(W355*I355/H355,"0")+IFERROR(W359*I359/H359,"0")+IFERROR(W365*I365/H365,"0")+IFERROR(W366*I366/H366,"0")+IFERROR(W370*I370/H370,"0")+IFERROR(W371*I371/H371,"0")+IFERROR(W372*I372/H372,"0")+IFERROR(W373*I373/H373,"0")+IFERROR(W374*I374/H374,"0")+IFERROR(W375*I375/H375,"0")+IFERROR(W376*I376/H376,"0")+IFERROR(W377*I377/H377,"0")+IFERROR(W378*I378/H378,"0")+IFERROR(W379*I379/H379,"0")+IFERROR(W380*I380/H380,"0")+IFERROR(W381*I381/H381,"0")+IFERROR(W382*I382/H382,"0")+IFERROR(W386*I386/H386,"0")+IFERROR(W387*I387/H387,"0")+IFERROR(W388*I388/H388,"0")+IFERROR(W389*I389/H389,"0")+IFERROR(W393*I393/H393,"0")+IFERROR(W397*I397/H397,"0")+IFERROR(W398*I398/H398,"0")+IFERROR(W399*I399/H399,"0")+IFERROR(W400*I400/H400,"0")+IFERROR(W405*I405/H405,"0")+IFERROR(W406*I406/H406,"0")+IFERROR(W410*I410/H410,"0")+IFERROR(W411*I411/H411,"0")+IFERROR(W412*I412/H412,"0")+IFERROR(W413*I413/H413,"0")+IFERROR(W414*I414/H414,"0")+IFERROR(W415*I415/H415,"0")+IFERROR(W416*I416/H416,"0")+IFERROR(W420*I420/H420,"0")+IFERROR(W424*I424/H424,"0")+IFERROR(W428*I428/H428,"0")+IFERROR(W434*I434/H434,"0")+IFERROR(W435*I435/H435,"0")+IFERROR(W436*I436/H436,"0")+IFERROR(W437*I437/H437,"0")+IFERROR(W438*I438/H438,"0")+IFERROR(W439*I439/H439,"0")+IFERROR(W440*I440/H440,"0")+IFERROR(W441*I441/H441,"0")+IFERROR(W442*I442/H442,"0")+IFERROR(W446*I446/H446,"0")+IFERROR(W447*I447/H447,"0")+IFERROR(W451*I451/H451,"0")+IFERROR(W452*I452/H452,"0")+IFERROR(W453*I453/H453,"0")+IFERROR(W454*I454/H454,"0")+IFERROR(W455*I455/H455,"0")+IFERROR(W456*I456/H456,"0")+IFERROR(W460*I460/H460,"0")+IFERROR(W461*I461/H461,"0")+IFERROR(W462*I462/H462,"0")+IFERROR(W468*I468/H468,"0")+IFERROR(W469*I469/H469,"0")+IFERROR(W470*I470/H470,"0")+IFERROR(W474*I474/H474,"0")+IFERROR(W475*I475/H475,"0")+IFERROR(W479*I479/H479,"0")+IFERROR(W480*I480/H480,"0")+IFERROR(W481*I481/H481,"0")+IFERROR(W482*I482/H482,"0")+IFERROR(W486*I486/H486,"0")+IFERROR(W487*I487/H487,"0")+IFERROR(W488*I488/H488,"0")+IFERROR(W489*I489/H489,"0")+IFERROR(W490*I490/H490,"0"),"0")</f>
        <v/>
      </c>
      <c r="X494" s="43" t="n"/>
      <c r="Y494" s="729" t="n"/>
      <c r="Z494" s="729" t="n"/>
    </row>
    <row r="495">
      <c r="A495" s="677" t="n"/>
      <c r="B495" s="677" t="n"/>
      <c r="C495" s="677" t="n"/>
      <c r="D495" s="677" t="n"/>
      <c r="E495" s="677" t="n"/>
      <c r="F495" s="677" t="n"/>
      <c r="G495" s="677" t="n"/>
      <c r="H495" s="677" t="n"/>
      <c r="I495" s="677" t="n"/>
      <c r="J495" s="677" t="n"/>
      <c r="K495" s="677" t="n"/>
      <c r="L495" s="677" t="n"/>
      <c r="M495" s="686" t="n"/>
      <c r="N495" s="994" t="inlineStr">
        <is>
          <t>Кол-во паллет</t>
        </is>
      </c>
      <c r="O495" s="680" t="n"/>
      <c r="P495" s="680" t="n"/>
      <c r="Q495" s="680" t="n"/>
      <c r="R495" s="680" t="n"/>
      <c r="S495" s="680" t="n"/>
      <c r="T495" s="681" t="n"/>
      <c r="U495" s="43" t="inlineStr">
        <is>
          <t>шт</t>
        </is>
      </c>
      <c r="V495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91*(V87:V91/H87:H91)),"0")+IFERROR(SUMPRODUCT(1/J95:J102*(V95:V102/H95:H102)),"0")+IFERROR(SUMPRODUCT(1/J106:J114*(V106:V114/H106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211*(V208:V211/H208:H211)),"0")+IFERROR(SUMPRODUCT(1/J216:J230*(V216:V230/H216:H230)),"0")+IFERROR(SUMPRODUCT(1/J234:J234*(V234:V234/H234:H234)),"0")+IFERROR(SUMPRODUCT(1/J238:J241*(V238:V241/H238:H241)),"0")+IFERROR(SUMPRODUCT(1/J245:J254*(V245:V254/H245:H254)),"0")+IFERROR(SUMPRODUCT(1/J258:J260*(V258:V260/H258:H260)),"0")+IFERROR(SUMPRODUCT(1/J264:J266*(V264:V266/H264:H266)),"0")+IFERROR(SUMPRODUCT(1/J270:J272*(V270:V272/H270:H272)),"0")+IFERROR(SUMPRODUCT(1/J277:J284*(V277:V284/H277:H284)),"0")+IFERROR(SUMPRODUCT(1/J288:J289*(V288:V289/H288:H289)),"0")+IFERROR(SUMPRODUCT(1/J294:J294*(V294:V294/H294:H294)),"0")+IFERROR(SUMPRODUCT(1/J298:J298*(V298:V298/H298:H298)),"0")+IFERROR(SUMPRODUCT(1/J302:J302*(V302:V302/H302:H302)),"0")+IFERROR(SUMPRODUCT(1/J306:J306*(V306:V306/H306:H306)),"0")+IFERROR(SUMPRODUCT(1/J312:J319*(V312:V319/H312:H319)),"0")+IFERROR(SUMPRODUCT(1/J323:J325*(V323:V325/H323:H325)),"0")+IFERROR(SUMPRODUCT(1/J329:J330*(V329:V330/H329:H330)),"0")+IFERROR(SUMPRODUCT(1/J334:J334*(V334:V334/H334:H334)),"0")+IFERROR(SUMPRODUCT(1/J339:J343*(V339:V343/H339:H343)),"0")+IFERROR(SUMPRODUCT(1/J347:J348*(V347:V348/H347:H348)),"0")+IFERROR(SUMPRODUCT(1/J352:J355*(V352:V355/H352:H355)),"0")+IFERROR(SUMPRODUCT(1/J359:J359*(V359:V359/H359:H359)),"0")+IFERROR(SUMPRODUCT(1/J365:J366*(V365:V366/H365:H366)),"0")+IFERROR(SUMPRODUCT(1/J370:J382*(V370:V382/H370:H382)),"0")+IFERROR(SUMPRODUCT(1/J386:J389*(V386:V389/H386:H389)),"0")+IFERROR(SUMPRODUCT(1/J393:J393*(V393:V393/H393:H393)),"0")+IFERROR(SUMPRODUCT(1/J397:J400*(V397:V400/H397:H400)),"0")+IFERROR(SUMPRODUCT(1/J405:J406*(V405:V406/H405:H406)),"0")+IFERROR(SUMPRODUCT(1/J410:J416*(V410:V416/H410:H416)),"0")+IFERROR(SUMPRODUCT(1/J420:J420*(V420:V420/H420:H420)),"0")+IFERROR(SUMPRODUCT(1/J424:J424*(V424:V424/H424:H424)),"0")+IFERROR(SUMPRODUCT(1/J428:J428*(V428:V428/H428:H428)),"0")+IFERROR(SUMPRODUCT(1/J434:J442*(V434:V442/H434:H442)),"0")+IFERROR(SUMPRODUCT(1/J446:J447*(V446:V447/H446:H447)),"0")+IFERROR(SUMPRODUCT(1/J451:J456*(V451:V456/H451:H456)),"0")+IFERROR(SUMPRODUCT(1/J460:J462*(V460:V462/H460:H462)),"0")+IFERROR(SUMPRODUCT(1/J468:J470*(V468:V470/H468:H470)),"0")+IFERROR(SUMPRODUCT(1/J474:J475*(V474:V475/H474:H475)),"0")+IFERROR(SUMPRODUCT(1/J479:J482*(V479:V482/H479:H482)),"0")+IFERROR(SUMPRODUCT(1/J486:J490*(V486:V490/H486:H490)),"0"),0)</f>
        <v/>
      </c>
      <c r="W495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91*(W87:W91/H87:H91)),"0")+IFERROR(SUMPRODUCT(1/J95:J102*(W95:W102/H95:H102)),"0")+IFERROR(SUMPRODUCT(1/J106:J114*(W106:W114/H106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211*(W208:W211/H208:H211)),"0")+IFERROR(SUMPRODUCT(1/J216:J230*(W216:W230/H216:H230)),"0")+IFERROR(SUMPRODUCT(1/J234:J234*(W234:W234/H234:H234)),"0")+IFERROR(SUMPRODUCT(1/J238:J241*(W238:W241/H238:H241)),"0")+IFERROR(SUMPRODUCT(1/J245:J254*(W245:W254/H245:H254)),"0")+IFERROR(SUMPRODUCT(1/J258:J260*(W258:W260/H258:H260)),"0")+IFERROR(SUMPRODUCT(1/J264:J266*(W264:W266/H264:H266)),"0")+IFERROR(SUMPRODUCT(1/J270:J272*(W270:W272/H270:H272)),"0")+IFERROR(SUMPRODUCT(1/J277:J284*(W277:W284/H277:H284)),"0")+IFERROR(SUMPRODUCT(1/J288:J289*(W288:W289/H288:H289)),"0")+IFERROR(SUMPRODUCT(1/J294:J294*(W294:W294/H294:H294)),"0")+IFERROR(SUMPRODUCT(1/J298:J298*(W298:W298/H298:H298)),"0")+IFERROR(SUMPRODUCT(1/J302:J302*(W302:W302/H302:H302)),"0")+IFERROR(SUMPRODUCT(1/J306:J306*(W306:W306/H306:H306)),"0")+IFERROR(SUMPRODUCT(1/J312:J319*(W312:W319/H312:H319)),"0")+IFERROR(SUMPRODUCT(1/J323:J325*(W323:W325/H323:H325)),"0")+IFERROR(SUMPRODUCT(1/J329:J330*(W329:W330/H329:H330)),"0")+IFERROR(SUMPRODUCT(1/J334:J334*(W334:W334/H334:H334)),"0")+IFERROR(SUMPRODUCT(1/J339:J343*(W339:W343/H339:H343)),"0")+IFERROR(SUMPRODUCT(1/J347:J348*(W347:W348/H347:H348)),"0")+IFERROR(SUMPRODUCT(1/J352:J355*(W352:W355/H352:H355)),"0")+IFERROR(SUMPRODUCT(1/J359:J359*(W359:W359/H359:H359)),"0")+IFERROR(SUMPRODUCT(1/J365:J366*(W365:W366/H365:H366)),"0")+IFERROR(SUMPRODUCT(1/J370:J382*(W370:W382/H370:H382)),"0")+IFERROR(SUMPRODUCT(1/J386:J389*(W386:W389/H386:H389)),"0")+IFERROR(SUMPRODUCT(1/J393:J393*(W393:W393/H393:H393)),"0")+IFERROR(SUMPRODUCT(1/J397:J400*(W397:W400/H397:H400)),"0")+IFERROR(SUMPRODUCT(1/J405:J406*(W405:W406/H405:H406)),"0")+IFERROR(SUMPRODUCT(1/J410:J416*(W410:W416/H410:H416)),"0")+IFERROR(SUMPRODUCT(1/J420:J420*(W420:W420/H420:H420)),"0")+IFERROR(SUMPRODUCT(1/J424:J424*(W424:W424/H424:H424)),"0")+IFERROR(SUMPRODUCT(1/J428:J428*(W428:W428/H428:H428)),"0")+IFERROR(SUMPRODUCT(1/J434:J442*(W434:W442/H434:H442)),"0")+IFERROR(SUMPRODUCT(1/J446:J447*(W446:W447/H446:H447)),"0")+IFERROR(SUMPRODUCT(1/J451:J456*(W451:W456/H451:H456)),"0")+IFERROR(SUMPRODUCT(1/J460:J462*(W460:W462/H460:H462)),"0")+IFERROR(SUMPRODUCT(1/J468:J470*(W468:W470/H468:H470)),"0")+IFERROR(SUMPRODUCT(1/J474:J475*(W474:W475/H474:H475)),"0")+IFERROR(SUMPRODUCT(1/J479:J482*(W479:W482/H479:H482)),"0")+IFERROR(SUMPRODUCT(1/J486:J490*(W486:W490/H486:H490)),"0"),0)</f>
        <v/>
      </c>
      <c r="X495" s="43" t="n"/>
      <c r="Y495" s="729" t="n"/>
      <c r="Z495" s="729" t="n"/>
    </row>
    <row r="496">
      <c r="A496" s="677" t="n"/>
      <c r="B496" s="677" t="n"/>
      <c r="C496" s="677" t="n"/>
      <c r="D496" s="677" t="n"/>
      <c r="E496" s="677" t="n"/>
      <c r="F496" s="677" t="n"/>
      <c r="G496" s="677" t="n"/>
      <c r="H496" s="677" t="n"/>
      <c r="I496" s="677" t="n"/>
      <c r="J496" s="677" t="n"/>
      <c r="K496" s="677" t="n"/>
      <c r="L496" s="677" t="n"/>
      <c r="M496" s="686" t="n"/>
      <c r="N496" s="994" t="inlineStr">
        <is>
          <t>Вес брутто  с паллетами</t>
        </is>
      </c>
      <c r="O496" s="680" t="n"/>
      <c r="P496" s="680" t="n"/>
      <c r="Q496" s="680" t="n"/>
      <c r="R496" s="680" t="n"/>
      <c r="S496" s="680" t="n"/>
      <c r="T496" s="681" t="n"/>
      <c r="U496" s="43" t="inlineStr">
        <is>
          <t>кг</t>
        </is>
      </c>
      <c r="V496" s="728">
        <f>GrossWeightTotal+PalletQtyTotal*25</f>
        <v/>
      </c>
      <c r="W496" s="728">
        <f>GrossWeightTotalR+PalletQtyTotalR*25</f>
        <v/>
      </c>
      <c r="X496" s="43" t="n"/>
      <c r="Y496" s="729" t="n"/>
      <c r="Z496" s="729" t="n"/>
    </row>
    <row r="497">
      <c r="A497" s="677" t="n"/>
      <c r="B497" s="677" t="n"/>
      <c r="C497" s="677" t="n"/>
      <c r="D497" s="677" t="n"/>
      <c r="E497" s="677" t="n"/>
      <c r="F497" s="677" t="n"/>
      <c r="G497" s="677" t="n"/>
      <c r="H497" s="677" t="n"/>
      <c r="I497" s="677" t="n"/>
      <c r="J497" s="677" t="n"/>
      <c r="K497" s="677" t="n"/>
      <c r="L497" s="677" t="n"/>
      <c r="M497" s="686" t="n"/>
      <c r="N497" s="994" t="inlineStr">
        <is>
          <t>Кол-во коробок</t>
        </is>
      </c>
      <c r="O497" s="680" t="n"/>
      <c r="P497" s="680" t="n"/>
      <c r="Q497" s="680" t="n"/>
      <c r="R497" s="680" t="n"/>
      <c r="S497" s="680" t="n"/>
      <c r="T497" s="681" t="n"/>
      <c r="U497" s="43" t="inlineStr">
        <is>
          <t>шт</t>
        </is>
      </c>
      <c r="V497" s="728">
        <f>IFERROR(V23+V32+V36+V40+V44+V51+V59+V84+V92+V103+V115+V125+V133+V141+V154+V160+V165+V172+V192+V199+V204+V212+V231+V235+V242+V255+V261+V267+V273+V285+V290+V295+V299+V303+V307+V320+V326+V331+V335+V344+V349+V356+V360+V367+V383+V390+V394+V401+V407+V417+V421+V425+V429+V443+V448+V457+V463+V471+V476+V483+V491,"0")</f>
        <v/>
      </c>
      <c r="W497" s="728">
        <f>IFERROR(W23+W32+W36+W40+W44+W51+W59+W84+W92+W103+W115+W125+W133+W141+W154+W160+W165+W172+W192+W199+W204+W212+W231+W235+W242+W255+W261+W267+W273+W285+W290+W295+W299+W303+W307+W320+W326+W331+W335+W344+W349+W356+W360+W367+W383+W390+W394+W401+W407+W417+W421+W425+W429+W443+W448+W457+W463+W471+W476+W483+W491,"0")</f>
        <v/>
      </c>
      <c r="X497" s="43" t="n"/>
      <c r="Y497" s="729" t="n"/>
      <c r="Z497" s="729" t="n"/>
    </row>
    <row r="498" ht="14.25" customHeight="1">
      <c r="A498" s="677" t="n"/>
      <c r="B498" s="677" t="n"/>
      <c r="C498" s="677" t="n"/>
      <c r="D498" s="677" t="n"/>
      <c r="E498" s="677" t="n"/>
      <c r="F498" s="677" t="n"/>
      <c r="G498" s="677" t="n"/>
      <c r="H498" s="677" t="n"/>
      <c r="I498" s="677" t="n"/>
      <c r="J498" s="677" t="n"/>
      <c r="K498" s="677" t="n"/>
      <c r="L498" s="677" t="n"/>
      <c r="M498" s="686" t="n"/>
      <c r="N498" s="994" t="inlineStr">
        <is>
          <t>Объем заказа</t>
        </is>
      </c>
      <c r="O498" s="680" t="n"/>
      <c r="P498" s="680" t="n"/>
      <c r="Q498" s="680" t="n"/>
      <c r="R498" s="680" t="n"/>
      <c r="S498" s="680" t="n"/>
      <c r="T498" s="681" t="n"/>
      <c r="U498" s="46" t="inlineStr">
        <is>
          <t>м3</t>
        </is>
      </c>
      <c r="V498" s="43" t="n"/>
      <c r="W498" s="43" t="n"/>
      <c r="X498" s="43">
        <f>IFERROR(X23+X32+X36+X40+X44+X51+X59+X84+X92+X103+X115+X125+X133+X141+X154+X160+X165+X172+X192+X199+X204+X212+X231+X235+X242+X255+X261+X267+X273+X285+X290+X295+X299+X303+X307+X320+X326+X331+X335+X344+X349+X356+X360+X367+X383+X390+X394+X401+X407+X417+X421+X425+X429+X443+X448+X457+X463+X471+X476+X483+X491,"0")</f>
        <v/>
      </c>
      <c r="Y498" s="729" t="n"/>
      <c r="Z498" s="729" t="n"/>
    </row>
    <row r="499" ht="13.5" customHeight="1" thickBot="1"/>
    <row r="500" ht="27" customHeight="1" thickBot="1" thickTop="1">
      <c r="A500" s="47" t="inlineStr">
        <is>
          <t>ТОРГОВАЯ МАРКА</t>
        </is>
      </c>
      <c r="B500" s="676" t="inlineStr">
        <is>
          <t>Ядрена копоть</t>
        </is>
      </c>
      <c r="C500" s="676" t="inlineStr">
        <is>
          <t>Вязанка</t>
        </is>
      </c>
      <c r="D500" s="995" t="n"/>
      <c r="E500" s="995" t="n"/>
      <c r="F500" s="996" t="n"/>
      <c r="G500" s="676" t="inlineStr">
        <is>
          <t>Стародворье</t>
        </is>
      </c>
      <c r="H500" s="995" t="n"/>
      <c r="I500" s="995" t="n"/>
      <c r="J500" s="995" t="n"/>
      <c r="K500" s="995" t="n"/>
      <c r="L500" s="995" t="n"/>
      <c r="M500" s="995" t="n"/>
      <c r="N500" s="995" t="n"/>
      <c r="O500" s="996" t="n"/>
      <c r="P500" s="676" t="inlineStr">
        <is>
          <t>Особый рецепт</t>
        </is>
      </c>
      <c r="Q500" s="996" t="n"/>
      <c r="R500" s="676" t="inlineStr">
        <is>
          <t>Баварушка</t>
        </is>
      </c>
      <c r="S500" s="996" t="n"/>
      <c r="T500" s="676" t="inlineStr">
        <is>
          <t>Дугушка</t>
        </is>
      </c>
      <c r="U500" s="676" t="inlineStr">
        <is>
          <t>Зареченские</t>
        </is>
      </c>
      <c r="Z500" s="61" t="n"/>
      <c r="AC500" s="677" t="n"/>
    </row>
    <row r="501" ht="14.25" customHeight="1" thickTop="1">
      <c r="A501" s="678" t="inlineStr">
        <is>
          <t>СЕРИЯ</t>
        </is>
      </c>
      <c r="B501" s="676" t="inlineStr">
        <is>
          <t>Ядрена копоть</t>
        </is>
      </c>
      <c r="C501" s="676" t="inlineStr">
        <is>
          <t>Столичная</t>
        </is>
      </c>
      <c r="D501" s="676" t="inlineStr">
        <is>
          <t>Классическая</t>
        </is>
      </c>
      <c r="E501" s="676" t="inlineStr">
        <is>
          <t>Вязанка</t>
        </is>
      </c>
      <c r="F501" s="676" t="inlineStr">
        <is>
          <t>Сливушки</t>
        </is>
      </c>
      <c r="G501" s="676" t="inlineStr">
        <is>
          <t>Золоченная в печи</t>
        </is>
      </c>
      <c r="H501" s="676" t="inlineStr">
        <is>
          <t>Мясорубская</t>
        </is>
      </c>
      <c r="I501" s="676" t="inlineStr">
        <is>
          <t>Сочинка</t>
        </is>
      </c>
      <c r="J501" s="676" t="inlineStr">
        <is>
          <t>Филедворская</t>
        </is>
      </c>
      <c r="K501" s="677" t="n"/>
      <c r="L501" s="676" t="inlineStr">
        <is>
          <t>Стародворская</t>
        </is>
      </c>
      <c r="M501" s="676" t="inlineStr">
        <is>
          <t>Бордо</t>
        </is>
      </c>
      <c r="N501" s="676" t="inlineStr">
        <is>
          <t>Фирменная</t>
        </is>
      </c>
      <c r="O501" s="676" t="inlineStr">
        <is>
          <t>Бавария</t>
        </is>
      </c>
      <c r="P501" s="676" t="inlineStr">
        <is>
          <t>Особая</t>
        </is>
      </c>
      <c r="Q501" s="676" t="inlineStr">
        <is>
          <t>Особая Без свинины</t>
        </is>
      </c>
      <c r="R501" s="676" t="inlineStr">
        <is>
          <t>Филейбургская</t>
        </is>
      </c>
      <c r="S501" s="676" t="inlineStr">
        <is>
          <t>Балыкбургская</t>
        </is>
      </c>
      <c r="T501" s="676" t="inlineStr">
        <is>
          <t>Дугушка</t>
        </is>
      </c>
      <c r="U501" s="676" t="inlineStr">
        <is>
          <t>Зареченские продукты</t>
        </is>
      </c>
      <c r="Z501" s="61" t="n"/>
      <c r="AC501" s="677" t="n"/>
    </row>
    <row r="502" ht="13.5" customHeight="1" thickBot="1">
      <c r="A502" s="997" t="n"/>
      <c r="B502" s="998" t="n"/>
      <c r="C502" s="998" t="n"/>
      <c r="D502" s="998" t="n"/>
      <c r="E502" s="998" t="n"/>
      <c r="F502" s="998" t="n"/>
      <c r="G502" s="998" t="n"/>
      <c r="H502" s="998" t="n"/>
      <c r="I502" s="998" t="n"/>
      <c r="J502" s="998" t="n"/>
      <c r="K502" s="677" t="n"/>
      <c r="L502" s="998" t="n"/>
      <c r="M502" s="998" t="n"/>
      <c r="N502" s="998" t="n"/>
      <c r="O502" s="998" t="n"/>
      <c r="P502" s="998" t="n"/>
      <c r="Q502" s="998" t="n"/>
      <c r="R502" s="998" t="n"/>
      <c r="S502" s="998" t="n"/>
      <c r="T502" s="998" t="n"/>
      <c r="U502" s="998" t="n"/>
      <c r="Z502" s="61" t="n"/>
      <c r="AC502" s="677" t="n"/>
    </row>
    <row r="503" ht="18" customHeight="1" thickBot="1" thickTop="1">
      <c r="A503" s="47" t="inlineStr">
        <is>
          <t>ИТОГО, кг</t>
        </is>
      </c>
      <c r="B503" s="53">
        <f>IFERROR(W22*1,"0")+IFERROR(W26*1,"0")+IFERROR(W27*1,"0")+IFERROR(W28*1,"0")+IFERROR(W29*1,"0")+IFERROR(W30*1,"0")+IFERROR(W31*1,"0")+IFERROR(W35*1,"0")+IFERROR(W39*1,"0")+IFERROR(W43*1,"0")</f>
        <v/>
      </c>
      <c r="C503" s="53">
        <f>IFERROR(W49*1,"0")+IFERROR(W50*1,"0")</f>
        <v/>
      </c>
      <c r="D503" s="53">
        <f>IFERROR(W55*1,"0")+IFERROR(W56*1,"0")+IFERROR(W57*1,"0")+IFERROR(W58*1,"0")</f>
        <v/>
      </c>
      <c r="E503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/>
      </c>
      <c r="F503" s="53">
        <f>IFERROR(W129*1,"0")+IFERROR(W130*1,"0")+IFERROR(W131*1,"0")+IFERROR(W132*1,"0")</f>
        <v/>
      </c>
      <c r="G503" s="53">
        <f>IFERROR(W138*1,"0")+IFERROR(W139*1,"0")+IFERROR(W140*1,"0")</f>
        <v/>
      </c>
      <c r="H503" s="53">
        <f>IFERROR(W145*1,"0")+IFERROR(W146*1,"0")+IFERROR(W147*1,"0")+IFERROR(W148*1,"0")+IFERROR(W149*1,"0")+IFERROR(W150*1,"0")+IFERROR(W151*1,"0")+IFERROR(W152*1,"0")+IFERROR(W153*1,"0")</f>
        <v/>
      </c>
      <c r="I503" s="53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/>
      </c>
      <c r="J503" s="53">
        <f>IFERROR(W203*1,"0")</f>
        <v/>
      </c>
      <c r="K503" s="677" t="n"/>
      <c r="L503" s="53">
        <f>IFERROR(W208*1,"0")+IFERROR(W209*1,"0")+IFERROR(W210*1,"0")+IFERROR(W211*1,"0")</f>
        <v/>
      </c>
      <c r="M503" s="53">
        <f>IFERROR(W216*1,"0")+IFERROR(W217*1,"0")+IFERROR(W218*1,"0")+IFERROR(W219*1,"0")+IFERROR(W220*1,"0")+IFERROR(W221*1,"0")+IFERROR(W222*1,"0")+IFERROR(W223*1,"0")+IFERROR(W224*1,"0")+IFERROR(W225*1,"0")+IFERROR(W226*1,"0")+IFERROR(W227*1,"0")+IFERROR(W228*1,"0")+IFERROR(W229*1,"0")+IFERROR(W230*1,"0")+IFERROR(W234*1,"0")+IFERROR(W238*1,"0")+IFERROR(W239*1,"0")+IFERROR(W240*1,"0")+IFERROR(W241*1,"0")+IFERROR(W245*1,"0")+IFERROR(W246*1,"0")+IFERROR(W247*1,"0")+IFERROR(W248*1,"0")+IFERROR(W249*1,"0")+IFERROR(W250*1,"0")+IFERROR(W251*1,"0")+IFERROR(W252*1,"0")+IFERROR(W253*1,"0")+IFERROR(W254*1,"0")+IFERROR(W258*1,"0")+IFERROR(W259*1,"0")+IFERROR(W260*1,"0")+IFERROR(W264*1,"0")+IFERROR(W265*1,"0")+IFERROR(W266*1,"0")+IFERROR(W270*1,"0")+IFERROR(W271*1,"0")+IFERROR(W272*1,"0")</f>
        <v/>
      </c>
      <c r="N503" s="53">
        <f>IFERROR(W277*1,"0")+IFERROR(W278*1,"0")+IFERROR(W279*1,"0")+IFERROR(W280*1,"0")+IFERROR(W281*1,"0")+IFERROR(W282*1,"0")+IFERROR(W283*1,"0")+IFERROR(W284*1,"0")+IFERROR(W288*1,"0")+IFERROR(W289*1,"0")</f>
        <v/>
      </c>
      <c r="O503" s="53">
        <f>IFERROR(W294*1,"0")+IFERROR(W298*1,"0")+IFERROR(W302*1,"0")+IFERROR(W306*1,"0")</f>
        <v/>
      </c>
      <c r="P503" s="53">
        <f>IFERROR(W312*1,"0")+IFERROR(W313*1,"0")+IFERROR(W314*1,"0")+IFERROR(W315*1,"0")+IFERROR(W316*1,"0")+IFERROR(W317*1,"0")+IFERROR(W318*1,"0")+IFERROR(W319*1,"0")+IFERROR(W323*1,"0")+IFERROR(W324*1,"0")+IFERROR(W325*1,"0")+IFERROR(W329*1,"0")+IFERROR(W330*1,"0")+IFERROR(W334*1,"0")</f>
        <v/>
      </c>
      <c r="Q503" s="53">
        <f>IFERROR(W339*1,"0")+IFERROR(W340*1,"0")+IFERROR(W341*1,"0")+IFERROR(W342*1,"0")+IFERROR(W343*1,"0")+IFERROR(W347*1,"0")+IFERROR(W348*1,"0")+IFERROR(W352*1,"0")+IFERROR(W353*1,"0")+IFERROR(W354*1,"0")+IFERROR(W355*1,"0")+IFERROR(W359*1,"0")</f>
        <v/>
      </c>
      <c r="R503" s="53">
        <f>IFERROR(W365*1,"0")+IFERROR(W366*1,"0")+IFERROR(W370*1,"0")+IFERROR(W371*1,"0")+IFERROR(W372*1,"0")+IFERROR(W373*1,"0")+IFERROR(W374*1,"0")+IFERROR(W375*1,"0")+IFERROR(W376*1,"0")+IFERROR(W377*1,"0")+IFERROR(W378*1,"0")+IFERROR(W379*1,"0")+IFERROR(W380*1,"0")+IFERROR(W381*1,"0")+IFERROR(W382*1,"0")+IFERROR(W386*1,"0")+IFERROR(W387*1,"0")+IFERROR(W388*1,"0")+IFERROR(W389*1,"0")+IFERROR(W393*1,"0")+IFERROR(W397*1,"0")+IFERROR(W398*1,"0")+IFERROR(W399*1,"0")+IFERROR(W400*1,"0")</f>
        <v/>
      </c>
      <c r="S503" s="53">
        <f>IFERROR(W405*1,"0")+IFERROR(W406*1,"0")+IFERROR(W410*1,"0")+IFERROR(W411*1,"0")+IFERROR(W412*1,"0")+IFERROR(W413*1,"0")+IFERROR(W414*1,"0")+IFERROR(W415*1,"0")+IFERROR(W416*1,"0")+IFERROR(W420*1,"0")+IFERROR(W424*1,"0")+IFERROR(W428*1,"0")</f>
        <v/>
      </c>
      <c r="T503" s="53">
        <f>IFERROR(W434*1,"0")+IFERROR(W435*1,"0")+IFERROR(W436*1,"0")+IFERROR(W437*1,"0")+IFERROR(W438*1,"0")+IFERROR(W439*1,"0")+IFERROR(W440*1,"0")+IFERROR(W441*1,"0")+IFERROR(W442*1,"0")+IFERROR(W446*1,"0")+IFERROR(W447*1,"0")+IFERROR(W451*1,"0")+IFERROR(W452*1,"0")+IFERROR(W453*1,"0")+IFERROR(W454*1,"0")+IFERROR(W455*1,"0")+IFERROR(W456*1,"0")+IFERROR(W460*1,"0")+IFERROR(W461*1,"0")+IFERROR(W462*1,"0")</f>
        <v/>
      </c>
      <c r="U503" s="53">
        <f>IFERROR(W468*1,"0")+IFERROR(W469*1,"0")+IFERROR(W470*1,"0")+IFERROR(W474*1,"0")+IFERROR(W475*1,"0")+IFERROR(W479*1,"0")+IFERROR(W480*1,"0")+IFERROR(W481*1,"0")+IFERROR(W482*1,"0")+IFERROR(W486*1,"0")+IFERROR(W487*1,"0")+IFERROR(W488*1,"0")+IFERROR(W489*1,"0")+IFERROR(W490*1,"0")</f>
        <v/>
      </c>
      <c r="Z503" s="61" t="n"/>
      <c r="AC503" s="677" t="n"/>
    </row>
    <row r="50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z42pR201aeynx47I6raONA==" formatRows="1" sort="0" spinCount="100000" hashValue="Jojm3InJGEEek3c34EK5GLRrwJ3OK74qo1BRgrAUVRnXea+crnLGusJ0zhMA550tPgAJskUQmAWexiNpWWKYa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96">
    <mergeCell ref="N315:R315"/>
    <mergeCell ref="D187:E187"/>
    <mergeCell ref="N302:R302"/>
    <mergeCell ref="D410:E410"/>
    <mergeCell ref="N494:T494"/>
    <mergeCell ref="A419:X419"/>
    <mergeCell ref="A36:M37"/>
    <mergeCell ref="N24:T24"/>
    <mergeCell ref="H9:I9"/>
    <mergeCell ref="A369:X369"/>
    <mergeCell ref="D281:E281"/>
    <mergeCell ref="N460:R460"/>
    <mergeCell ref="C500:F500"/>
    <mergeCell ref="N264:R264"/>
    <mergeCell ref="A154:M155"/>
    <mergeCell ref="D70:E70"/>
    <mergeCell ref="N462:R462"/>
    <mergeCell ref="D312:E312"/>
    <mergeCell ref="N489:R489"/>
    <mergeCell ref="A390:M391"/>
    <mergeCell ref="A273:M274"/>
    <mergeCell ref="N366:R366"/>
    <mergeCell ref="N170:R170"/>
    <mergeCell ref="D238:E238"/>
    <mergeCell ref="D486:E486"/>
    <mergeCell ref="N455:R455"/>
    <mergeCell ref="D78:E78"/>
    <mergeCell ref="A38:X38"/>
    <mergeCell ref="D376:E376"/>
    <mergeCell ref="A445:X445"/>
    <mergeCell ref="A432:X432"/>
    <mergeCell ref="N28:R28"/>
    <mergeCell ref="D71:E71"/>
    <mergeCell ref="N186:R186"/>
    <mergeCell ref="N115:T115"/>
    <mergeCell ref="A338:X338"/>
    <mergeCell ref="N471:T471"/>
    <mergeCell ref="A257:X257"/>
    <mergeCell ref="N30:R30"/>
    <mergeCell ref="D98:E98"/>
    <mergeCell ref="D73:E73"/>
    <mergeCell ref="A275:X275"/>
    <mergeCell ref="N486:R486"/>
    <mergeCell ref="N166:T166"/>
    <mergeCell ref="N44:T44"/>
    <mergeCell ref="H5:L5"/>
    <mergeCell ref="N402:T402"/>
    <mergeCell ref="R501:R502"/>
    <mergeCell ref="N448:T448"/>
    <mergeCell ref="T501:T502"/>
    <mergeCell ref="A383:M384"/>
    <mergeCell ref="N175:R175"/>
    <mergeCell ref="B17:B18"/>
    <mergeCell ref="D479:E479"/>
    <mergeCell ref="A84:M85"/>
    <mergeCell ref="D131:E131"/>
    <mergeCell ref="N477:T477"/>
    <mergeCell ref="D258:E258"/>
    <mergeCell ref="N112:R112"/>
    <mergeCell ref="N106:R106"/>
    <mergeCell ref="C501:C502"/>
    <mergeCell ref="N475:R475"/>
    <mergeCell ref="N252:R252"/>
    <mergeCell ref="A457:M458"/>
    <mergeCell ref="N323:R323"/>
    <mergeCell ref="D124:E124"/>
    <mergeCell ref="N81:R81"/>
    <mergeCell ref="D195:E195"/>
    <mergeCell ref="N56:R56"/>
    <mergeCell ref="T10:U10"/>
    <mergeCell ref="D189:E189"/>
    <mergeCell ref="N331:T331"/>
    <mergeCell ref="D474:E474"/>
    <mergeCell ref="D66:E66"/>
    <mergeCell ref="N381:R381"/>
    <mergeCell ref="N181:R181"/>
    <mergeCell ref="D197:E197"/>
    <mergeCell ref="D253:E253"/>
    <mergeCell ref="N479:R479"/>
    <mergeCell ref="A433:X433"/>
    <mergeCell ref="A206:X206"/>
    <mergeCell ref="N134:T134"/>
    <mergeCell ref="N268:T268"/>
    <mergeCell ref="D411:E411"/>
    <mergeCell ref="D289:E289"/>
    <mergeCell ref="D482:E482"/>
    <mergeCell ref="N395:T395"/>
    <mergeCell ref="N147:R147"/>
    <mergeCell ref="W17:W18"/>
    <mergeCell ref="N332:T332"/>
    <mergeCell ref="N161:T161"/>
    <mergeCell ref="N399:R399"/>
    <mergeCell ref="N495:T495"/>
    <mergeCell ref="N178:R178"/>
    <mergeCell ref="D110:E110"/>
    <mergeCell ref="N270:R270"/>
    <mergeCell ref="D378:E378"/>
    <mergeCell ref="D129:E129"/>
    <mergeCell ref="N359:R359"/>
    <mergeCell ref="N49:R49"/>
    <mergeCell ref="R6:S9"/>
    <mergeCell ref="D365:E365"/>
    <mergeCell ref="N2:U3"/>
    <mergeCell ref="N334:R334"/>
    <mergeCell ref="D79:E79"/>
    <mergeCell ref="A61:X61"/>
    <mergeCell ref="BA17:BA18"/>
    <mergeCell ref="D315:E315"/>
    <mergeCell ref="N421:T421"/>
    <mergeCell ref="D442:E442"/>
    <mergeCell ref="A346:X346"/>
    <mergeCell ref="N113:R113"/>
    <mergeCell ref="D302:E302"/>
    <mergeCell ref="N408:T408"/>
    <mergeCell ref="N271:R271"/>
    <mergeCell ref="A172:M173"/>
    <mergeCell ref="N100:R100"/>
    <mergeCell ref="A54:X54"/>
    <mergeCell ref="N60:T60"/>
    <mergeCell ref="D81:E81"/>
    <mergeCell ref="D379:E379"/>
    <mergeCell ref="D208:E208"/>
    <mergeCell ref="AA17:AC18"/>
    <mergeCell ref="D366:E366"/>
    <mergeCell ref="N472:T472"/>
    <mergeCell ref="N422:T422"/>
    <mergeCell ref="D139:E139"/>
    <mergeCell ref="D406:E406"/>
    <mergeCell ref="N360:T360"/>
    <mergeCell ref="N45:T45"/>
    <mergeCell ref="N126:T126"/>
    <mergeCell ref="D470:E470"/>
    <mergeCell ref="N347:R347"/>
    <mergeCell ref="N345:T345"/>
    <mergeCell ref="N176:R176"/>
    <mergeCell ref="N412:R412"/>
    <mergeCell ref="N193:T193"/>
    <mergeCell ref="D284:E284"/>
    <mergeCell ref="N64:R64"/>
    <mergeCell ref="N120:R120"/>
    <mergeCell ref="N191:R191"/>
    <mergeCell ref="D259:E259"/>
    <mergeCell ref="D28:E28"/>
    <mergeCell ref="A231:M232"/>
    <mergeCell ref="A165:M166"/>
    <mergeCell ref="A466:X466"/>
    <mergeCell ref="D313:E313"/>
    <mergeCell ref="A143:X143"/>
    <mergeCell ref="S501:S502"/>
    <mergeCell ref="N220:R220"/>
    <mergeCell ref="N413:R413"/>
    <mergeCell ref="U501:U502"/>
    <mergeCell ref="D55:E55"/>
    <mergeCell ref="D30:E30"/>
    <mergeCell ref="D353:E353"/>
    <mergeCell ref="N307:T307"/>
    <mergeCell ref="N195:R195"/>
    <mergeCell ref="D67:E67"/>
    <mergeCell ref="D5:E5"/>
    <mergeCell ref="N453:R453"/>
    <mergeCell ref="A207:X207"/>
    <mergeCell ref="N284:R284"/>
    <mergeCell ref="N222:R222"/>
    <mergeCell ref="N197:R197"/>
    <mergeCell ref="D69:E69"/>
    <mergeCell ref="N482:R482"/>
    <mergeCell ref="D354:E354"/>
    <mergeCell ref="A363:X363"/>
    <mergeCell ref="O10:P10"/>
    <mergeCell ref="N496:T496"/>
    <mergeCell ref="N335:T335"/>
    <mergeCell ref="A476:M477"/>
    <mergeCell ref="N342:R342"/>
    <mergeCell ref="N75:R75"/>
    <mergeCell ref="A463:M464"/>
    <mergeCell ref="N298:R298"/>
    <mergeCell ref="A242:M243"/>
    <mergeCell ref="N102:R102"/>
    <mergeCell ref="A307:M308"/>
    <mergeCell ref="N400:R400"/>
    <mergeCell ref="D316:E316"/>
    <mergeCell ref="D387:E387"/>
    <mergeCell ref="D272:E272"/>
    <mergeCell ref="N493:T493"/>
    <mergeCell ref="D381:E381"/>
    <mergeCell ref="D210:E210"/>
    <mergeCell ref="D145:E145"/>
    <mergeCell ref="D8:L8"/>
    <mergeCell ref="N39:R39"/>
    <mergeCell ref="D380:E380"/>
    <mergeCell ref="D209:E209"/>
    <mergeCell ref="D147:E147"/>
    <mergeCell ref="D87:E87"/>
    <mergeCell ref="A156:X156"/>
    <mergeCell ref="D245:E245"/>
    <mergeCell ref="D122:E122"/>
    <mergeCell ref="N352:R352"/>
    <mergeCell ref="D224:E224"/>
    <mergeCell ref="D250:E250"/>
    <mergeCell ref="N339:R339"/>
    <mergeCell ref="A293:X293"/>
    <mergeCell ref="D382:E382"/>
    <mergeCell ref="N295:T295"/>
    <mergeCell ref="D211:E211"/>
    <mergeCell ref="D1:F1"/>
    <mergeCell ref="A125:M126"/>
    <mergeCell ref="A493:M498"/>
    <mergeCell ref="N210:R210"/>
    <mergeCell ref="J17:J18"/>
    <mergeCell ref="D82:E82"/>
    <mergeCell ref="A328:X328"/>
    <mergeCell ref="A157:X157"/>
    <mergeCell ref="L17:L18"/>
    <mergeCell ref="D240:E240"/>
    <mergeCell ref="N290:T290"/>
    <mergeCell ref="N226:R226"/>
    <mergeCell ref="N417:T417"/>
    <mergeCell ref="D334:E334"/>
    <mergeCell ref="N65:R65"/>
    <mergeCell ref="N434:R434"/>
    <mergeCell ref="N428:R428"/>
    <mergeCell ref="N228:R228"/>
    <mergeCell ref="N355:R355"/>
    <mergeCell ref="D100:E100"/>
    <mergeCell ref="N415:R415"/>
    <mergeCell ref="N17:R18"/>
    <mergeCell ref="N129:R129"/>
    <mergeCell ref="N63:R63"/>
    <mergeCell ref="O6:P6"/>
    <mergeCell ref="N365:R365"/>
    <mergeCell ref="N221:R221"/>
    <mergeCell ref="A255:M256"/>
    <mergeCell ref="N50:R50"/>
    <mergeCell ref="D31:E31"/>
    <mergeCell ref="A103:M104"/>
    <mergeCell ref="D329:E329"/>
    <mergeCell ref="A233:X233"/>
    <mergeCell ref="D400:E400"/>
    <mergeCell ref="D229:E229"/>
    <mergeCell ref="A409:X409"/>
    <mergeCell ref="D158:E158"/>
    <mergeCell ref="N131:R131"/>
    <mergeCell ref="D77:E77"/>
    <mergeCell ref="N300:T300"/>
    <mergeCell ref="D108:E108"/>
    <mergeCell ref="D375:E375"/>
    <mergeCell ref="N223:R223"/>
    <mergeCell ref="N443:T443"/>
    <mergeCell ref="A297:X297"/>
    <mergeCell ref="I17:I18"/>
    <mergeCell ref="D306:E306"/>
    <mergeCell ref="D377:E377"/>
    <mergeCell ref="N212:T212"/>
    <mergeCell ref="T12:U12"/>
    <mergeCell ref="A404:X404"/>
    <mergeCell ref="N51:T51"/>
    <mergeCell ref="D72:E72"/>
    <mergeCell ref="N318:R318"/>
    <mergeCell ref="D451:E451"/>
    <mergeCell ref="A23:M24"/>
    <mergeCell ref="A115:M116"/>
    <mergeCell ref="N78:R78"/>
    <mergeCell ref="N149:R149"/>
    <mergeCell ref="N376:R376"/>
    <mergeCell ref="O11:P11"/>
    <mergeCell ref="N447:R447"/>
    <mergeCell ref="A344:M345"/>
    <mergeCell ref="N314:R314"/>
    <mergeCell ref="D260:E260"/>
    <mergeCell ref="D453:E453"/>
    <mergeCell ref="N124:R124"/>
    <mergeCell ref="A201:X201"/>
    <mergeCell ref="D113:E113"/>
    <mergeCell ref="N118:R118"/>
    <mergeCell ref="N241:R241"/>
    <mergeCell ref="A6:C6"/>
    <mergeCell ref="N92:T92"/>
    <mergeCell ref="AD17:AD18"/>
    <mergeCell ref="N458:T458"/>
    <mergeCell ref="D88:E88"/>
    <mergeCell ref="N80:R80"/>
    <mergeCell ref="D148:E148"/>
    <mergeCell ref="N378:R378"/>
    <mergeCell ref="N303:T303"/>
    <mergeCell ref="D324:E324"/>
    <mergeCell ref="D26:E26"/>
    <mergeCell ref="N55:R55"/>
    <mergeCell ref="N424:R424"/>
    <mergeCell ref="N218:R218"/>
    <mergeCell ref="N411:R411"/>
    <mergeCell ref="D90:E90"/>
    <mergeCell ref="N367:T367"/>
    <mergeCell ref="D388:E388"/>
    <mergeCell ref="A292:X292"/>
    <mergeCell ref="A25:X25"/>
    <mergeCell ref="N425:T425"/>
    <mergeCell ref="N133:T133"/>
    <mergeCell ref="A465:X465"/>
    <mergeCell ref="N436:R436"/>
    <mergeCell ref="N418:T418"/>
    <mergeCell ref="N356:T356"/>
    <mergeCell ref="A326:M327"/>
    <mergeCell ref="A5:C5"/>
    <mergeCell ref="N71:R71"/>
    <mergeCell ref="N373:R373"/>
    <mergeCell ref="A192:M193"/>
    <mergeCell ref="N58:R58"/>
    <mergeCell ref="D179:E179"/>
    <mergeCell ref="N294:R294"/>
    <mergeCell ref="E501:E502"/>
    <mergeCell ref="N73:R73"/>
    <mergeCell ref="N437:R437"/>
    <mergeCell ref="N371:R371"/>
    <mergeCell ref="A20:X20"/>
    <mergeCell ref="N291:T291"/>
    <mergeCell ref="A17:A18"/>
    <mergeCell ref="C17:C18"/>
    <mergeCell ref="K17:K18"/>
    <mergeCell ref="D230:E230"/>
    <mergeCell ref="D339:E339"/>
    <mergeCell ref="D168:E168"/>
    <mergeCell ref="D180:E180"/>
    <mergeCell ref="D9:E9"/>
    <mergeCell ref="D118:E118"/>
    <mergeCell ref="F9:G9"/>
    <mergeCell ref="A127:X127"/>
    <mergeCell ref="N289:R289"/>
    <mergeCell ref="D169:E169"/>
    <mergeCell ref="G500:O500"/>
    <mergeCell ref="A421:M422"/>
    <mergeCell ref="D63:E63"/>
    <mergeCell ref="D330:E330"/>
    <mergeCell ref="A478:X478"/>
    <mergeCell ref="N304:T304"/>
    <mergeCell ref="A429:M430"/>
    <mergeCell ref="N344:T344"/>
    <mergeCell ref="N150:R150"/>
    <mergeCell ref="D96:E96"/>
    <mergeCell ref="N386:R386"/>
    <mergeCell ref="A360:M361"/>
    <mergeCell ref="N152:R152"/>
    <mergeCell ref="D27:E27"/>
    <mergeCell ref="N15:R16"/>
    <mergeCell ref="D325:E325"/>
    <mergeCell ref="D456:E456"/>
    <mergeCell ref="A269:X269"/>
    <mergeCell ref="D414:E414"/>
    <mergeCell ref="N464:T464"/>
    <mergeCell ref="D352:E352"/>
    <mergeCell ref="N219:R219"/>
    <mergeCell ref="N160:T160"/>
    <mergeCell ref="A244:X244"/>
    <mergeCell ref="N141:T141"/>
    <mergeCell ref="D91:E91"/>
    <mergeCell ref="P501:P502"/>
    <mergeCell ref="D460:E460"/>
    <mergeCell ref="N452:R452"/>
    <mergeCell ref="D398:E398"/>
    <mergeCell ref="D454:E454"/>
    <mergeCell ref="A62:X62"/>
    <mergeCell ref="A333:X333"/>
    <mergeCell ref="N37:T37"/>
    <mergeCell ref="D106:E106"/>
    <mergeCell ref="D416:E416"/>
    <mergeCell ref="D264:E264"/>
    <mergeCell ref="D220:E220"/>
    <mergeCell ref="G501:G502"/>
    <mergeCell ref="N235:T235"/>
    <mergeCell ref="A362:X362"/>
    <mergeCell ref="N456:R456"/>
    <mergeCell ref="A310:X310"/>
    <mergeCell ref="A337:X337"/>
    <mergeCell ref="A44:M45"/>
    <mergeCell ref="N299:T299"/>
    <mergeCell ref="D251:E251"/>
    <mergeCell ref="N99:R99"/>
    <mergeCell ref="D487:E487"/>
    <mergeCell ref="N397:R397"/>
    <mergeCell ref="N468:R468"/>
    <mergeCell ref="D343:E343"/>
    <mergeCell ref="N74:R74"/>
    <mergeCell ref="N316:R316"/>
    <mergeCell ref="N372:R372"/>
    <mergeCell ref="N145:R145"/>
    <mergeCell ref="D182:E182"/>
    <mergeCell ref="N163:R163"/>
    <mergeCell ref="D480:E480"/>
    <mergeCell ref="D280:E280"/>
    <mergeCell ref="D109:E109"/>
    <mergeCell ref="N101:R101"/>
    <mergeCell ref="N138:R138"/>
    <mergeCell ref="N76:R76"/>
    <mergeCell ref="T5:U5"/>
    <mergeCell ref="N374:R374"/>
    <mergeCell ref="D119:E119"/>
    <mergeCell ref="D190:E190"/>
    <mergeCell ref="D246:E246"/>
    <mergeCell ref="A128:X128"/>
    <mergeCell ref="D488:E488"/>
    <mergeCell ref="U17:U18"/>
    <mergeCell ref="A364:X364"/>
    <mergeCell ref="N261:T261"/>
    <mergeCell ref="D282:E282"/>
    <mergeCell ref="D111:E111"/>
    <mergeCell ref="D469:E469"/>
    <mergeCell ref="N140:R140"/>
    <mergeCell ref="D183:E183"/>
    <mergeCell ref="A335:M336"/>
    <mergeCell ref="A136:X136"/>
    <mergeCell ref="A21:X21"/>
    <mergeCell ref="D248:E248"/>
    <mergeCell ref="N474:R474"/>
    <mergeCell ref="D219:E219"/>
    <mergeCell ref="N154:T154"/>
    <mergeCell ref="D340:E340"/>
    <mergeCell ref="N390:T390"/>
    <mergeCell ref="N77:R77"/>
    <mergeCell ref="T6:U9"/>
    <mergeCell ref="N169:R169"/>
    <mergeCell ref="D185:E185"/>
    <mergeCell ref="A194:X194"/>
    <mergeCell ref="N256:T256"/>
    <mergeCell ref="D277:E277"/>
    <mergeCell ref="N498:T498"/>
    <mergeCell ref="N327:T327"/>
    <mergeCell ref="N85:T85"/>
    <mergeCell ref="D371:E371"/>
    <mergeCell ref="N229:R229"/>
    <mergeCell ref="D43:E43"/>
    <mergeCell ref="N29:R29"/>
    <mergeCell ref="N387:R387"/>
    <mergeCell ref="N265:R265"/>
    <mergeCell ref="N401:T401"/>
    <mergeCell ref="N31:R31"/>
    <mergeCell ref="A261:M262"/>
    <mergeCell ref="N258:R258"/>
    <mergeCell ref="N87:R87"/>
    <mergeCell ref="N451:R451"/>
    <mergeCell ref="A34:X34"/>
    <mergeCell ref="N329:R329"/>
    <mergeCell ref="N158:R158"/>
    <mergeCell ref="D372:E372"/>
    <mergeCell ref="A276:X276"/>
    <mergeCell ref="N245:R245"/>
    <mergeCell ref="D130:E130"/>
    <mergeCell ref="D74:E74"/>
    <mergeCell ref="D68:E68"/>
    <mergeCell ref="N481:R481"/>
    <mergeCell ref="D188:E188"/>
    <mergeCell ref="N168:R168"/>
    <mergeCell ref="D424:E424"/>
    <mergeCell ref="N260:R260"/>
    <mergeCell ref="N89:R89"/>
    <mergeCell ref="D132:E132"/>
    <mergeCell ref="D399:E399"/>
    <mergeCell ref="N274:T274"/>
    <mergeCell ref="D178:E178"/>
    <mergeCell ref="N26:R26"/>
    <mergeCell ref="N153:R153"/>
    <mergeCell ref="N40:T40"/>
    <mergeCell ref="N405:R405"/>
    <mergeCell ref="N234:R234"/>
    <mergeCell ref="M501:M502"/>
    <mergeCell ref="N380:R380"/>
    <mergeCell ref="O501:O502"/>
    <mergeCell ref="N184:R184"/>
    <mergeCell ref="D7:L7"/>
    <mergeCell ref="Q501:Q502"/>
    <mergeCell ref="N171:R171"/>
    <mergeCell ref="N121:R121"/>
    <mergeCell ref="N382:R382"/>
    <mergeCell ref="N238:R238"/>
    <mergeCell ref="A443:M444"/>
    <mergeCell ref="D254:E254"/>
    <mergeCell ref="A263:X263"/>
    <mergeCell ref="D490:E490"/>
    <mergeCell ref="N148:R148"/>
    <mergeCell ref="N179:R179"/>
    <mergeCell ref="N446:R446"/>
    <mergeCell ref="N240:R240"/>
    <mergeCell ref="D283:E283"/>
    <mergeCell ref="D112:E112"/>
    <mergeCell ref="D348:E348"/>
    <mergeCell ref="N190:R190"/>
    <mergeCell ref="D56:E56"/>
    <mergeCell ref="A202:X202"/>
    <mergeCell ref="N155:T155"/>
    <mergeCell ref="D347:E347"/>
    <mergeCell ref="D176:E176"/>
    <mergeCell ref="D114:E114"/>
    <mergeCell ref="N93:T93"/>
    <mergeCell ref="N391:T391"/>
    <mergeCell ref="D412:E412"/>
    <mergeCell ref="N490:R490"/>
    <mergeCell ref="D64:E64"/>
    <mergeCell ref="A431:X431"/>
    <mergeCell ref="N262:T262"/>
    <mergeCell ref="P500:Q500"/>
    <mergeCell ref="A407:M408"/>
    <mergeCell ref="A358:X358"/>
    <mergeCell ref="R500:S500"/>
    <mergeCell ref="A92:M93"/>
    <mergeCell ref="N491:T491"/>
    <mergeCell ref="N172:T172"/>
    <mergeCell ref="N108:R108"/>
    <mergeCell ref="N199:T199"/>
    <mergeCell ref="N266:R266"/>
    <mergeCell ref="A471:M472"/>
    <mergeCell ref="N95:R95"/>
    <mergeCell ref="N457:T457"/>
    <mergeCell ref="N393:R393"/>
    <mergeCell ref="D138:E138"/>
    <mergeCell ref="N70:R70"/>
    <mergeCell ref="D374:E374"/>
    <mergeCell ref="D203:E203"/>
    <mergeCell ref="N330:R330"/>
    <mergeCell ref="N159:R159"/>
    <mergeCell ref="N97:R97"/>
    <mergeCell ref="D140:E140"/>
    <mergeCell ref="D438:E438"/>
    <mergeCell ref="A385:X385"/>
    <mergeCell ref="D359:E359"/>
    <mergeCell ref="N96:R96"/>
    <mergeCell ref="H17:H18"/>
    <mergeCell ref="A86:X86"/>
    <mergeCell ref="A331:M332"/>
    <mergeCell ref="D198:E198"/>
    <mergeCell ref="A42:X42"/>
    <mergeCell ref="D440:E440"/>
    <mergeCell ref="N104:T104"/>
    <mergeCell ref="D489:E489"/>
    <mergeCell ref="N98:R98"/>
    <mergeCell ref="D75:E75"/>
    <mergeCell ref="N461:R461"/>
    <mergeCell ref="A144:X144"/>
    <mergeCell ref="N483:T483"/>
    <mergeCell ref="A215:X215"/>
    <mergeCell ref="N41:T41"/>
    <mergeCell ref="D298:E298"/>
    <mergeCell ref="D181:E181"/>
    <mergeCell ref="A160:M161"/>
    <mergeCell ref="N123:R123"/>
    <mergeCell ref="A450:X450"/>
    <mergeCell ref="D39:E39"/>
    <mergeCell ref="A290:M291"/>
    <mergeCell ref="N187:R187"/>
    <mergeCell ref="N279:R279"/>
    <mergeCell ref="N410:R410"/>
    <mergeCell ref="D393:E393"/>
    <mergeCell ref="D89:E89"/>
    <mergeCell ref="N254:R254"/>
    <mergeCell ref="A135:X135"/>
    <mergeCell ref="N501:N502"/>
    <mergeCell ref="N487:R487"/>
    <mergeCell ref="N216:R216"/>
    <mergeCell ref="F501:F502"/>
    <mergeCell ref="N343:R343"/>
    <mergeCell ref="N281:R281"/>
    <mergeCell ref="H501:H502"/>
    <mergeCell ref="D153:E153"/>
    <mergeCell ref="D420:E420"/>
    <mergeCell ref="N430:T430"/>
    <mergeCell ref="N59:T59"/>
    <mergeCell ref="A212:M213"/>
    <mergeCell ref="N280:R280"/>
    <mergeCell ref="N109:R109"/>
    <mergeCell ref="A448:M449"/>
    <mergeCell ref="A305:X305"/>
    <mergeCell ref="H1:O1"/>
    <mergeCell ref="D435:E435"/>
    <mergeCell ref="D186:E186"/>
    <mergeCell ref="D413:E413"/>
    <mergeCell ref="N463:T463"/>
    <mergeCell ref="D217:E217"/>
    <mergeCell ref="N22:R22"/>
    <mergeCell ref="O9:P9"/>
    <mergeCell ref="D65:E65"/>
    <mergeCell ref="D428:E428"/>
    <mergeCell ref="N36:T36"/>
    <mergeCell ref="N394:T394"/>
    <mergeCell ref="D415:E415"/>
    <mergeCell ref="N296:T296"/>
    <mergeCell ref="N173:T173"/>
    <mergeCell ref="Z17:Z18"/>
    <mergeCell ref="N336:T336"/>
    <mergeCell ref="D446:E446"/>
    <mergeCell ref="A311:X311"/>
    <mergeCell ref="N111:R111"/>
    <mergeCell ref="A32:M33"/>
    <mergeCell ref="A303:M304"/>
    <mergeCell ref="A401:M402"/>
    <mergeCell ref="D439:E439"/>
    <mergeCell ref="A392:X392"/>
    <mergeCell ref="D317:E317"/>
    <mergeCell ref="D146:E146"/>
    <mergeCell ref="N125:T125"/>
    <mergeCell ref="N119:R119"/>
    <mergeCell ref="N211:R211"/>
    <mergeCell ref="D83:E83"/>
    <mergeCell ref="N398:R398"/>
    <mergeCell ref="D441:E441"/>
    <mergeCell ref="D319:E319"/>
    <mergeCell ref="N177:R177"/>
    <mergeCell ref="D481:E481"/>
    <mergeCell ref="A94:X94"/>
    <mergeCell ref="A287:X287"/>
    <mergeCell ref="N114:R114"/>
    <mergeCell ref="N349:T349"/>
    <mergeCell ref="D370:E370"/>
    <mergeCell ref="N476:T476"/>
    <mergeCell ref="A501:A502"/>
    <mergeCell ref="D222:E222"/>
    <mergeCell ref="A427:X427"/>
    <mergeCell ref="N35:R35"/>
    <mergeCell ref="G17:G18"/>
    <mergeCell ref="N426:T426"/>
    <mergeCell ref="D314:E314"/>
    <mergeCell ref="H10:L10"/>
    <mergeCell ref="N407:T407"/>
    <mergeCell ref="N414:R414"/>
    <mergeCell ref="D159:E159"/>
    <mergeCell ref="A46:X46"/>
    <mergeCell ref="D80:E80"/>
    <mergeCell ref="N188:R188"/>
    <mergeCell ref="N66:R66"/>
    <mergeCell ref="A105:X105"/>
    <mergeCell ref="N416:R416"/>
    <mergeCell ref="D288:E288"/>
    <mergeCell ref="N130:R130"/>
    <mergeCell ref="N68:R68"/>
    <mergeCell ref="N488:R488"/>
    <mergeCell ref="D434:E434"/>
    <mergeCell ref="N282:R282"/>
    <mergeCell ref="N353:R353"/>
    <mergeCell ref="N204:T204"/>
    <mergeCell ref="D225:E225"/>
    <mergeCell ref="D461:E461"/>
    <mergeCell ref="D436:E436"/>
    <mergeCell ref="D227:E227"/>
    <mergeCell ref="A9:C9"/>
    <mergeCell ref="D373:E373"/>
    <mergeCell ref="D58:E58"/>
    <mergeCell ref="N348:R348"/>
    <mergeCell ref="N444:T444"/>
    <mergeCell ref="D294:E294"/>
    <mergeCell ref="N273:T273"/>
    <mergeCell ref="O12:P12"/>
    <mergeCell ref="N442:R442"/>
    <mergeCell ref="N52:T52"/>
    <mergeCell ref="N379:R379"/>
    <mergeCell ref="N208:R208"/>
    <mergeCell ref="N116:T116"/>
    <mergeCell ref="N183:R183"/>
    <mergeCell ref="D6:L6"/>
    <mergeCell ref="N103:T103"/>
    <mergeCell ref="N32:T32"/>
    <mergeCell ref="O13:P13"/>
    <mergeCell ref="N250:R250"/>
    <mergeCell ref="D318:E318"/>
    <mergeCell ref="N406:R406"/>
    <mergeCell ref="D389:E389"/>
    <mergeCell ref="N139:R139"/>
    <mergeCell ref="A417:M418"/>
    <mergeCell ref="N283:R283"/>
    <mergeCell ref="N277:R277"/>
    <mergeCell ref="N203:R203"/>
    <mergeCell ref="D22:E22"/>
    <mergeCell ref="D149:E149"/>
    <mergeCell ref="D447:E447"/>
    <mergeCell ref="N497:T497"/>
    <mergeCell ref="A351:X351"/>
    <mergeCell ref="N239:R239"/>
    <mergeCell ref="N122:R122"/>
    <mergeCell ref="N43:R43"/>
    <mergeCell ref="A301:X301"/>
    <mergeCell ref="N341:R341"/>
    <mergeCell ref="N192:T192"/>
    <mergeCell ref="D151:E151"/>
    <mergeCell ref="N278:R278"/>
    <mergeCell ref="N107:R107"/>
    <mergeCell ref="D150:E150"/>
    <mergeCell ref="N243:T243"/>
    <mergeCell ref="D386:E386"/>
    <mergeCell ref="N492:T492"/>
    <mergeCell ref="N286:T286"/>
    <mergeCell ref="N357:T357"/>
    <mergeCell ref="M17:M18"/>
    <mergeCell ref="N67:R67"/>
    <mergeCell ref="N236:T236"/>
    <mergeCell ref="A235:M236"/>
    <mergeCell ref="N429:T429"/>
    <mergeCell ref="N132:R132"/>
    <mergeCell ref="A459:X459"/>
    <mergeCell ref="N230:R230"/>
    <mergeCell ref="N350:T350"/>
    <mergeCell ref="O8:P8"/>
    <mergeCell ref="A299:M300"/>
    <mergeCell ref="B501:B502"/>
    <mergeCell ref="N69:R69"/>
    <mergeCell ref="N196:R196"/>
    <mergeCell ref="N438:R438"/>
    <mergeCell ref="D177:E177"/>
    <mergeCell ref="N354:R354"/>
    <mergeCell ref="N288:R288"/>
    <mergeCell ref="D226:E226"/>
    <mergeCell ref="D164:E164"/>
    <mergeCell ref="D462:E462"/>
    <mergeCell ref="N368:T368"/>
    <mergeCell ref="N198:R198"/>
    <mergeCell ref="D437:E437"/>
    <mergeCell ref="D241:E241"/>
    <mergeCell ref="N225:R225"/>
    <mergeCell ref="D35:E35"/>
    <mergeCell ref="D228:E228"/>
    <mergeCell ref="N383:T383"/>
    <mergeCell ref="A237:X237"/>
    <mergeCell ref="N306:R306"/>
    <mergeCell ref="A473:X473"/>
    <mergeCell ref="D10:E10"/>
    <mergeCell ref="F10:G10"/>
    <mergeCell ref="N84:T84"/>
    <mergeCell ref="N227:R227"/>
    <mergeCell ref="A485:X485"/>
    <mergeCell ref="N420:R420"/>
    <mergeCell ref="A423:X423"/>
    <mergeCell ref="N320:T320"/>
    <mergeCell ref="D270:E270"/>
    <mergeCell ref="D397:E397"/>
    <mergeCell ref="N205:T205"/>
    <mergeCell ref="A174:X174"/>
    <mergeCell ref="N110:R110"/>
    <mergeCell ref="D99:E99"/>
    <mergeCell ref="N164:R164"/>
    <mergeCell ref="A12:L12"/>
    <mergeCell ref="A214:X214"/>
    <mergeCell ref="N142:T142"/>
    <mergeCell ref="D101:E101"/>
    <mergeCell ref="N209:R209"/>
    <mergeCell ref="D76:E76"/>
    <mergeCell ref="F5:G5"/>
    <mergeCell ref="A14:L14"/>
    <mergeCell ref="N224:R224"/>
    <mergeCell ref="A425:M426"/>
    <mergeCell ref="N251:R251"/>
    <mergeCell ref="A47:X47"/>
    <mergeCell ref="N189:R189"/>
    <mergeCell ref="D455:E455"/>
    <mergeCell ref="D175:E175"/>
    <mergeCell ref="A356:M357"/>
    <mergeCell ref="A483:M484"/>
    <mergeCell ref="N253:R253"/>
    <mergeCell ref="N82:R82"/>
    <mergeCell ref="T11:U11"/>
    <mergeCell ref="D221:E221"/>
    <mergeCell ref="N57:R57"/>
    <mergeCell ref="N267:T267"/>
    <mergeCell ref="I501:I502"/>
    <mergeCell ref="D475:E475"/>
    <mergeCell ref="N317:R317"/>
    <mergeCell ref="N146:R146"/>
    <mergeCell ref="A167:X167"/>
    <mergeCell ref="D323:E323"/>
    <mergeCell ref="D152:E152"/>
    <mergeCell ref="D223:E223"/>
    <mergeCell ref="D279:E279"/>
    <mergeCell ref="A403:X403"/>
    <mergeCell ref="N33:T33"/>
    <mergeCell ref="D29:E29"/>
    <mergeCell ref="N319:R319"/>
    <mergeCell ref="D265:E265"/>
    <mergeCell ref="D216:E216"/>
    <mergeCell ref="A396:X396"/>
    <mergeCell ref="A467:X467"/>
    <mergeCell ref="D452:E452"/>
    <mergeCell ref="D252:E252"/>
    <mergeCell ref="N231:T231"/>
    <mergeCell ref="N308:T308"/>
    <mergeCell ref="A162:X162"/>
    <mergeCell ref="A40:M41"/>
    <mergeCell ref="D218:E218"/>
    <mergeCell ref="N375:R375"/>
    <mergeCell ref="D247:E247"/>
    <mergeCell ref="N440:R440"/>
    <mergeCell ref="A51:M52"/>
    <mergeCell ref="N246:R246"/>
    <mergeCell ref="N439:R439"/>
    <mergeCell ref="N377:R377"/>
    <mergeCell ref="A367:M368"/>
    <mergeCell ref="A267:M268"/>
    <mergeCell ref="D249:E249"/>
    <mergeCell ref="N469:R469"/>
    <mergeCell ref="D341:E341"/>
    <mergeCell ref="D170:E170"/>
    <mergeCell ref="D468:E468"/>
    <mergeCell ref="N72:R72"/>
    <mergeCell ref="O5:P5"/>
    <mergeCell ref="N370:R370"/>
    <mergeCell ref="N248:R248"/>
    <mergeCell ref="N441:R441"/>
    <mergeCell ref="F17:F18"/>
    <mergeCell ref="A133:M134"/>
    <mergeCell ref="A394:M395"/>
    <mergeCell ref="N435:R435"/>
    <mergeCell ref="D120:E120"/>
    <mergeCell ref="A322:X322"/>
    <mergeCell ref="D107:E107"/>
    <mergeCell ref="D49:E49"/>
    <mergeCell ref="D278:E278"/>
    <mergeCell ref="D163:E163"/>
    <mergeCell ref="N384:T384"/>
    <mergeCell ref="D405:E405"/>
    <mergeCell ref="A309:X309"/>
    <mergeCell ref="D234:E234"/>
    <mergeCell ref="N213:T213"/>
    <mergeCell ref="N449:T449"/>
    <mergeCell ref="N185:R185"/>
    <mergeCell ref="N312:R312"/>
    <mergeCell ref="N470:R470"/>
    <mergeCell ref="N321:T321"/>
    <mergeCell ref="D342:E342"/>
    <mergeCell ref="N255:T255"/>
    <mergeCell ref="N326:T326"/>
    <mergeCell ref="D171:E171"/>
    <mergeCell ref="A53:X53"/>
    <mergeCell ref="N242:T242"/>
    <mergeCell ref="N484:T484"/>
    <mergeCell ref="A13:L13"/>
    <mergeCell ref="N165:T165"/>
    <mergeCell ref="A19:X19"/>
    <mergeCell ref="A117:X117"/>
    <mergeCell ref="D102:E102"/>
    <mergeCell ref="N259:R259"/>
    <mergeCell ref="N88:R88"/>
    <mergeCell ref="N324:R324"/>
    <mergeCell ref="D196:E196"/>
    <mergeCell ref="A15:L15"/>
    <mergeCell ref="A48:X48"/>
    <mergeCell ref="N23:T23"/>
    <mergeCell ref="A491:M492"/>
    <mergeCell ref="A320:M321"/>
    <mergeCell ref="A295:M296"/>
    <mergeCell ref="N388:R388"/>
    <mergeCell ref="N217:R217"/>
    <mergeCell ref="N90:R90"/>
    <mergeCell ref="J9:L9"/>
    <mergeCell ref="R5:S5"/>
    <mergeCell ref="N27:R27"/>
    <mergeCell ref="N83:R83"/>
    <mergeCell ref="N325:R325"/>
    <mergeCell ref="D271:E271"/>
    <mergeCell ref="A349:M350"/>
    <mergeCell ref="D191:E191"/>
    <mergeCell ref="N285:T285"/>
    <mergeCell ref="N91:R91"/>
    <mergeCell ref="N389:R389"/>
    <mergeCell ref="N454:R454"/>
    <mergeCell ref="A137:X137"/>
    <mergeCell ref="D239:E239"/>
    <mergeCell ref="D266:E266"/>
    <mergeCell ref="D95:E95"/>
    <mergeCell ref="S17:T17"/>
    <mergeCell ref="Y17:Y18"/>
    <mergeCell ref="D57:E57"/>
    <mergeCell ref="A8:C8"/>
    <mergeCell ref="D355:E355"/>
    <mergeCell ref="N151:R151"/>
    <mergeCell ref="D97:E97"/>
    <mergeCell ref="J501:J502"/>
    <mergeCell ref="N180:R180"/>
    <mergeCell ref="L501:L502"/>
    <mergeCell ref="A204:M205"/>
    <mergeCell ref="D501:D502"/>
    <mergeCell ref="N361:T361"/>
    <mergeCell ref="N272:R272"/>
    <mergeCell ref="A10:C10"/>
    <mergeCell ref="N247:R247"/>
    <mergeCell ref="A285:M286"/>
    <mergeCell ref="A141:M142"/>
    <mergeCell ref="N182:R182"/>
    <mergeCell ref="N232:T232"/>
    <mergeCell ref="N480:R480"/>
    <mergeCell ref="D184:E184"/>
    <mergeCell ref="N249:R249"/>
    <mergeCell ref="D121:E121"/>
    <mergeCell ref="A199:M200"/>
    <mergeCell ref="P1:R1"/>
    <mergeCell ref="D17:E18"/>
    <mergeCell ref="N313:R313"/>
    <mergeCell ref="V17:V18"/>
    <mergeCell ref="D123:E123"/>
    <mergeCell ref="X17:X18"/>
    <mergeCell ref="N200:T200"/>
    <mergeCell ref="D50:E50"/>
    <mergeCell ref="A59:M60"/>
    <mergeCell ref="N340:R340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2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Луганская Народная Респ, Комиссара Санюка (Каменнобродский р-н) ул, д. 50,</t>
        </is>
      </c>
      <c r="C9" s="54" t="inlineStr">
        <is>
          <t>596383_5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Донецкая Народная Респ, Охотская ул, д. 79А,</t>
        </is>
      </c>
      <c r="C10" s="54" t="inlineStr">
        <is>
          <t>596383_6</t>
        </is>
      </c>
      <c r="D10" s="54" t="inlineStr">
        <is>
          <t>5</t>
        </is>
      </c>
      <c r="E10" s="54" t="inlineStr"/>
    </row>
    <row r="12">
      <c r="B12" s="54" t="inlineStr">
        <is>
          <t>272319Российская Федерация, Запорожская обл, Мелитопольский р-н, Мелитополь г, 8 Марта ул, д. 43/1,</t>
        </is>
      </c>
      <c r="C12" s="54" t="inlineStr">
        <is>
          <t>596383_1</t>
        </is>
      </c>
      <c r="D12" s="54" t="inlineStr"/>
      <c r="E12" s="54" t="inlineStr"/>
    </row>
    <row r="14">
      <c r="B14" s="54" t="inlineStr">
        <is>
          <t>283037Российская Федерация, Донецкая Народная Респ, Донецк г, Центральнозаводская ул, д. 14,</t>
        </is>
      </c>
      <c r="C14" s="54" t="inlineStr">
        <is>
          <t>596383_2</t>
        </is>
      </c>
      <c r="D14" s="54" t="inlineStr"/>
      <c r="E14" s="54" t="inlineStr"/>
    </row>
    <row r="16">
      <c r="B16" s="54" t="inlineStr">
        <is>
          <t>287642Российская Федерация, Донецкая Народная Респ, Мариуполь г, Свободы ул, д. 20,</t>
        </is>
      </c>
      <c r="C16" s="54" t="inlineStr">
        <is>
          <t>596383_3</t>
        </is>
      </c>
      <c r="D16" s="54" t="inlineStr"/>
      <c r="E16" s="54" t="inlineStr"/>
    </row>
    <row r="18">
      <c r="B18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8" s="54" t="inlineStr">
        <is>
          <t>596383_5</t>
        </is>
      </c>
      <c r="D18" s="54" t="inlineStr"/>
      <c r="E18" s="54" t="inlineStr"/>
    </row>
    <row r="20">
      <c r="B20" s="54" t="inlineStr">
        <is>
          <t>283092Российская Федерация, Донецкая Народная Респ, Донецк г, Охотская ул, д. 79А,</t>
        </is>
      </c>
      <c r="C20" s="54" t="inlineStr">
        <is>
          <t>596383_6</t>
        </is>
      </c>
      <c r="D20" s="54" t="inlineStr"/>
      <c r="E20" s="54" t="inlineStr"/>
    </row>
    <row r="22">
      <c r="B22" s="54" t="inlineStr">
        <is>
          <t>CFR</t>
        </is>
      </c>
      <c r="C22" s="54" t="inlineStr"/>
      <c r="D22" s="54" t="inlineStr"/>
      <c r="E22" s="54" t="inlineStr"/>
    </row>
    <row r="23">
      <c r="B23" s="54" t="inlineStr">
        <is>
          <t>CIF</t>
        </is>
      </c>
      <c r="C23" s="54" t="inlineStr"/>
      <c r="D23" s="54" t="inlineStr"/>
      <c r="E23" s="54" t="inlineStr"/>
    </row>
    <row r="24">
      <c r="B24" s="54" t="inlineStr">
        <is>
          <t>CIP</t>
        </is>
      </c>
      <c r="C24" s="54" t="inlineStr"/>
      <c r="D24" s="54" t="inlineStr"/>
      <c r="E24" s="54" t="inlineStr"/>
    </row>
    <row r="25">
      <c r="B25" s="54" t="inlineStr">
        <is>
          <t>CPT</t>
        </is>
      </c>
      <c r="C25" s="54" t="inlineStr"/>
      <c r="D25" s="54" t="inlineStr"/>
      <c r="E25" s="54" t="inlineStr"/>
    </row>
    <row r="26">
      <c r="B26" s="54" t="inlineStr">
        <is>
          <t>DAP</t>
        </is>
      </c>
      <c r="C26" s="54" t="inlineStr"/>
      <c r="D26" s="54" t="inlineStr"/>
      <c r="E26" s="54" t="inlineStr"/>
    </row>
    <row r="27">
      <c r="B27" s="54" t="inlineStr">
        <is>
          <t>DAT</t>
        </is>
      </c>
      <c r="C27" s="54" t="inlineStr"/>
      <c r="D27" s="54" t="inlineStr"/>
      <c r="E27" s="54" t="inlineStr"/>
    </row>
    <row r="28">
      <c r="B28" s="54" t="inlineStr">
        <is>
          <t>DDP</t>
        </is>
      </c>
      <c r="C28" s="54" t="inlineStr"/>
      <c r="D28" s="54" t="inlineStr"/>
      <c r="E28" s="54" t="inlineStr"/>
    </row>
    <row r="29">
      <c r="B29" s="54" t="inlineStr">
        <is>
          <t>EXW</t>
        </is>
      </c>
      <c r="C29" s="54" t="inlineStr"/>
      <c r="D29" s="54" t="inlineStr"/>
      <c r="E29" s="54" t="inlineStr"/>
    </row>
    <row r="30">
      <c r="B30" s="54" t="inlineStr">
        <is>
          <t>FAS</t>
        </is>
      </c>
      <c r="C30" s="54" t="inlineStr"/>
      <c r="D30" s="54" t="inlineStr"/>
      <c r="E30" s="54" t="inlineStr"/>
    </row>
    <row r="31">
      <c r="B31" s="54" t="inlineStr">
        <is>
          <t>FCA</t>
        </is>
      </c>
      <c r="C31" s="54" t="inlineStr"/>
      <c r="D31" s="54" t="inlineStr"/>
      <c r="E31" s="54" t="inlineStr"/>
    </row>
    <row r="32">
      <c r="B32" s="54" t="inlineStr">
        <is>
          <t>FOB</t>
        </is>
      </c>
      <c r="C32" s="54" t="inlineStr"/>
      <c r="D32" s="54" t="inlineStr"/>
      <c r="E32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RjlY9Eg9+ejfWFwPfcWO1w==" formatRows="1" sort="0" spinCount="100000" hashValue="JWhbbqHGh8l8yXq3GAvAMi9Zd/pEfEA5mVTLDvub2GtovWSJtLRdQcOsBZg9xa8/Mcczbp1OhEcZABjNjYRe2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2024-01-26T08:15:11Z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