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7810" windowHeight="122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заказа'!$W$551:$W$551</definedName>
    <definedName name="GrossWeightTotalR">'Бланк заказа'!$X$551:$X$551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заказа'!$W$552:$W$552</definedName>
    <definedName name="PalletQtyTotalR">'Бланк заказа'!$X$552:$X$552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заказа'!$B$224:$B$224</definedName>
    <definedName name="ProductId131">'Бланк заказа'!$B$225:$B$225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заказа'!$B$255:$B$255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заказа'!$B$298:$B$298</definedName>
    <definedName name="ProductId175">'Бланк заказа'!$B$303:$B$303</definedName>
    <definedName name="ProductId176">'Бланк заказа'!$B$307:$B$307</definedName>
    <definedName name="ProductId177">'Бланк заказа'!$B$308:$B$308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заказа'!$B$330:$B$330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заказа'!$B$346:$B$346</definedName>
    <definedName name="ProductId199">'Бланк заказа'!$B$347:$B$347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заказа'!$B$355:$B$355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заказа'!$B$369:$B$369</definedName>
    <definedName name="ProductId212">'Бланк заказа'!$B$373:$B$373</definedName>
    <definedName name="ProductId213">'Бланк заказа'!$B$374:$B$374</definedName>
    <definedName name="ProductId214">'Бланк заказа'!$B$380:$B$380</definedName>
    <definedName name="ProductId215">'Бланк заказа'!$B$381:$B$381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заказа'!$B$416:$B$416</definedName>
    <definedName name="ProductId242">'Бланк заказа'!$B$417:$B$417</definedName>
    <definedName name="ProductId243">'Бланк заказа'!$B$418:$B$418</definedName>
    <definedName name="ProductId244">'Бланк заказа'!$B$423:$B$423</definedName>
    <definedName name="ProductId245">'Бланк заказа'!$B$424:$B$424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заказа'!$B$435:$B$435</definedName>
    <definedName name="ProductId254">'Бланк заказа'!$B$439:$B$439</definedName>
    <definedName name="ProductId255">'Бланк заказа'!$B$440:$B$440</definedName>
    <definedName name="ProductId256">'Бланк заказа'!$B$444:$B$444</definedName>
    <definedName name="ProductId257">'Бланк заказа'!$B$448:$B$448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заказа'!$B$455:$B$455</definedName>
    <definedName name="ProductId261">'Бланк заказа'!$B$460:$B$460</definedName>
    <definedName name="ProductId262">'Бланк заказа'!$B$461:$B$461</definedName>
    <definedName name="ProductId263">'Бланк заказа'!$B$465:$B$465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заказа'!$B$481:$B$481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заказа'!$B$499:$B$499</definedName>
    <definedName name="ProductId284">'Бланк заказа'!$B$500:$B$500</definedName>
    <definedName name="ProductId285">'Бланк заказа'!$B$501:$B$501</definedName>
    <definedName name="ProductId286">'Бланк заказа'!$B$505:$B$505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заказа'!$B$519:$B$519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заказа'!$B$527:$B$527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11">'Бланк заказа'!$B$547:$B$547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заказа'!$W$224:$W$224</definedName>
    <definedName name="SalesQty131">'Бланк заказа'!$W$225:$W$225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заказа'!$W$255:$W$255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заказа'!$W$271:$W$271</definedName>
    <definedName name="SalesQty161">'Бланк заказа'!$W$275:$W$275</definedName>
    <definedName name="SalesQty162">'Бланк заказа'!$W$276:$W$276</definedName>
    <definedName name="SalesQty163">'Бланк заказа'!$W$277:$W$277</definedName>
    <definedName name="SalesQty164">'Бланк заказа'!$W$281:$W$281</definedName>
    <definedName name="SalesQty165">'Бланк заказа'!$W$282:$W$282</definedName>
    <definedName name="SalesQty166">'Бланк заказа'!$W$283:$W$283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заказа'!$W$298:$W$298</definedName>
    <definedName name="SalesQty175">'Бланк заказа'!$W$303:$W$303</definedName>
    <definedName name="SalesQty176">'Бланк заказа'!$W$307:$W$307</definedName>
    <definedName name="SalesQty177">'Бланк заказа'!$W$308:$W$308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заказа'!$W$330:$W$330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заказа'!$W$346:$W$346</definedName>
    <definedName name="SalesQty199">'Бланк заказа'!$W$347:$W$347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заказа'!$W$355:$W$355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заказа'!$W$369:$W$369</definedName>
    <definedName name="SalesQty212">'Бланк заказа'!$W$373:$W$373</definedName>
    <definedName name="SalesQty213">'Бланк заказа'!$W$374:$W$374</definedName>
    <definedName name="SalesQty214">'Бланк заказа'!$W$380:$W$380</definedName>
    <definedName name="SalesQty215">'Бланк заказа'!$W$381:$W$381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заказа'!$W$416:$W$416</definedName>
    <definedName name="SalesQty242">'Бланк заказа'!$W$417:$W$417</definedName>
    <definedName name="SalesQty243">'Бланк заказа'!$W$418:$W$418</definedName>
    <definedName name="SalesQty244">'Бланк заказа'!$W$423:$W$423</definedName>
    <definedName name="SalesQty245">'Бланк заказа'!$W$424:$W$424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заказа'!$W$435:$W$435</definedName>
    <definedName name="SalesQty254">'Бланк заказа'!$W$439:$W$439</definedName>
    <definedName name="SalesQty255">'Бланк заказа'!$W$440:$W$440</definedName>
    <definedName name="SalesQty256">'Бланк заказа'!$W$444:$W$444</definedName>
    <definedName name="SalesQty257">'Бланк заказа'!$W$448:$W$448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заказа'!$W$455:$W$455</definedName>
    <definedName name="SalesQty261">'Бланк заказа'!$W$460:$W$460</definedName>
    <definedName name="SalesQty262">'Бланк заказа'!$W$461:$W$461</definedName>
    <definedName name="SalesQty263">'Бланк заказа'!$W$465:$W$465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заказа'!$W$481:$W$481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заказа'!$W$499:$W$499</definedName>
    <definedName name="SalesQty284">'Бланк заказа'!$W$500:$W$500</definedName>
    <definedName name="SalesQty285">'Бланк заказа'!$W$501:$W$501</definedName>
    <definedName name="SalesQty286">'Бланк заказа'!$W$505:$W$505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заказа'!$W$519:$W$519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заказа'!$W$527:$W$527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11">'Бланк заказа'!$W$547:$W$547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заказа'!$X$224:$X$224</definedName>
    <definedName name="SalesRoundBox131">'Бланк заказа'!$X$225:$X$225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заказа'!$X$255:$X$255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заказа'!$X$271:$X$271</definedName>
    <definedName name="SalesRoundBox161">'Бланк заказа'!$X$275:$X$275</definedName>
    <definedName name="SalesRoundBox162">'Бланк заказа'!$X$276:$X$276</definedName>
    <definedName name="SalesRoundBox163">'Бланк заказа'!$X$277:$X$277</definedName>
    <definedName name="SalesRoundBox164">'Бланк заказа'!$X$281:$X$281</definedName>
    <definedName name="SalesRoundBox165">'Бланк заказа'!$X$282:$X$282</definedName>
    <definedName name="SalesRoundBox166">'Бланк заказа'!$X$283:$X$283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заказа'!$X$298:$X$298</definedName>
    <definedName name="SalesRoundBox175">'Бланк заказа'!$X$303:$X$303</definedName>
    <definedName name="SalesRoundBox176">'Бланк заказа'!$X$307:$X$307</definedName>
    <definedName name="SalesRoundBox177">'Бланк заказа'!$X$308:$X$308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заказа'!$X$330:$X$330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заказа'!$X$346:$X$346</definedName>
    <definedName name="SalesRoundBox199">'Бланк заказа'!$X$347:$X$347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заказа'!$X$355:$X$355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заказа'!$X$369:$X$369</definedName>
    <definedName name="SalesRoundBox212">'Бланк заказа'!$X$373:$X$373</definedName>
    <definedName name="SalesRoundBox213">'Бланк заказа'!$X$374:$X$374</definedName>
    <definedName name="SalesRoundBox214">'Бланк заказа'!$X$380:$X$380</definedName>
    <definedName name="SalesRoundBox215">'Бланк заказа'!$X$381:$X$381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заказа'!$X$416:$X$416</definedName>
    <definedName name="SalesRoundBox242">'Бланк заказа'!$X$417:$X$417</definedName>
    <definedName name="SalesRoundBox243">'Бланк заказа'!$X$418:$X$418</definedName>
    <definedName name="SalesRoundBox244">'Бланк заказа'!$X$423:$X$423</definedName>
    <definedName name="SalesRoundBox245">'Бланк заказа'!$X$424:$X$424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заказа'!$X$435:$X$435</definedName>
    <definedName name="SalesRoundBox254">'Бланк заказа'!$X$439:$X$439</definedName>
    <definedName name="SalesRoundBox255">'Бланк заказа'!$X$440:$X$440</definedName>
    <definedName name="SalesRoundBox256">'Бланк заказа'!$X$444:$X$444</definedName>
    <definedName name="SalesRoundBox257">'Бланк заказа'!$X$448:$X$448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заказа'!$X$455:$X$455</definedName>
    <definedName name="SalesRoundBox261">'Бланк заказа'!$X$460:$X$460</definedName>
    <definedName name="SalesRoundBox262">'Бланк заказа'!$X$461:$X$461</definedName>
    <definedName name="SalesRoundBox263">'Бланк заказа'!$X$465:$X$465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заказа'!$X$481:$X$481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заказа'!$X$499:$X$499</definedName>
    <definedName name="SalesRoundBox284">'Бланк заказа'!$X$500:$X$500</definedName>
    <definedName name="SalesRoundBox285">'Бланк заказа'!$X$501:$X$501</definedName>
    <definedName name="SalesRoundBox286">'Бланк заказа'!$X$505:$X$505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заказа'!$X$519:$X$519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заказа'!$X$527:$X$527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11">'Бланк заказа'!$X$547:$X$547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заказа'!$V$224:$V$224</definedName>
    <definedName name="UnitOfMeasure131">'Бланк заказа'!$V$225:$V$225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заказа'!$V$255:$V$255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заказа'!$V$271:$V$271</definedName>
    <definedName name="UnitOfMeasure161">'Бланк заказа'!$V$275:$V$275</definedName>
    <definedName name="UnitOfMeasure162">'Бланк заказа'!$V$276:$V$276</definedName>
    <definedName name="UnitOfMeasure163">'Бланк заказа'!$V$277:$V$277</definedName>
    <definedName name="UnitOfMeasure164">'Бланк заказа'!$V$281:$V$281</definedName>
    <definedName name="UnitOfMeasure165">'Бланк заказа'!$V$282:$V$282</definedName>
    <definedName name="UnitOfMeasure166">'Бланк заказа'!$V$283:$V$283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заказа'!$V$298:$V$298</definedName>
    <definedName name="UnitOfMeasure175">'Бланк заказа'!$V$303:$V$303</definedName>
    <definedName name="UnitOfMeasure176">'Бланк заказа'!$V$307:$V$307</definedName>
    <definedName name="UnitOfMeasure177">'Бланк заказа'!$V$308:$V$308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заказа'!$V$330:$V$330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заказа'!$V$346:$V$346</definedName>
    <definedName name="UnitOfMeasure199">'Бланк заказа'!$V$347:$V$347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заказа'!$V$355:$V$355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заказа'!$V$369:$V$369</definedName>
    <definedName name="UnitOfMeasure212">'Бланк заказа'!$V$373:$V$373</definedName>
    <definedName name="UnitOfMeasure213">'Бланк заказа'!$V$374:$V$374</definedName>
    <definedName name="UnitOfMeasure214">'Бланк заказа'!$V$380:$V$380</definedName>
    <definedName name="UnitOfMeasure215">'Бланк заказа'!$V$381:$V$381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заказа'!$V$416:$V$416</definedName>
    <definedName name="UnitOfMeasure242">'Бланк заказа'!$V$417:$V$417</definedName>
    <definedName name="UnitOfMeasure243">'Бланк заказа'!$V$418:$V$418</definedName>
    <definedName name="UnitOfMeasure244">'Бланк заказа'!$V$423:$V$423</definedName>
    <definedName name="UnitOfMeasure245">'Бланк заказа'!$V$424:$V$424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заказа'!$V$435:$V$435</definedName>
    <definedName name="UnitOfMeasure254">'Бланк заказа'!$V$439:$V$439</definedName>
    <definedName name="UnitOfMeasure255">'Бланк заказа'!$V$440:$V$440</definedName>
    <definedName name="UnitOfMeasure256">'Бланк заказа'!$V$444:$V$444</definedName>
    <definedName name="UnitOfMeasure257">'Бланк заказа'!$V$448:$V$448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заказа'!$V$455:$V$455</definedName>
    <definedName name="UnitOfMeasure261">'Бланк заказа'!$V$460:$V$460</definedName>
    <definedName name="UnitOfMeasure262">'Бланк заказа'!$V$461:$V$461</definedName>
    <definedName name="UnitOfMeasure263">'Бланк заказа'!$V$465:$V$465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заказа'!$V$481:$V$481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заказа'!$V$499:$V$499</definedName>
    <definedName name="UnitOfMeasure284">'Бланк заказа'!$V$500:$V$500</definedName>
    <definedName name="UnitOfMeasure285">'Бланк заказа'!$V$501:$V$501</definedName>
    <definedName name="UnitOfMeasure286">'Бланк заказа'!$V$505:$V$505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заказа'!$V$519:$V$519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заказа'!$V$527:$V$527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11">'Бланк заказа'!$V$547:$V$547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заказа'!$B$18:$Y$18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638" fillId="0" borderId="0" pivotButton="0" quotePrefix="0" xfId="0"/>
    <xf numFmtId="0" fontId="640" fillId="0" borderId="0" pivotButton="0" quotePrefix="0" xfId="0"/>
    <xf numFmtId="0" fontId="642" fillId="0" borderId="0" pivotButton="0" quotePrefix="0" xfId="0"/>
    <xf numFmtId="0" fontId="644" fillId="0" borderId="0" pivotButton="0" quotePrefix="0" xfId="0"/>
    <xf numFmtId="0" fontId="646" fillId="0" borderId="0" pivotButton="0" quotePrefix="0" xfId="0"/>
    <xf numFmtId="0" fontId="648" fillId="0" borderId="0" pivotButton="0" quotePrefix="0" xfId="0"/>
    <xf numFmtId="0" fontId="650" fillId="0" borderId="0" pivotButton="0" quotePrefix="0" xfId="0"/>
    <xf numFmtId="0" fontId="652" fillId="0" borderId="0" pivotButton="0" quotePrefix="0" xfId="0"/>
    <xf numFmtId="0" fontId="654" fillId="0" borderId="0" pivotButton="0" quotePrefix="0" xfId="0"/>
    <xf numFmtId="0" fontId="656" fillId="0" borderId="0" pivotButton="0" quotePrefix="0" xfId="0"/>
    <xf numFmtId="0" fontId="658" fillId="0" borderId="0" pivotButton="0" quotePrefix="0" xfId="0"/>
    <xf numFmtId="0" fontId="660" fillId="0" borderId="0" pivotButton="0" quotePrefix="0" xfId="0"/>
    <xf numFmtId="0" fontId="662" fillId="0" borderId="0" pivotButton="0" quotePrefix="0" xfId="0"/>
    <xf numFmtId="0" fontId="664" fillId="0" borderId="0" pivotButton="0" quotePrefix="0" xfId="0"/>
    <xf numFmtId="0" fontId="666" fillId="0" borderId="0" pivotButton="0" quotePrefix="0" xfId="0"/>
    <xf numFmtId="0" fontId="668" fillId="0" borderId="0" pivotButton="0" quotePrefix="0" xfId="0"/>
    <xf numFmtId="0" fontId="670" fillId="0" borderId="0" pivotButton="0" quotePrefix="0" xfId="0"/>
    <xf numFmtId="0" fontId="672" fillId="0" borderId="0" pivotButton="0" quotePrefix="0" xfId="0"/>
    <xf numFmtId="0" fontId="674" fillId="0" borderId="0" pivotButton="0" quotePrefix="0" xfId="0"/>
    <xf numFmtId="0" fontId="676" fillId="0" borderId="0" pivotButton="0" quotePrefix="0" xfId="0"/>
    <xf numFmtId="0" fontId="678" fillId="0" borderId="0" pivotButton="0" quotePrefix="0" xfId="0"/>
    <xf numFmtId="0" fontId="680" fillId="0" borderId="0" pivotButton="0" quotePrefix="0" xfId="0"/>
    <xf numFmtId="0" fontId="68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7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75" fillId="0" borderId="21" applyAlignment="1" pivotButton="0" quotePrefix="0" xfId="0">
      <alignment horizontal="left" vertical="center" wrapText="1"/>
    </xf>
    <xf numFmtId="0" fontId="677" fillId="0" borderId="21" applyAlignment="1" pivotButton="0" quotePrefix="0" xfId="0">
      <alignment horizontal="left" vertical="center" wrapText="1"/>
    </xf>
    <xf numFmtId="0" fontId="679" fillId="0" borderId="21" applyAlignment="1" pivotButton="0" quotePrefix="0" xfId="0">
      <alignment horizontal="left" vertical="center" wrapText="1"/>
    </xf>
    <xf numFmtId="0" fontId="681" fillId="0" borderId="21" applyAlignment="1" pivotButton="0" quotePrefix="0" xfId="0">
      <alignment horizontal="left" vertical="center" wrapText="1"/>
    </xf>
    <xf numFmtId="0" fontId="661" fillId="0" borderId="21" applyAlignment="1" pivotButton="0" quotePrefix="0" xfId="0">
      <alignment horizontal="left" vertical="center" wrapText="1"/>
    </xf>
    <xf numFmtId="0" fontId="663" fillId="0" borderId="21" applyAlignment="1" pivotButton="0" quotePrefix="0" xfId="0">
      <alignment horizontal="left" vertical="center" wrapText="1"/>
    </xf>
    <xf numFmtId="0" fontId="665" fillId="0" borderId="21" applyAlignment="1" pivotButton="0" quotePrefix="0" xfId="0">
      <alignment horizontal="left" vertical="center" wrapText="1"/>
    </xf>
    <xf numFmtId="0" fontId="667" fillId="0" borderId="21" applyAlignment="1" pivotButton="0" quotePrefix="0" xfId="0">
      <alignment horizontal="left" vertical="center" wrapText="1"/>
    </xf>
    <xf numFmtId="0" fontId="669" fillId="0" borderId="21" applyAlignment="1" pivotButton="0" quotePrefix="0" xfId="0">
      <alignment horizontal="left" vertical="center" wrapText="1"/>
    </xf>
    <xf numFmtId="0" fontId="671" fillId="0" borderId="21" applyAlignment="1" pivotButton="0" quotePrefix="0" xfId="0">
      <alignment horizontal="left" vertical="center" wrapText="1"/>
    </xf>
    <xf numFmtId="0" fontId="649" fillId="0" borderId="21" applyAlignment="1" pivotButton="0" quotePrefix="0" xfId="0">
      <alignment horizontal="left" vertical="center" wrapText="1"/>
    </xf>
    <xf numFmtId="0" fontId="651" fillId="0" borderId="21" applyAlignment="1" pivotButton="0" quotePrefix="0" xfId="0">
      <alignment horizontal="left" vertical="center" wrapText="1"/>
    </xf>
    <xf numFmtId="0" fontId="653" fillId="0" borderId="21" applyAlignment="1" pivotButton="0" quotePrefix="0" xfId="0">
      <alignment horizontal="left" vertical="center" wrapText="1"/>
    </xf>
    <xf numFmtId="0" fontId="655" fillId="0" borderId="21" applyAlignment="1" pivotButton="0" quotePrefix="0" xfId="0">
      <alignment horizontal="left" vertical="center" wrapText="1"/>
    </xf>
    <xf numFmtId="0" fontId="657" fillId="0" borderId="21" applyAlignment="1" pivotButton="0" quotePrefix="0" xfId="0">
      <alignment horizontal="left" vertical="center" wrapText="1"/>
    </xf>
    <xf numFmtId="0" fontId="659" fillId="0" borderId="21" applyAlignment="1" pivotButton="0" quotePrefix="0" xfId="0">
      <alignment horizontal="left" vertical="center" wrapText="1"/>
    </xf>
    <xf numFmtId="0" fontId="633" fillId="0" borderId="21" applyAlignment="1" pivotButton="0" quotePrefix="0" xfId="0">
      <alignment horizontal="left" vertical="center" wrapText="1"/>
    </xf>
    <xf numFmtId="0" fontId="635" fillId="0" borderId="21" applyAlignment="1" pivotButton="0" quotePrefix="0" xfId="0">
      <alignment horizontal="left" vertical="center" wrapText="1"/>
    </xf>
    <xf numFmtId="0" fontId="637" fillId="0" borderId="21" applyAlignment="1" pivotButton="0" quotePrefix="0" xfId="0">
      <alignment horizontal="left" vertical="center" wrapText="1"/>
    </xf>
    <xf numFmtId="0" fontId="639" fillId="0" borderId="21" applyAlignment="1" pivotButton="0" quotePrefix="0" xfId="0">
      <alignment horizontal="left" vertical="center" wrapText="1"/>
    </xf>
    <xf numFmtId="0" fontId="641" fillId="0" borderId="21" applyAlignment="1" pivotButton="0" quotePrefix="0" xfId="0">
      <alignment horizontal="left" vertical="center" wrapText="1"/>
    </xf>
    <xf numFmtId="0" fontId="643" fillId="0" borderId="21" applyAlignment="1" pivotButton="0" quotePrefix="0" xfId="0">
      <alignment horizontal="left" vertical="center" wrapText="1"/>
    </xf>
    <xf numFmtId="0" fontId="645" fillId="0" borderId="21" applyAlignment="1" pivotButton="0" quotePrefix="0" xfId="0">
      <alignment horizontal="left" vertical="center" wrapText="1"/>
    </xf>
    <xf numFmtId="0" fontId="647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27" fillId="0" borderId="21" applyAlignment="1" pivotButton="0" quotePrefix="0" xfId="0">
      <alignment horizontal="left" vertical="center" wrapText="1"/>
    </xf>
    <xf numFmtId="0" fontId="629" fillId="0" borderId="21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633" fillId="0" borderId="16" applyAlignment="1" pivotButton="0" quotePrefix="0" xfId="0">
      <alignment horizontal="left" vertical="center" wrapText="1"/>
    </xf>
    <xf numFmtId="0" fontId="635" fillId="0" borderId="16" applyAlignment="1" pivotButton="0" quotePrefix="0" xfId="0">
      <alignment horizontal="left" vertical="center" wrapText="1"/>
    </xf>
    <xf numFmtId="0" fontId="637" fillId="0" borderId="16" applyAlignment="1" pivotButton="0" quotePrefix="0" xfId="0">
      <alignment horizontal="left" vertical="center" wrapText="1"/>
    </xf>
    <xf numFmtId="0" fontId="639" fillId="0" borderId="16" applyAlignment="1" pivotButton="0" quotePrefix="0" xfId="0">
      <alignment horizontal="left" vertical="center" wrapText="1"/>
    </xf>
    <xf numFmtId="0" fontId="641" fillId="0" borderId="16" applyAlignment="1" pivotButton="0" quotePrefix="0" xfId="0">
      <alignment horizontal="left" vertical="center" wrapText="1"/>
    </xf>
    <xf numFmtId="0" fontId="643" fillId="0" borderId="16" applyAlignment="1" pivotButton="0" quotePrefix="0" xfId="0">
      <alignment horizontal="left" vertical="center" wrapText="1"/>
    </xf>
    <xf numFmtId="0" fontId="645" fillId="0" borderId="16" applyAlignment="1" pivotButton="0" quotePrefix="0" xfId="0">
      <alignment horizontal="left" vertical="center" wrapText="1"/>
    </xf>
    <xf numFmtId="0" fontId="647" fillId="0" borderId="16" applyAlignment="1" pivotButton="0" quotePrefix="0" xfId="0">
      <alignment horizontal="left" vertical="center" wrapText="1"/>
    </xf>
    <xf numFmtId="0" fontId="649" fillId="0" borderId="16" applyAlignment="1" pivotButton="0" quotePrefix="0" xfId="0">
      <alignment horizontal="left" vertical="center" wrapText="1"/>
    </xf>
    <xf numFmtId="0" fontId="651" fillId="0" borderId="16" applyAlignment="1" pivotButton="0" quotePrefix="0" xfId="0">
      <alignment horizontal="left" vertical="center" wrapText="1"/>
    </xf>
    <xf numFmtId="0" fontId="653" fillId="0" borderId="16" applyAlignment="1" pivotButton="0" quotePrefix="0" xfId="0">
      <alignment horizontal="left" vertical="center" wrapText="1"/>
    </xf>
    <xf numFmtId="0" fontId="655" fillId="0" borderId="16" applyAlignment="1" pivotButton="0" quotePrefix="0" xfId="0">
      <alignment horizontal="left" vertical="center" wrapText="1"/>
    </xf>
    <xf numFmtId="0" fontId="657" fillId="0" borderId="16" applyAlignment="1" pivotButton="0" quotePrefix="0" xfId="0">
      <alignment horizontal="left" vertical="center" wrapText="1"/>
    </xf>
    <xf numFmtId="0" fontId="659" fillId="0" borderId="16" applyAlignment="1" pivotButton="0" quotePrefix="0" xfId="0">
      <alignment horizontal="left" vertical="center" wrapText="1"/>
    </xf>
    <xf numFmtId="0" fontId="661" fillId="0" borderId="16" applyAlignment="1" pivotButton="0" quotePrefix="0" xfId="0">
      <alignment horizontal="left" vertical="center" wrapText="1"/>
    </xf>
    <xf numFmtId="0" fontId="663" fillId="0" borderId="16" applyAlignment="1" pivotButton="0" quotePrefix="0" xfId="0">
      <alignment horizontal="left" vertical="center" wrapText="1"/>
    </xf>
    <xf numFmtId="0" fontId="665" fillId="0" borderId="16" applyAlignment="1" pivotButton="0" quotePrefix="0" xfId="0">
      <alignment horizontal="left" vertical="center" wrapText="1"/>
    </xf>
    <xf numFmtId="0" fontId="667" fillId="0" borderId="16" applyAlignment="1" pivotButton="0" quotePrefix="0" xfId="0">
      <alignment horizontal="left" vertical="center" wrapText="1"/>
    </xf>
    <xf numFmtId="0" fontId="669" fillId="0" borderId="16" applyAlignment="1" pivotButton="0" quotePrefix="0" xfId="0">
      <alignment horizontal="left" vertical="center" wrapText="1"/>
    </xf>
    <xf numFmtId="0" fontId="671" fillId="0" borderId="16" applyAlignment="1" pivotButton="0" quotePrefix="0" xfId="0">
      <alignment horizontal="left" vertical="center" wrapText="1"/>
    </xf>
    <xf numFmtId="0" fontId="673" fillId="0" borderId="16" applyAlignment="1" pivotButton="0" quotePrefix="0" xfId="0">
      <alignment horizontal="left" vertical="center" wrapText="1"/>
    </xf>
    <xf numFmtId="0" fontId="675" fillId="0" borderId="16" applyAlignment="1" pivotButton="0" quotePrefix="0" xfId="0">
      <alignment horizontal="left" vertical="center" wrapText="1"/>
    </xf>
    <xf numFmtId="0" fontId="677" fillId="0" borderId="16" applyAlignment="1" pivotButton="0" quotePrefix="0" xfId="0">
      <alignment horizontal="left" vertical="center" wrapText="1"/>
    </xf>
    <xf numFmtId="0" fontId="679" fillId="0" borderId="16" applyAlignment="1" pivotButton="0" quotePrefix="0" xfId="0">
      <alignment horizontal="left" vertical="center" wrapText="1"/>
    </xf>
    <xf numFmtId="0" fontId="68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O561"/>
  <sheetViews>
    <sheetView showGridLines="0" tabSelected="1" topLeftCell="F2" zoomScaleNormal="100" zoomScaleSheetLayoutView="100" workbookViewId="0">
      <selection activeCell="P9" sqref="P9:Q9"/>
    </sheetView>
  </sheetViews>
  <sheetFormatPr baseColWidth="8" defaultColWidth="9.140625" defaultRowHeight="12.75"/>
  <cols>
    <col width="9.140625" customWidth="1" style="39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hidden="1" width="15.85546875" customWidth="1" style="5" min="13" max="13"/>
    <col width="10.42578125" customWidth="1" style="4" min="14" max="14"/>
    <col width="7.42578125" customWidth="1" style="2" min="15" max="15"/>
    <col width="15.5703125" customWidth="1" style="2" min="16" max="16"/>
    <col width="8.140625" customWidth="1" style="398" min="17" max="17"/>
    <col width="6.140625" customWidth="1" style="398" min="18" max="18"/>
    <col width="10.85546875" customWidth="1" style="3" min="19" max="19"/>
    <col width="10.42578125" customWidth="1" style="3" min="20" max="20"/>
    <col width="9.42578125" customWidth="1" style="3" min="21" max="21"/>
    <col width="8.42578125" customWidth="1" style="3" min="22" max="22"/>
    <col width="10" customWidth="1" style="398" min="23" max="23"/>
    <col width="11" customWidth="1" style="398" min="24" max="24"/>
    <col width="10" customWidth="1" style="398" min="25" max="25"/>
    <col width="11.5703125" customWidth="1" style="398" min="26" max="26"/>
    <col width="10.42578125" customWidth="1" style="398" min="27" max="27"/>
    <col width="11.42578125" bestFit="1" customWidth="1" style="61" min="28" max="28"/>
    <col width="9.140625" customWidth="1" style="61" min="29" max="29"/>
    <col width="8.85546875" customWidth="1" style="61" min="30" max="30"/>
    <col width="13.5703125" customWidth="1" style="398" min="31" max="31"/>
    <col width="9.140625" customWidth="1" style="398" min="32" max="16384"/>
  </cols>
  <sheetData>
    <row r="1" ht="45" customFormat="1" customHeight="1" s="745">
      <c r="A1" s="48" t="n"/>
      <c r="B1" s="48" t="n"/>
      <c r="C1" s="48" t="n"/>
      <c r="D1" s="753" t="inlineStr">
        <is>
          <t xml:space="preserve">  БЛАНК ЗАКАЗА </t>
        </is>
      </c>
      <c r="G1" s="14" t="inlineStr">
        <is>
          <t>КИ</t>
        </is>
      </c>
      <c r="H1" s="753" t="inlineStr">
        <is>
          <t>на отгрузку продукции с ООО Трейд-Сервис с</t>
        </is>
      </c>
      <c r="Q1" s="754" t="inlineStr">
        <is>
          <t>15.07.2024</t>
        </is>
      </c>
      <c r="T1" s="15" t="n"/>
      <c r="U1" s="15" t="n"/>
      <c r="V1" s="15" t="n"/>
      <c r="W1" s="15" t="n"/>
      <c r="X1" s="15" t="n"/>
      <c r="Y1" s="15" t="n"/>
      <c r="Z1" s="15" t="n"/>
      <c r="AA1" s="62" t="n"/>
      <c r="AB1" s="62" t="n"/>
      <c r="AC1" s="62" t="n"/>
      <c r="AD1" s="62" t="n"/>
    </row>
    <row r="2" ht="16.5" customFormat="1" customHeight="1" s="745">
      <c r="A2" s="34" t="inlineStr">
        <is>
          <t>бланк создан</t>
        </is>
      </c>
      <c r="B2" s="35" t="inlineStr">
        <is>
          <t>10.07.2024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75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8" t="n"/>
      <c r="Q2" s="398" t="n"/>
      <c r="R2" s="398" t="n"/>
      <c r="S2" s="398" t="n"/>
      <c r="T2" s="398" t="n"/>
      <c r="U2" s="398" t="n"/>
      <c r="V2" s="398" t="n"/>
      <c r="W2" s="19" t="n"/>
      <c r="X2" s="19" t="n"/>
      <c r="Y2" s="19" t="n"/>
      <c r="Z2" s="19" t="n"/>
      <c r="AA2" s="60" t="n"/>
      <c r="AB2" s="60" t="n"/>
      <c r="AC2" s="60" t="n"/>
    </row>
    <row r="3" ht="11.25" customFormat="1" customHeight="1" s="74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8" t="n"/>
      <c r="O3" s="398" t="n"/>
      <c r="P3" s="398" t="n"/>
      <c r="Q3" s="398" t="n"/>
      <c r="R3" s="398" t="n"/>
      <c r="S3" s="398" t="n"/>
      <c r="T3" s="398" t="n"/>
      <c r="U3" s="398" t="n"/>
      <c r="V3" s="398" t="n"/>
      <c r="W3" s="19" t="n"/>
      <c r="X3" s="19" t="n"/>
      <c r="Y3" s="19" t="n"/>
      <c r="Z3" s="19" t="n"/>
      <c r="AA3" s="60" t="n"/>
      <c r="AB3" s="60" t="n"/>
      <c r="AC3" s="60" t="n"/>
    </row>
    <row r="4" ht="9" customFormat="1" customHeight="1" s="74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3" t="n"/>
      <c r="Q4" s="23" t="n"/>
      <c r="R4" s="23" t="n"/>
      <c r="S4" s="23" t="n"/>
      <c r="T4" s="23" t="n"/>
      <c r="U4" s="24" t="n"/>
      <c r="V4" s="25" t="n"/>
      <c r="W4" s="25" t="n"/>
      <c r="X4" s="25" t="n"/>
      <c r="Y4" s="25" t="n"/>
      <c r="Z4" s="25" t="n"/>
      <c r="AA4" s="60" t="n"/>
      <c r="AB4" s="60" t="n"/>
      <c r="AC4" s="60" t="n"/>
    </row>
    <row r="5" ht="23.45" customFormat="1" customHeight="1" s="745">
      <c r="A5" s="757" t="inlineStr">
        <is>
          <t xml:space="preserve">Ваш контактный телефон и имя: </t>
        </is>
      </c>
      <c r="B5" s="782" t="n"/>
      <c r="C5" s="783" t="n"/>
      <c r="D5" s="758" t="n"/>
      <c r="E5" s="784" t="n"/>
      <c r="F5" s="759" t="inlineStr">
        <is>
          <t>Комментарий к заказу:</t>
        </is>
      </c>
      <c r="G5" s="783" t="n"/>
      <c r="H5" s="758" t="n"/>
      <c r="I5" s="785" t="n"/>
      <c r="J5" s="785" t="n"/>
      <c r="K5" s="785" t="n"/>
      <c r="L5" s="784" t="n"/>
      <c r="M5" s="73" t="n"/>
      <c r="O5" s="29" t="inlineStr">
        <is>
          <t>Дата загрузки</t>
        </is>
      </c>
      <c r="P5" s="786" t="n">
        <v>45486</v>
      </c>
      <c r="Q5" s="787" t="n"/>
      <c r="S5" s="762" t="inlineStr">
        <is>
          <t>Способ доставки (доставка/самовывоз)</t>
        </is>
      </c>
      <c r="T5" s="788" t="n"/>
      <c r="U5" s="789" t="inlineStr">
        <is>
          <t>Самовывоз</t>
        </is>
      </c>
      <c r="V5" s="787" t="n"/>
      <c r="AA5" s="60" t="n"/>
      <c r="AB5" s="60" t="n"/>
      <c r="AC5" s="60" t="n"/>
    </row>
    <row r="6" ht="24" customFormat="1" customHeight="1" s="745">
      <c r="A6" s="757" t="inlineStr">
        <is>
          <t>Адрес доставки:</t>
        </is>
      </c>
      <c r="B6" s="782" t="n"/>
      <c r="C6" s="783" t="n"/>
      <c r="D6" s="765" t="inlineStr">
        <is>
          <t>КСК ТРЕЙД, ООО, Крым Респ, Симферополь г, Генерала Васильева ул, д. 44В, литера Ж, пом 5,</t>
        </is>
      </c>
      <c r="E6" s="790" t="n"/>
      <c r="F6" s="790" t="n"/>
      <c r="G6" s="790" t="n"/>
      <c r="H6" s="790" t="n"/>
      <c r="I6" s="790" t="n"/>
      <c r="J6" s="790" t="n"/>
      <c r="K6" s="790" t="n"/>
      <c r="L6" s="787" t="n"/>
      <c r="M6" s="74" t="n"/>
      <c r="O6" s="29" t="inlineStr">
        <is>
          <t>День недели</t>
        </is>
      </c>
      <c r="P6" s="766">
        <f>IF(P5=0," ",CHOOSE(WEEKDAY(P5,2),"Понедельник","Вторник","Среда","Четверг","Пятница","Суббота","Воскресенье"))</f>
        <v/>
      </c>
      <c r="Q6" s="791" t="n"/>
      <c r="S6" s="768" t="inlineStr">
        <is>
          <t>Наименование клиента</t>
        </is>
      </c>
      <c r="T6" s="788" t="n"/>
      <c r="U6" s="792" t="inlineStr">
        <is>
          <t>ОБЩЕСТВО С ОГРАНИЧЕННОЙ ОТВЕТСТВЕННОСТЬЮ "КСК ТРЕЙД"</t>
        </is>
      </c>
      <c r="V6" s="793" t="n"/>
      <c r="AA6" s="60" t="n"/>
      <c r="AB6" s="60" t="n"/>
      <c r="AC6" s="60" t="n"/>
    </row>
    <row r="7" hidden="1" ht="21.75" customFormat="1" customHeight="1" s="745">
      <c r="A7" s="65" t="n"/>
      <c r="B7" s="65" t="n"/>
      <c r="C7" s="65" t="n"/>
      <c r="D7" s="794">
        <f>IFERROR(VLOOKUP(DeliveryAddress,Table,3,0),1)</f>
        <v/>
      </c>
      <c r="E7" s="795" t="n"/>
      <c r="F7" s="795" t="n"/>
      <c r="G7" s="795" t="n"/>
      <c r="H7" s="795" t="n"/>
      <c r="I7" s="795" t="n"/>
      <c r="J7" s="795" t="n"/>
      <c r="K7" s="795" t="n"/>
      <c r="L7" s="796" t="n"/>
      <c r="M7" s="75" t="n"/>
      <c r="O7" s="29" t="n"/>
      <c r="P7" s="49" t="n"/>
      <c r="Q7" s="49" t="n"/>
      <c r="S7" s="398" t="n"/>
      <c r="T7" s="788" t="n"/>
      <c r="U7" s="797" t="n"/>
      <c r="V7" s="798" t="n"/>
      <c r="AA7" s="60" t="n"/>
      <c r="AB7" s="60" t="n"/>
      <c r="AC7" s="60" t="n"/>
    </row>
    <row r="8" ht="25.5" customFormat="1" customHeight="1" s="745">
      <c r="A8" s="778" t="inlineStr">
        <is>
          <t>Адрес сдачи груза:</t>
        </is>
      </c>
      <c r="B8" s="799" t="n"/>
      <c r="C8" s="800" t="n"/>
      <c r="D8" s="779" t="n"/>
      <c r="E8" s="801" t="n"/>
      <c r="F8" s="801" t="n"/>
      <c r="G8" s="801" t="n"/>
      <c r="H8" s="801" t="n"/>
      <c r="I8" s="801" t="n"/>
      <c r="J8" s="801" t="n"/>
      <c r="K8" s="801" t="n"/>
      <c r="L8" s="802" t="n"/>
      <c r="M8" s="76" t="n"/>
      <c r="O8" s="29" t="inlineStr">
        <is>
          <t>Время загрузки</t>
        </is>
      </c>
      <c r="P8" s="744" t="n">
        <v>0.375</v>
      </c>
      <c r="Q8" s="796" t="n"/>
      <c r="S8" s="398" t="n"/>
      <c r="T8" s="788" t="n"/>
      <c r="U8" s="797" t="n"/>
      <c r="V8" s="798" t="n"/>
      <c r="AA8" s="60" t="n"/>
      <c r="AB8" s="60" t="n"/>
      <c r="AC8" s="60" t="n"/>
    </row>
    <row r="9" ht="39.95" customFormat="1" customHeight="1" s="745">
      <c r="A9" s="73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8" t="n"/>
      <c r="C9" s="398" t="n"/>
      <c r="D9" s="735" t="inlineStr"/>
      <c r="E9" s="3" t="n"/>
      <c r="F9" s="73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8" t="n"/>
      <c r="H9" s="78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8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780" t="n"/>
      <c r="O9" s="31" t="inlineStr">
        <is>
          <t>Дата доставки</t>
        </is>
      </c>
      <c r="P9" s="803" t="n"/>
      <c r="Q9" s="804" t="n"/>
      <c r="S9" s="398" t="n"/>
      <c r="T9" s="788" t="n"/>
      <c r="U9" s="805" t="n"/>
      <c r="V9" s="806" t="n"/>
      <c r="W9" s="50" t="n"/>
      <c r="X9" s="50" t="n"/>
      <c r="Y9" s="50" t="n"/>
      <c r="Z9" s="50" t="n"/>
      <c r="AA9" s="60" t="n"/>
      <c r="AB9" s="60" t="n"/>
      <c r="AC9" s="60" t="n"/>
    </row>
    <row r="10" ht="26.45" customFormat="1" customHeight="1" s="745">
      <c r="A10" s="73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8" t="n"/>
      <c r="C10" s="398" t="n"/>
      <c r="D10" s="735" t="n"/>
      <c r="E10" s="3" t="n"/>
      <c r="F10" s="73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8" t="n"/>
      <c r="H10" s="737">
        <f>IFERROR(VLOOKUP($D$10,Proxy,2,FALSE),"")</f>
        <v/>
      </c>
      <c r="I10" s="398" t="n"/>
      <c r="J10" s="398" t="n"/>
      <c r="K10" s="398" t="n"/>
      <c r="L10" s="398" t="n"/>
      <c r="M10" s="737" t="n"/>
      <c r="O10" s="31" t="inlineStr">
        <is>
          <t>Время доставки</t>
        </is>
      </c>
      <c r="P10" s="738" t="n"/>
      <c r="Q10" s="807" t="n"/>
      <c r="T10" s="29" t="inlineStr">
        <is>
          <t>КОД Аксапты Клиента</t>
        </is>
      </c>
      <c r="U10" s="808" t="inlineStr">
        <is>
          <t>590943</t>
        </is>
      </c>
      <c r="V10" s="793" t="n"/>
      <c r="W10" s="51" t="n"/>
      <c r="X10" s="51" t="n"/>
      <c r="Y10" s="51" t="n"/>
      <c r="Z10" s="51" t="n"/>
      <c r="AA10" s="60" t="n"/>
      <c r="AB10" s="60" t="n"/>
      <c r="AC10" s="60" t="n"/>
    </row>
    <row r="11" ht="15.95" customFormat="1" customHeight="1" s="74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O11" s="31" t="inlineStr">
        <is>
          <t>Время доставки 2 машины</t>
        </is>
      </c>
      <c r="P11" s="741" t="n"/>
      <c r="Q11" s="787" t="n"/>
      <c r="T11" s="29" t="inlineStr">
        <is>
          <t>Тип заказа</t>
        </is>
      </c>
      <c r="U11" s="742" t="inlineStr">
        <is>
          <t>Основной заказ</t>
        </is>
      </c>
      <c r="V11" s="804" t="n"/>
      <c r="W11" s="52" t="n"/>
      <c r="X11" s="52" t="n"/>
      <c r="Y11" s="52" t="n"/>
      <c r="Z11" s="52" t="n"/>
      <c r="AA11" s="60" t="n"/>
      <c r="AB11" s="60" t="n"/>
      <c r="AC11" s="60" t="n"/>
    </row>
    <row r="12" ht="18.6" customFormat="1" customHeight="1" s="745">
      <c r="A12" s="743" t="inlineStr">
        <is>
          <t>Телефоны для заказов: 8(919)002-63-01  E-mail: kolbasa@abiproduct.ru  Телефон сотрудников склада: 8 (910) 775-52-91</t>
        </is>
      </c>
      <c r="B12" s="782" t="n"/>
      <c r="C12" s="782" t="n"/>
      <c r="D12" s="782" t="n"/>
      <c r="E12" s="782" t="n"/>
      <c r="F12" s="782" t="n"/>
      <c r="G12" s="782" t="n"/>
      <c r="H12" s="782" t="n"/>
      <c r="I12" s="782" t="n"/>
      <c r="J12" s="782" t="n"/>
      <c r="K12" s="782" t="n"/>
      <c r="L12" s="783" t="n"/>
      <c r="M12" s="77" t="n"/>
      <c r="O12" s="29" t="inlineStr">
        <is>
          <t>Время доставки 3 машины</t>
        </is>
      </c>
      <c r="P12" s="744" t="n"/>
      <c r="Q12" s="796" t="n"/>
      <c r="R12" s="28" t="n"/>
      <c r="T12" s="29" t="inlineStr"/>
      <c r="U12" s="745" t="n"/>
      <c r="V12" s="398" t="n"/>
      <c r="AA12" s="60" t="n"/>
      <c r="AB12" s="60" t="n"/>
      <c r="AC12" s="60" t="n"/>
    </row>
    <row r="13" ht="23.25" customFormat="1" customHeight="1" s="745">
      <c r="A13" s="743" t="inlineStr">
        <is>
          <t>График приема заказов: Заказы принимаются за ДВА дня до отгрузки Пн-Пт: с 9:00 до 14:00, Суб., Вс. - до 12:00</t>
        </is>
      </c>
      <c r="B13" s="782" t="n"/>
      <c r="C13" s="782" t="n"/>
      <c r="D13" s="782" t="n"/>
      <c r="E13" s="782" t="n"/>
      <c r="F13" s="782" t="n"/>
      <c r="G13" s="782" t="n"/>
      <c r="H13" s="782" t="n"/>
      <c r="I13" s="782" t="n"/>
      <c r="J13" s="782" t="n"/>
      <c r="K13" s="782" t="n"/>
      <c r="L13" s="783" t="n"/>
      <c r="M13" s="77" t="n"/>
      <c r="N13" s="31" t="n"/>
      <c r="O13" s="31" t="inlineStr">
        <is>
          <t>Время доставки 4 машины</t>
        </is>
      </c>
      <c r="P13" s="742" t="n"/>
      <c r="Q13" s="804" t="n"/>
      <c r="R13" s="28" t="n"/>
      <c r="W13" s="57" t="n"/>
      <c r="X13" s="57" t="n"/>
      <c r="Y13" s="57" t="n"/>
      <c r="Z13" s="57" t="n"/>
      <c r="AA13" s="60" t="n"/>
      <c r="AB13" s="60" t="n"/>
      <c r="AC13" s="60" t="n"/>
    </row>
    <row r="14" ht="18.6" customFormat="1" customHeight="1" s="745">
      <c r="A14" s="743" t="inlineStr">
        <is>
          <t>Телефон менеджера по логистике: 8 (919) 012-30-55 - по вопросам доставки продукции</t>
        </is>
      </c>
      <c r="B14" s="782" t="n"/>
      <c r="C14" s="782" t="n"/>
      <c r="D14" s="782" t="n"/>
      <c r="E14" s="782" t="n"/>
      <c r="F14" s="782" t="n"/>
      <c r="G14" s="782" t="n"/>
      <c r="H14" s="782" t="n"/>
      <c r="I14" s="782" t="n"/>
      <c r="J14" s="782" t="n"/>
      <c r="K14" s="782" t="n"/>
      <c r="L14" s="783" t="n"/>
      <c r="M14" s="77" t="n"/>
      <c r="W14" s="58" t="n"/>
      <c r="X14" s="58" t="n"/>
      <c r="Y14" s="58" t="n"/>
      <c r="Z14" s="58" t="n"/>
      <c r="AA14" s="60" t="n"/>
      <c r="AB14" s="60" t="n"/>
      <c r="AC14" s="60" t="n"/>
    </row>
    <row r="15" ht="22.5" customFormat="1" customHeight="1" s="745">
      <c r="A15" s="746" t="inlineStr">
        <is>
          <t>Телефон по работе с претензиями/жалобами (WhatSapp): 8 (980) 757-69-93       E-mail: Claims@abiproduct.ru</t>
        </is>
      </c>
      <c r="B15" s="782" t="n"/>
      <c r="C15" s="782" t="n"/>
      <c r="D15" s="782" t="n"/>
      <c r="E15" s="782" t="n"/>
      <c r="F15" s="782" t="n"/>
      <c r="G15" s="782" t="n"/>
      <c r="H15" s="782" t="n"/>
      <c r="I15" s="782" t="n"/>
      <c r="J15" s="782" t="n"/>
      <c r="K15" s="782" t="n"/>
      <c r="L15" s="783" t="n"/>
      <c r="M15" s="78" t="n"/>
      <c r="O15" s="748" t="inlineStr">
        <is>
          <t>Кликните на продукт, чтобы просмотреть изображение</t>
        </is>
      </c>
      <c r="W15" s="745" t="n"/>
      <c r="X15" s="745" t="n"/>
      <c r="Y15" s="745" t="n"/>
      <c r="Z15" s="745" t="n"/>
      <c r="AA15" s="60" t="n"/>
      <c r="AB15" s="60" t="n"/>
      <c r="AC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09" t="n"/>
      <c r="P16" s="809" t="n"/>
      <c r="Q16" s="809" t="n"/>
      <c r="R16" s="809" t="n"/>
      <c r="S16" s="809" t="n"/>
      <c r="T16" s="8" t="n"/>
      <c r="U16" s="8" t="n"/>
      <c r="V16" s="10" t="n"/>
      <c r="W16" s="11" t="n"/>
      <c r="X16" s="11" t="n"/>
      <c r="Y16" s="11" t="n"/>
      <c r="Z16" s="11" t="n"/>
      <c r="AA16" s="11" t="n"/>
    </row>
    <row r="17" ht="27.75" customHeight="1">
      <c r="A17" s="720" t="inlineStr">
        <is>
          <t>Код единицы продаж</t>
        </is>
      </c>
      <c r="B17" s="720" t="inlineStr">
        <is>
          <t>Код продукта</t>
        </is>
      </c>
      <c r="C17" s="750" t="inlineStr">
        <is>
          <t>Номер варианта</t>
        </is>
      </c>
      <c r="D17" s="720" t="inlineStr">
        <is>
          <t xml:space="preserve">Штрих-код </t>
        </is>
      </c>
      <c r="E17" s="810" t="n"/>
      <c r="F17" s="720" t="inlineStr">
        <is>
          <t>Вес нетто штуки, кг</t>
        </is>
      </c>
      <c r="G17" s="720" t="inlineStr">
        <is>
          <t>Кол-во штук в коробе, шт</t>
        </is>
      </c>
      <c r="H17" s="720" t="inlineStr">
        <is>
          <t>Вес нетто короба, кг</t>
        </is>
      </c>
      <c r="I17" s="720" t="inlineStr">
        <is>
          <t>Вес брутто короба, кг</t>
        </is>
      </c>
      <c r="J17" s="720" t="inlineStr">
        <is>
          <t>Кол-во кор. на паллте, шт</t>
        </is>
      </c>
      <c r="K17" s="720" t="inlineStr">
        <is>
          <t>Коробок в слое</t>
        </is>
      </c>
      <c r="L17" s="720" t="inlineStr">
        <is>
          <t>Завод</t>
        </is>
      </c>
      <c r="M17" s="720" t="inlineStr">
        <is>
          <t>Внешний код номенклатуры</t>
        </is>
      </c>
      <c r="N17" s="720" t="inlineStr">
        <is>
          <t>Срок годности, сут.</t>
        </is>
      </c>
      <c r="O17" s="720" t="inlineStr">
        <is>
          <t>Наименование</t>
        </is>
      </c>
      <c r="P17" s="811" t="n"/>
      <c r="Q17" s="811" t="n"/>
      <c r="R17" s="811" t="n"/>
      <c r="S17" s="810" t="n"/>
      <c r="T17" s="749" t="inlineStr">
        <is>
          <t>Доступно к отгрузке</t>
        </is>
      </c>
      <c r="U17" s="783" t="n"/>
      <c r="V17" s="720" t="inlineStr">
        <is>
          <t>Ед. изм.</t>
        </is>
      </c>
      <c r="W17" s="720" t="inlineStr">
        <is>
          <t>Заказ</t>
        </is>
      </c>
      <c r="X17" s="721" t="inlineStr">
        <is>
          <t>Заказ с округлением до короба</t>
        </is>
      </c>
      <c r="Y17" s="720" t="inlineStr">
        <is>
          <t>Объём заказа, м3</t>
        </is>
      </c>
      <c r="Z17" s="723" t="inlineStr">
        <is>
          <t>Примечание по продуктку</t>
        </is>
      </c>
      <c r="AA17" s="723" t="inlineStr">
        <is>
          <t>Признак "НОВИНКА"</t>
        </is>
      </c>
      <c r="AB17" s="723" t="inlineStr">
        <is>
          <t>Для формул</t>
        </is>
      </c>
      <c r="AC17" s="812" t="n"/>
      <c r="AD17" s="813" t="n"/>
      <c r="AE17" s="730" t="n"/>
      <c r="BB17" s="731" t="inlineStr">
        <is>
          <t>Вид продукции</t>
        </is>
      </c>
    </row>
    <row r="18" ht="14.25" customHeight="1">
      <c r="A18" s="814" t="n"/>
      <c r="B18" s="814" t="n"/>
      <c r="C18" s="814" t="n"/>
      <c r="D18" s="815" t="n"/>
      <c r="E18" s="816" t="n"/>
      <c r="F18" s="814" t="n"/>
      <c r="G18" s="814" t="n"/>
      <c r="H18" s="814" t="n"/>
      <c r="I18" s="814" t="n"/>
      <c r="J18" s="814" t="n"/>
      <c r="K18" s="814" t="n"/>
      <c r="L18" s="814" t="n"/>
      <c r="M18" s="814" t="n"/>
      <c r="N18" s="814" t="n"/>
      <c r="O18" s="815" t="n"/>
      <c r="P18" s="817" t="n"/>
      <c r="Q18" s="817" t="n"/>
      <c r="R18" s="817" t="n"/>
      <c r="S18" s="816" t="n"/>
      <c r="T18" s="749" t="inlineStr">
        <is>
          <t>начиная с</t>
        </is>
      </c>
      <c r="U18" s="749" t="inlineStr">
        <is>
          <t>до</t>
        </is>
      </c>
      <c r="V18" s="814" t="n"/>
      <c r="W18" s="814" t="n"/>
      <c r="X18" s="818" t="n"/>
      <c r="Y18" s="814" t="n"/>
      <c r="Z18" s="819" t="n"/>
      <c r="AA18" s="819" t="n"/>
      <c r="AB18" s="820" t="n"/>
      <c r="AC18" s="821" t="n"/>
      <c r="AD18" s="822" t="n"/>
      <c r="AE18" s="823" t="n"/>
      <c r="BB18" s="398" t="n"/>
    </row>
    <row r="19" ht="27.75" customHeight="1">
      <c r="A19" s="438" t="inlineStr">
        <is>
          <t>Ядрена копоть</t>
        </is>
      </c>
      <c r="B19" s="824" t="n"/>
      <c r="C19" s="824" t="n"/>
      <c r="D19" s="824" t="n"/>
      <c r="E19" s="824" t="n"/>
      <c r="F19" s="824" t="n"/>
      <c r="G19" s="824" t="n"/>
      <c r="H19" s="824" t="n"/>
      <c r="I19" s="824" t="n"/>
      <c r="J19" s="824" t="n"/>
      <c r="K19" s="824" t="n"/>
      <c r="L19" s="824" t="n"/>
      <c r="M19" s="824" t="n"/>
      <c r="N19" s="824" t="n"/>
      <c r="O19" s="824" t="n"/>
      <c r="P19" s="824" t="n"/>
      <c r="Q19" s="824" t="n"/>
      <c r="R19" s="824" t="n"/>
      <c r="S19" s="824" t="n"/>
      <c r="T19" s="824" t="n"/>
      <c r="U19" s="824" t="n"/>
      <c r="V19" s="824" t="n"/>
      <c r="W19" s="824" t="n"/>
      <c r="X19" s="824" t="n"/>
      <c r="Y19" s="824" t="n"/>
      <c r="Z19" s="55" t="n"/>
      <c r="AA19" s="55" t="n"/>
    </row>
    <row r="20" ht="16.5" customHeight="1">
      <c r="A20" s="439" t="inlineStr">
        <is>
          <t>Ядрена копоть</t>
        </is>
      </c>
      <c r="B20" s="398" t="n"/>
      <c r="C20" s="398" t="n"/>
      <c r="D20" s="398" t="n"/>
      <c r="E20" s="398" t="n"/>
      <c r="F20" s="398" t="n"/>
      <c r="G20" s="398" t="n"/>
      <c r="H20" s="398" t="n"/>
      <c r="I20" s="398" t="n"/>
      <c r="J20" s="398" t="n"/>
      <c r="K20" s="398" t="n"/>
      <c r="L20" s="398" t="n"/>
      <c r="M20" s="398" t="n"/>
      <c r="N20" s="398" t="n"/>
      <c r="O20" s="398" t="n"/>
      <c r="P20" s="398" t="n"/>
      <c r="Q20" s="398" t="n"/>
      <c r="R20" s="398" t="n"/>
      <c r="S20" s="398" t="n"/>
      <c r="T20" s="398" t="n"/>
      <c r="U20" s="398" t="n"/>
      <c r="V20" s="398" t="n"/>
      <c r="W20" s="398" t="n"/>
      <c r="X20" s="398" t="n"/>
      <c r="Y20" s="398" t="n"/>
      <c r="Z20" s="439" t="n"/>
      <c r="AA20" s="439" t="n"/>
    </row>
    <row r="21" ht="14.25" customHeight="1">
      <c r="A21" s="409" t="inlineStr">
        <is>
          <t>Копченые колбасы</t>
        </is>
      </c>
      <c r="B21" s="398" t="n"/>
      <c r="C21" s="398" t="n"/>
      <c r="D21" s="398" t="n"/>
      <c r="E21" s="398" t="n"/>
      <c r="F21" s="398" t="n"/>
      <c r="G21" s="398" t="n"/>
      <c r="H21" s="398" t="n"/>
      <c r="I21" s="398" t="n"/>
      <c r="J21" s="398" t="n"/>
      <c r="K21" s="398" t="n"/>
      <c r="L21" s="398" t="n"/>
      <c r="M21" s="398" t="n"/>
      <c r="N21" s="398" t="n"/>
      <c r="O21" s="398" t="n"/>
      <c r="P21" s="398" t="n"/>
      <c r="Q21" s="398" t="n"/>
      <c r="R21" s="398" t="n"/>
      <c r="S21" s="398" t="n"/>
      <c r="T21" s="398" t="n"/>
      <c r="U21" s="398" t="n"/>
      <c r="V21" s="398" t="n"/>
      <c r="W21" s="398" t="n"/>
      <c r="X21" s="398" t="n"/>
      <c r="Y21" s="398" t="n"/>
      <c r="Z21" s="409" t="n"/>
      <c r="AA21" s="40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401" t="n">
        <v>4607091389258</v>
      </c>
      <c r="E22" s="791" t="n"/>
      <c r="F22" s="825" t="n">
        <v>0.3</v>
      </c>
      <c r="G22" s="38" t="n">
        <v>6</v>
      </c>
      <c r="H22" s="825" t="n">
        <v>1.8</v>
      </c>
      <c r="I22" s="82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9" t="n"/>
      <c r="N22" s="38" t="n">
        <v>35</v>
      </c>
      <c r="O22" s="82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P22" s="827" t="n"/>
      <c r="Q22" s="827" t="n"/>
      <c r="R22" s="827" t="n"/>
      <c r="S22" s="791" t="n"/>
      <c r="T22" s="40" t="inlineStr"/>
      <c r="U22" s="40" t="inlineStr"/>
      <c r="V22" s="41" t="inlineStr">
        <is>
          <t>кг</t>
        </is>
      </c>
      <c r="W22" s="828" t="n">
        <v>0</v>
      </c>
      <c r="X22" s="829">
        <f>IFERROR(IF(W22="",0,CEILING((W22/$H22),1)*$H22),"")</f>
        <v/>
      </c>
      <c r="Y22" s="42">
        <f>IFERROR(IF(X22=0,"",ROUNDUP(X22/H22,0)*0.00753),"")</f>
        <v/>
      </c>
      <c r="Z22" s="69" t="inlineStr"/>
      <c r="AA22" s="70" t="inlineStr"/>
      <c r="AE22" s="80" t="n"/>
      <c r="BB22" s="81" t="inlineStr">
        <is>
          <t>КИ</t>
        </is>
      </c>
      <c r="BL22" s="80">
        <f>IFERROR(W22*I22/H22,"0")</f>
        <v/>
      </c>
      <c r="BM22" s="80">
        <f>IFERROR(X22*I22/H22,"0")</f>
        <v/>
      </c>
      <c r="BN22" s="80">
        <f>IFERROR(1/J22*(W22/H22),"0")</f>
        <v/>
      </c>
      <c r="BO22" s="80">
        <f>IFERROR(1/J22*(X22/H22),"0")</f>
        <v/>
      </c>
    </row>
    <row r="23" ht="27" customHeight="1">
      <c r="A23" s="64" t="inlineStr">
        <is>
          <t>SU003150</t>
        </is>
      </c>
      <c r="B23" s="64" t="inlineStr">
        <is>
          <t>P003736</t>
        </is>
      </c>
      <c r="C23" s="37" t="n">
        <v>4301051550</v>
      </c>
      <c r="D23" s="401" t="n">
        <v>4680115885004</v>
      </c>
      <c r="E23" s="791" t="n"/>
      <c r="F23" s="825" t="n">
        <v>0.16</v>
      </c>
      <c r="G23" s="38" t="n">
        <v>10</v>
      </c>
      <c r="H23" s="825" t="n">
        <v>1.6</v>
      </c>
      <c r="I23" s="825" t="n">
        <v>1.7</v>
      </c>
      <c r="J23" s="38" t="n">
        <v>234</v>
      </c>
      <c r="K23" s="38" t="inlineStr">
        <is>
          <t>18</t>
        </is>
      </c>
      <c r="L23" s="39" t="inlineStr">
        <is>
          <t>СК2</t>
        </is>
      </c>
      <c r="M23" s="39" t="n"/>
      <c r="N23" s="38" t="n">
        <v>40</v>
      </c>
      <c r="O23" s="830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P23" s="827" t="n"/>
      <c r="Q23" s="827" t="n"/>
      <c r="R23" s="827" t="n"/>
      <c r="S23" s="791" t="n"/>
      <c r="T23" s="40" t="inlineStr"/>
      <c r="U23" s="40" t="inlineStr"/>
      <c r="V23" s="41" t="inlineStr">
        <is>
          <t>кг</t>
        </is>
      </c>
      <c r="W23" s="828" t="n">
        <v>0</v>
      </c>
      <c r="X23" s="829">
        <f>IFERROR(IF(W23="",0,CEILING((W23/$H23),1)*$H23),"")</f>
        <v/>
      </c>
      <c r="Y23" s="42">
        <f>IFERROR(IF(X23=0,"",ROUNDUP(X23/H23,0)*0.00502),"")</f>
        <v/>
      </c>
      <c r="Z23" s="69" t="inlineStr"/>
      <c r="AA23" s="70" t="inlineStr"/>
      <c r="AE23" s="80" t="n"/>
      <c r="BB23" s="82" t="inlineStr">
        <is>
          <t>КИ</t>
        </is>
      </c>
      <c r="BL23" s="80">
        <f>IFERROR(W23*I23/H23,"0")</f>
        <v/>
      </c>
      <c r="BM23" s="80">
        <f>IFERROR(X23*I23/H23,"0")</f>
        <v/>
      </c>
      <c r="BN23" s="80">
        <f>IFERROR(1/J23*(W23/H23),"0")</f>
        <v/>
      </c>
      <c r="BO23" s="80">
        <f>IFERROR(1/J23*(X23/H23),"0")</f>
        <v/>
      </c>
    </row>
    <row r="24">
      <c r="A24" s="408" t="n"/>
      <c r="B24" s="398" t="n"/>
      <c r="C24" s="398" t="n"/>
      <c r="D24" s="398" t="n"/>
      <c r="E24" s="398" t="n"/>
      <c r="F24" s="398" t="n"/>
      <c r="G24" s="398" t="n"/>
      <c r="H24" s="398" t="n"/>
      <c r="I24" s="398" t="n"/>
      <c r="J24" s="398" t="n"/>
      <c r="K24" s="398" t="n"/>
      <c r="L24" s="398" t="n"/>
      <c r="M24" s="398" t="n"/>
      <c r="N24" s="831" t="n"/>
      <c r="O24" s="832" t="inlineStr">
        <is>
          <t>Итого</t>
        </is>
      </c>
      <c r="P24" s="799" t="n"/>
      <c r="Q24" s="799" t="n"/>
      <c r="R24" s="799" t="n"/>
      <c r="S24" s="799" t="n"/>
      <c r="T24" s="799" t="n"/>
      <c r="U24" s="800" t="n"/>
      <c r="V24" s="43" t="inlineStr">
        <is>
          <t>кор</t>
        </is>
      </c>
      <c r="W24" s="833">
        <f>IFERROR(W22/H22,"0")+IFERROR(W23/H23,"0")</f>
        <v/>
      </c>
      <c r="X24" s="833">
        <f>IFERROR(X22/H22,"0")+IFERROR(X23/H23,"0")</f>
        <v/>
      </c>
      <c r="Y24" s="833">
        <f>IFERROR(IF(Y22="",0,Y22),"0")+IFERROR(IF(Y23="",0,Y23),"0")</f>
        <v/>
      </c>
      <c r="Z24" s="834" t="n"/>
      <c r="AA24" s="834" t="n"/>
    </row>
    <row r="25">
      <c r="A25" s="398" t="n"/>
      <c r="B25" s="398" t="n"/>
      <c r="C25" s="398" t="n"/>
      <c r="D25" s="398" t="n"/>
      <c r="E25" s="398" t="n"/>
      <c r="F25" s="398" t="n"/>
      <c r="G25" s="398" t="n"/>
      <c r="H25" s="398" t="n"/>
      <c r="I25" s="398" t="n"/>
      <c r="J25" s="398" t="n"/>
      <c r="K25" s="398" t="n"/>
      <c r="L25" s="398" t="n"/>
      <c r="M25" s="398" t="n"/>
      <c r="N25" s="831" t="n"/>
      <c r="O25" s="832" t="inlineStr">
        <is>
          <t>Итого</t>
        </is>
      </c>
      <c r="P25" s="799" t="n"/>
      <c r="Q25" s="799" t="n"/>
      <c r="R25" s="799" t="n"/>
      <c r="S25" s="799" t="n"/>
      <c r="T25" s="799" t="n"/>
      <c r="U25" s="800" t="n"/>
      <c r="V25" s="43" t="inlineStr">
        <is>
          <t>кг</t>
        </is>
      </c>
      <c r="W25" s="833">
        <f>IFERROR(SUM(W22:W23),"0")</f>
        <v/>
      </c>
      <c r="X25" s="833">
        <f>IFERROR(SUM(X22:X23),"0")</f>
        <v/>
      </c>
      <c r="Y25" s="43" t="n"/>
      <c r="Z25" s="834" t="n"/>
      <c r="AA25" s="834" t="n"/>
    </row>
    <row r="26" ht="14.25" customHeight="1">
      <c r="A26" s="409" t="inlineStr">
        <is>
          <t>Сосиски</t>
        </is>
      </c>
      <c r="B26" s="398" t="n"/>
      <c r="C26" s="398" t="n"/>
      <c r="D26" s="398" t="n"/>
      <c r="E26" s="398" t="n"/>
      <c r="F26" s="398" t="n"/>
      <c r="G26" s="398" t="n"/>
      <c r="H26" s="398" t="n"/>
      <c r="I26" s="398" t="n"/>
      <c r="J26" s="398" t="n"/>
      <c r="K26" s="398" t="n"/>
      <c r="L26" s="398" t="n"/>
      <c r="M26" s="398" t="n"/>
      <c r="N26" s="398" t="n"/>
      <c r="O26" s="398" t="n"/>
      <c r="P26" s="398" t="n"/>
      <c r="Q26" s="398" t="n"/>
      <c r="R26" s="398" t="n"/>
      <c r="S26" s="398" t="n"/>
      <c r="T26" s="398" t="n"/>
      <c r="U26" s="398" t="n"/>
      <c r="V26" s="398" t="n"/>
      <c r="W26" s="398" t="n"/>
      <c r="X26" s="398" t="n"/>
      <c r="Y26" s="398" t="n"/>
      <c r="Z26" s="409" t="n"/>
      <c r="AA26" s="409" t="n"/>
    </row>
    <row r="27" ht="27" customHeight="1">
      <c r="A27" s="64" t="inlineStr">
        <is>
          <t>SU002155</t>
        </is>
      </c>
      <c r="B27" s="64" t="inlineStr">
        <is>
          <t>P003751</t>
        </is>
      </c>
      <c r="C27" s="37" t="n">
        <v>4301051551</v>
      </c>
      <c r="D27" s="401" t="n">
        <v>4607091383881</v>
      </c>
      <c r="E27" s="791" t="n"/>
      <c r="F27" s="825" t="n">
        <v>0.33</v>
      </c>
      <c r="G27" s="38" t="n">
        <v>6</v>
      </c>
      <c r="H27" s="825" t="n">
        <v>1.98</v>
      </c>
      <c r="I27" s="825" t="n">
        <v>2.246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9" t="n"/>
      <c r="N27" s="38" t="n">
        <v>40</v>
      </c>
      <c r="O27" s="835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P27" s="827" t="n"/>
      <c r="Q27" s="827" t="n"/>
      <c r="R27" s="827" t="n"/>
      <c r="S27" s="791" t="n"/>
      <c r="T27" s="40" t="inlineStr"/>
      <c r="U27" s="40" t="inlineStr"/>
      <c r="V27" s="41" t="inlineStr">
        <is>
          <t>кг</t>
        </is>
      </c>
      <c r="W27" s="828" t="n">
        <v>0</v>
      </c>
      <c r="X27" s="829">
        <f>IFERROR(IF(W27="",0,CEILING((W27/$H27),1)*$H27),"")</f>
        <v/>
      </c>
      <c r="Y27" s="42">
        <f>IFERROR(IF(X27=0,"",ROUNDUP(X27/H27,0)*0.00753),"")</f>
        <v/>
      </c>
      <c r="Z27" s="69" t="inlineStr"/>
      <c r="AA27" s="70" t="inlineStr"/>
      <c r="AE27" s="80" t="n"/>
      <c r="BB27" s="83" t="inlineStr">
        <is>
          <t>КИ</t>
        </is>
      </c>
      <c r="BL27" s="80">
        <f>IFERROR(W27*I27/H27,"0")</f>
        <v/>
      </c>
      <c r="BM27" s="80">
        <f>IFERROR(X27*I27/H27,"0")</f>
        <v/>
      </c>
      <c r="BN27" s="80">
        <f>IFERROR(1/J27*(W27/H27),"0")</f>
        <v/>
      </c>
      <c r="BO27" s="80">
        <f>IFERROR(1/J27*(X27/H27),"0")</f>
        <v/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401" t="n">
        <v>4607091388237</v>
      </c>
      <c r="E28" s="791" t="n"/>
      <c r="F28" s="825" t="n">
        <v>0.42</v>
      </c>
      <c r="G28" s="38" t="n">
        <v>6</v>
      </c>
      <c r="H28" s="825" t="n">
        <v>2.52</v>
      </c>
      <c r="I28" s="825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9" t="n"/>
      <c r="N28" s="38" t="n">
        <v>40</v>
      </c>
      <c r="O28" s="836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P28" s="827" t="n"/>
      <c r="Q28" s="827" t="n"/>
      <c r="R28" s="827" t="n"/>
      <c r="S28" s="791" t="n"/>
      <c r="T28" s="40" t="inlineStr"/>
      <c r="U28" s="40" t="inlineStr"/>
      <c r="V28" s="41" t="inlineStr">
        <is>
          <t>кг</t>
        </is>
      </c>
      <c r="W28" s="828" t="n">
        <v>0</v>
      </c>
      <c r="X28" s="829">
        <f>IFERROR(IF(W28="",0,CEILING((W28/$H28),1)*$H28),"")</f>
        <v/>
      </c>
      <c r="Y28" s="42">
        <f>IFERROR(IF(X28=0,"",ROUNDUP(X28/H28,0)*0.00753),"")</f>
        <v/>
      </c>
      <c r="Z28" s="69" t="inlineStr"/>
      <c r="AA28" s="70" t="inlineStr"/>
      <c r="AE28" s="80" t="n"/>
      <c r="BB28" s="84" t="inlineStr">
        <is>
          <t>КИ</t>
        </is>
      </c>
      <c r="BL28" s="80">
        <f>IFERROR(W28*I28/H28,"0")</f>
        <v/>
      </c>
      <c r="BM28" s="80">
        <f>IFERROR(X28*I28/H28,"0")</f>
        <v/>
      </c>
      <c r="BN28" s="80">
        <f>IFERROR(1/J28*(W28/H28),"0")</f>
        <v/>
      </c>
      <c r="BO28" s="80">
        <f>IFERROR(1/J28*(X28/H28),"0")</f>
        <v/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401" t="n">
        <v>4607091383935</v>
      </c>
      <c r="E29" s="791" t="n"/>
      <c r="F29" s="825" t="n">
        <v>0.33</v>
      </c>
      <c r="G29" s="38" t="n">
        <v>6</v>
      </c>
      <c r="H29" s="825" t="n">
        <v>1.98</v>
      </c>
      <c r="I29" s="82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9" t="n"/>
      <c r="N29" s="38" t="n">
        <v>30</v>
      </c>
      <c r="O29" s="83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P29" s="827" t="n"/>
      <c r="Q29" s="827" t="n"/>
      <c r="R29" s="827" t="n"/>
      <c r="S29" s="791" t="n"/>
      <c r="T29" s="40" t="inlineStr"/>
      <c r="U29" s="40" t="inlineStr"/>
      <c r="V29" s="41" t="inlineStr">
        <is>
          <t>кг</t>
        </is>
      </c>
      <c r="W29" s="828" t="n">
        <v>0</v>
      </c>
      <c r="X29" s="829">
        <f>IFERROR(IF(W29="",0,CEILING((W29/$H29),1)*$H29),"")</f>
        <v/>
      </c>
      <c r="Y29" s="42">
        <f>IFERROR(IF(X29=0,"",ROUNDUP(X29/H29,0)*0.00753),"")</f>
        <v/>
      </c>
      <c r="Z29" s="69" t="inlineStr"/>
      <c r="AA29" s="70" t="inlineStr"/>
      <c r="AE29" s="80" t="n"/>
      <c r="BB29" s="85" t="inlineStr">
        <is>
          <t>КИ</t>
        </is>
      </c>
      <c r="BL29" s="80">
        <f>IFERROR(W29*I29/H29,"0")</f>
        <v/>
      </c>
      <c r="BM29" s="80">
        <f>IFERROR(X29*I29/H29,"0")</f>
        <v/>
      </c>
      <c r="BN29" s="80">
        <f>IFERROR(1/J29*(W29/H29),"0")</f>
        <v/>
      </c>
      <c r="BO29" s="80">
        <f>IFERROR(1/J29*(X29/H29),"0")</f>
        <v/>
      </c>
    </row>
    <row r="30" ht="27" customHeight="1">
      <c r="A30" s="64" t="inlineStr">
        <is>
          <t>SU002230</t>
        </is>
      </c>
      <c r="B30" s="64" t="inlineStr">
        <is>
          <t>P004016</t>
        </is>
      </c>
      <c r="C30" s="37" t="n">
        <v>4301051692</v>
      </c>
      <c r="D30" s="401" t="n">
        <v>4607091383935</v>
      </c>
      <c r="E30" s="791" t="n"/>
      <c r="F30" s="825" t="n">
        <v>0.33</v>
      </c>
      <c r="G30" s="38" t="n">
        <v>6</v>
      </c>
      <c r="H30" s="825" t="n">
        <v>1.98</v>
      </c>
      <c r="I30" s="82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9" t="n"/>
      <c r="N30" s="38" t="n">
        <v>35</v>
      </c>
      <c r="O30" s="838">
        <f>HYPERLINK("https://abi.ru/products/Охлажденные/Ядрена копоть/Ядрена копоть/Сосиски/P004016/","Сосиски «с горчицей» Фикс.вес 0,33 ц/о мгс ТМ «Ядрена копоть»")</f>
        <v/>
      </c>
      <c r="P30" s="827" t="n"/>
      <c r="Q30" s="827" t="n"/>
      <c r="R30" s="827" t="n"/>
      <c r="S30" s="791" t="n"/>
      <c r="T30" s="40" t="inlineStr"/>
      <c r="U30" s="40" t="inlineStr"/>
      <c r="V30" s="41" t="inlineStr">
        <is>
          <t>кг</t>
        </is>
      </c>
      <c r="W30" s="828" t="n">
        <v>0</v>
      </c>
      <c r="X30" s="829">
        <f>IFERROR(IF(W30="",0,CEILING((W30/$H30),1)*$H30),"")</f>
        <v/>
      </c>
      <c r="Y30" s="42">
        <f>IFERROR(IF(X30=0,"",ROUNDUP(X30/H30,0)*0.00753),"")</f>
        <v/>
      </c>
      <c r="Z30" s="69" t="inlineStr"/>
      <c r="AA30" s="70" t="inlineStr"/>
      <c r="AE30" s="80" t="n"/>
      <c r="BB30" s="86" t="inlineStr">
        <is>
          <t>КИ</t>
        </is>
      </c>
      <c r="BL30" s="80">
        <f>IFERROR(W30*I30/H30,"0")</f>
        <v/>
      </c>
      <c r="BM30" s="80">
        <f>IFERROR(X30*I30/H30,"0")</f>
        <v/>
      </c>
      <c r="BN30" s="80">
        <f>IFERROR(1/J30*(W30/H30),"0")</f>
        <v/>
      </c>
      <c r="BO30" s="80">
        <f>IFERROR(1/J30*(X30/H30),"0")</f>
        <v/>
      </c>
    </row>
    <row r="31" ht="27" customHeight="1">
      <c r="A31" s="64" t="inlineStr">
        <is>
          <t>SU002897</t>
        </is>
      </c>
      <c r="B31" s="64" t="inlineStr">
        <is>
          <t>P004401</t>
        </is>
      </c>
      <c r="C31" s="37" t="n">
        <v>4301051783</v>
      </c>
      <c r="D31" s="401" t="n">
        <v>4680115881990</v>
      </c>
      <c r="E31" s="791" t="n"/>
      <c r="F31" s="825" t="n">
        <v>0.42</v>
      </c>
      <c r="G31" s="38" t="n">
        <v>6</v>
      </c>
      <c r="H31" s="825" t="n">
        <v>2.52</v>
      </c>
      <c r="I31" s="825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9" t="n"/>
      <c r="N31" s="38" t="n">
        <v>40</v>
      </c>
      <c r="O31" s="839" t="inlineStr">
        <is>
          <t>Сосиски С кетчупом Ядрена копоть Фикс.вес 0,42 ц/о мгс Ядрена копоть</t>
        </is>
      </c>
      <c r="P31" s="827" t="n"/>
      <c r="Q31" s="827" t="n"/>
      <c r="R31" s="827" t="n"/>
      <c r="S31" s="791" t="n"/>
      <c r="T31" s="40" t="inlineStr"/>
      <c r="U31" s="40" t="inlineStr"/>
      <c r="V31" s="41" t="inlineStr">
        <is>
          <t>кг</t>
        </is>
      </c>
      <c r="W31" s="828" t="n">
        <v>0</v>
      </c>
      <c r="X31" s="829">
        <f>IFERROR(IF(W31="",0,CEILING((W31/$H31),1)*$H31),"")</f>
        <v/>
      </c>
      <c r="Y31" s="42">
        <f>IFERROR(IF(X31=0,"",ROUNDUP(X31/H31,0)*0.00753),"")</f>
        <v/>
      </c>
      <c r="Z31" s="69" t="inlineStr"/>
      <c r="AA31" s="70" t="inlineStr"/>
      <c r="AE31" s="80" t="n"/>
      <c r="BB31" s="87" t="inlineStr">
        <is>
          <t>КИ</t>
        </is>
      </c>
      <c r="BL31" s="80">
        <f>IFERROR(W31*I31/H31,"0")</f>
        <v/>
      </c>
      <c r="BM31" s="80">
        <f>IFERROR(X31*I31/H31,"0")</f>
        <v/>
      </c>
      <c r="BN31" s="80">
        <f>IFERROR(1/J31*(W31/H31),"0")</f>
        <v/>
      </c>
      <c r="BO31" s="80">
        <f>IFERROR(1/J31*(X31/H31),"0")</f>
        <v/>
      </c>
    </row>
    <row r="32" ht="27" customHeight="1">
      <c r="A32" s="64" t="inlineStr">
        <is>
          <t>SU002893</t>
        </is>
      </c>
      <c r="B32" s="64" t="inlineStr">
        <is>
          <t>P004413</t>
        </is>
      </c>
      <c r="C32" s="37" t="n">
        <v>4301051786</v>
      </c>
      <c r="D32" s="401" t="n">
        <v>4680115881853</v>
      </c>
      <c r="E32" s="791" t="n"/>
      <c r="F32" s="825" t="n">
        <v>0.33</v>
      </c>
      <c r="G32" s="38" t="n">
        <v>6</v>
      </c>
      <c r="H32" s="825" t="n">
        <v>1.98</v>
      </c>
      <c r="I32" s="825" t="n">
        <v>2.246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9" t="n"/>
      <c r="N32" s="38" t="n">
        <v>40</v>
      </c>
      <c r="O32" s="840" t="inlineStr">
        <is>
          <t>Сосиски С соусом Барбекю Ядрена копоть Фикс.вес 0,33 ц/о мгс Ядрена копоть</t>
        </is>
      </c>
      <c r="P32" s="827" t="n"/>
      <c r="Q32" s="827" t="n"/>
      <c r="R32" s="827" t="n"/>
      <c r="S32" s="791" t="n"/>
      <c r="T32" s="40" t="inlineStr"/>
      <c r="U32" s="40" t="inlineStr"/>
      <c r="V32" s="41" t="inlineStr">
        <is>
          <t>кг</t>
        </is>
      </c>
      <c r="W32" s="828" t="n">
        <v>0</v>
      </c>
      <c r="X32" s="829">
        <f>IFERROR(IF(W32="",0,CEILING((W32/$H32),1)*$H32),"")</f>
        <v/>
      </c>
      <c r="Y32" s="42">
        <f>IFERROR(IF(X32=0,"",ROUNDUP(X32/H32,0)*0.00753),"")</f>
        <v/>
      </c>
      <c r="Z32" s="69" t="inlineStr"/>
      <c r="AA32" s="70" t="inlineStr"/>
      <c r="AE32" s="80" t="n"/>
      <c r="BB32" s="88" t="inlineStr">
        <is>
          <t>КИ</t>
        </is>
      </c>
      <c r="BL32" s="80">
        <f>IFERROR(W32*I32/H32,"0")</f>
        <v/>
      </c>
      <c r="BM32" s="80">
        <f>IFERROR(X32*I32/H32,"0")</f>
        <v/>
      </c>
      <c r="BN32" s="80">
        <f>IFERROR(1/J32*(W32/H32),"0")</f>
        <v/>
      </c>
      <c r="BO32" s="80">
        <f>IFERROR(1/J32*(X32/H32),"0")</f>
        <v/>
      </c>
    </row>
    <row r="33" ht="27" customHeight="1">
      <c r="A33" s="64" t="inlineStr">
        <is>
          <t>SU002893</t>
        </is>
      </c>
      <c r="B33" s="64" t="inlineStr">
        <is>
          <t>P003317</t>
        </is>
      </c>
      <c r="C33" s="37" t="n">
        <v>4301051426</v>
      </c>
      <c r="D33" s="401" t="n">
        <v>4680115881853</v>
      </c>
      <c r="E33" s="791" t="n"/>
      <c r="F33" s="825" t="n">
        <v>0.33</v>
      </c>
      <c r="G33" s="38" t="n">
        <v>6</v>
      </c>
      <c r="H33" s="825" t="n">
        <v>1.98</v>
      </c>
      <c r="I33" s="825" t="n">
        <v>2.246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9" t="n"/>
      <c r="N33" s="38" t="n">
        <v>30</v>
      </c>
      <c r="O33" s="84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P33" s="827" t="n"/>
      <c r="Q33" s="827" t="n"/>
      <c r="R33" s="827" t="n"/>
      <c r="S33" s="791" t="n"/>
      <c r="T33" s="40" t="inlineStr"/>
      <c r="U33" s="40" t="inlineStr"/>
      <c r="V33" s="41" t="inlineStr">
        <is>
          <t>кг</t>
        </is>
      </c>
      <c r="W33" s="828" t="n">
        <v>0</v>
      </c>
      <c r="X33" s="829">
        <f>IFERROR(IF(W33="",0,CEILING((W33/$H33),1)*$H33),"")</f>
        <v/>
      </c>
      <c r="Y33" s="42">
        <f>IFERROR(IF(X33=0,"",ROUNDUP(X33/H33,0)*0.00753),"")</f>
        <v/>
      </c>
      <c r="Z33" s="69" t="inlineStr"/>
      <c r="AA33" s="70" t="inlineStr"/>
      <c r="AE33" s="80" t="n"/>
      <c r="BB33" s="89" t="inlineStr">
        <is>
          <t>КИ</t>
        </is>
      </c>
      <c r="BL33" s="80">
        <f>IFERROR(W33*I33/H33,"0")</f>
        <v/>
      </c>
      <c r="BM33" s="80">
        <f>IFERROR(X33*I33/H33,"0")</f>
        <v/>
      </c>
      <c r="BN33" s="80">
        <f>IFERROR(1/J33*(W33/H33),"0")</f>
        <v/>
      </c>
      <c r="BO33" s="80">
        <f>IFERROR(1/J33*(X33/H33),"0")</f>
        <v/>
      </c>
    </row>
    <row r="34" ht="27" customHeight="1">
      <c r="A34" s="64" t="inlineStr">
        <is>
          <t>SU002154</t>
        </is>
      </c>
      <c r="B34" s="64" t="inlineStr">
        <is>
          <t>P003879</t>
        </is>
      </c>
      <c r="C34" s="37" t="n">
        <v>4301051593</v>
      </c>
      <c r="D34" s="401" t="n">
        <v>4607091383911</v>
      </c>
      <c r="E34" s="791" t="n"/>
      <c r="F34" s="825" t="n">
        <v>0.33</v>
      </c>
      <c r="G34" s="38" t="n">
        <v>6</v>
      </c>
      <c r="H34" s="825" t="n">
        <v>1.98</v>
      </c>
      <c r="I34" s="825" t="n">
        <v>2.246</v>
      </c>
      <c r="J34" s="38" t="n">
        <v>156</v>
      </c>
      <c r="K34" s="38" t="inlineStr">
        <is>
          <t>12</t>
        </is>
      </c>
      <c r="L34" s="39" t="inlineStr">
        <is>
          <t>СК2</t>
        </is>
      </c>
      <c r="M34" s="39" t="n"/>
      <c r="N34" s="38" t="n">
        <v>40</v>
      </c>
      <c r="O34" s="842">
        <f>HYPERLINK("https://abi.ru/products/Охлажденные/Ядрена копоть/Ядрена копоть/Сосиски/P003879/","«Сосиски с сыром» Фикс.вес 0,33 ц/о мгс ТМ «Ядрена копоть»")</f>
        <v/>
      </c>
      <c r="P34" s="827" t="n"/>
      <c r="Q34" s="827" t="n"/>
      <c r="R34" s="827" t="n"/>
      <c r="S34" s="791" t="n"/>
      <c r="T34" s="40" t="inlineStr"/>
      <c r="U34" s="40" t="inlineStr"/>
      <c r="V34" s="41" t="inlineStr">
        <is>
          <t>кг</t>
        </is>
      </c>
      <c r="W34" s="828" t="n">
        <v>0</v>
      </c>
      <c r="X34" s="829">
        <f>IFERROR(IF(W34="",0,CEILING((W34/$H34),1)*$H34),"")</f>
        <v/>
      </c>
      <c r="Y34" s="42">
        <f>IFERROR(IF(X34=0,"",ROUNDUP(X34/H34,0)*0.00753),"")</f>
        <v/>
      </c>
      <c r="Z34" s="69" t="inlineStr"/>
      <c r="AA34" s="70" t="inlineStr"/>
      <c r="AE34" s="80" t="n"/>
      <c r="BB34" s="90" t="inlineStr">
        <is>
          <t>КИ</t>
        </is>
      </c>
      <c r="BL34" s="80">
        <f>IFERROR(W34*I34/H34,"0")</f>
        <v/>
      </c>
      <c r="BM34" s="80">
        <f>IFERROR(X34*I34/H34,"0")</f>
        <v/>
      </c>
      <c r="BN34" s="80">
        <f>IFERROR(1/J34*(W34/H34),"0")</f>
        <v/>
      </c>
      <c r="BO34" s="80">
        <f>IFERROR(1/J34*(X34/H34),"0")</f>
        <v/>
      </c>
    </row>
    <row r="35" ht="27" customHeight="1">
      <c r="A35" s="64" t="inlineStr">
        <is>
          <t>SU000152</t>
        </is>
      </c>
      <c r="B35" s="64" t="inlineStr">
        <is>
          <t>P003878</t>
        </is>
      </c>
      <c r="C35" s="37" t="n">
        <v>4301051592</v>
      </c>
      <c r="D35" s="401" t="n">
        <v>4607091388244</v>
      </c>
      <c r="E35" s="791" t="n"/>
      <c r="F35" s="825" t="n">
        <v>0.42</v>
      </c>
      <c r="G35" s="38" t="n">
        <v>6</v>
      </c>
      <c r="H35" s="825" t="n">
        <v>2.52</v>
      </c>
      <c r="I35" s="825" t="n">
        <v>2.786</v>
      </c>
      <c r="J35" s="38" t="n">
        <v>156</v>
      </c>
      <c r="K35" s="38" t="inlineStr">
        <is>
          <t>12</t>
        </is>
      </c>
      <c r="L35" s="39" t="inlineStr">
        <is>
          <t>СК2</t>
        </is>
      </c>
      <c r="M35" s="39" t="n"/>
      <c r="N35" s="38" t="n">
        <v>40</v>
      </c>
      <c r="O35" s="843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P35" s="827" t="n"/>
      <c r="Q35" s="827" t="n"/>
      <c r="R35" s="827" t="n"/>
      <c r="S35" s="791" t="n"/>
      <c r="T35" s="40" t="inlineStr"/>
      <c r="U35" s="40" t="inlineStr"/>
      <c r="V35" s="41" t="inlineStr">
        <is>
          <t>кг</t>
        </is>
      </c>
      <c r="W35" s="828" t="n">
        <v>0</v>
      </c>
      <c r="X35" s="829">
        <f>IFERROR(IF(W35="",0,CEILING((W35/$H35),1)*$H35),"")</f>
        <v/>
      </c>
      <c r="Y35" s="42">
        <f>IFERROR(IF(X35=0,"",ROUNDUP(X35/H35,0)*0.00753),"")</f>
        <v/>
      </c>
      <c r="Z35" s="69" t="inlineStr"/>
      <c r="AA35" s="70" t="inlineStr"/>
      <c r="AE35" s="80" t="n"/>
      <c r="BB35" s="91" t="inlineStr">
        <is>
          <t>КИ</t>
        </is>
      </c>
      <c r="BL35" s="80">
        <f>IFERROR(W35*I35/H35,"0")</f>
        <v/>
      </c>
      <c r="BM35" s="80">
        <f>IFERROR(X35*I35/H35,"0")</f>
        <v/>
      </c>
      <c r="BN35" s="80">
        <f>IFERROR(1/J35*(W35/H35),"0")</f>
        <v/>
      </c>
      <c r="BO35" s="80">
        <f>IFERROR(1/J35*(X35/H35),"0")</f>
        <v/>
      </c>
    </row>
    <row r="36">
      <c r="A36" s="408" t="n"/>
      <c r="B36" s="398" t="n"/>
      <c r="C36" s="398" t="n"/>
      <c r="D36" s="398" t="n"/>
      <c r="E36" s="398" t="n"/>
      <c r="F36" s="398" t="n"/>
      <c r="G36" s="398" t="n"/>
      <c r="H36" s="398" t="n"/>
      <c r="I36" s="398" t="n"/>
      <c r="J36" s="398" t="n"/>
      <c r="K36" s="398" t="n"/>
      <c r="L36" s="398" t="n"/>
      <c r="M36" s="398" t="n"/>
      <c r="N36" s="831" t="n"/>
      <c r="O36" s="832" t="inlineStr">
        <is>
          <t>Итого</t>
        </is>
      </c>
      <c r="P36" s="799" t="n"/>
      <c r="Q36" s="799" t="n"/>
      <c r="R36" s="799" t="n"/>
      <c r="S36" s="799" t="n"/>
      <c r="T36" s="799" t="n"/>
      <c r="U36" s="800" t="n"/>
      <c r="V36" s="43" t="inlineStr">
        <is>
          <t>кор</t>
        </is>
      </c>
      <c r="W36" s="833">
        <f>IFERROR(W27/H27,"0")+IFERROR(W28/H28,"0")+IFERROR(W29/H29,"0")+IFERROR(W30/H30,"0")+IFERROR(W31/H31,"0")+IFERROR(W32/H32,"0")+IFERROR(W33/H33,"0")+IFERROR(W34/H34,"0")+IFERROR(W35/H35,"0")</f>
        <v/>
      </c>
      <c r="X36" s="833">
        <f>IFERROR(X27/H27,"0")+IFERROR(X28/H28,"0")+IFERROR(X29/H29,"0")+IFERROR(X30/H30,"0")+IFERROR(X31/H31,"0")+IFERROR(X32/H32,"0")+IFERROR(X33/H33,"0")+IFERROR(X34/H34,"0")+IFERROR(X35/H35,"0")</f>
        <v/>
      </c>
      <c r="Y36" s="833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/>
      </c>
      <c r="Z36" s="834" t="n"/>
      <c r="AA36" s="834" t="n"/>
    </row>
    <row r="37">
      <c r="A37" s="398" t="n"/>
      <c r="B37" s="398" t="n"/>
      <c r="C37" s="398" t="n"/>
      <c r="D37" s="398" t="n"/>
      <c r="E37" s="398" t="n"/>
      <c r="F37" s="398" t="n"/>
      <c r="G37" s="398" t="n"/>
      <c r="H37" s="398" t="n"/>
      <c r="I37" s="398" t="n"/>
      <c r="J37" s="398" t="n"/>
      <c r="K37" s="398" t="n"/>
      <c r="L37" s="398" t="n"/>
      <c r="M37" s="398" t="n"/>
      <c r="N37" s="831" t="n"/>
      <c r="O37" s="832" t="inlineStr">
        <is>
          <t>Итого</t>
        </is>
      </c>
      <c r="P37" s="799" t="n"/>
      <c r="Q37" s="799" t="n"/>
      <c r="R37" s="799" t="n"/>
      <c r="S37" s="799" t="n"/>
      <c r="T37" s="799" t="n"/>
      <c r="U37" s="800" t="n"/>
      <c r="V37" s="43" t="inlineStr">
        <is>
          <t>кг</t>
        </is>
      </c>
      <c r="W37" s="833">
        <f>IFERROR(SUM(W27:W35),"0")</f>
        <v/>
      </c>
      <c r="X37" s="833">
        <f>IFERROR(SUM(X27:X35),"0")</f>
        <v/>
      </c>
      <c r="Y37" s="43" t="n"/>
      <c r="Z37" s="834" t="n"/>
      <c r="AA37" s="834" t="n"/>
    </row>
    <row r="38" ht="14.25" customHeight="1">
      <c r="A38" s="409" t="inlineStr">
        <is>
          <t>Сырокопченые колбасы</t>
        </is>
      </c>
      <c r="B38" s="398" t="n"/>
      <c r="C38" s="398" t="n"/>
      <c r="D38" s="398" t="n"/>
      <c r="E38" s="398" t="n"/>
      <c r="F38" s="398" t="n"/>
      <c r="G38" s="398" t="n"/>
      <c r="H38" s="398" t="n"/>
      <c r="I38" s="398" t="n"/>
      <c r="J38" s="398" t="n"/>
      <c r="K38" s="398" t="n"/>
      <c r="L38" s="398" t="n"/>
      <c r="M38" s="398" t="n"/>
      <c r="N38" s="398" t="n"/>
      <c r="O38" s="398" t="n"/>
      <c r="P38" s="398" t="n"/>
      <c r="Q38" s="398" t="n"/>
      <c r="R38" s="398" t="n"/>
      <c r="S38" s="398" t="n"/>
      <c r="T38" s="398" t="n"/>
      <c r="U38" s="398" t="n"/>
      <c r="V38" s="398" t="n"/>
      <c r="W38" s="398" t="n"/>
      <c r="X38" s="398" t="n"/>
      <c r="Y38" s="398" t="n"/>
      <c r="Z38" s="409" t="n"/>
      <c r="AA38" s="409" t="n"/>
    </row>
    <row r="39" ht="27" customHeight="1">
      <c r="A39" s="64" t="inlineStr">
        <is>
          <t>SU002050</t>
        </is>
      </c>
      <c r="B39" s="64" t="inlineStr">
        <is>
          <t>P002188</t>
        </is>
      </c>
      <c r="C39" s="37" t="n">
        <v>4301032013</v>
      </c>
      <c r="D39" s="401" t="n">
        <v>4607091388503</v>
      </c>
      <c r="E39" s="791" t="n"/>
      <c r="F39" s="825" t="n">
        <v>0.05</v>
      </c>
      <c r="G39" s="38" t="n">
        <v>12</v>
      </c>
      <c r="H39" s="825" t="n">
        <v>0.6</v>
      </c>
      <c r="I39" s="825" t="n">
        <v>0.842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9" t="n"/>
      <c r="N39" s="38" t="n">
        <v>120</v>
      </c>
      <c r="O39" s="84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P39" s="827" t="n"/>
      <c r="Q39" s="827" t="n"/>
      <c r="R39" s="827" t="n"/>
      <c r="S39" s="791" t="n"/>
      <c r="T39" s="40" t="inlineStr"/>
      <c r="U39" s="40" t="inlineStr"/>
      <c r="V39" s="41" t="inlineStr">
        <is>
          <t>кг</t>
        </is>
      </c>
      <c r="W39" s="828" t="n">
        <v>0</v>
      </c>
      <c r="X39" s="829">
        <f>IFERROR(IF(W39="",0,CEILING((W39/$H39),1)*$H39),"")</f>
        <v/>
      </c>
      <c r="Y39" s="42">
        <f>IFERROR(IF(X39=0,"",ROUNDUP(X39/H39,0)*0.00753),"")</f>
        <v/>
      </c>
      <c r="Z39" s="69" t="inlineStr"/>
      <c r="AA39" s="70" t="inlineStr"/>
      <c r="AE39" s="80" t="n"/>
      <c r="BB39" s="92" t="inlineStr">
        <is>
          <t>СНК</t>
        </is>
      </c>
      <c r="BL39" s="80">
        <f>IFERROR(W39*I39/H39,"0")</f>
        <v/>
      </c>
      <c r="BM39" s="80">
        <f>IFERROR(X39*I39/H39,"0")</f>
        <v/>
      </c>
      <c r="BN39" s="80">
        <f>IFERROR(1/J39*(W39/H39),"0")</f>
        <v/>
      </c>
      <c r="BO39" s="80">
        <f>IFERROR(1/J39*(X39/H39),"0")</f>
        <v/>
      </c>
    </row>
    <row r="40">
      <c r="A40" s="408" t="n"/>
      <c r="B40" s="398" t="n"/>
      <c r="C40" s="398" t="n"/>
      <c r="D40" s="398" t="n"/>
      <c r="E40" s="398" t="n"/>
      <c r="F40" s="398" t="n"/>
      <c r="G40" s="398" t="n"/>
      <c r="H40" s="398" t="n"/>
      <c r="I40" s="398" t="n"/>
      <c r="J40" s="398" t="n"/>
      <c r="K40" s="398" t="n"/>
      <c r="L40" s="398" t="n"/>
      <c r="M40" s="398" t="n"/>
      <c r="N40" s="831" t="n"/>
      <c r="O40" s="832" t="inlineStr">
        <is>
          <t>Итого</t>
        </is>
      </c>
      <c r="P40" s="799" t="n"/>
      <c r="Q40" s="799" t="n"/>
      <c r="R40" s="799" t="n"/>
      <c r="S40" s="799" t="n"/>
      <c r="T40" s="799" t="n"/>
      <c r="U40" s="800" t="n"/>
      <c r="V40" s="43" t="inlineStr">
        <is>
          <t>кор</t>
        </is>
      </c>
      <c r="W40" s="833">
        <f>IFERROR(W39/H39,"0")</f>
        <v/>
      </c>
      <c r="X40" s="833">
        <f>IFERROR(X39/H39,"0")</f>
        <v/>
      </c>
      <c r="Y40" s="833">
        <f>IFERROR(IF(Y39="",0,Y39),"0")</f>
        <v/>
      </c>
      <c r="Z40" s="834" t="n"/>
      <c r="AA40" s="834" t="n"/>
    </row>
    <row r="41">
      <c r="A41" s="398" t="n"/>
      <c r="B41" s="398" t="n"/>
      <c r="C41" s="398" t="n"/>
      <c r="D41" s="398" t="n"/>
      <c r="E41" s="398" t="n"/>
      <c r="F41" s="398" t="n"/>
      <c r="G41" s="398" t="n"/>
      <c r="H41" s="398" t="n"/>
      <c r="I41" s="398" t="n"/>
      <c r="J41" s="398" t="n"/>
      <c r="K41" s="398" t="n"/>
      <c r="L41" s="398" t="n"/>
      <c r="M41" s="398" t="n"/>
      <c r="N41" s="831" t="n"/>
      <c r="O41" s="832" t="inlineStr">
        <is>
          <t>Итого</t>
        </is>
      </c>
      <c r="P41" s="799" t="n"/>
      <c r="Q41" s="799" t="n"/>
      <c r="R41" s="799" t="n"/>
      <c r="S41" s="799" t="n"/>
      <c r="T41" s="799" t="n"/>
      <c r="U41" s="800" t="n"/>
      <c r="V41" s="43" t="inlineStr">
        <is>
          <t>кг</t>
        </is>
      </c>
      <c r="W41" s="833">
        <f>IFERROR(SUM(W39:W39),"0")</f>
        <v/>
      </c>
      <c r="X41" s="833">
        <f>IFERROR(SUM(X39:X39),"0")</f>
        <v/>
      </c>
      <c r="Y41" s="43" t="n"/>
      <c r="Z41" s="834" t="n"/>
      <c r="AA41" s="834" t="n"/>
    </row>
    <row r="42" ht="14.25" customHeight="1">
      <c r="A42" s="409" t="inlineStr">
        <is>
          <t>Продукты из мяса птицы копчено-вареные</t>
        </is>
      </c>
      <c r="B42" s="398" t="n"/>
      <c r="C42" s="398" t="n"/>
      <c r="D42" s="398" t="n"/>
      <c r="E42" s="398" t="n"/>
      <c r="F42" s="398" t="n"/>
      <c r="G42" s="398" t="n"/>
      <c r="H42" s="398" t="n"/>
      <c r="I42" s="398" t="n"/>
      <c r="J42" s="398" t="n"/>
      <c r="K42" s="398" t="n"/>
      <c r="L42" s="398" t="n"/>
      <c r="M42" s="398" t="n"/>
      <c r="N42" s="398" t="n"/>
      <c r="O42" s="398" t="n"/>
      <c r="P42" s="398" t="n"/>
      <c r="Q42" s="398" t="n"/>
      <c r="R42" s="398" t="n"/>
      <c r="S42" s="398" t="n"/>
      <c r="T42" s="398" t="n"/>
      <c r="U42" s="398" t="n"/>
      <c r="V42" s="398" t="n"/>
      <c r="W42" s="398" t="n"/>
      <c r="X42" s="398" t="n"/>
      <c r="Y42" s="398" t="n"/>
      <c r="Z42" s="409" t="n"/>
      <c r="AA42" s="409" t="n"/>
    </row>
    <row r="43" ht="80.25" customHeight="1">
      <c r="A43" s="64" t="inlineStr">
        <is>
          <t>SU001872</t>
        </is>
      </c>
      <c r="B43" s="64" t="inlineStr">
        <is>
          <t>P001933</t>
        </is>
      </c>
      <c r="C43" s="37" t="n">
        <v>4301160001</v>
      </c>
      <c r="D43" s="401" t="n">
        <v>4607091388282</v>
      </c>
      <c r="E43" s="791" t="n"/>
      <c r="F43" s="825" t="n">
        <v>0.3</v>
      </c>
      <c r="G43" s="38" t="n">
        <v>6</v>
      </c>
      <c r="H43" s="825" t="n">
        <v>1.8</v>
      </c>
      <c r="I43" s="825" t="n">
        <v>2.084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9" t="n"/>
      <c r="N43" s="38" t="n">
        <v>30</v>
      </c>
      <c r="O43" s="84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P43" s="827" t="n"/>
      <c r="Q43" s="827" t="n"/>
      <c r="R43" s="827" t="n"/>
      <c r="S43" s="791" t="n"/>
      <c r="T43" s="40" t="inlineStr"/>
      <c r="U43" s="40" t="inlineStr"/>
      <c r="V43" s="41" t="inlineStr">
        <is>
          <t>кг</t>
        </is>
      </c>
      <c r="W43" s="828" t="n">
        <v>0</v>
      </c>
      <c r="X43" s="829">
        <f>IFERROR(IF(W43="",0,CEILING((W43/$H43),1)*$H43),"")</f>
        <v/>
      </c>
      <c r="Y43" s="42">
        <f>IFERROR(IF(X43=0,"",ROUNDUP(X43/H43,0)*0.00753),"")</f>
        <v/>
      </c>
      <c r="Z43" s="69" t="inlineStr">
        <is>
          <t>Предзаказ по четвергам до 12:00 на отгрузку со вторника следующей недели</t>
        </is>
      </c>
      <c r="AA43" s="70" t="inlineStr"/>
      <c r="AE43" s="80" t="n"/>
      <c r="BB43" s="93" t="inlineStr">
        <is>
          <t>КИ</t>
        </is>
      </c>
      <c r="BL43" s="80">
        <f>IFERROR(W43*I43/H43,"0")</f>
        <v/>
      </c>
      <c r="BM43" s="80">
        <f>IFERROR(X43*I43/H43,"0")</f>
        <v/>
      </c>
      <c r="BN43" s="80">
        <f>IFERROR(1/J43*(W43/H43),"0")</f>
        <v/>
      </c>
      <c r="BO43" s="80">
        <f>IFERROR(1/J43*(X43/H43),"0")</f>
        <v/>
      </c>
    </row>
    <row r="44">
      <c r="A44" s="408" t="n"/>
      <c r="B44" s="398" t="n"/>
      <c r="C44" s="398" t="n"/>
      <c r="D44" s="398" t="n"/>
      <c r="E44" s="398" t="n"/>
      <c r="F44" s="398" t="n"/>
      <c r="G44" s="398" t="n"/>
      <c r="H44" s="398" t="n"/>
      <c r="I44" s="398" t="n"/>
      <c r="J44" s="398" t="n"/>
      <c r="K44" s="398" t="n"/>
      <c r="L44" s="398" t="n"/>
      <c r="M44" s="398" t="n"/>
      <c r="N44" s="831" t="n"/>
      <c r="O44" s="832" t="inlineStr">
        <is>
          <t>Итого</t>
        </is>
      </c>
      <c r="P44" s="799" t="n"/>
      <c r="Q44" s="799" t="n"/>
      <c r="R44" s="799" t="n"/>
      <c r="S44" s="799" t="n"/>
      <c r="T44" s="799" t="n"/>
      <c r="U44" s="800" t="n"/>
      <c r="V44" s="43" t="inlineStr">
        <is>
          <t>кор</t>
        </is>
      </c>
      <c r="W44" s="833">
        <f>IFERROR(W43/H43,"0")</f>
        <v/>
      </c>
      <c r="X44" s="833">
        <f>IFERROR(X43/H43,"0")</f>
        <v/>
      </c>
      <c r="Y44" s="833">
        <f>IFERROR(IF(Y43="",0,Y43),"0")</f>
        <v/>
      </c>
      <c r="Z44" s="834" t="n"/>
      <c r="AA44" s="834" t="n"/>
    </row>
    <row r="45">
      <c r="A45" s="398" t="n"/>
      <c r="B45" s="398" t="n"/>
      <c r="C45" s="398" t="n"/>
      <c r="D45" s="398" t="n"/>
      <c r="E45" s="398" t="n"/>
      <c r="F45" s="398" t="n"/>
      <c r="G45" s="398" t="n"/>
      <c r="H45" s="398" t="n"/>
      <c r="I45" s="398" t="n"/>
      <c r="J45" s="398" t="n"/>
      <c r="K45" s="398" t="n"/>
      <c r="L45" s="398" t="n"/>
      <c r="M45" s="398" t="n"/>
      <c r="N45" s="831" t="n"/>
      <c r="O45" s="832" t="inlineStr">
        <is>
          <t>Итого</t>
        </is>
      </c>
      <c r="P45" s="799" t="n"/>
      <c r="Q45" s="799" t="n"/>
      <c r="R45" s="799" t="n"/>
      <c r="S45" s="799" t="n"/>
      <c r="T45" s="799" t="n"/>
      <c r="U45" s="800" t="n"/>
      <c r="V45" s="43" t="inlineStr">
        <is>
          <t>кг</t>
        </is>
      </c>
      <c r="W45" s="833">
        <f>IFERROR(SUM(W43:W43),"0")</f>
        <v/>
      </c>
      <c r="X45" s="833">
        <f>IFERROR(SUM(X43:X43),"0")</f>
        <v/>
      </c>
      <c r="Y45" s="43" t="n"/>
      <c r="Z45" s="834" t="n"/>
      <c r="AA45" s="834" t="n"/>
    </row>
    <row r="46" ht="14.25" customHeight="1">
      <c r="A46" s="409" t="inlineStr">
        <is>
          <t>Сыровяленые колбасы</t>
        </is>
      </c>
      <c r="B46" s="398" t="n"/>
      <c r="C46" s="398" t="n"/>
      <c r="D46" s="398" t="n"/>
      <c r="E46" s="398" t="n"/>
      <c r="F46" s="398" t="n"/>
      <c r="G46" s="398" t="n"/>
      <c r="H46" s="398" t="n"/>
      <c r="I46" s="398" t="n"/>
      <c r="J46" s="398" t="n"/>
      <c r="K46" s="398" t="n"/>
      <c r="L46" s="398" t="n"/>
      <c r="M46" s="398" t="n"/>
      <c r="N46" s="398" t="n"/>
      <c r="O46" s="398" t="n"/>
      <c r="P46" s="398" t="n"/>
      <c r="Q46" s="398" t="n"/>
      <c r="R46" s="398" t="n"/>
      <c r="S46" s="398" t="n"/>
      <c r="T46" s="398" t="n"/>
      <c r="U46" s="398" t="n"/>
      <c r="V46" s="398" t="n"/>
      <c r="W46" s="398" t="n"/>
      <c r="X46" s="398" t="n"/>
      <c r="Y46" s="398" t="n"/>
      <c r="Z46" s="409" t="n"/>
      <c r="AA46" s="409" t="n"/>
    </row>
    <row r="47" ht="27" customHeight="1">
      <c r="A47" s="64" t="inlineStr">
        <is>
          <t>SU002049</t>
        </is>
      </c>
      <c r="B47" s="64" t="inlineStr">
        <is>
          <t>P002191</t>
        </is>
      </c>
      <c r="C47" s="37" t="n">
        <v>4301170002</v>
      </c>
      <c r="D47" s="401" t="n">
        <v>4607091389111</v>
      </c>
      <c r="E47" s="791" t="n"/>
      <c r="F47" s="825" t="n">
        <v>0.025</v>
      </c>
      <c r="G47" s="38" t="n">
        <v>10</v>
      </c>
      <c r="H47" s="825" t="n">
        <v>0.25</v>
      </c>
      <c r="I47" s="825" t="n">
        <v>0.492</v>
      </c>
      <c r="J47" s="38" t="n">
        <v>156</v>
      </c>
      <c r="K47" s="38" t="inlineStr">
        <is>
          <t>12</t>
        </is>
      </c>
      <c r="L47" s="39" t="inlineStr">
        <is>
          <t>АК</t>
        </is>
      </c>
      <c r="M47" s="39" t="n"/>
      <c r="N47" s="38" t="n">
        <v>120</v>
      </c>
      <c r="O47" s="84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P47" s="827" t="n"/>
      <c r="Q47" s="827" t="n"/>
      <c r="R47" s="827" t="n"/>
      <c r="S47" s="791" t="n"/>
      <c r="T47" s="40" t="inlineStr"/>
      <c r="U47" s="40" t="inlineStr"/>
      <c r="V47" s="41" t="inlineStr">
        <is>
          <t>кг</t>
        </is>
      </c>
      <c r="W47" s="828" t="n">
        <v>0</v>
      </c>
      <c r="X47" s="829">
        <f>IFERROR(IF(W47="",0,CEILING((W47/$H47),1)*$H47),"")</f>
        <v/>
      </c>
      <c r="Y47" s="42">
        <f>IFERROR(IF(X47=0,"",ROUNDUP(X47/H47,0)*0.00753),"")</f>
        <v/>
      </c>
      <c r="Z47" s="69" t="inlineStr"/>
      <c r="AA47" s="70" t="inlineStr"/>
      <c r="AE47" s="80" t="n"/>
      <c r="BB47" s="94" t="inlineStr">
        <is>
          <t>СНК</t>
        </is>
      </c>
      <c r="BL47" s="80">
        <f>IFERROR(W47*I47/H47,"0")</f>
        <v/>
      </c>
      <c r="BM47" s="80">
        <f>IFERROR(X47*I47/H47,"0")</f>
        <v/>
      </c>
      <c r="BN47" s="80">
        <f>IFERROR(1/J47*(W47/H47),"0")</f>
        <v/>
      </c>
      <c r="BO47" s="80">
        <f>IFERROR(1/J47*(X47/H47),"0")</f>
        <v/>
      </c>
    </row>
    <row r="48">
      <c r="A48" s="408" t="n"/>
      <c r="B48" s="398" t="n"/>
      <c r="C48" s="398" t="n"/>
      <c r="D48" s="398" t="n"/>
      <c r="E48" s="398" t="n"/>
      <c r="F48" s="398" t="n"/>
      <c r="G48" s="398" t="n"/>
      <c r="H48" s="398" t="n"/>
      <c r="I48" s="398" t="n"/>
      <c r="J48" s="398" t="n"/>
      <c r="K48" s="398" t="n"/>
      <c r="L48" s="398" t="n"/>
      <c r="M48" s="398" t="n"/>
      <c r="N48" s="831" t="n"/>
      <c r="O48" s="832" t="inlineStr">
        <is>
          <t>Итого</t>
        </is>
      </c>
      <c r="P48" s="799" t="n"/>
      <c r="Q48" s="799" t="n"/>
      <c r="R48" s="799" t="n"/>
      <c r="S48" s="799" t="n"/>
      <c r="T48" s="799" t="n"/>
      <c r="U48" s="800" t="n"/>
      <c r="V48" s="43" t="inlineStr">
        <is>
          <t>кор</t>
        </is>
      </c>
      <c r="W48" s="833">
        <f>IFERROR(W47/H47,"0")</f>
        <v/>
      </c>
      <c r="X48" s="833">
        <f>IFERROR(X47/H47,"0")</f>
        <v/>
      </c>
      <c r="Y48" s="833">
        <f>IFERROR(IF(Y47="",0,Y47),"0")</f>
        <v/>
      </c>
      <c r="Z48" s="834" t="n"/>
      <c r="AA48" s="834" t="n"/>
    </row>
    <row r="49">
      <c r="A49" s="398" t="n"/>
      <c r="B49" s="398" t="n"/>
      <c r="C49" s="398" t="n"/>
      <c r="D49" s="398" t="n"/>
      <c r="E49" s="398" t="n"/>
      <c r="F49" s="398" t="n"/>
      <c r="G49" s="398" t="n"/>
      <c r="H49" s="398" t="n"/>
      <c r="I49" s="398" t="n"/>
      <c r="J49" s="398" t="n"/>
      <c r="K49" s="398" t="n"/>
      <c r="L49" s="398" t="n"/>
      <c r="M49" s="398" t="n"/>
      <c r="N49" s="831" t="n"/>
      <c r="O49" s="832" t="inlineStr">
        <is>
          <t>Итого</t>
        </is>
      </c>
      <c r="P49" s="799" t="n"/>
      <c r="Q49" s="799" t="n"/>
      <c r="R49" s="799" t="n"/>
      <c r="S49" s="799" t="n"/>
      <c r="T49" s="799" t="n"/>
      <c r="U49" s="800" t="n"/>
      <c r="V49" s="43" t="inlineStr">
        <is>
          <t>кг</t>
        </is>
      </c>
      <c r="W49" s="833">
        <f>IFERROR(SUM(W47:W47),"0")</f>
        <v/>
      </c>
      <c r="X49" s="833">
        <f>IFERROR(SUM(X47:X47),"0")</f>
        <v/>
      </c>
      <c r="Y49" s="43" t="n"/>
      <c r="Z49" s="834" t="n"/>
      <c r="AA49" s="834" t="n"/>
    </row>
    <row r="50" ht="27.75" customHeight="1">
      <c r="A50" s="438" t="inlineStr">
        <is>
          <t>Вязанка</t>
        </is>
      </c>
      <c r="B50" s="824" t="n"/>
      <c r="C50" s="824" t="n"/>
      <c r="D50" s="824" t="n"/>
      <c r="E50" s="824" t="n"/>
      <c r="F50" s="824" t="n"/>
      <c r="G50" s="824" t="n"/>
      <c r="H50" s="824" t="n"/>
      <c r="I50" s="824" t="n"/>
      <c r="J50" s="824" t="n"/>
      <c r="K50" s="824" t="n"/>
      <c r="L50" s="824" t="n"/>
      <c r="M50" s="824" t="n"/>
      <c r="N50" s="824" t="n"/>
      <c r="O50" s="824" t="n"/>
      <c r="P50" s="824" t="n"/>
      <c r="Q50" s="824" t="n"/>
      <c r="R50" s="824" t="n"/>
      <c r="S50" s="824" t="n"/>
      <c r="T50" s="824" t="n"/>
      <c r="U50" s="824" t="n"/>
      <c r="V50" s="824" t="n"/>
      <c r="W50" s="824" t="n"/>
      <c r="X50" s="824" t="n"/>
      <c r="Y50" s="824" t="n"/>
      <c r="Z50" s="55" t="n"/>
      <c r="AA50" s="55" t="n"/>
    </row>
    <row r="51" ht="16.5" customHeight="1">
      <c r="A51" s="439" t="inlineStr">
        <is>
          <t>Столичная</t>
        </is>
      </c>
      <c r="B51" s="398" t="n"/>
      <c r="C51" s="398" t="n"/>
      <c r="D51" s="398" t="n"/>
      <c r="E51" s="398" t="n"/>
      <c r="F51" s="398" t="n"/>
      <c r="G51" s="398" t="n"/>
      <c r="H51" s="398" t="n"/>
      <c r="I51" s="398" t="n"/>
      <c r="J51" s="398" t="n"/>
      <c r="K51" s="398" t="n"/>
      <c r="L51" s="398" t="n"/>
      <c r="M51" s="398" t="n"/>
      <c r="N51" s="398" t="n"/>
      <c r="O51" s="398" t="n"/>
      <c r="P51" s="398" t="n"/>
      <c r="Q51" s="398" t="n"/>
      <c r="R51" s="398" t="n"/>
      <c r="S51" s="398" t="n"/>
      <c r="T51" s="398" t="n"/>
      <c r="U51" s="398" t="n"/>
      <c r="V51" s="398" t="n"/>
      <c r="W51" s="398" t="n"/>
      <c r="X51" s="398" t="n"/>
      <c r="Y51" s="398" t="n"/>
      <c r="Z51" s="439" t="n"/>
      <c r="AA51" s="439" t="n"/>
    </row>
    <row r="52" ht="14.25" customHeight="1">
      <c r="A52" s="409" t="inlineStr">
        <is>
          <t>Ветчины</t>
        </is>
      </c>
      <c r="B52" s="398" t="n"/>
      <c r="C52" s="398" t="n"/>
      <c r="D52" s="398" t="n"/>
      <c r="E52" s="398" t="n"/>
      <c r="F52" s="398" t="n"/>
      <c r="G52" s="398" t="n"/>
      <c r="H52" s="398" t="n"/>
      <c r="I52" s="398" t="n"/>
      <c r="J52" s="398" t="n"/>
      <c r="K52" s="398" t="n"/>
      <c r="L52" s="398" t="n"/>
      <c r="M52" s="398" t="n"/>
      <c r="N52" s="398" t="n"/>
      <c r="O52" s="398" t="n"/>
      <c r="P52" s="398" t="n"/>
      <c r="Q52" s="398" t="n"/>
      <c r="R52" s="398" t="n"/>
      <c r="S52" s="398" t="n"/>
      <c r="T52" s="398" t="n"/>
      <c r="U52" s="398" t="n"/>
      <c r="V52" s="398" t="n"/>
      <c r="W52" s="398" t="n"/>
      <c r="X52" s="398" t="n"/>
      <c r="Y52" s="398" t="n"/>
      <c r="Z52" s="409" t="n"/>
      <c r="AA52" s="409" t="n"/>
    </row>
    <row r="53" ht="27" customHeight="1">
      <c r="A53" s="64" t="inlineStr">
        <is>
          <t>SU002828</t>
        </is>
      </c>
      <c r="B53" s="64" t="inlineStr">
        <is>
          <t>P003234</t>
        </is>
      </c>
      <c r="C53" s="37" t="n">
        <v>4301020234</v>
      </c>
      <c r="D53" s="401" t="n">
        <v>4680115881440</v>
      </c>
      <c r="E53" s="791" t="n"/>
      <c r="F53" s="825" t="n">
        <v>1.35</v>
      </c>
      <c r="G53" s="38" t="n">
        <v>8</v>
      </c>
      <c r="H53" s="825" t="n">
        <v>10.8</v>
      </c>
      <c r="I53" s="825" t="n">
        <v>11.28</v>
      </c>
      <c r="J53" s="38" t="n">
        <v>56</v>
      </c>
      <c r="K53" s="38" t="inlineStr">
        <is>
          <t>8</t>
        </is>
      </c>
      <c r="L53" s="39" t="inlineStr">
        <is>
          <t>СК1</t>
        </is>
      </c>
      <c r="M53" s="39" t="n"/>
      <c r="N53" s="38" t="n">
        <v>50</v>
      </c>
      <c r="O53" s="847">
        <f>HYPERLINK("https://abi.ru/products/Охлажденные/Вязанка/Столичная/Ветчины/P003234/","Ветчины «Филейская» Весовые Вектор ТМ «Вязанка»")</f>
        <v/>
      </c>
      <c r="P53" s="827" t="n"/>
      <c r="Q53" s="827" t="n"/>
      <c r="R53" s="827" t="n"/>
      <c r="S53" s="791" t="n"/>
      <c r="T53" s="40" t="inlineStr"/>
      <c r="U53" s="40" t="inlineStr"/>
      <c r="V53" s="41" t="inlineStr">
        <is>
          <t>кг</t>
        </is>
      </c>
      <c r="W53" s="828" t="n">
        <v>70</v>
      </c>
      <c r="X53" s="829">
        <f>IFERROR(IF(W53="",0,CEILING((W53/$H53),1)*$H53),"")</f>
        <v/>
      </c>
      <c r="Y53" s="42">
        <f>IFERROR(IF(X53=0,"",ROUNDUP(X53/H53,0)*0.02175),"")</f>
        <v/>
      </c>
      <c r="Z53" s="69" t="inlineStr"/>
      <c r="AA53" s="70" t="inlineStr"/>
      <c r="AE53" s="80" t="n"/>
      <c r="BB53" s="95" t="inlineStr">
        <is>
          <t>КИ</t>
        </is>
      </c>
      <c r="BL53" s="80">
        <f>IFERROR(W53*I53/H53,"0")</f>
        <v/>
      </c>
      <c r="BM53" s="80">
        <f>IFERROR(X53*I53/H53,"0")</f>
        <v/>
      </c>
      <c r="BN53" s="80">
        <f>IFERROR(1/J53*(W53/H53),"0")</f>
        <v/>
      </c>
      <c r="BO53" s="80">
        <f>IFERROR(1/J53*(X53/H53),"0")</f>
        <v/>
      </c>
    </row>
    <row r="54" ht="27" customHeight="1">
      <c r="A54" s="64" t="inlineStr">
        <is>
          <t>SU002814</t>
        </is>
      </c>
      <c r="B54" s="64" t="inlineStr">
        <is>
          <t>P003226</t>
        </is>
      </c>
      <c r="C54" s="37" t="n">
        <v>4301020232</v>
      </c>
      <c r="D54" s="401" t="n">
        <v>4680115881433</v>
      </c>
      <c r="E54" s="791" t="n"/>
      <c r="F54" s="825" t="n">
        <v>0.45</v>
      </c>
      <c r="G54" s="38" t="n">
        <v>6</v>
      </c>
      <c r="H54" s="825" t="n">
        <v>2.7</v>
      </c>
      <c r="I54" s="825" t="n">
        <v>2.9</v>
      </c>
      <c r="J54" s="38" t="n">
        <v>156</v>
      </c>
      <c r="K54" s="38" t="inlineStr">
        <is>
          <t>12</t>
        </is>
      </c>
      <c r="L54" s="39" t="inlineStr">
        <is>
          <t>СК1</t>
        </is>
      </c>
      <c r="M54" s="39" t="n"/>
      <c r="N54" s="38" t="n">
        <v>50</v>
      </c>
      <c r="O54" s="848">
        <f>HYPERLINK("https://abi.ru/products/Охлажденные/Вязанка/Столичная/Ветчины/P003226/","Ветчины «Филейская» Фикс.вес 0,45 Вектор ТМ «Вязанка»")</f>
        <v/>
      </c>
      <c r="P54" s="827" t="n"/>
      <c r="Q54" s="827" t="n"/>
      <c r="R54" s="827" t="n"/>
      <c r="S54" s="791" t="n"/>
      <c r="T54" s="40" t="inlineStr"/>
      <c r="U54" s="40" t="inlineStr"/>
      <c r="V54" s="41" t="inlineStr">
        <is>
          <t>кг</t>
        </is>
      </c>
      <c r="W54" s="828" t="n">
        <v>135</v>
      </c>
      <c r="X54" s="829">
        <f>IFERROR(IF(W54="",0,CEILING((W54/$H54),1)*$H54),"")</f>
        <v/>
      </c>
      <c r="Y54" s="42">
        <f>IFERROR(IF(X54=0,"",ROUNDUP(X54/H54,0)*0.00753),"")</f>
        <v/>
      </c>
      <c r="Z54" s="69" t="inlineStr"/>
      <c r="AA54" s="70" t="inlineStr"/>
      <c r="AE54" s="80" t="n"/>
      <c r="BB54" s="96" t="inlineStr">
        <is>
          <t>КИ</t>
        </is>
      </c>
      <c r="BL54" s="80">
        <f>IFERROR(W54*I54/H54,"0")</f>
        <v/>
      </c>
      <c r="BM54" s="80">
        <f>IFERROR(X54*I54/H54,"0")</f>
        <v/>
      </c>
      <c r="BN54" s="80">
        <f>IFERROR(1/J54*(W54/H54),"0")</f>
        <v/>
      </c>
      <c r="BO54" s="80">
        <f>IFERROR(1/J54*(X54/H54),"0")</f>
        <v/>
      </c>
    </row>
    <row r="55">
      <c r="A55" s="408" t="n"/>
      <c r="B55" s="398" t="n"/>
      <c r="C55" s="398" t="n"/>
      <c r="D55" s="398" t="n"/>
      <c r="E55" s="398" t="n"/>
      <c r="F55" s="398" t="n"/>
      <c r="G55" s="398" t="n"/>
      <c r="H55" s="398" t="n"/>
      <c r="I55" s="398" t="n"/>
      <c r="J55" s="398" t="n"/>
      <c r="K55" s="398" t="n"/>
      <c r="L55" s="398" t="n"/>
      <c r="M55" s="398" t="n"/>
      <c r="N55" s="831" t="n"/>
      <c r="O55" s="832" t="inlineStr">
        <is>
          <t>Итого</t>
        </is>
      </c>
      <c r="P55" s="799" t="n"/>
      <c r="Q55" s="799" t="n"/>
      <c r="R55" s="799" t="n"/>
      <c r="S55" s="799" t="n"/>
      <c r="T55" s="799" t="n"/>
      <c r="U55" s="800" t="n"/>
      <c r="V55" s="43" t="inlineStr">
        <is>
          <t>кор</t>
        </is>
      </c>
      <c r="W55" s="833">
        <f>IFERROR(W53/H53,"0")+IFERROR(W54/H54,"0")</f>
        <v/>
      </c>
      <c r="X55" s="833">
        <f>IFERROR(X53/H53,"0")+IFERROR(X54/H54,"0")</f>
        <v/>
      </c>
      <c r="Y55" s="833">
        <f>IFERROR(IF(Y53="",0,Y53),"0")+IFERROR(IF(Y54="",0,Y54),"0")</f>
        <v/>
      </c>
      <c r="Z55" s="834" t="n"/>
      <c r="AA55" s="834" t="n"/>
    </row>
    <row r="56">
      <c r="A56" s="398" t="n"/>
      <c r="B56" s="398" t="n"/>
      <c r="C56" s="398" t="n"/>
      <c r="D56" s="398" t="n"/>
      <c r="E56" s="398" t="n"/>
      <c r="F56" s="398" t="n"/>
      <c r="G56" s="398" t="n"/>
      <c r="H56" s="398" t="n"/>
      <c r="I56" s="398" t="n"/>
      <c r="J56" s="398" t="n"/>
      <c r="K56" s="398" t="n"/>
      <c r="L56" s="398" t="n"/>
      <c r="M56" s="398" t="n"/>
      <c r="N56" s="831" t="n"/>
      <c r="O56" s="832" t="inlineStr">
        <is>
          <t>Итого</t>
        </is>
      </c>
      <c r="P56" s="799" t="n"/>
      <c r="Q56" s="799" t="n"/>
      <c r="R56" s="799" t="n"/>
      <c r="S56" s="799" t="n"/>
      <c r="T56" s="799" t="n"/>
      <c r="U56" s="800" t="n"/>
      <c r="V56" s="43" t="inlineStr">
        <is>
          <t>кг</t>
        </is>
      </c>
      <c r="W56" s="833">
        <f>IFERROR(SUM(W53:W54),"0")</f>
        <v/>
      </c>
      <c r="X56" s="833">
        <f>IFERROR(SUM(X53:X54),"0")</f>
        <v/>
      </c>
      <c r="Y56" s="43" t="n"/>
      <c r="Z56" s="834" t="n"/>
      <c r="AA56" s="834" t="n"/>
    </row>
    <row r="57" ht="16.5" customHeight="1">
      <c r="A57" s="439" t="inlineStr">
        <is>
          <t>Классическая</t>
        </is>
      </c>
      <c r="B57" s="398" t="n"/>
      <c r="C57" s="398" t="n"/>
      <c r="D57" s="398" t="n"/>
      <c r="E57" s="398" t="n"/>
      <c r="F57" s="398" t="n"/>
      <c r="G57" s="398" t="n"/>
      <c r="H57" s="398" t="n"/>
      <c r="I57" s="398" t="n"/>
      <c r="J57" s="398" t="n"/>
      <c r="K57" s="398" t="n"/>
      <c r="L57" s="398" t="n"/>
      <c r="M57" s="398" t="n"/>
      <c r="N57" s="398" t="n"/>
      <c r="O57" s="398" t="n"/>
      <c r="P57" s="398" t="n"/>
      <c r="Q57" s="398" t="n"/>
      <c r="R57" s="398" t="n"/>
      <c r="S57" s="398" t="n"/>
      <c r="T57" s="398" t="n"/>
      <c r="U57" s="398" t="n"/>
      <c r="V57" s="398" t="n"/>
      <c r="W57" s="398" t="n"/>
      <c r="X57" s="398" t="n"/>
      <c r="Y57" s="398" t="n"/>
      <c r="Z57" s="439" t="n"/>
      <c r="AA57" s="439" t="n"/>
    </row>
    <row r="58" ht="14.25" customHeight="1">
      <c r="A58" s="409" t="inlineStr">
        <is>
          <t>Вареные колбасы</t>
        </is>
      </c>
      <c r="B58" s="398" t="n"/>
      <c r="C58" s="398" t="n"/>
      <c r="D58" s="398" t="n"/>
      <c r="E58" s="398" t="n"/>
      <c r="F58" s="398" t="n"/>
      <c r="G58" s="398" t="n"/>
      <c r="H58" s="398" t="n"/>
      <c r="I58" s="398" t="n"/>
      <c r="J58" s="398" t="n"/>
      <c r="K58" s="398" t="n"/>
      <c r="L58" s="398" t="n"/>
      <c r="M58" s="398" t="n"/>
      <c r="N58" s="398" t="n"/>
      <c r="O58" s="398" t="n"/>
      <c r="P58" s="398" t="n"/>
      <c r="Q58" s="398" t="n"/>
      <c r="R58" s="398" t="n"/>
      <c r="S58" s="398" t="n"/>
      <c r="T58" s="398" t="n"/>
      <c r="U58" s="398" t="n"/>
      <c r="V58" s="398" t="n"/>
      <c r="W58" s="398" t="n"/>
      <c r="X58" s="398" t="n"/>
      <c r="Y58" s="398" t="n"/>
      <c r="Z58" s="409" t="n"/>
      <c r="AA58" s="409" t="n"/>
    </row>
    <row r="59" ht="27" customHeight="1">
      <c r="A59" s="64" t="inlineStr">
        <is>
          <t>SU002829</t>
        </is>
      </c>
      <c r="B59" s="64" t="inlineStr">
        <is>
          <t>P003235</t>
        </is>
      </c>
      <c r="C59" s="37" t="n">
        <v>4301011452</v>
      </c>
      <c r="D59" s="401" t="n">
        <v>4680115881426</v>
      </c>
      <c r="E59" s="791" t="n"/>
      <c r="F59" s="825" t="n">
        <v>1.35</v>
      </c>
      <c r="G59" s="38" t="n">
        <v>8</v>
      </c>
      <c r="H59" s="825" t="n">
        <v>10.8</v>
      </c>
      <c r="I59" s="825" t="n">
        <v>11.28</v>
      </c>
      <c r="J59" s="38" t="n">
        <v>56</v>
      </c>
      <c r="K59" s="38" t="inlineStr">
        <is>
          <t>8</t>
        </is>
      </c>
      <c r="L59" s="39" t="inlineStr">
        <is>
          <t>СК1</t>
        </is>
      </c>
      <c r="M59" s="39" t="n"/>
      <c r="N59" s="38" t="n">
        <v>50</v>
      </c>
      <c r="O59" s="84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P59" s="827" t="n"/>
      <c r="Q59" s="827" t="n"/>
      <c r="R59" s="827" t="n"/>
      <c r="S59" s="791" t="n"/>
      <c r="T59" s="40" t="inlineStr"/>
      <c r="U59" s="40" t="inlineStr"/>
      <c r="V59" s="41" t="inlineStr">
        <is>
          <t>кг</t>
        </is>
      </c>
      <c r="W59" s="828" t="n">
        <v>400</v>
      </c>
      <c r="X59" s="829">
        <f>IFERROR(IF(W59="",0,CEILING((W59/$H59),1)*$H59),"")</f>
        <v/>
      </c>
      <c r="Y59" s="42">
        <f>IFERROR(IF(X59=0,"",ROUNDUP(X59/H59,0)*0.02175),"")</f>
        <v/>
      </c>
      <c r="Z59" s="69" t="inlineStr"/>
      <c r="AA59" s="70" t="inlineStr"/>
      <c r="AE59" s="80" t="n"/>
      <c r="BB59" s="97" t="inlineStr">
        <is>
          <t>КИ</t>
        </is>
      </c>
      <c r="BL59" s="80">
        <f>IFERROR(W59*I59/H59,"0")</f>
        <v/>
      </c>
      <c r="BM59" s="80">
        <f>IFERROR(X59*I59/H59,"0")</f>
        <v/>
      </c>
      <c r="BN59" s="80">
        <f>IFERROR(1/J59*(W59/H59),"0")</f>
        <v/>
      </c>
      <c r="BO59" s="80">
        <f>IFERROR(1/J59*(X59/H59),"0")</f>
        <v/>
      </c>
    </row>
    <row r="60" ht="27" customHeight="1">
      <c r="A60" s="64" t="inlineStr">
        <is>
          <t>SU002829</t>
        </is>
      </c>
      <c r="B60" s="64" t="inlineStr">
        <is>
          <t>P003298</t>
        </is>
      </c>
      <c r="C60" s="37" t="n">
        <v>4301011481</v>
      </c>
      <c r="D60" s="401" t="n">
        <v>4680115881426</v>
      </c>
      <c r="E60" s="791" t="n"/>
      <c r="F60" s="825" t="n">
        <v>1.35</v>
      </c>
      <c r="G60" s="38" t="n">
        <v>8</v>
      </c>
      <c r="H60" s="825" t="n">
        <v>10.8</v>
      </c>
      <c r="I60" s="825" t="n">
        <v>11.28</v>
      </c>
      <c r="J60" s="38" t="n">
        <v>48</v>
      </c>
      <c r="K60" s="38" t="inlineStr">
        <is>
          <t>8</t>
        </is>
      </c>
      <c r="L60" s="39" t="inlineStr">
        <is>
          <t>ВЗ</t>
        </is>
      </c>
      <c r="M60" s="39" t="n"/>
      <c r="N60" s="38" t="n">
        <v>55</v>
      </c>
      <c r="O60" s="850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P60" s="827" t="n"/>
      <c r="Q60" s="827" t="n"/>
      <c r="R60" s="827" t="n"/>
      <c r="S60" s="791" t="n"/>
      <c r="T60" s="40" t="inlineStr"/>
      <c r="U60" s="40" t="inlineStr"/>
      <c r="V60" s="41" t="inlineStr">
        <is>
          <t>кг</t>
        </is>
      </c>
      <c r="W60" s="828" t="n">
        <v>0</v>
      </c>
      <c r="X60" s="829">
        <f>IFERROR(IF(W60="",0,CEILING((W60/$H60),1)*$H60),"")</f>
        <v/>
      </c>
      <c r="Y60" s="42">
        <f>IFERROR(IF(X60=0,"",ROUNDUP(X60/H60,0)*0.02039),"")</f>
        <v/>
      </c>
      <c r="Z60" s="69" t="inlineStr"/>
      <c r="AA60" s="70" t="inlineStr"/>
      <c r="AE60" s="80" t="n"/>
      <c r="BB60" s="98" t="inlineStr">
        <is>
          <t>КИ</t>
        </is>
      </c>
      <c r="BL60" s="80">
        <f>IFERROR(W60*I60/H60,"0")</f>
        <v/>
      </c>
      <c r="BM60" s="80">
        <f>IFERROR(X60*I60/H60,"0")</f>
        <v/>
      </c>
      <c r="BN60" s="80">
        <f>IFERROR(1/J60*(W60/H60),"0")</f>
        <v/>
      </c>
      <c r="BO60" s="80">
        <f>IFERROR(1/J60*(X60/H60),"0")</f>
        <v/>
      </c>
    </row>
    <row r="61" ht="27" customHeight="1">
      <c r="A61" s="64" t="inlineStr">
        <is>
          <t>SU002815</t>
        </is>
      </c>
      <c r="B61" s="64" t="inlineStr">
        <is>
          <t>P003227</t>
        </is>
      </c>
      <c r="C61" s="37" t="n">
        <v>4301011437</v>
      </c>
      <c r="D61" s="401" t="n">
        <v>4680115881419</v>
      </c>
      <c r="E61" s="791" t="n"/>
      <c r="F61" s="825" t="n">
        <v>0.45</v>
      </c>
      <c r="G61" s="38" t="n">
        <v>10</v>
      </c>
      <c r="H61" s="825" t="n">
        <v>4.5</v>
      </c>
      <c r="I61" s="825" t="n">
        <v>4.74</v>
      </c>
      <c r="J61" s="38" t="n">
        <v>120</v>
      </c>
      <c r="K61" s="38" t="inlineStr">
        <is>
          <t>12</t>
        </is>
      </c>
      <c r="L61" s="39" t="inlineStr">
        <is>
          <t>СК1</t>
        </is>
      </c>
      <c r="M61" s="39" t="n"/>
      <c r="N61" s="38" t="n">
        <v>50</v>
      </c>
      <c r="O61" s="85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P61" s="827" t="n"/>
      <c r="Q61" s="827" t="n"/>
      <c r="R61" s="827" t="n"/>
      <c r="S61" s="791" t="n"/>
      <c r="T61" s="40" t="inlineStr"/>
      <c r="U61" s="40" t="inlineStr"/>
      <c r="V61" s="41" t="inlineStr">
        <is>
          <t>кг</t>
        </is>
      </c>
      <c r="W61" s="828" t="n">
        <v>450</v>
      </c>
      <c r="X61" s="829">
        <f>IFERROR(IF(W61="",0,CEILING((W61/$H61),1)*$H61),"")</f>
        <v/>
      </c>
      <c r="Y61" s="42">
        <f>IFERROR(IF(X61=0,"",ROUNDUP(X61/H61,0)*0.00937),"")</f>
        <v/>
      </c>
      <c r="Z61" s="69" t="inlineStr"/>
      <c r="AA61" s="70" t="inlineStr"/>
      <c r="AE61" s="80" t="n"/>
      <c r="BB61" s="99" t="inlineStr">
        <is>
          <t>КИ</t>
        </is>
      </c>
      <c r="BL61" s="80">
        <f>IFERROR(W61*I61/H61,"0")</f>
        <v/>
      </c>
      <c r="BM61" s="80">
        <f>IFERROR(X61*I61/H61,"0")</f>
        <v/>
      </c>
      <c r="BN61" s="80">
        <f>IFERROR(1/J61*(W61/H61),"0")</f>
        <v/>
      </c>
      <c r="BO61" s="80">
        <f>IFERROR(1/J61*(X61/H61),"0")</f>
        <v/>
      </c>
    </row>
    <row r="62" ht="27" customHeight="1">
      <c r="A62" s="64" t="inlineStr">
        <is>
          <t>SU002831</t>
        </is>
      </c>
      <c r="B62" s="64" t="inlineStr">
        <is>
          <t>P003243</t>
        </is>
      </c>
      <c r="C62" s="37" t="n">
        <v>4301011458</v>
      </c>
      <c r="D62" s="401" t="n">
        <v>4680115881525</v>
      </c>
      <c r="E62" s="791" t="n"/>
      <c r="F62" s="825" t="n">
        <v>0.4</v>
      </c>
      <c r="G62" s="38" t="n">
        <v>10</v>
      </c>
      <c r="H62" s="825" t="n">
        <v>4</v>
      </c>
      <c r="I62" s="825" t="n">
        <v>4.24</v>
      </c>
      <c r="J62" s="38" t="n">
        <v>120</v>
      </c>
      <c r="K62" s="38" t="inlineStr">
        <is>
          <t>12</t>
        </is>
      </c>
      <c r="L62" s="39" t="inlineStr">
        <is>
          <t>СК1</t>
        </is>
      </c>
      <c r="M62" s="39" t="n"/>
      <c r="N62" s="38" t="n">
        <v>50</v>
      </c>
      <c r="O62" s="852" t="inlineStr">
        <is>
          <t>Колбаса вареная Филейская ТМ Вязанка ТС Классическая полиамид ф/в 0,4 кг</t>
        </is>
      </c>
      <c r="P62" s="827" t="n"/>
      <c r="Q62" s="827" t="n"/>
      <c r="R62" s="827" t="n"/>
      <c r="S62" s="791" t="n"/>
      <c r="T62" s="40" t="inlineStr"/>
      <c r="U62" s="40" t="inlineStr"/>
      <c r="V62" s="41" t="inlineStr">
        <is>
          <t>кг</t>
        </is>
      </c>
      <c r="W62" s="828" t="n">
        <v>0</v>
      </c>
      <c r="X62" s="829">
        <f>IFERROR(IF(W62="",0,CEILING((W62/$H62),1)*$H62),"")</f>
        <v/>
      </c>
      <c r="Y62" s="42">
        <f>IFERROR(IF(X62=0,"",ROUNDUP(X62/H62,0)*0.00937),"")</f>
        <v/>
      </c>
      <c r="Z62" s="69" t="inlineStr"/>
      <c r="AA62" s="70" t="inlineStr"/>
      <c r="AE62" s="80" t="n"/>
      <c r="BB62" s="100" t="inlineStr">
        <is>
          <t>КИ</t>
        </is>
      </c>
      <c r="BL62" s="80">
        <f>IFERROR(W62*I62/H62,"0")</f>
        <v/>
      </c>
      <c r="BM62" s="80">
        <f>IFERROR(X62*I62/H62,"0")</f>
        <v/>
      </c>
      <c r="BN62" s="80">
        <f>IFERROR(1/J62*(W62/H62),"0")</f>
        <v/>
      </c>
      <c r="BO62" s="80">
        <f>IFERROR(1/J62*(X62/H62),"0")</f>
        <v/>
      </c>
    </row>
    <row r="63">
      <c r="A63" s="408" t="n"/>
      <c r="B63" s="398" t="n"/>
      <c r="C63" s="398" t="n"/>
      <c r="D63" s="398" t="n"/>
      <c r="E63" s="398" t="n"/>
      <c r="F63" s="398" t="n"/>
      <c r="G63" s="398" t="n"/>
      <c r="H63" s="398" t="n"/>
      <c r="I63" s="398" t="n"/>
      <c r="J63" s="398" t="n"/>
      <c r="K63" s="398" t="n"/>
      <c r="L63" s="398" t="n"/>
      <c r="M63" s="398" t="n"/>
      <c r="N63" s="831" t="n"/>
      <c r="O63" s="832" t="inlineStr">
        <is>
          <t>Итого</t>
        </is>
      </c>
      <c r="P63" s="799" t="n"/>
      <c r="Q63" s="799" t="n"/>
      <c r="R63" s="799" t="n"/>
      <c r="S63" s="799" t="n"/>
      <c r="T63" s="799" t="n"/>
      <c r="U63" s="800" t="n"/>
      <c r="V63" s="43" t="inlineStr">
        <is>
          <t>кор</t>
        </is>
      </c>
      <c r="W63" s="833">
        <f>IFERROR(W59/H59,"0")+IFERROR(W60/H60,"0")+IFERROR(W61/H61,"0")+IFERROR(W62/H62,"0")</f>
        <v/>
      </c>
      <c r="X63" s="833">
        <f>IFERROR(X59/H59,"0")+IFERROR(X60/H60,"0")+IFERROR(X61/H61,"0")+IFERROR(X62/H62,"0")</f>
        <v/>
      </c>
      <c r="Y63" s="833">
        <f>IFERROR(IF(Y59="",0,Y59),"0")+IFERROR(IF(Y60="",0,Y60),"0")+IFERROR(IF(Y61="",0,Y61),"0")+IFERROR(IF(Y62="",0,Y62),"0")</f>
        <v/>
      </c>
      <c r="Z63" s="834" t="n"/>
      <c r="AA63" s="834" t="n"/>
    </row>
    <row r="64">
      <c r="A64" s="398" t="n"/>
      <c r="B64" s="398" t="n"/>
      <c r="C64" s="398" t="n"/>
      <c r="D64" s="398" t="n"/>
      <c r="E64" s="398" t="n"/>
      <c r="F64" s="398" t="n"/>
      <c r="G64" s="398" t="n"/>
      <c r="H64" s="398" t="n"/>
      <c r="I64" s="398" t="n"/>
      <c r="J64" s="398" t="n"/>
      <c r="K64" s="398" t="n"/>
      <c r="L64" s="398" t="n"/>
      <c r="M64" s="398" t="n"/>
      <c r="N64" s="831" t="n"/>
      <c r="O64" s="832" t="inlineStr">
        <is>
          <t>Итого</t>
        </is>
      </c>
      <c r="P64" s="799" t="n"/>
      <c r="Q64" s="799" t="n"/>
      <c r="R64" s="799" t="n"/>
      <c r="S64" s="799" t="n"/>
      <c r="T64" s="799" t="n"/>
      <c r="U64" s="800" t="n"/>
      <c r="V64" s="43" t="inlineStr">
        <is>
          <t>кг</t>
        </is>
      </c>
      <c r="W64" s="833">
        <f>IFERROR(SUM(W59:W62),"0")</f>
        <v/>
      </c>
      <c r="X64" s="833">
        <f>IFERROR(SUM(X59:X62),"0")</f>
        <v/>
      </c>
      <c r="Y64" s="43" t="n"/>
      <c r="Z64" s="834" t="n"/>
      <c r="AA64" s="834" t="n"/>
    </row>
    <row r="65" ht="16.5" customHeight="1">
      <c r="A65" s="439" t="inlineStr">
        <is>
          <t>Вязанка</t>
        </is>
      </c>
      <c r="B65" s="398" t="n"/>
      <c r="C65" s="398" t="n"/>
      <c r="D65" s="398" t="n"/>
      <c r="E65" s="398" t="n"/>
      <c r="F65" s="398" t="n"/>
      <c r="G65" s="398" t="n"/>
      <c r="H65" s="398" t="n"/>
      <c r="I65" s="398" t="n"/>
      <c r="J65" s="398" t="n"/>
      <c r="K65" s="398" t="n"/>
      <c r="L65" s="398" t="n"/>
      <c r="M65" s="398" t="n"/>
      <c r="N65" s="398" t="n"/>
      <c r="O65" s="398" t="n"/>
      <c r="P65" s="398" t="n"/>
      <c r="Q65" s="398" t="n"/>
      <c r="R65" s="398" t="n"/>
      <c r="S65" s="398" t="n"/>
      <c r="T65" s="398" t="n"/>
      <c r="U65" s="398" t="n"/>
      <c r="V65" s="398" t="n"/>
      <c r="W65" s="398" t="n"/>
      <c r="X65" s="398" t="n"/>
      <c r="Y65" s="398" t="n"/>
      <c r="Z65" s="439" t="n"/>
      <c r="AA65" s="439" t="n"/>
    </row>
    <row r="66" ht="14.25" customHeight="1">
      <c r="A66" s="409" t="inlineStr">
        <is>
          <t>Вареные колбасы</t>
        </is>
      </c>
      <c r="B66" s="398" t="n"/>
      <c r="C66" s="398" t="n"/>
      <c r="D66" s="398" t="n"/>
      <c r="E66" s="398" t="n"/>
      <c r="F66" s="398" t="n"/>
      <c r="G66" s="398" t="n"/>
      <c r="H66" s="398" t="n"/>
      <c r="I66" s="398" t="n"/>
      <c r="J66" s="398" t="n"/>
      <c r="K66" s="398" t="n"/>
      <c r="L66" s="398" t="n"/>
      <c r="M66" s="398" t="n"/>
      <c r="N66" s="398" t="n"/>
      <c r="O66" s="398" t="n"/>
      <c r="P66" s="398" t="n"/>
      <c r="Q66" s="398" t="n"/>
      <c r="R66" s="398" t="n"/>
      <c r="S66" s="398" t="n"/>
      <c r="T66" s="398" t="n"/>
      <c r="U66" s="398" t="n"/>
      <c r="V66" s="398" t="n"/>
      <c r="W66" s="398" t="n"/>
      <c r="X66" s="398" t="n"/>
      <c r="Y66" s="398" t="n"/>
      <c r="Z66" s="409" t="n"/>
      <c r="AA66" s="409" t="n"/>
    </row>
    <row r="67" ht="27" customHeight="1">
      <c r="A67" s="64" t="inlineStr">
        <is>
          <t>SU000124</t>
        </is>
      </c>
      <c r="B67" s="64" t="inlineStr">
        <is>
          <t>P003690</t>
        </is>
      </c>
      <c r="C67" s="37" t="n">
        <v>4301011623</v>
      </c>
      <c r="D67" s="401" t="n">
        <v>4607091382945</v>
      </c>
      <c r="E67" s="791" t="n"/>
      <c r="F67" s="825" t="n">
        <v>1.4</v>
      </c>
      <c r="G67" s="38" t="n">
        <v>8</v>
      </c>
      <c r="H67" s="825" t="n">
        <v>11.2</v>
      </c>
      <c r="I67" s="825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9" t="n"/>
      <c r="N67" s="38" t="n">
        <v>50</v>
      </c>
      <c r="O67" s="853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P67" s="827" t="n"/>
      <c r="Q67" s="827" t="n"/>
      <c r="R67" s="827" t="n"/>
      <c r="S67" s="791" t="n"/>
      <c r="T67" s="40" t="inlineStr"/>
      <c r="U67" s="40" t="inlineStr"/>
      <c r="V67" s="41" t="inlineStr">
        <is>
          <t>кг</t>
        </is>
      </c>
      <c r="W67" s="828" t="n">
        <v>0</v>
      </c>
      <c r="X67" s="829">
        <f>IFERROR(IF(W67="",0,CEILING((W67/$H67),1)*$H67),"")</f>
        <v/>
      </c>
      <c r="Y67" s="42">
        <f>IFERROR(IF(X67=0,"",ROUNDUP(X67/H67,0)*0.02175),"")</f>
        <v/>
      </c>
      <c r="Z67" s="69" t="inlineStr"/>
      <c r="AA67" s="70" t="inlineStr"/>
      <c r="AE67" s="80" t="n"/>
      <c r="BB67" s="101" t="inlineStr">
        <is>
          <t>КИ</t>
        </is>
      </c>
      <c r="BL67" s="80">
        <f>IFERROR(W67*I67/H67,"0")</f>
        <v/>
      </c>
      <c r="BM67" s="80">
        <f>IFERROR(X67*I67/H67,"0")</f>
        <v/>
      </c>
      <c r="BN67" s="80">
        <f>IFERROR(1/J67*(W67/H67),"0")</f>
        <v/>
      </c>
      <c r="BO67" s="80">
        <f>IFERROR(1/J67*(X67/H67),"0")</f>
        <v/>
      </c>
    </row>
    <row r="68" ht="27" customHeight="1">
      <c r="A68" s="64" t="inlineStr">
        <is>
          <t>SU000722</t>
        </is>
      </c>
      <c r="B68" s="64" t="inlineStr">
        <is>
          <t>P003011</t>
        </is>
      </c>
      <c r="C68" s="37" t="n">
        <v>4301011380</v>
      </c>
      <c r="D68" s="401" t="n">
        <v>4607091385670</v>
      </c>
      <c r="E68" s="791" t="n"/>
      <c r="F68" s="825" t="n">
        <v>1.35</v>
      </c>
      <c r="G68" s="38" t="n">
        <v>8</v>
      </c>
      <c r="H68" s="825" t="n">
        <v>10.8</v>
      </c>
      <c r="I68" s="825" t="n">
        <v>11.28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9" t="n"/>
      <c r="N68" s="38" t="n">
        <v>50</v>
      </c>
      <c r="O68" s="854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P68" s="827" t="n"/>
      <c r="Q68" s="827" t="n"/>
      <c r="R68" s="827" t="n"/>
      <c r="S68" s="791" t="n"/>
      <c r="T68" s="40" t="inlineStr"/>
      <c r="U68" s="40" t="inlineStr"/>
      <c r="V68" s="41" t="inlineStr">
        <is>
          <t>кг</t>
        </is>
      </c>
      <c r="W68" s="828" t="n">
        <v>150</v>
      </c>
      <c r="X68" s="829">
        <f>IFERROR(IF(W68="",0,CEILING((W68/$H68),1)*$H68),"")</f>
        <v/>
      </c>
      <c r="Y68" s="42">
        <f>IFERROR(IF(X68=0,"",ROUNDUP(X68/H68,0)*0.02175),"")</f>
        <v/>
      </c>
      <c r="Z68" s="69" t="inlineStr"/>
      <c r="AA68" s="70" t="inlineStr"/>
      <c r="AE68" s="80" t="n"/>
      <c r="BB68" s="102" t="inlineStr">
        <is>
          <t>КИ</t>
        </is>
      </c>
      <c r="BL68" s="80">
        <f>IFERROR(W68*I68/H68,"0")</f>
        <v/>
      </c>
      <c r="BM68" s="80">
        <f>IFERROR(X68*I68/H68,"0")</f>
        <v/>
      </c>
      <c r="BN68" s="80">
        <f>IFERROR(1/J68*(W68/H68),"0")</f>
        <v/>
      </c>
      <c r="BO68" s="80">
        <f>IFERROR(1/J68*(X68/H68),"0")</f>
        <v/>
      </c>
    </row>
    <row r="69" ht="27" customHeight="1">
      <c r="A69" s="64" t="inlineStr">
        <is>
          <t>SU000722</t>
        </is>
      </c>
      <c r="B69" s="64" t="inlineStr">
        <is>
          <t>P003369</t>
        </is>
      </c>
      <c r="C69" s="37" t="n">
        <v>4301011540</v>
      </c>
      <c r="D69" s="401" t="n">
        <v>4607091385670</v>
      </c>
      <c r="E69" s="791" t="n"/>
      <c r="F69" s="825" t="n">
        <v>1.4</v>
      </c>
      <c r="G69" s="38" t="n">
        <v>8</v>
      </c>
      <c r="H69" s="825" t="n">
        <v>11.2</v>
      </c>
      <c r="I69" s="825" t="n">
        <v>11.68</v>
      </c>
      <c r="J69" s="38" t="n">
        <v>56</v>
      </c>
      <c r="K69" s="38" t="inlineStr">
        <is>
          <t>8</t>
        </is>
      </c>
      <c r="L69" s="39" t="inlineStr">
        <is>
          <t>СК3</t>
        </is>
      </c>
      <c r="M69" s="39" t="n"/>
      <c r="N69" s="38" t="n">
        <v>50</v>
      </c>
      <c r="O69" s="855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P69" s="827" t="n"/>
      <c r="Q69" s="827" t="n"/>
      <c r="R69" s="827" t="n"/>
      <c r="S69" s="791" t="n"/>
      <c r="T69" s="40" t="inlineStr"/>
      <c r="U69" s="40" t="inlineStr"/>
      <c r="V69" s="41" t="inlineStr">
        <is>
          <t>кг</t>
        </is>
      </c>
      <c r="W69" s="828" t="n">
        <v>0</v>
      </c>
      <c r="X69" s="829">
        <f>IFERROR(IF(W69="",0,CEILING((W69/$H69),1)*$H69),"")</f>
        <v/>
      </c>
      <c r="Y69" s="42">
        <f>IFERROR(IF(X69=0,"",ROUNDUP(X69/H69,0)*0.02175),"")</f>
        <v/>
      </c>
      <c r="Z69" s="69" t="inlineStr"/>
      <c r="AA69" s="70" t="inlineStr"/>
      <c r="AE69" s="80" t="n"/>
      <c r="BB69" s="103" t="inlineStr">
        <is>
          <t>КИ</t>
        </is>
      </c>
      <c r="BL69" s="80">
        <f>IFERROR(W69*I69/H69,"0")</f>
        <v/>
      </c>
      <c r="BM69" s="80">
        <f>IFERROR(X69*I69/H69,"0")</f>
        <v/>
      </c>
      <c r="BN69" s="80">
        <f>IFERROR(1/J69*(W69/H69),"0")</f>
        <v/>
      </c>
      <c r="BO69" s="80">
        <f>IFERROR(1/J69*(X69/H69),"0")</f>
        <v/>
      </c>
    </row>
    <row r="70" ht="27" customHeight="1">
      <c r="A70" s="64" t="inlineStr">
        <is>
          <t>SU003111</t>
        </is>
      </c>
      <c r="B70" s="64" t="inlineStr">
        <is>
          <t>P003694</t>
        </is>
      </c>
      <c r="C70" s="37" t="n">
        <v>4301011625</v>
      </c>
      <c r="D70" s="401" t="n">
        <v>4680115883956</v>
      </c>
      <c r="E70" s="791" t="n"/>
      <c r="F70" s="825" t="n">
        <v>1.4</v>
      </c>
      <c r="G70" s="38" t="n">
        <v>8</v>
      </c>
      <c r="H70" s="825" t="n">
        <v>11.2</v>
      </c>
      <c r="I70" s="825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9" t="n"/>
      <c r="N70" s="38" t="n">
        <v>50</v>
      </c>
      <c r="O70" s="856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P70" s="827" t="n"/>
      <c r="Q70" s="827" t="n"/>
      <c r="R70" s="827" t="n"/>
      <c r="S70" s="791" t="n"/>
      <c r="T70" s="40" t="inlineStr"/>
      <c r="U70" s="40" t="inlineStr"/>
      <c r="V70" s="41" t="inlineStr">
        <is>
          <t>кг</t>
        </is>
      </c>
      <c r="W70" s="828" t="n">
        <v>0</v>
      </c>
      <c r="X70" s="829">
        <f>IFERROR(IF(W70="",0,CEILING((W70/$H70),1)*$H70),"")</f>
        <v/>
      </c>
      <c r="Y70" s="42">
        <f>IFERROR(IF(X70=0,"",ROUNDUP(X70/H70,0)*0.02175),"")</f>
        <v/>
      </c>
      <c r="Z70" s="69" t="inlineStr"/>
      <c r="AA70" s="70" t="inlineStr"/>
      <c r="AE70" s="80" t="n"/>
      <c r="BB70" s="104" t="inlineStr">
        <is>
          <t>КИ</t>
        </is>
      </c>
      <c r="BL70" s="80">
        <f>IFERROR(W70*I70/H70,"0")</f>
        <v/>
      </c>
      <c r="BM70" s="80">
        <f>IFERROR(X70*I70/H70,"0")</f>
        <v/>
      </c>
      <c r="BN70" s="80">
        <f>IFERROR(1/J70*(W70/H70),"0")</f>
        <v/>
      </c>
      <c r="BO70" s="80">
        <f>IFERROR(1/J70*(X70/H70),"0")</f>
        <v/>
      </c>
    </row>
    <row r="71" ht="27" customHeight="1">
      <c r="A71" s="64" t="inlineStr">
        <is>
          <t>SU002830</t>
        </is>
      </c>
      <c r="B71" s="64" t="inlineStr">
        <is>
          <t>P003239</t>
        </is>
      </c>
      <c r="C71" s="37" t="n">
        <v>4301011468</v>
      </c>
      <c r="D71" s="401" t="n">
        <v>4680115881327</v>
      </c>
      <c r="E71" s="791" t="n"/>
      <c r="F71" s="825" t="n">
        <v>1.35</v>
      </c>
      <c r="G71" s="38" t="n">
        <v>8</v>
      </c>
      <c r="H71" s="825" t="n">
        <v>10.8</v>
      </c>
      <c r="I71" s="825" t="n">
        <v>11.28</v>
      </c>
      <c r="J71" s="38" t="n">
        <v>56</v>
      </c>
      <c r="K71" s="38" t="inlineStr">
        <is>
          <t>8</t>
        </is>
      </c>
      <c r="L71" s="39" t="inlineStr">
        <is>
          <t>СК4</t>
        </is>
      </c>
      <c r="M71" s="39" t="n"/>
      <c r="N71" s="38" t="n">
        <v>50</v>
      </c>
      <c r="O71" s="857">
        <f>HYPERLINK("https://abi.ru/products/Охлажденные/Вязанка/Вязанка/Вареные колбасы/P003239/","Вареные колбасы Молокуша Вязанка Вес п/а Вязанка")</f>
        <v/>
      </c>
      <c r="P71" s="827" t="n"/>
      <c r="Q71" s="827" t="n"/>
      <c r="R71" s="827" t="n"/>
      <c r="S71" s="791" t="n"/>
      <c r="T71" s="40" t="inlineStr"/>
      <c r="U71" s="40" t="inlineStr"/>
      <c r="V71" s="41" t="inlineStr">
        <is>
          <t>кг</t>
        </is>
      </c>
      <c r="W71" s="828" t="n">
        <v>220</v>
      </c>
      <c r="X71" s="829">
        <f>IFERROR(IF(W71="",0,CEILING((W71/$H71),1)*$H71),"")</f>
        <v/>
      </c>
      <c r="Y71" s="42">
        <f>IFERROR(IF(X71=0,"",ROUNDUP(X71/H71,0)*0.02175),"")</f>
        <v/>
      </c>
      <c r="Z71" s="69" t="inlineStr"/>
      <c r="AA71" s="70" t="inlineStr"/>
      <c r="AE71" s="80" t="n"/>
      <c r="BB71" s="105" t="inlineStr">
        <is>
          <t>КИ</t>
        </is>
      </c>
      <c r="BL71" s="80">
        <f>IFERROR(W71*I71/H71,"0")</f>
        <v/>
      </c>
      <c r="BM71" s="80">
        <f>IFERROR(X71*I71/H71,"0")</f>
        <v/>
      </c>
      <c r="BN71" s="80">
        <f>IFERROR(1/J71*(W71/H71),"0")</f>
        <v/>
      </c>
      <c r="BO71" s="80">
        <f>IFERROR(1/J71*(X71/H71),"0")</f>
        <v/>
      </c>
    </row>
    <row r="72" ht="16.5" customHeight="1">
      <c r="A72" s="64" t="inlineStr">
        <is>
          <t>SU002928</t>
        </is>
      </c>
      <c r="B72" s="64" t="inlineStr">
        <is>
          <t>P003902</t>
        </is>
      </c>
      <c r="C72" s="37" t="n">
        <v>4301011703</v>
      </c>
      <c r="D72" s="401" t="n">
        <v>4680115882133</v>
      </c>
      <c r="E72" s="791" t="n"/>
      <c r="F72" s="825" t="n">
        <v>1.4</v>
      </c>
      <c r="G72" s="38" t="n">
        <v>8</v>
      </c>
      <c r="H72" s="825" t="n">
        <v>11.2</v>
      </c>
      <c r="I72" s="825" t="n">
        <v>11.68</v>
      </c>
      <c r="J72" s="38" t="n">
        <v>56</v>
      </c>
      <c r="K72" s="38" t="inlineStr">
        <is>
          <t>8</t>
        </is>
      </c>
      <c r="L72" s="39" t="inlineStr">
        <is>
          <t>СК1</t>
        </is>
      </c>
      <c r="M72" s="39" t="n"/>
      <c r="N72" s="38" t="n">
        <v>50</v>
      </c>
      <c r="O72" s="858">
        <f>HYPERLINK("https://abi.ru/products/Охлажденные/Вязанка/Вязанка/Вареные колбасы/P003902/","Вареные колбасы «Сливушка» Вес П/а ТМ «Вязанка»")</f>
        <v/>
      </c>
      <c r="P72" s="827" t="n"/>
      <c r="Q72" s="827" t="n"/>
      <c r="R72" s="827" t="n"/>
      <c r="S72" s="791" t="n"/>
      <c r="T72" s="40" t="inlineStr"/>
      <c r="U72" s="40" t="inlineStr"/>
      <c r="V72" s="41" t="inlineStr">
        <is>
          <t>кг</t>
        </is>
      </c>
      <c r="W72" s="828" t="n">
        <v>70</v>
      </c>
      <c r="X72" s="829">
        <f>IFERROR(IF(W72="",0,CEILING((W72/$H72),1)*$H72),"")</f>
        <v/>
      </c>
      <c r="Y72" s="42">
        <f>IFERROR(IF(X72=0,"",ROUNDUP(X72/H72,0)*0.02175),"")</f>
        <v/>
      </c>
      <c r="Z72" s="69" t="inlineStr"/>
      <c r="AA72" s="70" t="inlineStr"/>
      <c r="AE72" s="80" t="n"/>
      <c r="BB72" s="106" t="inlineStr">
        <is>
          <t>КИ</t>
        </is>
      </c>
      <c r="BL72" s="80">
        <f>IFERROR(W72*I72/H72,"0")</f>
        <v/>
      </c>
      <c r="BM72" s="80">
        <f>IFERROR(X72*I72/H72,"0")</f>
        <v/>
      </c>
      <c r="BN72" s="80">
        <f>IFERROR(1/J72*(W72/H72),"0")</f>
        <v/>
      </c>
      <c r="BO72" s="80">
        <f>IFERROR(1/J72*(X72/H72),"0")</f>
        <v/>
      </c>
    </row>
    <row r="73" ht="16.5" customHeight="1">
      <c r="A73" s="64" t="inlineStr">
        <is>
          <t>SU002928</t>
        </is>
      </c>
      <c r="B73" s="64" t="inlineStr">
        <is>
          <t>P003357</t>
        </is>
      </c>
      <c r="C73" s="37" t="n">
        <v>4301011514</v>
      </c>
      <c r="D73" s="401" t="n">
        <v>4680115882133</v>
      </c>
      <c r="E73" s="791" t="n"/>
      <c r="F73" s="825" t="n">
        <v>1.35</v>
      </c>
      <c r="G73" s="38" t="n">
        <v>8</v>
      </c>
      <c r="H73" s="825" t="n">
        <v>10.8</v>
      </c>
      <c r="I73" s="825" t="n">
        <v>11.28</v>
      </c>
      <c r="J73" s="38" t="n">
        <v>56</v>
      </c>
      <c r="K73" s="38" t="inlineStr">
        <is>
          <t>8</t>
        </is>
      </c>
      <c r="L73" s="39" t="inlineStr">
        <is>
          <t>СК1</t>
        </is>
      </c>
      <c r="M73" s="39" t="n"/>
      <c r="N73" s="38" t="n">
        <v>50</v>
      </c>
      <c r="O73" s="859">
        <f>HYPERLINK("https://abi.ru/products/Охлажденные/Вязанка/Вязанка/Вареные колбасы/P003357/","Вареные колбасы «Сливушка» Вес П/а ТМ «Вязанка»")</f>
        <v/>
      </c>
      <c r="P73" s="827" t="n"/>
      <c r="Q73" s="827" t="n"/>
      <c r="R73" s="827" t="n"/>
      <c r="S73" s="791" t="n"/>
      <c r="T73" s="40" t="inlineStr"/>
      <c r="U73" s="40" t="inlineStr"/>
      <c r="V73" s="41" t="inlineStr">
        <is>
          <t>кг</t>
        </is>
      </c>
      <c r="W73" s="828" t="n">
        <v>0</v>
      </c>
      <c r="X73" s="829">
        <f>IFERROR(IF(W73="",0,CEILING((W73/$H73),1)*$H73),"")</f>
        <v/>
      </c>
      <c r="Y73" s="42">
        <f>IFERROR(IF(X73=0,"",ROUNDUP(X73/H73,0)*0.02175),"")</f>
        <v/>
      </c>
      <c r="Z73" s="69" t="inlineStr"/>
      <c r="AA73" s="70" t="inlineStr"/>
      <c r="AE73" s="80" t="n"/>
      <c r="BB73" s="107" t="inlineStr">
        <is>
          <t>КИ</t>
        </is>
      </c>
      <c r="BL73" s="80">
        <f>IFERROR(W73*I73/H73,"0")</f>
        <v/>
      </c>
      <c r="BM73" s="80">
        <f>IFERROR(X73*I73/H73,"0")</f>
        <v/>
      </c>
      <c r="BN73" s="80">
        <f>IFERROR(1/J73*(W73/H73),"0")</f>
        <v/>
      </c>
      <c r="BO73" s="80">
        <f>IFERROR(1/J73*(X73/H73),"0")</f>
        <v/>
      </c>
    </row>
    <row r="74" ht="27" customHeight="1">
      <c r="A74" s="64" t="inlineStr">
        <is>
          <t>SU000125</t>
        </is>
      </c>
      <c r="B74" s="64" t="inlineStr">
        <is>
          <t>P002479</t>
        </is>
      </c>
      <c r="C74" s="37" t="n">
        <v>4301011192</v>
      </c>
      <c r="D74" s="401" t="n">
        <v>4607091382952</v>
      </c>
      <c r="E74" s="791" t="n"/>
      <c r="F74" s="825" t="n">
        <v>0.5</v>
      </c>
      <c r="G74" s="38" t="n">
        <v>6</v>
      </c>
      <c r="H74" s="825" t="n">
        <v>3</v>
      </c>
      <c r="I74" s="825" t="n">
        <v>3.2</v>
      </c>
      <c r="J74" s="38" t="n">
        <v>156</v>
      </c>
      <c r="K74" s="38" t="inlineStr">
        <is>
          <t>12</t>
        </is>
      </c>
      <c r="L74" s="39" t="inlineStr">
        <is>
          <t>СК1</t>
        </is>
      </c>
      <c r="M74" s="39" t="n"/>
      <c r="N74" s="38" t="n">
        <v>50</v>
      </c>
      <c r="O74" s="860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P74" s="827" t="n"/>
      <c r="Q74" s="827" t="n"/>
      <c r="R74" s="827" t="n"/>
      <c r="S74" s="791" t="n"/>
      <c r="T74" s="40" t="inlineStr"/>
      <c r="U74" s="40" t="inlineStr"/>
      <c r="V74" s="41" t="inlineStr">
        <is>
          <t>кг</t>
        </is>
      </c>
      <c r="W74" s="828" t="n">
        <v>40</v>
      </c>
      <c r="X74" s="829">
        <f>IFERROR(IF(W74="",0,CEILING((W74/$H74),1)*$H74),"")</f>
        <v/>
      </c>
      <c r="Y74" s="42">
        <f>IFERROR(IF(X74=0,"",ROUNDUP(X74/H74,0)*0.00753),"")</f>
        <v/>
      </c>
      <c r="Z74" s="69" t="inlineStr"/>
      <c r="AA74" s="70" t="inlineStr"/>
      <c r="AE74" s="80" t="n"/>
      <c r="BB74" s="108" t="inlineStr">
        <is>
          <t>КИ</t>
        </is>
      </c>
      <c r="BL74" s="80">
        <f>IFERROR(W74*I74/H74,"0")</f>
        <v/>
      </c>
      <c r="BM74" s="80">
        <f>IFERROR(X74*I74/H74,"0")</f>
        <v/>
      </c>
      <c r="BN74" s="80">
        <f>IFERROR(1/J74*(W74/H74),"0")</f>
        <v/>
      </c>
      <c r="BO74" s="80">
        <f>IFERROR(1/J74*(X74/H74),"0")</f>
        <v/>
      </c>
    </row>
    <row r="75" ht="27" customHeight="1">
      <c r="A75" s="64" t="inlineStr">
        <is>
          <t>SU001485</t>
        </is>
      </c>
      <c r="B75" s="64" t="inlineStr">
        <is>
          <t>P003008</t>
        </is>
      </c>
      <c r="C75" s="37" t="n">
        <v>4301011382</v>
      </c>
      <c r="D75" s="401" t="n">
        <v>4607091385687</v>
      </c>
      <c r="E75" s="791" t="n"/>
      <c r="F75" s="825" t="n">
        <v>0.4</v>
      </c>
      <c r="G75" s="38" t="n">
        <v>10</v>
      </c>
      <c r="H75" s="825" t="n">
        <v>4</v>
      </c>
      <c r="I75" s="825" t="n">
        <v>4.24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9" t="n"/>
      <c r="N75" s="38" t="n">
        <v>50</v>
      </c>
      <c r="O75" s="86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P75" s="827" t="n"/>
      <c r="Q75" s="827" t="n"/>
      <c r="R75" s="827" t="n"/>
      <c r="S75" s="791" t="n"/>
      <c r="T75" s="40" t="inlineStr"/>
      <c r="U75" s="40" t="inlineStr"/>
      <c r="V75" s="41" t="inlineStr">
        <is>
          <t>кг</t>
        </is>
      </c>
      <c r="W75" s="828" t="n">
        <v>200</v>
      </c>
      <c r="X75" s="829">
        <f>IFERROR(IF(W75="",0,CEILING((W75/$H75),1)*$H75),"")</f>
        <v/>
      </c>
      <c r="Y75" s="42">
        <f>IFERROR(IF(X75=0,"",ROUNDUP(X75/H75,0)*0.00937),"")</f>
        <v/>
      </c>
      <c r="Z75" s="69" t="inlineStr"/>
      <c r="AA75" s="70" t="inlineStr"/>
      <c r="AE75" s="80" t="n"/>
      <c r="BB75" s="109" t="inlineStr">
        <is>
          <t>КИ</t>
        </is>
      </c>
      <c r="BL75" s="80">
        <f>IFERROR(W75*I75/H75,"0")</f>
        <v/>
      </c>
      <c r="BM75" s="80">
        <f>IFERROR(X75*I75/H75,"0")</f>
        <v/>
      </c>
      <c r="BN75" s="80">
        <f>IFERROR(1/J75*(W75/H75),"0")</f>
        <v/>
      </c>
      <c r="BO75" s="80">
        <f>IFERROR(1/J75*(X75/H75),"0")</f>
        <v/>
      </c>
    </row>
    <row r="76" ht="27" customHeight="1">
      <c r="A76" s="64" t="inlineStr">
        <is>
          <t>SU002986</t>
        </is>
      </c>
      <c r="B76" s="64" t="inlineStr">
        <is>
          <t>P003429</t>
        </is>
      </c>
      <c r="C76" s="37" t="n">
        <v>4301011565</v>
      </c>
      <c r="D76" s="401" t="n">
        <v>4680115882539</v>
      </c>
      <c r="E76" s="791" t="n"/>
      <c r="F76" s="825" t="n">
        <v>0.37</v>
      </c>
      <c r="G76" s="38" t="n">
        <v>10</v>
      </c>
      <c r="H76" s="825" t="n">
        <v>3.7</v>
      </c>
      <c r="I76" s="825" t="n">
        <v>3.91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9" t="n"/>
      <c r="N76" s="38" t="n">
        <v>50</v>
      </c>
      <c r="O76" s="862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P76" s="827" t="n"/>
      <c r="Q76" s="827" t="n"/>
      <c r="R76" s="827" t="n"/>
      <c r="S76" s="791" t="n"/>
      <c r="T76" s="40" t="inlineStr"/>
      <c r="U76" s="40" t="inlineStr"/>
      <c r="V76" s="41" t="inlineStr">
        <is>
          <t>кг</t>
        </is>
      </c>
      <c r="W76" s="828" t="n">
        <v>0</v>
      </c>
      <c r="X76" s="829">
        <f>IFERROR(IF(W76="",0,CEILING((W76/$H76),1)*$H76),"")</f>
        <v/>
      </c>
      <c r="Y76" s="42">
        <f>IFERROR(IF(X76=0,"",ROUNDUP(X76/H76,0)*0.00937),"")</f>
        <v/>
      </c>
      <c r="Z76" s="69" t="inlineStr"/>
      <c r="AA76" s="70" t="inlineStr"/>
      <c r="AE76" s="80" t="n"/>
      <c r="BB76" s="110" t="inlineStr">
        <is>
          <t>КИ</t>
        </is>
      </c>
      <c r="BL76" s="80">
        <f>IFERROR(W76*I76/H76,"0")</f>
        <v/>
      </c>
      <c r="BM76" s="80">
        <f>IFERROR(X76*I76/H76,"0")</f>
        <v/>
      </c>
      <c r="BN76" s="80">
        <f>IFERROR(1/J76*(W76/H76),"0")</f>
        <v/>
      </c>
      <c r="BO76" s="80">
        <f>IFERROR(1/J76*(X76/H76),"0")</f>
        <v/>
      </c>
    </row>
    <row r="77" ht="27" customHeight="1">
      <c r="A77" s="64" t="inlineStr">
        <is>
          <t>SU002312</t>
        </is>
      </c>
      <c r="B77" s="64" t="inlineStr">
        <is>
          <t>P003913</t>
        </is>
      </c>
      <c r="C77" s="37" t="n">
        <v>4301011705</v>
      </c>
      <c r="D77" s="401" t="n">
        <v>4607091384604</v>
      </c>
      <c r="E77" s="791" t="n"/>
      <c r="F77" s="825" t="n">
        <v>0.4</v>
      </c>
      <c r="G77" s="38" t="n">
        <v>10</v>
      </c>
      <c r="H77" s="825" t="n">
        <v>4</v>
      </c>
      <c r="I77" s="825" t="n">
        <v>4.24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9" t="n"/>
      <c r="N77" s="38" t="n">
        <v>50</v>
      </c>
      <c r="O77" s="863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P77" s="827" t="n"/>
      <c r="Q77" s="827" t="n"/>
      <c r="R77" s="827" t="n"/>
      <c r="S77" s="791" t="n"/>
      <c r="T77" s="40" t="inlineStr"/>
      <c r="U77" s="40" t="inlineStr"/>
      <c r="V77" s="41" t="inlineStr">
        <is>
          <t>кг</t>
        </is>
      </c>
      <c r="W77" s="828" t="n">
        <v>0</v>
      </c>
      <c r="X77" s="829">
        <f>IFERROR(IF(W77="",0,CEILING((W77/$H77),1)*$H77),"")</f>
        <v/>
      </c>
      <c r="Y77" s="42">
        <f>IFERROR(IF(X77=0,"",ROUNDUP(X77/H77,0)*0.00937),"")</f>
        <v/>
      </c>
      <c r="Z77" s="69" t="inlineStr"/>
      <c r="AA77" s="70" t="inlineStr"/>
      <c r="AE77" s="80" t="n"/>
      <c r="BB77" s="111" t="inlineStr">
        <is>
          <t>КИ</t>
        </is>
      </c>
      <c r="BL77" s="80">
        <f>IFERROR(W77*I77/H77,"0")</f>
        <v/>
      </c>
      <c r="BM77" s="80">
        <f>IFERROR(X77*I77/H77,"0")</f>
        <v/>
      </c>
      <c r="BN77" s="80">
        <f>IFERROR(1/J77*(W77/H77),"0")</f>
        <v/>
      </c>
      <c r="BO77" s="80">
        <f>IFERROR(1/J77*(X77/H77),"0")</f>
        <v/>
      </c>
    </row>
    <row r="78" ht="27" customHeight="1">
      <c r="A78" s="64" t="inlineStr">
        <is>
          <t>SU002674</t>
        </is>
      </c>
      <c r="B78" s="64" t="inlineStr">
        <is>
          <t>P003045</t>
        </is>
      </c>
      <c r="C78" s="37" t="n">
        <v>4301011386</v>
      </c>
      <c r="D78" s="401" t="n">
        <v>4680115880283</v>
      </c>
      <c r="E78" s="791" t="n"/>
      <c r="F78" s="825" t="n">
        <v>0.6</v>
      </c>
      <c r="G78" s="38" t="n">
        <v>8</v>
      </c>
      <c r="H78" s="825" t="n">
        <v>4.8</v>
      </c>
      <c r="I78" s="825" t="n">
        <v>5.04</v>
      </c>
      <c r="J78" s="38" t="n">
        <v>120</v>
      </c>
      <c r="K78" s="38" t="inlineStr">
        <is>
          <t>12</t>
        </is>
      </c>
      <c r="L78" s="39" t="inlineStr">
        <is>
          <t>СК1</t>
        </is>
      </c>
      <c r="M78" s="39" t="n"/>
      <c r="N78" s="38" t="n">
        <v>45</v>
      </c>
      <c r="O78" s="864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P78" s="827" t="n"/>
      <c r="Q78" s="827" t="n"/>
      <c r="R78" s="827" t="n"/>
      <c r="S78" s="791" t="n"/>
      <c r="T78" s="40" t="inlineStr"/>
      <c r="U78" s="40" t="inlineStr"/>
      <c r="V78" s="41" t="inlineStr">
        <is>
          <t>кг</t>
        </is>
      </c>
      <c r="W78" s="828" t="n">
        <v>0</v>
      </c>
      <c r="X78" s="829">
        <f>IFERROR(IF(W78="",0,CEILING((W78/$H78),1)*$H78),"")</f>
        <v/>
      </c>
      <c r="Y78" s="42">
        <f>IFERROR(IF(X78=0,"",ROUNDUP(X78/H78,0)*0.00937),"")</f>
        <v/>
      </c>
      <c r="Z78" s="69" t="inlineStr"/>
      <c r="AA78" s="70" t="inlineStr"/>
      <c r="AE78" s="80" t="n"/>
      <c r="BB78" s="112" t="inlineStr">
        <is>
          <t>КИ</t>
        </is>
      </c>
      <c r="BL78" s="80">
        <f>IFERROR(W78*I78/H78,"0")</f>
        <v/>
      </c>
      <c r="BM78" s="80">
        <f>IFERROR(X78*I78/H78,"0")</f>
        <v/>
      </c>
      <c r="BN78" s="80">
        <f>IFERROR(1/J78*(W78/H78),"0")</f>
        <v/>
      </c>
      <c r="BO78" s="80">
        <f>IFERROR(1/J78*(X78/H78),"0")</f>
        <v/>
      </c>
    </row>
    <row r="79" ht="27" customHeight="1">
      <c r="A79" s="64" t="inlineStr">
        <is>
          <t>SU003112</t>
        </is>
      </c>
      <c r="B79" s="64" t="inlineStr">
        <is>
          <t>P003695</t>
        </is>
      </c>
      <c r="C79" s="37" t="n">
        <v>4301011624</v>
      </c>
      <c r="D79" s="401" t="n">
        <v>4680115883949</v>
      </c>
      <c r="E79" s="791" t="n"/>
      <c r="F79" s="825" t="n">
        <v>0.37</v>
      </c>
      <c r="G79" s="38" t="n">
        <v>10</v>
      </c>
      <c r="H79" s="825" t="n">
        <v>3.7</v>
      </c>
      <c r="I79" s="825" t="n">
        <v>3.94</v>
      </c>
      <c r="J79" s="38" t="n">
        <v>120</v>
      </c>
      <c r="K79" s="38" t="inlineStr">
        <is>
          <t>12</t>
        </is>
      </c>
      <c r="L79" s="39" t="inlineStr">
        <is>
          <t>СК1</t>
        </is>
      </c>
      <c r="M79" s="39" t="n"/>
      <c r="N79" s="38" t="n">
        <v>50</v>
      </c>
      <c r="O79" s="865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P79" s="827" t="n"/>
      <c r="Q79" s="827" t="n"/>
      <c r="R79" s="827" t="n"/>
      <c r="S79" s="791" t="n"/>
      <c r="T79" s="40" t="inlineStr"/>
      <c r="U79" s="40" t="inlineStr"/>
      <c r="V79" s="41" t="inlineStr">
        <is>
          <t>кг</t>
        </is>
      </c>
      <c r="W79" s="828" t="n">
        <v>0</v>
      </c>
      <c r="X79" s="829">
        <f>IFERROR(IF(W79="",0,CEILING((W79/$H79),1)*$H79),"")</f>
        <v/>
      </c>
      <c r="Y79" s="42">
        <f>IFERROR(IF(X79=0,"",ROUNDUP(X79/H79,0)*0.00937),"")</f>
        <v/>
      </c>
      <c r="Z79" s="69" t="inlineStr"/>
      <c r="AA79" s="70" t="inlineStr"/>
      <c r="AE79" s="80" t="n"/>
      <c r="BB79" s="113" t="inlineStr">
        <is>
          <t>КИ</t>
        </is>
      </c>
      <c r="BL79" s="80">
        <f>IFERROR(W79*I79/H79,"0")</f>
        <v/>
      </c>
      <c r="BM79" s="80">
        <f>IFERROR(X79*I79/H79,"0")</f>
        <v/>
      </c>
      <c r="BN79" s="80">
        <f>IFERROR(1/J79*(W79/H79),"0")</f>
        <v/>
      </c>
      <c r="BO79" s="80">
        <f>IFERROR(1/J79*(X79/H79),"0")</f>
        <v/>
      </c>
    </row>
    <row r="80" ht="16.5" customHeight="1">
      <c r="A80" s="64" t="inlineStr">
        <is>
          <t>SU002832</t>
        </is>
      </c>
      <c r="B80" s="64" t="inlineStr">
        <is>
          <t>P003245</t>
        </is>
      </c>
      <c r="C80" s="37" t="n">
        <v>4301011476</v>
      </c>
      <c r="D80" s="401" t="n">
        <v>4680115881518</v>
      </c>
      <c r="E80" s="791" t="n"/>
      <c r="F80" s="825" t="n">
        <v>0.4</v>
      </c>
      <c r="G80" s="38" t="n">
        <v>10</v>
      </c>
      <c r="H80" s="825" t="n">
        <v>4</v>
      </c>
      <c r="I80" s="825" t="n">
        <v>4.24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9" t="n"/>
      <c r="N80" s="38" t="n">
        <v>50</v>
      </c>
      <c r="O80" s="86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P80" s="827" t="n"/>
      <c r="Q80" s="827" t="n"/>
      <c r="R80" s="827" t="n"/>
      <c r="S80" s="791" t="n"/>
      <c r="T80" s="40" t="inlineStr"/>
      <c r="U80" s="40" t="inlineStr"/>
      <c r="V80" s="41" t="inlineStr">
        <is>
          <t>кг</t>
        </is>
      </c>
      <c r="W80" s="828" t="n">
        <v>0</v>
      </c>
      <c r="X80" s="829">
        <f>IFERROR(IF(W80="",0,CEILING((W80/$H80),1)*$H80),"")</f>
        <v/>
      </c>
      <c r="Y80" s="42">
        <f>IFERROR(IF(X80=0,"",ROUNDUP(X80/H80,0)*0.00937),"")</f>
        <v/>
      </c>
      <c r="Z80" s="69" t="inlineStr"/>
      <c r="AA80" s="70" t="inlineStr"/>
      <c r="AE80" s="80" t="n"/>
      <c r="BB80" s="114" t="inlineStr">
        <is>
          <t>КИ</t>
        </is>
      </c>
      <c r="BL80" s="80">
        <f>IFERROR(W80*I80/H80,"0")</f>
        <v/>
      </c>
      <c r="BM80" s="80">
        <f>IFERROR(X80*I80/H80,"0")</f>
        <v/>
      </c>
      <c r="BN80" s="80">
        <f>IFERROR(1/J80*(W80/H80),"0")</f>
        <v/>
      </c>
      <c r="BO80" s="80">
        <f>IFERROR(1/J80*(X80/H80),"0")</f>
        <v/>
      </c>
    </row>
    <row r="81" ht="27" customHeight="1">
      <c r="A81" s="64" t="inlineStr">
        <is>
          <t>SU002816</t>
        </is>
      </c>
      <c r="B81" s="64" t="inlineStr">
        <is>
          <t>P003228</t>
        </is>
      </c>
      <c r="C81" s="37" t="n">
        <v>4301011443</v>
      </c>
      <c r="D81" s="401" t="n">
        <v>4680115881303</v>
      </c>
      <c r="E81" s="791" t="n"/>
      <c r="F81" s="825" t="n">
        <v>0.45</v>
      </c>
      <c r="G81" s="38" t="n">
        <v>10</v>
      </c>
      <c r="H81" s="825" t="n">
        <v>4.5</v>
      </c>
      <c r="I81" s="825" t="n">
        <v>4.71</v>
      </c>
      <c r="J81" s="38" t="n">
        <v>120</v>
      </c>
      <c r="K81" s="38" t="inlineStr">
        <is>
          <t>12</t>
        </is>
      </c>
      <c r="L81" s="39" t="inlineStr">
        <is>
          <t>СК4</t>
        </is>
      </c>
      <c r="M81" s="39" t="n"/>
      <c r="N81" s="38" t="n">
        <v>50</v>
      </c>
      <c r="O81" s="86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P81" s="827" t="n"/>
      <c r="Q81" s="827" t="n"/>
      <c r="R81" s="827" t="n"/>
      <c r="S81" s="791" t="n"/>
      <c r="T81" s="40" t="inlineStr"/>
      <c r="U81" s="40" t="inlineStr"/>
      <c r="V81" s="41" t="inlineStr">
        <is>
          <t>кг</t>
        </is>
      </c>
      <c r="W81" s="828" t="n">
        <v>315</v>
      </c>
      <c r="X81" s="829">
        <f>IFERROR(IF(W81="",0,CEILING((W81/$H81),1)*$H81),"")</f>
        <v/>
      </c>
      <c r="Y81" s="42">
        <f>IFERROR(IF(X81=0,"",ROUNDUP(X81/H81,0)*0.00937),"")</f>
        <v/>
      </c>
      <c r="Z81" s="69" t="inlineStr"/>
      <c r="AA81" s="70" t="inlineStr"/>
      <c r="AE81" s="80" t="n"/>
      <c r="BB81" s="115" t="inlineStr">
        <is>
          <t>КИ</t>
        </is>
      </c>
      <c r="BL81" s="80">
        <f>IFERROR(W81*I81/H81,"0")</f>
        <v/>
      </c>
      <c r="BM81" s="80">
        <f>IFERROR(X81*I81/H81,"0")</f>
        <v/>
      </c>
      <c r="BN81" s="80">
        <f>IFERROR(1/J81*(W81/H81),"0")</f>
        <v/>
      </c>
      <c r="BO81" s="80">
        <f>IFERROR(1/J81*(X81/H81),"0")</f>
        <v/>
      </c>
    </row>
    <row r="82" ht="27" customHeight="1">
      <c r="A82" s="64" t="inlineStr">
        <is>
          <t>SU002983</t>
        </is>
      </c>
      <c r="B82" s="64" t="inlineStr">
        <is>
          <t>P003437</t>
        </is>
      </c>
      <c r="C82" s="37" t="n">
        <v>4301011562</v>
      </c>
      <c r="D82" s="401" t="n">
        <v>4680115882577</v>
      </c>
      <c r="E82" s="791" t="n"/>
      <c r="F82" s="825" t="n">
        <v>0.4</v>
      </c>
      <c r="G82" s="38" t="n">
        <v>8</v>
      </c>
      <c r="H82" s="825" t="n">
        <v>3.2</v>
      </c>
      <c r="I82" s="825" t="n">
        <v>3.4</v>
      </c>
      <c r="J82" s="38" t="n">
        <v>156</v>
      </c>
      <c r="K82" s="38" t="inlineStr">
        <is>
          <t>12</t>
        </is>
      </c>
      <c r="L82" s="39" t="inlineStr">
        <is>
          <t>АК</t>
        </is>
      </c>
      <c r="M82" s="39" t="n"/>
      <c r="N82" s="38" t="n">
        <v>90</v>
      </c>
      <c r="O82" s="868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P82" s="827" t="n"/>
      <c r="Q82" s="827" t="n"/>
      <c r="R82" s="827" t="n"/>
      <c r="S82" s="791" t="n"/>
      <c r="T82" s="40" t="inlineStr"/>
      <c r="U82" s="40" t="inlineStr"/>
      <c r="V82" s="41" t="inlineStr">
        <is>
          <t>кг</t>
        </is>
      </c>
      <c r="W82" s="828" t="n">
        <v>80</v>
      </c>
      <c r="X82" s="829">
        <f>IFERROR(IF(W82="",0,CEILING((W82/$H82),1)*$H82),"")</f>
        <v/>
      </c>
      <c r="Y82" s="42">
        <f>IFERROR(IF(X82=0,"",ROUNDUP(X82/H82,0)*0.00753),"")</f>
        <v/>
      </c>
      <c r="Z82" s="69" t="inlineStr"/>
      <c r="AA82" s="70" t="inlineStr"/>
      <c r="AE82" s="80" t="n"/>
      <c r="BB82" s="116" t="inlineStr">
        <is>
          <t>КИ</t>
        </is>
      </c>
      <c r="BL82" s="80">
        <f>IFERROR(W82*I82/H82,"0")</f>
        <v/>
      </c>
      <c r="BM82" s="80">
        <f>IFERROR(X82*I82/H82,"0")</f>
        <v/>
      </c>
      <c r="BN82" s="80">
        <f>IFERROR(1/J82*(W82/H82),"0")</f>
        <v/>
      </c>
      <c r="BO82" s="80">
        <f>IFERROR(1/J82*(X82/H82),"0")</f>
        <v/>
      </c>
    </row>
    <row r="83" ht="27" customHeight="1">
      <c r="A83" s="64" t="inlineStr">
        <is>
          <t>SU002983</t>
        </is>
      </c>
      <c r="B83" s="64" t="inlineStr">
        <is>
          <t>P003441</t>
        </is>
      </c>
      <c r="C83" s="37" t="n">
        <v>4301011564</v>
      </c>
      <c r="D83" s="401" t="n">
        <v>4680115882577</v>
      </c>
      <c r="E83" s="791" t="n"/>
      <c r="F83" s="825" t="n">
        <v>0.4</v>
      </c>
      <c r="G83" s="38" t="n">
        <v>8</v>
      </c>
      <c r="H83" s="825" t="n">
        <v>3.2</v>
      </c>
      <c r="I83" s="825" t="n">
        <v>3.4</v>
      </c>
      <c r="J83" s="38" t="n">
        <v>156</v>
      </c>
      <c r="K83" s="38" t="inlineStr">
        <is>
          <t>12</t>
        </is>
      </c>
      <c r="L83" s="39" t="inlineStr">
        <is>
          <t>АК</t>
        </is>
      </c>
      <c r="M83" s="39" t="n"/>
      <c r="N83" s="38" t="n">
        <v>90</v>
      </c>
      <c r="O83" s="869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P83" s="827" t="n"/>
      <c r="Q83" s="827" t="n"/>
      <c r="R83" s="827" t="n"/>
      <c r="S83" s="791" t="n"/>
      <c r="T83" s="40" t="inlineStr"/>
      <c r="U83" s="40" t="inlineStr"/>
      <c r="V83" s="41" t="inlineStr">
        <is>
          <t>кг</t>
        </is>
      </c>
      <c r="W83" s="828" t="n">
        <v>0</v>
      </c>
      <c r="X83" s="829">
        <f>IFERROR(IF(W83="",0,CEILING((W83/$H83),1)*$H83),"")</f>
        <v/>
      </c>
      <c r="Y83" s="42">
        <f>IFERROR(IF(X83=0,"",ROUNDUP(X83/H83,0)*0.00753),"")</f>
        <v/>
      </c>
      <c r="Z83" s="69" t="inlineStr"/>
      <c r="AA83" s="70" t="inlineStr"/>
      <c r="AE83" s="80" t="n"/>
      <c r="BB83" s="117" t="inlineStr">
        <is>
          <t>КИ</t>
        </is>
      </c>
      <c r="BL83" s="80">
        <f>IFERROR(W83*I83/H83,"0")</f>
        <v/>
      </c>
      <c r="BM83" s="80">
        <f>IFERROR(X83*I83/H83,"0")</f>
        <v/>
      </c>
      <c r="BN83" s="80">
        <f>IFERROR(1/J83*(W83/H83),"0")</f>
        <v/>
      </c>
      <c r="BO83" s="80">
        <f>IFERROR(1/J83*(X83/H83),"0")</f>
        <v/>
      </c>
    </row>
    <row r="84" ht="27" customHeight="1">
      <c r="A84" s="64" t="inlineStr">
        <is>
          <t>SU002785</t>
        </is>
      </c>
      <c r="B84" s="64" t="inlineStr">
        <is>
          <t>P003187</t>
        </is>
      </c>
      <c r="C84" s="37" t="n">
        <v>4301011432</v>
      </c>
      <c r="D84" s="401" t="n">
        <v>4680115882720</v>
      </c>
      <c r="E84" s="791" t="n"/>
      <c r="F84" s="825" t="n">
        <v>0.45</v>
      </c>
      <c r="G84" s="38" t="n">
        <v>10</v>
      </c>
      <c r="H84" s="825" t="n">
        <v>4.5</v>
      </c>
      <c r="I84" s="825" t="n">
        <v>4.74</v>
      </c>
      <c r="J84" s="38" t="n">
        <v>120</v>
      </c>
      <c r="K84" s="38" t="inlineStr">
        <is>
          <t>12</t>
        </is>
      </c>
      <c r="L84" s="39" t="inlineStr">
        <is>
          <t>СК1</t>
        </is>
      </c>
      <c r="M84" s="39" t="n"/>
      <c r="N84" s="38" t="n">
        <v>90</v>
      </c>
      <c r="O84" s="870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P84" s="827" t="n"/>
      <c r="Q84" s="827" t="n"/>
      <c r="R84" s="827" t="n"/>
      <c r="S84" s="791" t="n"/>
      <c r="T84" s="40" t="inlineStr"/>
      <c r="U84" s="40" t="inlineStr"/>
      <c r="V84" s="41" t="inlineStr">
        <is>
          <t>кг</t>
        </is>
      </c>
      <c r="W84" s="828" t="n">
        <v>0</v>
      </c>
      <c r="X84" s="829">
        <f>IFERROR(IF(W84="",0,CEILING((W84/$H84),1)*$H84),"")</f>
        <v/>
      </c>
      <c r="Y84" s="42">
        <f>IFERROR(IF(X84=0,"",ROUNDUP(X84/H84,0)*0.00937),"")</f>
        <v/>
      </c>
      <c r="Z84" s="69" t="inlineStr"/>
      <c r="AA84" s="70" t="inlineStr"/>
      <c r="AE84" s="80" t="n"/>
      <c r="BB84" s="118" t="inlineStr">
        <is>
          <t>КИ</t>
        </is>
      </c>
      <c r="BL84" s="80">
        <f>IFERROR(W84*I84/H84,"0")</f>
        <v/>
      </c>
      <c r="BM84" s="80">
        <f>IFERROR(X84*I84/H84,"0")</f>
        <v/>
      </c>
      <c r="BN84" s="80">
        <f>IFERROR(1/J84*(W84/H84),"0")</f>
        <v/>
      </c>
      <c r="BO84" s="80">
        <f>IFERROR(1/J84*(X84/H84),"0")</f>
        <v/>
      </c>
    </row>
    <row r="85" ht="27" customHeight="1">
      <c r="A85" s="64" t="inlineStr">
        <is>
          <t>SU002733</t>
        </is>
      </c>
      <c r="B85" s="64" t="inlineStr">
        <is>
          <t>P003102</t>
        </is>
      </c>
      <c r="C85" s="37" t="n">
        <v>4301011417</v>
      </c>
      <c r="D85" s="401" t="n">
        <v>4680115880269</v>
      </c>
      <c r="E85" s="791" t="n"/>
      <c r="F85" s="825" t="n">
        <v>0.375</v>
      </c>
      <c r="G85" s="38" t="n">
        <v>10</v>
      </c>
      <c r="H85" s="825" t="n">
        <v>3.75</v>
      </c>
      <c r="I85" s="825" t="n">
        <v>3.96</v>
      </c>
      <c r="J85" s="38" t="n">
        <v>120</v>
      </c>
      <c r="K85" s="38" t="inlineStr">
        <is>
          <t>12</t>
        </is>
      </c>
      <c r="L85" s="39" t="inlineStr">
        <is>
          <t>СК3</t>
        </is>
      </c>
      <c r="M85" s="39" t="n"/>
      <c r="N85" s="38" t="n">
        <v>50</v>
      </c>
      <c r="O85" s="87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P85" s="827" t="n"/>
      <c r="Q85" s="827" t="n"/>
      <c r="R85" s="827" t="n"/>
      <c r="S85" s="791" t="n"/>
      <c r="T85" s="40" t="inlineStr"/>
      <c r="U85" s="40" t="inlineStr"/>
      <c r="V85" s="41" t="inlineStr">
        <is>
          <t>кг</t>
        </is>
      </c>
      <c r="W85" s="828" t="n">
        <v>0</v>
      </c>
      <c r="X85" s="829">
        <f>IFERROR(IF(W85="",0,CEILING((W85/$H85),1)*$H85),"")</f>
        <v/>
      </c>
      <c r="Y85" s="42">
        <f>IFERROR(IF(X85=0,"",ROUNDUP(X85/H85,0)*0.00937),"")</f>
        <v/>
      </c>
      <c r="Z85" s="69" t="inlineStr"/>
      <c r="AA85" s="70" t="inlineStr"/>
      <c r="AE85" s="80" t="n"/>
      <c r="BB85" s="119" t="inlineStr">
        <is>
          <t>КИ</t>
        </is>
      </c>
      <c r="BL85" s="80">
        <f>IFERROR(W85*I85/H85,"0")</f>
        <v/>
      </c>
      <c r="BM85" s="80">
        <f>IFERROR(X85*I85/H85,"0")</f>
        <v/>
      </c>
      <c r="BN85" s="80">
        <f>IFERROR(1/J85*(W85/H85),"0")</f>
        <v/>
      </c>
      <c r="BO85" s="80">
        <f>IFERROR(1/J85*(X85/H85),"0")</f>
        <v/>
      </c>
    </row>
    <row r="86" ht="16.5" customHeight="1">
      <c r="A86" s="64" t="inlineStr">
        <is>
          <t>SU002734</t>
        </is>
      </c>
      <c r="B86" s="64" t="inlineStr">
        <is>
          <t>P003103</t>
        </is>
      </c>
      <c r="C86" s="37" t="n">
        <v>4301011415</v>
      </c>
      <c r="D86" s="401" t="n">
        <v>4680115880429</v>
      </c>
      <c r="E86" s="791" t="n"/>
      <c r="F86" s="825" t="n">
        <v>0.45</v>
      </c>
      <c r="G86" s="38" t="n">
        <v>10</v>
      </c>
      <c r="H86" s="825" t="n">
        <v>4.5</v>
      </c>
      <c r="I86" s="825" t="n">
        <v>4.74</v>
      </c>
      <c r="J86" s="38" t="n">
        <v>120</v>
      </c>
      <c r="K86" s="38" t="inlineStr">
        <is>
          <t>12</t>
        </is>
      </c>
      <c r="L86" s="39" t="inlineStr">
        <is>
          <t>СК3</t>
        </is>
      </c>
      <c r="M86" s="39" t="n"/>
      <c r="N86" s="38" t="n">
        <v>50</v>
      </c>
      <c r="O86" s="87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P86" s="827" t="n"/>
      <c r="Q86" s="827" t="n"/>
      <c r="R86" s="827" t="n"/>
      <c r="S86" s="791" t="n"/>
      <c r="T86" s="40" t="inlineStr"/>
      <c r="U86" s="40" t="inlineStr"/>
      <c r="V86" s="41" t="inlineStr">
        <is>
          <t>кг</t>
        </is>
      </c>
      <c r="W86" s="828" t="n">
        <v>495</v>
      </c>
      <c r="X86" s="829">
        <f>IFERROR(IF(W86="",0,CEILING((W86/$H86),1)*$H86),"")</f>
        <v/>
      </c>
      <c r="Y86" s="42">
        <f>IFERROR(IF(X86=0,"",ROUNDUP(X86/H86,0)*0.00937),"")</f>
        <v/>
      </c>
      <c r="Z86" s="69" t="inlineStr"/>
      <c r="AA86" s="70" t="inlineStr"/>
      <c r="AE86" s="80" t="n"/>
      <c r="BB86" s="120" t="inlineStr">
        <is>
          <t>КИ</t>
        </is>
      </c>
      <c r="BL86" s="80">
        <f>IFERROR(W86*I86/H86,"0")</f>
        <v/>
      </c>
      <c r="BM86" s="80">
        <f>IFERROR(X86*I86/H86,"0")</f>
        <v/>
      </c>
      <c r="BN86" s="80">
        <f>IFERROR(1/J86*(W86/H86),"0")</f>
        <v/>
      </c>
      <c r="BO86" s="80">
        <f>IFERROR(1/J86*(X86/H86),"0")</f>
        <v/>
      </c>
    </row>
    <row r="87" ht="16.5" customHeight="1">
      <c r="A87" s="64" t="inlineStr">
        <is>
          <t>SU002827</t>
        </is>
      </c>
      <c r="B87" s="64" t="inlineStr">
        <is>
          <t>P003233</t>
        </is>
      </c>
      <c r="C87" s="37" t="n">
        <v>4301011462</v>
      </c>
      <c r="D87" s="401" t="n">
        <v>4680115881457</v>
      </c>
      <c r="E87" s="791" t="n"/>
      <c r="F87" s="825" t="n">
        <v>0.75</v>
      </c>
      <c r="G87" s="38" t="n">
        <v>6</v>
      </c>
      <c r="H87" s="825" t="n">
        <v>4.5</v>
      </c>
      <c r="I87" s="825" t="n">
        <v>4.74</v>
      </c>
      <c r="J87" s="38" t="n">
        <v>120</v>
      </c>
      <c r="K87" s="38" t="inlineStr">
        <is>
          <t>12</t>
        </is>
      </c>
      <c r="L87" s="39" t="inlineStr">
        <is>
          <t>СК3</t>
        </is>
      </c>
      <c r="M87" s="39" t="n"/>
      <c r="N87" s="38" t="n">
        <v>50</v>
      </c>
      <c r="O87" s="87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P87" s="827" t="n"/>
      <c r="Q87" s="827" t="n"/>
      <c r="R87" s="827" t="n"/>
      <c r="S87" s="791" t="n"/>
      <c r="T87" s="40" t="inlineStr"/>
      <c r="U87" s="40" t="inlineStr"/>
      <c r="V87" s="41" t="inlineStr">
        <is>
          <t>кг</t>
        </is>
      </c>
      <c r="W87" s="828" t="n">
        <v>0</v>
      </c>
      <c r="X87" s="829">
        <f>IFERROR(IF(W87="",0,CEILING((W87/$H87),1)*$H87),"")</f>
        <v/>
      </c>
      <c r="Y87" s="42">
        <f>IFERROR(IF(X87=0,"",ROUNDUP(X87/H87,0)*0.00937),"")</f>
        <v/>
      </c>
      <c r="Z87" s="69" t="inlineStr"/>
      <c r="AA87" s="70" t="inlineStr"/>
      <c r="AE87" s="80" t="n"/>
      <c r="BB87" s="121" t="inlineStr">
        <is>
          <t>КИ</t>
        </is>
      </c>
      <c r="BL87" s="80">
        <f>IFERROR(W87*I87/H87,"0")</f>
        <v/>
      </c>
      <c r="BM87" s="80">
        <f>IFERROR(X87*I87/H87,"0")</f>
        <v/>
      </c>
      <c r="BN87" s="80">
        <f>IFERROR(1/J87*(W87/H87),"0")</f>
        <v/>
      </c>
      <c r="BO87" s="80">
        <f>IFERROR(1/J87*(X87/H87),"0")</f>
        <v/>
      </c>
    </row>
    <row r="88">
      <c r="A88" s="408" t="n"/>
      <c r="B88" s="398" t="n"/>
      <c r="C88" s="398" t="n"/>
      <c r="D88" s="398" t="n"/>
      <c r="E88" s="398" t="n"/>
      <c r="F88" s="398" t="n"/>
      <c r="G88" s="398" t="n"/>
      <c r="H88" s="398" t="n"/>
      <c r="I88" s="398" t="n"/>
      <c r="J88" s="398" t="n"/>
      <c r="K88" s="398" t="n"/>
      <c r="L88" s="398" t="n"/>
      <c r="M88" s="398" t="n"/>
      <c r="N88" s="831" t="n"/>
      <c r="O88" s="832" t="inlineStr">
        <is>
          <t>Итого</t>
        </is>
      </c>
      <c r="P88" s="799" t="n"/>
      <c r="Q88" s="799" t="n"/>
      <c r="R88" s="799" t="n"/>
      <c r="S88" s="799" t="n"/>
      <c r="T88" s="799" t="n"/>
      <c r="U88" s="800" t="n"/>
      <c r="V88" s="43" t="inlineStr">
        <is>
          <t>кор</t>
        </is>
      </c>
      <c r="W88" s="833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/>
      </c>
      <c r="X88" s="833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/>
      </c>
      <c r="Y88" s="833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/>
      </c>
      <c r="Z88" s="834" t="n"/>
      <c r="AA88" s="834" t="n"/>
    </row>
    <row r="89">
      <c r="A89" s="398" t="n"/>
      <c r="B89" s="398" t="n"/>
      <c r="C89" s="398" t="n"/>
      <c r="D89" s="398" t="n"/>
      <c r="E89" s="398" t="n"/>
      <c r="F89" s="398" t="n"/>
      <c r="G89" s="398" t="n"/>
      <c r="H89" s="398" t="n"/>
      <c r="I89" s="398" t="n"/>
      <c r="J89" s="398" t="n"/>
      <c r="K89" s="398" t="n"/>
      <c r="L89" s="398" t="n"/>
      <c r="M89" s="398" t="n"/>
      <c r="N89" s="831" t="n"/>
      <c r="O89" s="832" t="inlineStr">
        <is>
          <t>Итого</t>
        </is>
      </c>
      <c r="P89" s="799" t="n"/>
      <c r="Q89" s="799" t="n"/>
      <c r="R89" s="799" t="n"/>
      <c r="S89" s="799" t="n"/>
      <c r="T89" s="799" t="n"/>
      <c r="U89" s="800" t="n"/>
      <c r="V89" s="43" t="inlineStr">
        <is>
          <t>кг</t>
        </is>
      </c>
      <c r="W89" s="833">
        <f>IFERROR(SUM(W67:W87),"0")</f>
        <v/>
      </c>
      <c r="X89" s="833">
        <f>IFERROR(SUM(X67:X87),"0")</f>
        <v/>
      </c>
      <c r="Y89" s="43" t="n"/>
      <c r="Z89" s="834" t="n"/>
      <c r="AA89" s="834" t="n"/>
    </row>
    <row r="90" ht="14.25" customHeight="1">
      <c r="A90" s="409" t="inlineStr">
        <is>
          <t>Ветчины</t>
        </is>
      </c>
      <c r="B90" s="398" t="n"/>
      <c r="C90" s="398" t="n"/>
      <c r="D90" s="398" t="n"/>
      <c r="E90" s="398" t="n"/>
      <c r="F90" s="398" t="n"/>
      <c r="G90" s="398" t="n"/>
      <c r="H90" s="398" t="n"/>
      <c r="I90" s="398" t="n"/>
      <c r="J90" s="398" t="n"/>
      <c r="K90" s="398" t="n"/>
      <c r="L90" s="398" t="n"/>
      <c r="M90" s="398" t="n"/>
      <c r="N90" s="398" t="n"/>
      <c r="O90" s="398" t="n"/>
      <c r="P90" s="398" t="n"/>
      <c r="Q90" s="398" t="n"/>
      <c r="R90" s="398" t="n"/>
      <c r="S90" s="398" t="n"/>
      <c r="T90" s="398" t="n"/>
      <c r="U90" s="398" t="n"/>
      <c r="V90" s="398" t="n"/>
      <c r="W90" s="398" t="n"/>
      <c r="X90" s="398" t="n"/>
      <c r="Y90" s="398" t="n"/>
      <c r="Z90" s="409" t="n"/>
      <c r="AA90" s="409" t="n"/>
    </row>
    <row r="91" ht="16.5" customHeight="1">
      <c r="A91" s="64" t="inlineStr">
        <is>
          <t>SU002833</t>
        </is>
      </c>
      <c r="B91" s="64" t="inlineStr">
        <is>
          <t>P003236</t>
        </is>
      </c>
      <c r="C91" s="37" t="n">
        <v>4301020235</v>
      </c>
      <c r="D91" s="401" t="n">
        <v>4680115881488</v>
      </c>
      <c r="E91" s="791" t="n"/>
      <c r="F91" s="825" t="n">
        <v>1.35</v>
      </c>
      <c r="G91" s="38" t="n">
        <v>8</v>
      </c>
      <c r="H91" s="825" t="n">
        <v>10.8</v>
      </c>
      <c r="I91" s="825" t="n">
        <v>11.28</v>
      </c>
      <c r="J91" s="38" t="n">
        <v>48</v>
      </c>
      <c r="K91" s="38" t="inlineStr">
        <is>
          <t>8</t>
        </is>
      </c>
      <c r="L91" s="39" t="inlineStr">
        <is>
          <t>СК1</t>
        </is>
      </c>
      <c r="M91" s="39" t="n"/>
      <c r="N91" s="38" t="n">
        <v>50</v>
      </c>
      <c r="O91" s="874">
        <f>HYPERLINK("https://abi.ru/products/Охлажденные/Вязанка/Вязанка/Ветчины/P003236/","Ветчины Сливушка с индейкой Вязанка вес П/а Вязанка")</f>
        <v/>
      </c>
      <c r="P91" s="827" t="n"/>
      <c r="Q91" s="827" t="n"/>
      <c r="R91" s="827" t="n"/>
      <c r="S91" s="791" t="n"/>
      <c r="T91" s="40" t="inlineStr"/>
      <c r="U91" s="40" t="inlineStr"/>
      <c r="V91" s="41" t="inlineStr">
        <is>
          <t>кг</t>
        </is>
      </c>
      <c r="W91" s="828" t="n">
        <v>0</v>
      </c>
      <c r="X91" s="829">
        <f>IFERROR(IF(W91="",0,CEILING((W91/$H91),1)*$H91),"")</f>
        <v/>
      </c>
      <c r="Y91" s="42">
        <f>IFERROR(IF(X91=0,"",ROUNDUP(X91/H91,0)*0.02175),"")</f>
        <v/>
      </c>
      <c r="Z91" s="69" t="inlineStr"/>
      <c r="AA91" s="70" t="inlineStr"/>
      <c r="AE91" s="80" t="n"/>
      <c r="BB91" s="122" t="inlineStr">
        <is>
          <t>КИ</t>
        </is>
      </c>
      <c r="BL91" s="80">
        <f>IFERROR(W91*I91/H91,"0")</f>
        <v/>
      </c>
      <c r="BM91" s="80">
        <f>IFERROR(X91*I91/H91,"0")</f>
        <v/>
      </c>
      <c r="BN91" s="80">
        <f>IFERROR(1/J91*(W91/H91),"0")</f>
        <v/>
      </c>
      <c r="BO91" s="80">
        <f>IFERROR(1/J91*(X91/H91),"0")</f>
        <v/>
      </c>
    </row>
    <row r="92" ht="27" customHeight="1">
      <c r="A92" s="64" t="inlineStr">
        <is>
          <t>SU003037</t>
        </is>
      </c>
      <c r="B92" s="64" t="inlineStr">
        <is>
          <t>P003575</t>
        </is>
      </c>
      <c r="C92" s="37" t="n">
        <v>4301020258</v>
      </c>
      <c r="D92" s="401" t="n">
        <v>4680115882775</v>
      </c>
      <c r="E92" s="791" t="n"/>
      <c r="F92" s="825" t="n">
        <v>0.3</v>
      </c>
      <c r="G92" s="38" t="n">
        <v>8</v>
      </c>
      <c r="H92" s="825" t="n">
        <v>2.4</v>
      </c>
      <c r="I92" s="825" t="n">
        <v>2.5</v>
      </c>
      <c r="J92" s="38" t="n">
        <v>234</v>
      </c>
      <c r="K92" s="38" t="inlineStr">
        <is>
          <t>18</t>
        </is>
      </c>
      <c r="L92" s="39" t="inlineStr">
        <is>
          <t>СК3</t>
        </is>
      </c>
      <c r="M92" s="39" t="n"/>
      <c r="N92" s="38" t="n">
        <v>50</v>
      </c>
      <c r="O92" s="875">
        <f>HYPERLINK("https://abi.ru/products/Охлажденные/Вязанка/Вязанка/Ветчины/P003575/","Ветчины «Сливушка с индейкой» Фикс.вес 0,3 П/а ТМ «Вязанка»")</f>
        <v/>
      </c>
      <c r="P92" s="827" t="n"/>
      <c r="Q92" s="827" t="n"/>
      <c r="R92" s="827" t="n"/>
      <c r="S92" s="791" t="n"/>
      <c r="T92" s="40" t="inlineStr"/>
      <c r="U92" s="40" t="inlineStr"/>
      <c r="V92" s="41" t="inlineStr">
        <is>
          <t>кг</t>
        </is>
      </c>
      <c r="W92" s="828" t="n">
        <v>0</v>
      </c>
      <c r="X92" s="829">
        <f>IFERROR(IF(W92="",0,CEILING((W92/$H92),1)*$H92),"")</f>
        <v/>
      </c>
      <c r="Y92" s="42">
        <f>IFERROR(IF(X92=0,"",ROUNDUP(X92/H92,0)*0.00502),"")</f>
        <v/>
      </c>
      <c r="Z92" s="69" t="inlineStr"/>
      <c r="AA92" s="70" t="inlineStr"/>
      <c r="AE92" s="80" t="n"/>
      <c r="BB92" s="123" t="inlineStr">
        <is>
          <t>КИ</t>
        </is>
      </c>
      <c r="BL92" s="80">
        <f>IFERROR(W92*I92/H92,"0")</f>
        <v/>
      </c>
      <c r="BM92" s="80">
        <f>IFERROR(X92*I92/H92,"0")</f>
        <v/>
      </c>
      <c r="BN92" s="80">
        <f>IFERROR(1/J92*(W92/H92),"0")</f>
        <v/>
      </c>
      <c r="BO92" s="80">
        <f>IFERROR(1/J92*(X92/H92),"0")</f>
        <v/>
      </c>
    </row>
    <row r="93" ht="27" customHeight="1">
      <c r="A93" s="64" t="inlineStr">
        <is>
          <t>SU002735</t>
        </is>
      </c>
      <c r="B93" s="64" t="inlineStr">
        <is>
          <t>P003107</t>
        </is>
      </c>
      <c r="C93" s="37" t="n">
        <v>4301020217</v>
      </c>
      <c r="D93" s="401" t="n">
        <v>4680115880658</v>
      </c>
      <c r="E93" s="791" t="n"/>
      <c r="F93" s="825" t="n">
        <v>0.4</v>
      </c>
      <c r="G93" s="38" t="n">
        <v>6</v>
      </c>
      <c r="H93" s="825" t="n">
        <v>2.4</v>
      </c>
      <c r="I93" s="825" t="n">
        <v>2.6</v>
      </c>
      <c r="J93" s="38" t="n">
        <v>156</v>
      </c>
      <c r="K93" s="38" t="inlineStr">
        <is>
          <t>12</t>
        </is>
      </c>
      <c r="L93" s="39" t="inlineStr">
        <is>
          <t>СК1</t>
        </is>
      </c>
      <c r="M93" s="39" t="n"/>
      <c r="N93" s="38" t="n">
        <v>50</v>
      </c>
      <c r="O93" s="876">
        <f>HYPERLINK("https://abi.ru/products/Охлажденные/Вязанка/Вязанка/Ветчины/P003107/","Ветчины Сливушка с индейкой Вязанка Фикс.вес 0,4 П/а Вязанка")</f>
        <v/>
      </c>
      <c r="P93" s="827" t="n"/>
      <c r="Q93" s="827" t="n"/>
      <c r="R93" s="827" t="n"/>
      <c r="S93" s="791" t="n"/>
      <c r="T93" s="40" t="inlineStr"/>
      <c r="U93" s="40" t="inlineStr"/>
      <c r="V93" s="41" t="inlineStr">
        <is>
          <t>кг</t>
        </is>
      </c>
      <c r="W93" s="828" t="n">
        <v>0</v>
      </c>
      <c r="X93" s="829">
        <f>IFERROR(IF(W93="",0,CEILING((W93/$H93),1)*$H93),"")</f>
        <v/>
      </c>
      <c r="Y93" s="42">
        <f>IFERROR(IF(X93=0,"",ROUNDUP(X93/H93,0)*0.00753),"")</f>
        <v/>
      </c>
      <c r="Z93" s="69" t="inlineStr"/>
      <c r="AA93" s="70" t="inlineStr"/>
      <c r="AE93" s="80" t="n"/>
      <c r="BB93" s="124" t="inlineStr">
        <is>
          <t>КИ</t>
        </is>
      </c>
      <c r="BL93" s="80">
        <f>IFERROR(W93*I93/H93,"0")</f>
        <v/>
      </c>
      <c r="BM93" s="80">
        <f>IFERROR(X93*I93/H93,"0")</f>
        <v/>
      </c>
      <c r="BN93" s="80">
        <f>IFERROR(1/J93*(W93/H93),"0")</f>
        <v/>
      </c>
      <c r="BO93" s="80">
        <f>IFERROR(1/J93*(X93/H93),"0")</f>
        <v/>
      </c>
    </row>
    <row r="94">
      <c r="A94" s="408" t="n"/>
      <c r="B94" s="398" t="n"/>
      <c r="C94" s="398" t="n"/>
      <c r="D94" s="398" t="n"/>
      <c r="E94" s="398" t="n"/>
      <c r="F94" s="398" t="n"/>
      <c r="G94" s="398" t="n"/>
      <c r="H94" s="398" t="n"/>
      <c r="I94" s="398" t="n"/>
      <c r="J94" s="398" t="n"/>
      <c r="K94" s="398" t="n"/>
      <c r="L94" s="398" t="n"/>
      <c r="M94" s="398" t="n"/>
      <c r="N94" s="831" t="n"/>
      <c r="O94" s="832" t="inlineStr">
        <is>
          <t>Итого</t>
        </is>
      </c>
      <c r="P94" s="799" t="n"/>
      <c r="Q94" s="799" t="n"/>
      <c r="R94" s="799" t="n"/>
      <c r="S94" s="799" t="n"/>
      <c r="T94" s="799" t="n"/>
      <c r="U94" s="800" t="n"/>
      <c r="V94" s="43" t="inlineStr">
        <is>
          <t>кор</t>
        </is>
      </c>
      <c r="W94" s="833">
        <f>IFERROR(W91/H91,"0")+IFERROR(W92/H92,"0")+IFERROR(W93/H93,"0")</f>
        <v/>
      </c>
      <c r="X94" s="833">
        <f>IFERROR(X91/H91,"0")+IFERROR(X92/H92,"0")+IFERROR(X93/H93,"0")</f>
        <v/>
      </c>
      <c r="Y94" s="833">
        <f>IFERROR(IF(Y91="",0,Y91),"0")+IFERROR(IF(Y92="",0,Y92),"0")+IFERROR(IF(Y93="",0,Y93),"0")</f>
        <v/>
      </c>
      <c r="Z94" s="834" t="n"/>
      <c r="AA94" s="834" t="n"/>
    </row>
    <row r="95">
      <c r="A95" s="398" t="n"/>
      <c r="B95" s="398" t="n"/>
      <c r="C95" s="398" t="n"/>
      <c r="D95" s="398" t="n"/>
      <c r="E95" s="398" t="n"/>
      <c r="F95" s="398" t="n"/>
      <c r="G95" s="398" t="n"/>
      <c r="H95" s="398" t="n"/>
      <c r="I95" s="398" t="n"/>
      <c r="J95" s="398" t="n"/>
      <c r="K95" s="398" t="n"/>
      <c r="L95" s="398" t="n"/>
      <c r="M95" s="398" t="n"/>
      <c r="N95" s="831" t="n"/>
      <c r="O95" s="832" t="inlineStr">
        <is>
          <t>Итого</t>
        </is>
      </c>
      <c r="P95" s="799" t="n"/>
      <c r="Q95" s="799" t="n"/>
      <c r="R95" s="799" t="n"/>
      <c r="S95" s="799" t="n"/>
      <c r="T95" s="799" t="n"/>
      <c r="U95" s="800" t="n"/>
      <c r="V95" s="43" t="inlineStr">
        <is>
          <t>кг</t>
        </is>
      </c>
      <c r="W95" s="833">
        <f>IFERROR(SUM(W91:W93),"0")</f>
        <v/>
      </c>
      <c r="X95" s="833">
        <f>IFERROR(SUM(X91:X93),"0")</f>
        <v/>
      </c>
      <c r="Y95" s="43" t="n"/>
      <c r="Z95" s="834" t="n"/>
      <c r="AA95" s="834" t="n"/>
    </row>
    <row r="96" ht="14.25" customHeight="1">
      <c r="A96" s="409" t="inlineStr">
        <is>
          <t>Копченые колбасы</t>
        </is>
      </c>
      <c r="B96" s="398" t="n"/>
      <c r="C96" s="398" t="n"/>
      <c r="D96" s="398" t="n"/>
      <c r="E96" s="398" t="n"/>
      <c r="F96" s="398" t="n"/>
      <c r="G96" s="398" t="n"/>
      <c r="H96" s="398" t="n"/>
      <c r="I96" s="398" t="n"/>
      <c r="J96" s="398" t="n"/>
      <c r="K96" s="398" t="n"/>
      <c r="L96" s="398" t="n"/>
      <c r="M96" s="398" t="n"/>
      <c r="N96" s="398" t="n"/>
      <c r="O96" s="398" t="n"/>
      <c r="P96" s="398" t="n"/>
      <c r="Q96" s="398" t="n"/>
      <c r="R96" s="398" t="n"/>
      <c r="S96" s="398" t="n"/>
      <c r="T96" s="398" t="n"/>
      <c r="U96" s="398" t="n"/>
      <c r="V96" s="398" t="n"/>
      <c r="W96" s="398" t="n"/>
      <c r="X96" s="398" t="n"/>
      <c r="Y96" s="398" t="n"/>
      <c r="Z96" s="409" t="n"/>
      <c r="AA96" s="409" t="n"/>
    </row>
    <row r="97" ht="16.5" customHeight="1">
      <c r="A97" s="64" t="inlineStr">
        <is>
          <t>SU000064</t>
        </is>
      </c>
      <c r="B97" s="64" t="inlineStr">
        <is>
          <t>P001841</t>
        </is>
      </c>
      <c r="C97" s="37" t="n">
        <v>4301030895</v>
      </c>
      <c r="D97" s="401" t="n">
        <v>4607091387667</v>
      </c>
      <c r="E97" s="791" t="n"/>
      <c r="F97" s="825" t="n">
        <v>0.9</v>
      </c>
      <c r="G97" s="38" t="n">
        <v>10</v>
      </c>
      <c r="H97" s="825" t="n">
        <v>9</v>
      </c>
      <c r="I97" s="825" t="n">
        <v>9.630000000000001</v>
      </c>
      <c r="J97" s="38" t="n">
        <v>56</v>
      </c>
      <c r="K97" s="38" t="inlineStr">
        <is>
          <t>8</t>
        </is>
      </c>
      <c r="L97" s="39" t="inlineStr">
        <is>
          <t>СК1</t>
        </is>
      </c>
      <c r="M97" s="39" t="n"/>
      <c r="N97" s="38" t="n">
        <v>40</v>
      </c>
      <c r="O97" s="87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P97" s="827" t="n"/>
      <c r="Q97" s="827" t="n"/>
      <c r="R97" s="827" t="n"/>
      <c r="S97" s="791" t="n"/>
      <c r="T97" s="40" t="inlineStr"/>
      <c r="U97" s="40" t="inlineStr"/>
      <c r="V97" s="41" t="inlineStr">
        <is>
          <t>кг</t>
        </is>
      </c>
      <c r="W97" s="828" t="n">
        <v>0</v>
      </c>
      <c r="X97" s="829">
        <f>IFERROR(IF(W97="",0,CEILING((W97/$H97),1)*$H97),"")</f>
        <v/>
      </c>
      <c r="Y97" s="42">
        <f>IFERROR(IF(X97=0,"",ROUNDUP(X97/H97,0)*0.02175),"")</f>
        <v/>
      </c>
      <c r="Z97" s="69" t="inlineStr"/>
      <c r="AA97" s="70" t="inlineStr"/>
      <c r="AE97" s="80" t="n"/>
      <c r="BB97" s="125" t="inlineStr">
        <is>
          <t>КИ</t>
        </is>
      </c>
      <c r="BL97" s="80">
        <f>IFERROR(W97*I97/H97,"0")</f>
        <v/>
      </c>
      <c r="BM97" s="80">
        <f>IFERROR(X97*I97/H97,"0")</f>
        <v/>
      </c>
      <c r="BN97" s="80">
        <f>IFERROR(1/J97*(W97/H97),"0")</f>
        <v/>
      </c>
      <c r="BO97" s="80">
        <f>IFERROR(1/J97*(X97/H97),"0")</f>
        <v/>
      </c>
    </row>
    <row r="98" ht="27" customHeight="1">
      <c r="A98" s="64" t="inlineStr">
        <is>
          <t>SU000664</t>
        </is>
      </c>
      <c r="B98" s="64" t="inlineStr">
        <is>
          <t>P002177</t>
        </is>
      </c>
      <c r="C98" s="37" t="n">
        <v>4301030961</v>
      </c>
      <c r="D98" s="401" t="n">
        <v>4607091387636</v>
      </c>
      <c r="E98" s="791" t="n"/>
      <c r="F98" s="825" t="n">
        <v>0.7</v>
      </c>
      <c r="G98" s="38" t="n">
        <v>6</v>
      </c>
      <c r="H98" s="825" t="n">
        <v>4.2</v>
      </c>
      <c r="I98" s="825" t="n">
        <v>4.5</v>
      </c>
      <c r="J98" s="38" t="n">
        <v>120</v>
      </c>
      <c r="K98" s="38" t="inlineStr">
        <is>
          <t>12</t>
        </is>
      </c>
      <c r="L98" s="39" t="inlineStr">
        <is>
          <t>СК2</t>
        </is>
      </c>
      <c r="M98" s="39" t="n"/>
      <c r="N98" s="38" t="n">
        <v>40</v>
      </c>
      <c r="O98" s="87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P98" s="827" t="n"/>
      <c r="Q98" s="827" t="n"/>
      <c r="R98" s="827" t="n"/>
      <c r="S98" s="791" t="n"/>
      <c r="T98" s="40" t="inlineStr"/>
      <c r="U98" s="40" t="inlineStr"/>
      <c r="V98" s="41" t="inlineStr">
        <is>
          <t>кг</t>
        </is>
      </c>
      <c r="W98" s="828" t="n">
        <v>0</v>
      </c>
      <c r="X98" s="829">
        <f>IFERROR(IF(W98="",0,CEILING((W98/$H98),1)*$H98),"")</f>
        <v/>
      </c>
      <c r="Y98" s="42">
        <f>IFERROR(IF(X98=0,"",ROUNDUP(X98/H98,0)*0.00937),"")</f>
        <v/>
      </c>
      <c r="Z98" s="69" t="inlineStr"/>
      <c r="AA98" s="70" t="inlineStr"/>
      <c r="AE98" s="80" t="n"/>
      <c r="BB98" s="126" t="inlineStr">
        <is>
          <t>КИ</t>
        </is>
      </c>
      <c r="BL98" s="80">
        <f>IFERROR(W98*I98/H98,"0")</f>
        <v/>
      </c>
      <c r="BM98" s="80">
        <f>IFERROR(X98*I98/H98,"0")</f>
        <v/>
      </c>
      <c r="BN98" s="80">
        <f>IFERROR(1/J98*(W98/H98),"0")</f>
        <v/>
      </c>
      <c r="BO98" s="80">
        <f>IFERROR(1/J98*(X98/H98),"0")</f>
        <v/>
      </c>
    </row>
    <row r="99" ht="16.5" customHeight="1">
      <c r="A99" s="64" t="inlineStr">
        <is>
          <t>SU000097</t>
        </is>
      </c>
      <c r="B99" s="64" t="inlineStr">
        <is>
          <t>P002179</t>
        </is>
      </c>
      <c r="C99" s="37" t="n">
        <v>4301030963</v>
      </c>
      <c r="D99" s="401" t="n">
        <v>4607091382426</v>
      </c>
      <c r="E99" s="791" t="n"/>
      <c r="F99" s="825" t="n">
        <v>0.9</v>
      </c>
      <c r="G99" s="38" t="n">
        <v>10</v>
      </c>
      <c r="H99" s="825" t="n">
        <v>9</v>
      </c>
      <c r="I99" s="825" t="n">
        <v>9.630000000000001</v>
      </c>
      <c r="J99" s="38" t="n">
        <v>56</v>
      </c>
      <c r="K99" s="38" t="inlineStr">
        <is>
          <t>8</t>
        </is>
      </c>
      <c r="L99" s="39" t="inlineStr">
        <is>
          <t>СК2</t>
        </is>
      </c>
      <c r="M99" s="39" t="n"/>
      <c r="N99" s="38" t="n">
        <v>40</v>
      </c>
      <c r="O99" s="87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P99" s="827" t="n"/>
      <c r="Q99" s="827" t="n"/>
      <c r="R99" s="827" t="n"/>
      <c r="S99" s="791" t="n"/>
      <c r="T99" s="40" t="inlineStr"/>
      <c r="U99" s="40" t="inlineStr"/>
      <c r="V99" s="41" t="inlineStr">
        <is>
          <t>кг</t>
        </is>
      </c>
      <c r="W99" s="828" t="n">
        <v>0</v>
      </c>
      <c r="X99" s="829">
        <f>IFERROR(IF(W99="",0,CEILING((W99/$H99),1)*$H99),"")</f>
        <v/>
      </c>
      <c r="Y99" s="42">
        <f>IFERROR(IF(X99=0,"",ROUNDUP(X99/H99,0)*0.02175),"")</f>
        <v/>
      </c>
      <c r="Z99" s="69" t="inlineStr"/>
      <c r="AA99" s="70" t="inlineStr"/>
      <c r="AE99" s="80" t="n"/>
      <c r="BB99" s="127" t="inlineStr">
        <is>
          <t>КИ</t>
        </is>
      </c>
      <c r="BL99" s="80">
        <f>IFERROR(W99*I99/H99,"0")</f>
        <v/>
      </c>
      <c r="BM99" s="80">
        <f>IFERROR(X99*I99/H99,"0")</f>
        <v/>
      </c>
      <c r="BN99" s="80">
        <f>IFERROR(1/J99*(W99/H99),"0")</f>
        <v/>
      </c>
      <c r="BO99" s="80">
        <f>IFERROR(1/J99*(X99/H99),"0")</f>
        <v/>
      </c>
    </row>
    <row r="100" ht="27" customHeight="1">
      <c r="A100" s="64" t="inlineStr">
        <is>
          <t>SU000665</t>
        </is>
      </c>
      <c r="B100" s="64" t="inlineStr">
        <is>
          <t>P002178</t>
        </is>
      </c>
      <c r="C100" s="37" t="n">
        <v>4301030962</v>
      </c>
      <c r="D100" s="401" t="n">
        <v>4607091386547</v>
      </c>
      <c r="E100" s="791" t="n"/>
      <c r="F100" s="825" t="n">
        <v>0.35</v>
      </c>
      <c r="G100" s="38" t="n">
        <v>8</v>
      </c>
      <c r="H100" s="825" t="n">
        <v>2.8</v>
      </c>
      <c r="I100" s="825" t="n">
        <v>2.94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9" t="n"/>
      <c r="N100" s="38" t="n">
        <v>40</v>
      </c>
      <c r="O100" s="88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P100" s="827" t="n"/>
      <c r="Q100" s="827" t="n"/>
      <c r="R100" s="827" t="n"/>
      <c r="S100" s="791" t="n"/>
      <c r="T100" s="40" t="inlineStr"/>
      <c r="U100" s="40" t="inlineStr"/>
      <c r="V100" s="41" t="inlineStr">
        <is>
          <t>кг</t>
        </is>
      </c>
      <c r="W100" s="828" t="n">
        <v>0</v>
      </c>
      <c r="X100" s="829">
        <f>IFERROR(IF(W100="",0,CEILING((W100/$H100),1)*$H100),"")</f>
        <v/>
      </c>
      <c r="Y100" s="42">
        <f>IFERROR(IF(X100=0,"",ROUNDUP(X100/H100,0)*0.00502),"")</f>
        <v/>
      </c>
      <c r="Z100" s="69" t="inlineStr"/>
      <c r="AA100" s="70" t="inlineStr"/>
      <c r="AE100" s="80" t="n"/>
      <c r="BB100" s="128" t="inlineStr">
        <is>
          <t>КИ</t>
        </is>
      </c>
      <c r="BL100" s="80">
        <f>IFERROR(W100*I100/H100,"0")</f>
        <v/>
      </c>
      <c r="BM100" s="80">
        <f>IFERROR(X100*I100/H100,"0")</f>
        <v/>
      </c>
      <c r="BN100" s="80">
        <f>IFERROR(1/J100*(W100/H100),"0")</f>
        <v/>
      </c>
      <c r="BO100" s="80">
        <f>IFERROR(1/J100*(X100/H100),"0")</f>
        <v/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401" t="n">
        <v>4607091382464</v>
      </c>
      <c r="E101" s="791" t="n"/>
      <c r="F101" s="825" t="n">
        <v>0.35</v>
      </c>
      <c r="G101" s="38" t="n">
        <v>8</v>
      </c>
      <c r="H101" s="825" t="n">
        <v>2.8</v>
      </c>
      <c r="I101" s="825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9" t="n"/>
      <c r="N101" s="38" t="n">
        <v>40</v>
      </c>
      <c r="O101" s="88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P101" s="827" t="n"/>
      <c r="Q101" s="827" t="n"/>
      <c r="R101" s="827" t="n"/>
      <c r="S101" s="791" t="n"/>
      <c r="T101" s="40" t="inlineStr"/>
      <c r="U101" s="40" t="inlineStr"/>
      <c r="V101" s="41" t="inlineStr">
        <is>
          <t>кг</t>
        </is>
      </c>
      <c r="W101" s="828" t="n">
        <v>0</v>
      </c>
      <c r="X101" s="829">
        <f>IFERROR(IF(W101="",0,CEILING((W101/$H101),1)*$H101),"")</f>
        <v/>
      </c>
      <c r="Y101" s="42">
        <f>IFERROR(IF(X101=0,"",ROUNDUP(X101/H101,0)*0.00502),"")</f>
        <v/>
      </c>
      <c r="Z101" s="69" t="inlineStr"/>
      <c r="AA101" s="70" t="inlineStr"/>
      <c r="AE101" s="80" t="n"/>
      <c r="BB101" s="129" t="inlineStr">
        <is>
          <t>КИ</t>
        </is>
      </c>
      <c r="BL101" s="80">
        <f>IFERROR(W101*I101/H101,"0")</f>
        <v/>
      </c>
      <c r="BM101" s="80">
        <f>IFERROR(X101*I101/H101,"0")</f>
        <v/>
      </c>
      <c r="BN101" s="80">
        <f>IFERROR(1/J101*(W101/H101),"0")</f>
        <v/>
      </c>
      <c r="BO101" s="80">
        <f>IFERROR(1/J101*(X101/H101),"0")</f>
        <v/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401" t="n">
        <v>4680115883444</v>
      </c>
      <c r="E102" s="791" t="n"/>
      <c r="F102" s="825" t="n">
        <v>0.35</v>
      </c>
      <c r="G102" s="38" t="n">
        <v>8</v>
      </c>
      <c r="H102" s="825" t="n">
        <v>2.8</v>
      </c>
      <c r="I102" s="825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9" t="n"/>
      <c r="N102" s="38" t="n">
        <v>90</v>
      </c>
      <c r="O102" s="882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P102" s="827" t="n"/>
      <c r="Q102" s="827" t="n"/>
      <c r="R102" s="827" t="n"/>
      <c r="S102" s="791" t="n"/>
      <c r="T102" s="40" t="inlineStr"/>
      <c r="U102" s="40" t="inlineStr"/>
      <c r="V102" s="41" t="inlineStr">
        <is>
          <t>кг</t>
        </is>
      </c>
      <c r="W102" s="828" t="n">
        <v>0</v>
      </c>
      <c r="X102" s="829">
        <f>IFERROR(IF(W102="",0,CEILING((W102/$H102),1)*$H102),"")</f>
        <v/>
      </c>
      <c r="Y102" s="42">
        <f>IFERROR(IF(X102=0,"",ROUNDUP(X102/H102,0)*0.00753),"")</f>
        <v/>
      </c>
      <c r="Z102" s="69" t="inlineStr"/>
      <c r="AA102" s="70" t="inlineStr"/>
      <c r="AE102" s="80" t="n"/>
      <c r="BB102" s="130" t="inlineStr">
        <is>
          <t>КИ</t>
        </is>
      </c>
      <c r="BL102" s="80">
        <f>IFERROR(W102*I102/H102,"0")</f>
        <v/>
      </c>
      <c r="BM102" s="80">
        <f>IFERROR(X102*I102/H102,"0")</f>
        <v/>
      </c>
      <c r="BN102" s="80">
        <f>IFERROR(1/J102*(W102/H102),"0")</f>
        <v/>
      </c>
      <c r="BO102" s="80">
        <f>IFERROR(1/J102*(X102/H102),"0")</f>
        <v/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401" t="n">
        <v>4680115883444</v>
      </c>
      <c r="E103" s="791" t="n"/>
      <c r="F103" s="825" t="n">
        <v>0.35</v>
      </c>
      <c r="G103" s="38" t="n">
        <v>8</v>
      </c>
      <c r="H103" s="825" t="n">
        <v>2.8</v>
      </c>
      <c r="I103" s="825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9" t="n"/>
      <c r="N103" s="38" t="n">
        <v>90</v>
      </c>
      <c r="O103" s="883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P103" s="827" t="n"/>
      <c r="Q103" s="827" t="n"/>
      <c r="R103" s="827" t="n"/>
      <c r="S103" s="791" t="n"/>
      <c r="T103" s="40" t="inlineStr"/>
      <c r="U103" s="40" t="inlineStr"/>
      <c r="V103" s="41" t="inlineStr">
        <is>
          <t>кг</t>
        </is>
      </c>
      <c r="W103" s="828" t="n">
        <v>35</v>
      </c>
      <c r="X103" s="829">
        <f>IFERROR(IF(W103="",0,CEILING((W103/$H103),1)*$H103),"")</f>
        <v/>
      </c>
      <c r="Y103" s="42">
        <f>IFERROR(IF(X103=0,"",ROUNDUP(X103/H103,0)*0.00753),"")</f>
        <v/>
      </c>
      <c r="Z103" s="69" t="inlineStr"/>
      <c r="AA103" s="70" t="inlineStr"/>
      <c r="AE103" s="80" t="n"/>
      <c r="BB103" s="131" t="inlineStr">
        <is>
          <t>КИ</t>
        </is>
      </c>
      <c r="BL103" s="80">
        <f>IFERROR(W103*I103/H103,"0")</f>
        <v/>
      </c>
      <c r="BM103" s="80">
        <f>IFERROR(X103*I103/H103,"0")</f>
        <v/>
      </c>
      <c r="BN103" s="80">
        <f>IFERROR(1/J103*(W103/H103),"0")</f>
        <v/>
      </c>
      <c r="BO103" s="80">
        <f>IFERROR(1/J103*(X103/H103),"0")</f>
        <v/>
      </c>
    </row>
    <row r="104">
      <c r="A104" s="408" t="n"/>
      <c r="B104" s="398" t="n"/>
      <c r="C104" s="398" t="n"/>
      <c r="D104" s="398" t="n"/>
      <c r="E104" s="398" t="n"/>
      <c r="F104" s="398" t="n"/>
      <c r="G104" s="398" t="n"/>
      <c r="H104" s="398" t="n"/>
      <c r="I104" s="398" t="n"/>
      <c r="J104" s="398" t="n"/>
      <c r="K104" s="398" t="n"/>
      <c r="L104" s="398" t="n"/>
      <c r="M104" s="398" t="n"/>
      <c r="N104" s="831" t="n"/>
      <c r="O104" s="832" t="inlineStr">
        <is>
          <t>Итого</t>
        </is>
      </c>
      <c r="P104" s="799" t="n"/>
      <c r="Q104" s="799" t="n"/>
      <c r="R104" s="799" t="n"/>
      <c r="S104" s="799" t="n"/>
      <c r="T104" s="799" t="n"/>
      <c r="U104" s="800" t="n"/>
      <c r="V104" s="43" t="inlineStr">
        <is>
          <t>кор</t>
        </is>
      </c>
      <c r="W104" s="833">
        <f>IFERROR(W97/H97,"0")+IFERROR(W98/H98,"0")+IFERROR(W99/H99,"0")+IFERROR(W100/H100,"0")+IFERROR(W101/H101,"0")+IFERROR(W102/H102,"0")+IFERROR(W103/H103,"0")</f>
        <v/>
      </c>
      <c r="X104" s="833">
        <f>IFERROR(X97/H97,"0")+IFERROR(X98/H98,"0")+IFERROR(X99/H99,"0")+IFERROR(X100/H100,"0")+IFERROR(X101/H101,"0")+IFERROR(X102/H102,"0")+IFERROR(X103/H103,"0")</f>
        <v/>
      </c>
      <c r="Y104" s="833">
        <f>IFERROR(IF(Y97="",0,Y97),"0")+IFERROR(IF(Y98="",0,Y98),"0")+IFERROR(IF(Y99="",0,Y99),"0")+IFERROR(IF(Y100="",0,Y100),"0")+IFERROR(IF(Y101="",0,Y101),"0")+IFERROR(IF(Y102="",0,Y102),"0")+IFERROR(IF(Y103="",0,Y103),"0")</f>
        <v/>
      </c>
      <c r="Z104" s="834" t="n"/>
      <c r="AA104" s="834" t="n"/>
    </row>
    <row r="105">
      <c r="A105" s="398" t="n"/>
      <c r="B105" s="398" t="n"/>
      <c r="C105" s="398" t="n"/>
      <c r="D105" s="398" t="n"/>
      <c r="E105" s="398" t="n"/>
      <c r="F105" s="398" t="n"/>
      <c r="G105" s="398" t="n"/>
      <c r="H105" s="398" t="n"/>
      <c r="I105" s="398" t="n"/>
      <c r="J105" s="398" t="n"/>
      <c r="K105" s="398" t="n"/>
      <c r="L105" s="398" t="n"/>
      <c r="M105" s="398" t="n"/>
      <c r="N105" s="831" t="n"/>
      <c r="O105" s="832" t="inlineStr">
        <is>
          <t>Итого</t>
        </is>
      </c>
      <c r="P105" s="799" t="n"/>
      <c r="Q105" s="799" t="n"/>
      <c r="R105" s="799" t="n"/>
      <c r="S105" s="799" t="n"/>
      <c r="T105" s="799" t="n"/>
      <c r="U105" s="800" t="n"/>
      <c r="V105" s="43" t="inlineStr">
        <is>
          <t>кг</t>
        </is>
      </c>
      <c r="W105" s="833">
        <f>IFERROR(SUM(W97:W103),"0")</f>
        <v/>
      </c>
      <c r="X105" s="833">
        <f>IFERROR(SUM(X97:X103),"0")</f>
        <v/>
      </c>
      <c r="Y105" s="43" t="n"/>
      <c r="Z105" s="834" t="n"/>
      <c r="AA105" s="834" t="n"/>
    </row>
    <row r="106" ht="14.25" customHeight="1">
      <c r="A106" s="409" t="inlineStr">
        <is>
          <t>Сосиски</t>
        </is>
      </c>
      <c r="B106" s="398" t="n"/>
      <c r="C106" s="398" t="n"/>
      <c r="D106" s="398" t="n"/>
      <c r="E106" s="398" t="n"/>
      <c r="F106" s="398" t="n"/>
      <c r="G106" s="398" t="n"/>
      <c r="H106" s="398" t="n"/>
      <c r="I106" s="398" t="n"/>
      <c r="J106" s="398" t="n"/>
      <c r="K106" s="398" t="n"/>
      <c r="L106" s="398" t="n"/>
      <c r="M106" s="398" t="n"/>
      <c r="N106" s="398" t="n"/>
      <c r="O106" s="398" t="n"/>
      <c r="P106" s="398" t="n"/>
      <c r="Q106" s="398" t="n"/>
      <c r="R106" s="398" t="n"/>
      <c r="S106" s="398" t="n"/>
      <c r="T106" s="398" t="n"/>
      <c r="U106" s="398" t="n"/>
      <c r="V106" s="398" t="n"/>
      <c r="W106" s="398" t="n"/>
      <c r="X106" s="398" t="n"/>
      <c r="Y106" s="398" t="n"/>
      <c r="Z106" s="409" t="n"/>
      <c r="AA106" s="409" t="n"/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401" t="n">
        <v>4607091386967</v>
      </c>
      <c r="E107" s="791" t="n"/>
      <c r="F107" s="825" t="n">
        <v>1.4</v>
      </c>
      <c r="G107" s="38" t="n">
        <v>6</v>
      </c>
      <c r="H107" s="825" t="n">
        <v>8.4</v>
      </c>
      <c r="I107" s="825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9" t="n"/>
      <c r="N107" s="38" t="n">
        <v>45</v>
      </c>
      <c r="O107" s="884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P107" s="827" t="n"/>
      <c r="Q107" s="827" t="n"/>
      <c r="R107" s="827" t="n"/>
      <c r="S107" s="791" t="n"/>
      <c r="T107" s="40" t="inlineStr"/>
      <c r="U107" s="40" t="inlineStr"/>
      <c r="V107" s="41" t="inlineStr">
        <is>
          <t>кг</t>
        </is>
      </c>
      <c r="W107" s="828" t="n">
        <v>100</v>
      </c>
      <c r="X107" s="829">
        <f>IFERROR(IF(W107="",0,CEILING((W107/$H107),1)*$H107),"")</f>
        <v/>
      </c>
      <c r="Y107" s="42">
        <f>IFERROR(IF(X107=0,"",ROUNDUP(X107/H107,0)*0.02175),"")</f>
        <v/>
      </c>
      <c r="Z107" s="69" t="inlineStr"/>
      <c r="AA107" s="70" t="inlineStr"/>
      <c r="AE107" s="80" t="n"/>
      <c r="BB107" s="132" t="inlineStr">
        <is>
          <t>КИ</t>
        </is>
      </c>
      <c r="BL107" s="80">
        <f>IFERROR(W107*I107/H107,"0")</f>
        <v/>
      </c>
      <c r="BM107" s="80">
        <f>IFERROR(X107*I107/H107,"0")</f>
        <v/>
      </c>
      <c r="BN107" s="80">
        <f>IFERROR(1/J107*(W107/H107),"0")</f>
        <v/>
      </c>
      <c r="BO107" s="80">
        <f>IFERROR(1/J107*(X107/H107),"0")</f>
        <v/>
      </c>
    </row>
    <row r="108" ht="27" customHeight="1">
      <c r="A108" s="64" t="inlineStr">
        <is>
          <t>SU001523</t>
        </is>
      </c>
      <c r="B108" s="64" t="inlineStr">
        <is>
          <t>P003328</t>
        </is>
      </c>
      <c r="C108" s="37" t="n">
        <v>4301051437</v>
      </c>
      <c r="D108" s="401" t="n">
        <v>4607091386967</v>
      </c>
      <c r="E108" s="791" t="n"/>
      <c r="F108" s="825" t="n">
        <v>1.35</v>
      </c>
      <c r="G108" s="38" t="n">
        <v>6</v>
      </c>
      <c r="H108" s="825" t="n">
        <v>8.1</v>
      </c>
      <c r="I108" s="825" t="n">
        <v>8.664</v>
      </c>
      <c r="J108" s="38" t="n">
        <v>56</v>
      </c>
      <c r="K108" s="38" t="inlineStr">
        <is>
          <t>8</t>
        </is>
      </c>
      <c r="L108" s="39" t="inlineStr">
        <is>
          <t>СК3</t>
        </is>
      </c>
      <c r="M108" s="39" t="n"/>
      <c r="N108" s="38" t="n">
        <v>45</v>
      </c>
      <c r="O108" s="885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P108" s="827" t="n"/>
      <c r="Q108" s="827" t="n"/>
      <c r="R108" s="827" t="n"/>
      <c r="S108" s="791" t="n"/>
      <c r="T108" s="40" t="inlineStr"/>
      <c r="U108" s="40" t="inlineStr"/>
      <c r="V108" s="41" t="inlineStr">
        <is>
          <t>кг</t>
        </is>
      </c>
      <c r="W108" s="828" t="n">
        <v>0</v>
      </c>
      <c r="X108" s="829">
        <f>IFERROR(IF(W108="",0,CEILING((W108/$H108),1)*$H108),"")</f>
        <v/>
      </c>
      <c r="Y108" s="42">
        <f>IFERROR(IF(X108=0,"",ROUNDUP(X108/H108,0)*0.02175),"")</f>
        <v/>
      </c>
      <c r="Z108" s="69" t="inlineStr"/>
      <c r="AA108" s="70" t="inlineStr"/>
      <c r="AE108" s="80" t="n"/>
      <c r="BB108" s="133" t="inlineStr">
        <is>
          <t>КИ</t>
        </is>
      </c>
      <c r="BL108" s="80">
        <f>IFERROR(W108*I108/H108,"0")</f>
        <v/>
      </c>
      <c r="BM108" s="80">
        <f>IFERROR(X108*I108/H108,"0")</f>
        <v/>
      </c>
      <c r="BN108" s="80">
        <f>IFERROR(1/J108*(W108/H108),"0")</f>
        <v/>
      </c>
      <c r="BO108" s="80">
        <f>IFERROR(1/J108*(X108/H108),"0")</f>
        <v/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401" t="n">
        <v>4607091385304</v>
      </c>
      <c r="E109" s="791" t="n"/>
      <c r="F109" s="825" t="n">
        <v>1.4</v>
      </c>
      <c r="G109" s="38" t="n">
        <v>6</v>
      </c>
      <c r="H109" s="825" t="n">
        <v>8.4</v>
      </c>
      <c r="I109" s="825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9" t="n"/>
      <c r="N109" s="38" t="n">
        <v>40</v>
      </c>
      <c r="O109" s="886">
        <f>HYPERLINK("https://abi.ru/products/Охлажденные/Вязанка/Вязанка/Сосиски/P003904/","Сосиски «Рубленые» Весовые п/а мгс УВВ ТМ «Вязанка»")</f>
        <v/>
      </c>
      <c r="P109" s="827" t="n"/>
      <c r="Q109" s="827" t="n"/>
      <c r="R109" s="827" t="n"/>
      <c r="S109" s="791" t="n"/>
      <c r="T109" s="40" t="inlineStr"/>
      <c r="U109" s="40" t="inlineStr"/>
      <c r="V109" s="41" t="inlineStr">
        <is>
          <t>кг</t>
        </is>
      </c>
      <c r="W109" s="828" t="n">
        <v>50</v>
      </c>
      <c r="X109" s="829">
        <f>IFERROR(IF(W109="",0,CEILING((W109/$H109),1)*$H109),"")</f>
        <v/>
      </c>
      <c r="Y109" s="42">
        <f>IFERROR(IF(X109=0,"",ROUNDUP(X109/H109,0)*0.02175),"")</f>
        <v/>
      </c>
      <c r="Z109" s="69" t="inlineStr"/>
      <c r="AA109" s="70" t="inlineStr"/>
      <c r="AE109" s="80" t="n"/>
      <c r="BB109" s="134" t="inlineStr">
        <is>
          <t>КИ</t>
        </is>
      </c>
      <c r="BL109" s="80">
        <f>IFERROR(W109*I109/H109,"0")</f>
        <v/>
      </c>
      <c r="BM109" s="80">
        <f>IFERROR(X109*I109/H109,"0")</f>
        <v/>
      </c>
      <c r="BN109" s="80">
        <f>IFERROR(1/J109*(W109/H109),"0")</f>
        <v/>
      </c>
      <c r="BO109" s="80">
        <f>IFERROR(1/J109*(X109/H109),"0")</f>
        <v/>
      </c>
    </row>
    <row r="110" ht="16.5" customHeight="1">
      <c r="A110" s="64" t="inlineStr">
        <is>
          <t>SU001527</t>
        </is>
      </c>
      <c r="B110" s="64" t="inlineStr">
        <is>
          <t>P003992</t>
        </is>
      </c>
      <c r="C110" s="37" t="n">
        <v>4301051648</v>
      </c>
      <c r="D110" s="401" t="n">
        <v>4607091386264</v>
      </c>
      <c r="E110" s="791" t="n"/>
      <c r="F110" s="825" t="n">
        <v>0.5</v>
      </c>
      <c r="G110" s="38" t="n">
        <v>6</v>
      </c>
      <c r="H110" s="825" t="n">
        <v>3</v>
      </c>
      <c r="I110" s="825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9" t="n"/>
      <c r="N110" s="38" t="n">
        <v>31</v>
      </c>
      <c r="O110" s="887">
        <f>HYPERLINK("https://abi.ru/products/Охлажденные/Вязанка/Вязанка/Сосиски/P003992/","Сосиски «Венские» Фикс.вес 0,5 п/а мгс ТМ «Вязанка»")</f>
        <v/>
      </c>
      <c r="P110" s="827" t="n"/>
      <c r="Q110" s="827" t="n"/>
      <c r="R110" s="827" t="n"/>
      <c r="S110" s="791" t="n"/>
      <c r="T110" s="40" t="inlineStr"/>
      <c r="U110" s="40" t="inlineStr"/>
      <c r="V110" s="41" t="inlineStr">
        <is>
          <t>кг</t>
        </is>
      </c>
      <c r="W110" s="828" t="n">
        <v>0</v>
      </c>
      <c r="X110" s="829">
        <f>IFERROR(IF(W110="",0,CEILING((W110/$H110),1)*$H110),"")</f>
        <v/>
      </c>
      <c r="Y110" s="42">
        <f>IFERROR(IF(X110=0,"",ROUNDUP(X110/H110,0)*0.00753),"")</f>
        <v/>
      </c>
      <c r="Z110" s="69" t="inlineStr"/>
      <c r="AA110" s="70" t="inlineStr"/>
      <c r="AE110" s="80" t="n"/>
      <c r="BB110" s="135" t="inlineStr">
        <is>
          <t>КИ</t>
        </is>
      </c>
      <c r="BL110" s="80">
        <f>IFERROR(W110*I110/H110,"0")</f>
        <v/>
      </c>
      <c r="BM110" s="80">
        <f>IFERROR(X110*I110/H110,"0")</f>
        <v/>
      </c>
      <c r="BN110" s="80">
        <f>IFERROR(1/J110*(W110/H110),"0")</f>
        <v/>
      </c>
      <c r="BO110" s="80">
        <f>IFERROR(1/J110*(X110/H110),"0")</f>
        <v/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401" t="n">
        <v>4680115882584</v>
      </c>
      <c r="E111" s="791" t="n"/>
      <c r="F111" s="825" t="n">
        <v>0.33</v>
      </c>
      <c r="G111" s="38" t="n">
        <v>8</v>
      </c>
      <c r="H111" s="825" t="n">
        <v>2.64</v>
      </c>
      <c r="I111" s="825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9" t="n"/>
      <c r="N111" s="38" t="n">
        <v>60</v>
      </c>
      <c r="O111" s="888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P111" s="827" t="n"/>
      <c r="Q111" s="827" t="n"/>
      <c r="R111" s="827" t="n"/>
      <c r="S111" s="791" t="n"/>
      <c r="T111" s="40" t="inlineStr"/>
      <c r="U111" s="40" t="inlineStr"/>
      <c r="V111" s="41" t="inlineStr">
        <is>
          <t>кг</t>
        </is>
      </c>
      <c r="W111" s="828" t="n">
        <v>0</v>
      </c>
      <c r="X111" s="829">
        <f>IFERROR(IF(W111="",0,CEILING((W111/$H111),1)*$H111),"")</f>
        <v/>
      </c>
      <c r="Y111" s="42">
        <f>IFERROR(IF(X111=0,"",ROUNDUP(X111/H111,0)*0.00753),"")</f>
        <v/>
      </c>
      <c r="Z111" s="69" t="inlineStr"/>
      <c r="AA111" s="70" t="inlineStr"/>
      <c r="AE111" s="80" t="n"/>
      <c r="BB111" s="136" t="inlineStr">
        <is>
          <t>КИ</t>
        </is>
      </c>
      <c r="BL111" s="80">
        <f>IFERROR(W111*I111/H111,"0")</f>
        <v/>
      </c>
      <c r="BM111" s="80">
        <f>IFERROR(X111*I111/H111,"0")</f>
        <v/>
      </c>
      <c r="BN111" s="80">
        <f>IFERROR(1/J111*(W111/H111),"0")</f>
        <v/>
      </c>
      <c r="BO111" s="80">
        <f>IFERROR(1/J111*(X111/H111),"0")</f>
        <v/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401" t="n">
        <v>4680115882584</v>
      </c>
      <c r="E112" s="791" t="n"/>
      <c r="F112" s="825" t="n">
        <v>0.33</v>
      </c>
      <c r="G112" s="38" t="n">
        <v>8</v>
      </c>
      <c r="H112" s="825" t="n">
        <v>2.64</v>
      </c>
      <c r="I112" s="825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9" t="n"/>
      <c r="N112" s="38" t="n">
        <v>60</v>
      </c>
      <c r="O112" s="889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P112" s="827" t="n"/>
      <c r="Q112" s="827" t="n"/>
      <c r="R112" s="827" t="n"/>
      <c r="S112" s="791" t="n"/>
      <c r="T112" s="40" t="inlineStr"/>
      <c r="U112" s="40" t="inlineStr"/>
      <c r="V112" s="41" t="inlineStr">
        <is>
          <t>кг</t>
        </is>
      </c>
      <c r="W112" s="828" t="n">
        <v>66</v>
      </c>
      <c r="X112" s="829">
        <f>IFERROR(IF(W112="",0,CEILING((W112/$H112),1)*$H112),"")</f>
        <v/>
      </c>
      <c r="Y112" s="42">
        <f>IFERROR(IF(X112=0,"",ROUNDUP(X112/H112,0)*0.00753),"")</f>
        <v/>
      </c>
      <c r="Z112" s="69" t="inlineStr"/>
      <c r="AA112" s="70" t="inlineStr"/>
      <c r="AE112" s="80" t="n"/>
      <c r="BB112" s="137" t="inlineStr">
        <is>
          <t>КИ</t>
        </is>
      </c>
      <c r="BL112" s="80">
        <f>IFERROR(W112*I112/H112,"0")</f>
        <v/>
      </c>
      <c r="BM112" s="80">
        <f>IFERROR(X112*I112/H112,"0")</f>
        <v/>
      </c>
      <c r="BN112" s="80">
        <f>IFERROR(1/J112*(W112/H112),"0")</f>
        <v/>
      </c>
      <c r="BO112" s="80">
        <f>IFERROR(1/J112*(X112/H112),"0")</f>
        <v/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401" t="n">
        <v>4607091385731</v>
      </c>
      <c r="E113" s="791" t="n"/>
      <c r="F113" s="825" t="n">
        <v>0.45</v>
      </c>
      <c r="G113" s="38" t="n">
        <v>6</v>
      </c>
      <c r="H113" s="825" t="n">
        <v>2.7</v>
      </c>
      <c r="I113" s="825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9" t="n"/>
      <c r="N113" s="38" t="n">
        <v>45</v>
      </c>
      <c r="O113" s="890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P113" s="827" t="n"/>
      <c r="Q113" s="827" t="n"/>
      <c r="R113" s="827" t="n"/>
      <c r="S113" s="791" t="n"/>
      <c r="T113" s="40" t="inlineStr"/>
      <c r="U113" s="40" t="inlineStr"/>
      <c r="V113" s="41" t="inlineStr">
        <is>
          <t>кг</t>
        </is>
      </c>
      <c r="W113" s="828" t="n">
        <v>450</v>
      </c>
      <c r="X113" s="829">
        <f>IFERROR(IF(W113="",0,CEILING((W113/$H113),1)*$H113),"")</f>
        <v/>
      </c>
      <c r="Y113" s="42">
        <f>IFERROR(IF(X113=0,"",ROUNDUP(X113/H113,0)*0.00753),"")</f>
        <v/>
      </c>
      <c r="Z113" s="69" t="inlineStr"/>
      <c r="AA113" s="70" t="inlineStr"/>
      <c r="AE113" s="80" t="n"/>
      <c r="BB113" s="138" t="inlineStr">
        <is>
          <t>КИ</t>
        </is>
      </c>
      <c r="BL113" s="80">
        <f>IFERROR(W113*I113/H113,"0")</f>
        <v/>
      </c>
      <c r="BM113" s="80">
        <f>IFERROR(X113*I113/H113,"0")</f>
        <v/>
      </c>
      <c r="BN113" s="80">
        <f>IFERROR(1/J113*(W113/H113),"0")</f>
        <v/>
      </c>
      <c r="BO113" s="80">
        <f>IFERROR(1/J113*(X113/H113),"0")</f>
        <v/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401" t="n">
        <v>4680115880214</v>
      </c>
      <c r="E114" s="791" t="n"/>
      <c r="F114" s="825" t="n">
        <v>0.45</v>
      </c>
      <c r="G114" s="38" t="n">
        <v>6</v>
      </c>
      <c r="H114" s="825" t="n">
        <v>2.7</v>
      </c>
      <c r="I114" s="825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9" t="n"/>
      <c r="N114" s="38" t="n">
        <v>45</v>
      </c>
      <c r="O114" s="891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P114" s="827" t="n"/>
      <c r="Q114" s="827" t="n"/>
      <c r="R114" s="827" t="n"/>
      <c r="S114" s="791" t="n"/>
      <c r="T114" s="40" t="inlineStr"/>
      <c r="U114" s="40" t="inlineStr"/>
      <c r="V114" s="41" t="inlineStr">
        <is>
          <t>кг</t>
        </is>
      </c>
      <c r="W114" s="828" t="n">
        <v>0</v>
      </c>
      <c r="X114" s="829">
        <f>IFERROR(IF(W114="",0,CEILING((W114/$H114),1)*$H114),"")</f>
        <v/>
      </c>
      <c r="Y114" s="42">
        <f>IFERROR(IF(X114=0,"",ROUNDUP(X114/H114,0)*0.00937),"")</f>
        <v/>
      </c>
      <c r="Z114" s="69" t="inlineStr"/>
      <c r="AA114" s="70" t="inlineStr"/>
      <c r="AE114" s="80" t="n"/>
      <c r="BB114" s="139" t="inlineStr">
        <is>
          <t>КИ</t>
        </is>
      </c>
      <c r="BL114" s="80">
        <f>IFERROR(W114*I114/H114,"0")</f>
        <v/>
      </c>
      <c r="BM114" s="80">
        <f>IFERROR(X114*I114/H114,"0")</f>
        <v/>
      </c>
      <c r="BN114" s="80">
        <f>IFERROR(1/J114*(W114/H114),"0")</f>
        <v/>
      </c>
      <c r="BO114" s="80">
        <f>IFERROR(1/J114*(X114/H114),"0")</f>
        <v/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401" t="n">
        <v>4680115880894</v>
      </c>
      <c r="E115" s="791" t="n"/>
      <c r="F115" s="825" t="n">
        <v>0.33</v>
      </c>
      <c r="G115" s="38" t="n">
        <v>6</v>
      </c>
      <c r="H115" s="825" t="n">
        <v>1.98</v>
      </c>
      <c r="I115" s="825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9" t="n"/>
      <c r="N115" s="38" t="n">
        <v>45</v>
      </c>
      <c r="O115" s="892">
        <f>HYPERLINK("https://abi.ru/products/Охлажденные/Вязанка/Вязанка/Сосиски/P003324/","Сосиски Молокуши Миникушай Вязанка фикс.вес 0,33 п/а Вязанка")</f>
        <v/>
      </c>
      <c r="P115" s="827" t="n"/>
      <c r="Q115" s="827" t="n"/>
      <c r="R115" s="827" t="n"/>
      <c r="S115" s="791" t="n"/>
      <c r="T115" s="40" t="inlineStr"/>
      <c r="U115" s="40" t="inlineStr"/>
      <c r="V115" s="41" t="inlineStr">
        <is>
          <t>кг</t>
        </is>
      </c>
      <c r="W115" s="828" t="n">
        <v>0</v>
      </c>
      <c r="X115" s="829">
        <f>IFERROR(IF(W115="",0,CEILING((W115/$H115),1)*$H115),"")</f>
        <v/>
      </c>
      <c r="Y115" s="42">
        <f>IFERROR(IF(X115=0,"",ROUNDUP(X115/H115,0)*0.00753),"")</f>
        <v/>
      </c>
      <c r="Z115" s="69" t="inlineStr"/>
      <c r="AA115" s="70" t="inlineStr"/>
      <c r="AE115" s="80" t="n"/>
      <c r="BB115" s="140" t="inlineStr">
        <is>
          <t>КИ</t>
        </is>
      </c>
      <c r="BL115" s="80">
        <f>IFERROR(W115*I115/H115,"0")</f>
        <v/>
      </c>
      <c r="BM115" s="80">
        <f>IFERROR(X115*I115/H115,"0")</f>
        <v/>
      </c>
      <c r="BN115" s="80">
        <f>IFERROR(1/J115*(W115/H115),"0")</f>
        <v/>
      </c>
      <c r="BO115" s="80">
        <f>IFERROR(1/J115*(X115/H115),"0")</f>
        <v/>
      </c>
    </row>
    <row r="116" ht="16.5" customHeight="1">
      <c r="A116" s="64" t="inlineStr">
        <is>
          <t>SU003502</t>
        </is>
      </c>
      <c r="B116" s="64" t="inlineStr">
        <is>
          <t>P004556</t>
        </is>
      </c>
      <c r="C116" s="37" t="n">
        <v>4301051842</v>
      </c>
      <c r="D116" s="401" t="n">
        <v>4680115885233</v>
      </c>
      <c r="E116" s="791" t="n"/>
      <c r="F116" s="825" t="n">
        <v>0.2</v>
      </c>
      <c r="G116" s="38" t="n">
        <v>6</v>
      </c>
      <c r="H116" s="825" t="n">
        <v>1.2</v>
      </c>
      <c r="I116" s="825" t="n">
        <v>1.3</v>
      </c>
      <c r="J116" s="38" t="n">
        <v>234</v>
      </c>
      <c r="K116" s="38" t="inlineStr">
        <is>
          <t>18</t>
        </is>
      </c>
      <c r="L116" s="39" t="inlineStr">
        <is>
          <t>СК3</t>
        </is>
      </c>
      <c r="M116" s="39" t="n"/>
      <c r="N116" s="38" t="n">
        <v>40</v>
      </c>
      <c r="O116" s="893" t="inlineStr">
        <is>
          <t>Сосиски «Молочные ГОСТ» ф/в 0,2 ц/о ТМ «Вязанка»</t>
        </is>
      </c>
      <c r="P116" s="827" t="n"/>
      <c r="Q116" s="827" t="n"/>
      <c r="R116" s="827" t="n"/>
      <c r="S116" s="791" t="n"/>
      <c r="T116" s="40" t="inlineStr"/>
      <c r="U116" s="40" t="inlineStr"/>
      <c r="V116" s="41" t="inlineStr">
        <is>
          <t>кг</t>
        </is>
      </c>
      <c r="W116" s="828" t="n">
        <v>0</v>
      </c>
      <c r="X116" s="829">
        <f>IFERROR(IF(W116="",0,CEILING((W116/$H116),1)*$H116),"")</f>
        <v/>
      </c>
      <c r="Y116" s="42">
        <f>IFERROR(IF(X116=0,"",ROUNDUP(X116/H116,0)*0.00502),"")</f>
        <v/>
      </c>
      <c r="Z116" s="69" t="inlineStr"/>
      <c r="AA116" s="70" t="inlineStr"/>
      <c r="AE116" s="80" t="n"/>
      <c r="BB116" s="141" t="inlineStr">
        <is>
          <t>КИ</t>
        </is>
      </c>
      <c r="BL116" s="80">
        <f>IFERROR(W116*I116/H116,"0")</f>
        <v/>
      </c>
      <c r="BM116" s="80">
        <f>IFERROR(X116*I116/H116,"0")</f>
        <v/>
      </c>
      <c r="BN116" s="80">
        <f>IFERROR(1/J116*(W116/H116),"0")</f>
        <v/>
      </c>
      <c r="BO116" s="80">
        <f>IFERROR(1/J116*(X116/H116),"0")</f>
        <v/>
      </c>
    </row>
    <row r="117" ht="16.5" customHeight="1">
      <c r="A117" s="64" t="inlineStr">
        <is>
          <t>SU003313</t>
        </is>
      </c>
      <c r="B117" s="64" t="inlineStr">
        <is>
          <t>P004551</t>
        </is>
      </c>
      <c r="C117" s="37" t="n">
        <v>4301051820</v>
      </c>
      <c r="D117" s="401" t="n">
        <v>4680115884915</v>
      </c>
      <c r="E117" s="791" t="n"/>
      <c r="F117" s="825" t="n">
        <v>0.3</v>
      </c>
      <c r="G117" s="38" t="n">
        <v>6</v>
      </c>
      <c r="H117" s="825" t="n">
        <v>1.8</v>
      </c>
      <c r="I117" s="825" t="n">
        <v>2</v>
      </c>
      <c r="J117" s="38" t="n">
        <v>156</v>
      </c>
      <c r="K117" s="38" t="inlineStr">
        <is>
          <t>12</t>
        </is>
      </c>
      <c r="L117" s="39" t="inlineStr">
        <is>
          <t>СК3</t>
        </is>
      </c>
      <c r="M117" s="39" t="n"/>
      <c r="N117" s="38" t="n">
        <v>40</v>
      </c>
      <c r="O117" s="894" t="inlineStr">
        <is>
          <t>Сосиски «Молочные ГОСТ» ф/в 0,3 ц/о ТМ «Вязанка»</t>
        </is>
      </c>
      <c r="P117" s="827" t="n"/>
      <c r="Q117" s="827" t="n"/>
      <c r="R117" s="827" t="n"/>
      <c r="S117" s="791" t="n"/>
      <c r="T117" s="40" t="inlineStr"/>
      <c r="U117" s="40" t="inlineStr"/>
      <c r="V117" s="41" t="inlineStr">
        <is>
          <t>кг</t>
        </is>
      </c>
      <c r="W117" s="828" t="n">
        <v>0</v>
      </c>
      <c r="X117" s="829">
        <f>IFERROR(IF(W117="",0,CEILING((W117/$H117),1)*$H117),"")</f>
        <v/>
      </c>
      <c r="Y117" s="42">
        <f>IFERROR(IF(X117=0,"",ROUNDUP(X117/H117,0)*0.00753),"")</f>
        <v/>
      </c>
      <c r="Z117" s="69" t="inlineStr"/>
      <c r="AA117" s="70" t="inlineStr"/>
      <c r="AE117" s="80" t="n"/>
      <c r="BB117" s="142" t="inlineStr">
        <is>
          <t>КИ</t>
        </is>
      </c>
      <c r="BL117" s="80">
        <f>IFERROR(W117*I117/H117,"0")</f>
        <v/>
      </c>
      <c r="BM117" s="80">
        <f>IFERROR(X117*I117/H117,"0")</f>
        <v/>
      </c>
      <c r="BN117" s="80">
        <f>IFERROR(1/J117*(W117/H117),"0")</f>
        <v/>
      </c>
      <c r="BO117" s="80">
        <f>IFERROR(1/J117*(X117/H117),"0")</f>
        <v/>
      </c>
    </row>
    <row r="118" ht="16.5" customHeight="1">
      <c r="A118" s="64" t="inlineStr">
        <is>
          <t>SU001354</t>
        </is>
      </c>
      <c r="B118" s="64" t="inlineStr">
        <is>
          <t>P003030</t>
        </is>
      </c>
      <c r="C118" s="37" t="n">
        <v>4301051313</v>
      </c>
      <c r="D118" s="401" t="n">
        <v>4607091385427</v>
      </c>
      <c r="E118" s="791" t="n"/>
      <c r="F118" s="825" t="n">
        <v>0.5</v>
      </c>
      <c r="G118" s="38" t="n">
        <v>6</v>
      </c>
      <c r="H118" s="825" t="n">
        <v>3</v>
      </c>
      <c r="I118" s="825" t="n">
        <v>3.272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9" t="n"/>
      <c r="N118" s="38" t="n">
        <v>40</v>
      </c>
      <c r="O118" s="895">
        <f>HYPERLINK("https://abi.ru/products/Охлажденные/Вязанка/Вязанка/Сосиски/P003030/","Сосиски Рубленые Вязанка Фикс.вес 0,5 п/а мгс Вязанка")</f>
        <v/>
      </c>
      <c r="P118" s="827" t="n"/>
      <c r="Q118" s="827" t="n"/>
      <c r="R118" s="827" t="n"/>
      <c r="S118" s="791" t="n"/>
      <c r="T118" s="40" t="inlineStr"/>
      <c r="U118" s="40" t="inlineStr"/>
      <c r="V118" s="41" t="inlineStr">
        <is>
          <t>кг</t>
        </is>
      </c>
      <c r="W118" s="828" t="n">
        <v>40</v>
      </c>
      <c r="X118" s="829">
        <f>IFERROR(IF(W118="",0,CEILING((W118/$H118),1)*$H118),"")</f>
        <v/>
      </c>
      <c r="Y118" s="42">
        <f>IFERROR(IF(X118=0,"",ROUNDUP(X118/H118,0)*0.00753),"")</f>
        <v/>
      </c>
      <c r="Z118" s="69" t="inlineStr"/>
      <c r="AA118" s="70" t="inlineStr"/>
      <c r="AE118" s="80" t="n"/>
      <c r="BB118" s="143" t="inlineStr">
        <is>
          <t>КИ</t>
        </is>
      </c>
      <c r="BL118" s="80">
        <f>IFERROR(W118*I118/H118,"0")</f>
        <v/>
      </c>
      <c r="BM118" s="80">
        <f>IFERROR(X118*I118/H118,"0")</f>
        <v/>
      </c>
      <c r="BN118" s="80">
        <f>IFERROR(1/J118*(W118/H118),"0")</f>
        <v/>
      </c>
      <c r="BO118" s="80">
        <f>IFERROR(1/J118*(X118/H118),"0")</f>
        <v/>
      </c>
    </row>
    <row r="119" ht="16.5" customHeight="1">
      <c r="A119" s="64" t="inlineStr">
        <is>
          <t>SU002996</t>
        </is>
      </c>
      <c r="B119" s="64" t="inlineStr">
        <is>
          <t>P003464</t>
        </is>
      </c>
      <c r="C119" s="37" t="n">
        <v>4301051480</v>
      </c>
      <c r="D119" s="401" t="n">
        <v>4680115882645</v>
      </c>
      <c r="E119" s="791" t="n"/>
      <c r="F119" s="825" t="n">
        <v>0.3</v>
      </c>
      <c r="G119" s="38" t="n">
        <v>6</v>
      </c>
      <c r="H119" s="825" t="n">
        <v>1.8</v>
      </c>
      <c r="I119" s="825" t="n">
        <v>2.66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9" t="n"/>
      <c r="N119" s="38" t="n">
        <v>40</v>
      </c>
      <c r="O119" s="896">
        <f>HYPERLINK("https://abi.ru/products/Охлажденные/Вязанка/Вязанка/Сосиски/P003464/","Сосиски «Сливушки с сыром» ф/в 0,3 п/а ТМ «Вязанка»")</f>
        <v/>
      </c>
      <c r="P119" s="827" t="n"/>
      <c r="Q119" s="827" t="n"/>
      <c r="R119" s="827" t="n"/>
      <c r="S119" s="791" t="n"/>
      <c r="T119" s="40" t="inlineStr"/>
      <c r="U119" s="40" t="inlineStr"/>
      <c r="V119" s="41" t="inlineStr">
        <is>
          <t>кг</t>
        </is>
      </c>
      <c r="W119" s="828" t="n">
        <v>0</v>
      </c>
      <c r="X119" s="829">
        <f>IFERROR(IF(W119="",0,CEILING((W119/$H119),1)*$H119),"")</f>
        <v/>
      </c>
      <c r="Y119" s="42">
        <f>IFERROR(IF(X119=0,"",ROUNDUP(X119/H119,0)*0.00753),"")</f>
        <v/>
      </c>
      <c r="Z119" s="69" t="inlineStr"/>
      <c r="AA119" s="70" t="inlineStr"/>
      <c r="AE119" s="80" t="n"/>
      <c r="BB119" s="144" t="inlineStr">
        <is>
          <t>КИ</t>
        </is>
      </c>
      <c r="BL119" s="80">
        <f>IFERROR(W119*I119/H119,"0")</f>
        <v/>
      </c>
      <c r="BM119" s="80">
        <f>IFERROR(X119*I119/H119,"0")</f>
        <v/>
      </c>
      <c r="BN119" s="80">
        <f>IFERROR(1/J119*(W119/H119),"0")</f>
        <v/>
      </c>
      <c r="BO119" s="80">
        <f>IFERROR(1/J119*(X119/H119),"0")</f>
        <v/>
      </c>
    </row>
    <row r="120" ht="16.5" customHeight="1">
      <c r="A120" s="64" t="inlineStr">
        <is>
          <t>SU002825</t>
        </is>
      </c>
      <c r="B120" s="64" t="inlineStr">
        <is>
          <t>P004554</t>
        </is>
      </c>
      <c r="C120" s="37" t="n">
        <v>4301051837</v>
      </c>
      <c r="D120" s="401" t="n">
        <v>4680115884311</v>
      </c>
      <c r="E120" s="791" t="n"/>
      <c r="F120" s="825" t="n">
        <v>0.3</v>
      </c>
      <c r="G120" s="38" t="n">
        <v>6</v>
      </c>
      <c r="H120" s="825" t="n">
        <v>1.8</v>
      </c>
      <c r="I120" s="825" t="n">
        <v>2.066</v>
      </c>
      <c r="J120" s="38" t="n">
        <v>156</v>
      </c>
      <c r="K120" s="38" t="inlineStr">
        <is>
          <t>12</t>
        </is>
      </c>
      <c r="L120" s="39" t="inlineStr">
        <is>
          <t>СК3</t>
        </is>
      </c>
      <c r="M120" s="39" t="n"/>
      <c r="N120" s="38" t="n">
        <v>40</v>
      </c>
      <c r="O120" s="897" t="inlineStr">
        <is>
          <t>Сосиски «Филейские» Фикс.вес 0,3 ц/о мгс ТМ «Вязанка»</t>
        </is>
      </c>
      <c r="P120" s="827" t="n"/>
      <c r="Q120" s="827" t="n"/>
      <c r="R120" s="827" t="n"/>
      <c r="S120" s="791" t="n"/>
      <c r="T120" s="40" t="inlineStr"/>
      <c r="U120" s="40" t="inlineStr"/>
      <c r="V120" s="41" t="inlineStr">
        <is>
          <t>кг</t>
        </is>
      </c>
      <c r="W120" s="828" t="n">
        <v>0</v>
      </c>
      <c r="X120" s="829">
        <f>IFERROR(IF(W120="",0,CEILING((W120/$H120),1)*$H120),"")</f>
        <v/>
      </c>
      <c r="Y120" s="42">
        <f>IFERROR(IF(X120=0,"",ROUNDUP(X120/H120,0)*0.00753),"")</f>
        <v/>
      </c>
      <c r="Z120" s="69" t="inlineStr"/>
      <c r="AA120" s="70" t="inlineStr"/>
      <c r="AE120" s="80" t="n"/>
      <c r="BB120" s="145" t="inlineStr">
        <is>
          <t>КИ</t>
        </is>
      </c>
      <c r="BL120" s="80">
        <f>IFERROR(W120*I120/H120,"0")</f>
        <v/>
      </c>
      <c r="BM120" s="80">
        <f>IFERROR(X120*I120/H120,"0")</f>
        <v/>
      </c>
      <c r="BN120" s="80">
        <f>IFERROR(1/J120*(W120/H120),"0")</f>
        <v/>
      </c>
      <c r="BO120" s="80">
        <f>IFERROR(1/J120*(X120/H120),"0")</f>
        <v/>
      </c>
    </row>
    <row r="121" ht="16.5" customHeight="1">
      <c r="A121" s="64" t="inlineStr">
        <is>
          <t>SU003288</t>
        </is>
      </c>
      <c r="B121" s="64" t="inlineStr">
        <is>
          <t>P004557</t>
        </is>
      </c>
      <c r="C121" s="37" t="n">
        <v>4301051827</v>
      </c>
      <c r="D121" s="401" t="n">
        <v>4680115884403</v>
      </c>
      <c r="E121" s="791" t="n"/>
      <c r="F121" s="825" t="n">
        <v>0.3</v>
      </c>
      <c r="G121" s="38" t="n">
        <v>6</v>
      </c>
      <c r="H121" s="825" t="n">
        <v>1.8</v>
      </c>
      <c r="I121" s="825" t="n">
        <v>2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9" t="n"/>
      <c r="N121" s="38" t="n">
        <v>40</v>
      </c>
      <c r="O121" s="898" t="inlineStr">
        <is>
          <t>Сосиски «Филейские рубленые» ф/в 0,3 ц/о ТМ «Вязанка»</t>
        </is>
      </c>
      <c r="P121" s="827" t="n"/>
      <c r="Q121" s="827" t="n"/>
      <c r="R121" s="827" t="n"/>
      <c r="S121" s="791" t="n"/>
      <c r="T121" s="40" t="inlineStr"/>
      <c r="U121" s="40" t="inlineStr"/>
      <c r="V121" s="41" t="inlineStr">
        <is>
          <t>кг</t>
        </is>
      </c>
      <c r="W121" s="828" t="n">
        <v>0</v>
      </c>
      <c r="X121" s="829">
        <f>IFERROR(IF(W121="",0,CEILING((W121/$H121),1)*$H121),"")</f>
        <v/>
      </c>
      <c r="Y121" s="42">
        <f>IFERROR(IF(X121=0,"",ROUNDUP(X121/H121,0)*0.00753),"")</f>
        <v/>
      </c>
      <c r="Z121" s="69" t="inlineStr"/>
      <c r="AA121" s="70" t="inlineStr"/>
      <c r="AE121" s="80" t="n"/>
      <c r="BB121" s="146" t="inlineStr">
        <is>
          <t>КИ</t>
        </is>
      </c>
      <c r="BL121" s="80">
        <f>IFERROR(W121*I121/H121,"0")</f>
        <v/>
      </c>
      <c r="BM121" s="80">
        <f>IFERROR(X121*I121/H121,"0")</f>
        <v/>
      </c>
      <c r="BN121" s="80">
        <f>IFERROR(1/J121*(W121/H121),"0")</f>
        <v/>
      </c>
      <c r="BO121" s="80">
        <f>IFERROR(1/J121*(X121/H121),"0")</f>
        <v/>
      </c>
    </row>
    <row r="122">
      <c r="A122" s="408" t="n"/>
      <c r="B122" s="398" t="n"/>
      <c r="C122" s="398" t="n"/>
      <c r="D122" s="398" t="n"/>
      <c r="E122" s="398" t="n"/>
      <c r="F122" s="398" t="n"/>
      <c r="G122" s="398" t="n"/>
      <c r="H122" s="398" t="n"/>
      <c r="I122" s="398" t="n"/>
      <c r="J122" s="398" t="n"/>
      <c r="K122" s="398" t="n"/>
      <c r="L122" s="398" t="n"/>
      <c r="M122" s="398" t="n"/>
      <c r="N122" s="831" t="n"/>
      <c r="O122" s="832" t="inlineStr">
        <is>
          <t>Итого</t>
        </is>
      </c>
      <c r="P122" s="799" t="n"/>
      <c r="Q122" s="799" t="n"/>
      <c r="R122" s="799" t="n"/>
      <c r="S122" s="799" t="n"/>
      <c r="T122" s="799" t="n"/>
      <c r="U122" s="800" t="n"/>
      <c r="V122" s="43" t="inlineStr">
        <is>
          <t>кор</t>
        </is>
      </c>
      <c r="W122" s="833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/>
      </c>
      <c r="X122" s="833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/>
      </c>
      <c r="Y122" s="833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/>
      </c>
      <c r="Z122" s="834" t="n"/>
      <c r="AA122" s="834" t="n"/>
    </row>
    <row r="123">
      <c r="A123" s="398" t="n"/>
      <c r="B123" s="398" t="n"/>
      <c r="C123" s="398" t="n"/>
      <c r="D123" s="398" t="n"/>
      <c r="E123" s="398" t="n"/>
      <c r="F123" s="398" t="n"/>
      <c r="G123" s="398" t="n"/>
      <c r="H123" s="398" t="n"/>
      <c r="I123" s="398" t="n"/>
      <c r="J123" s="398" t="n"/>
      <c r="K123" s="398" t="n"/>
      <c r="L123" s="398" t="n"/>
      <c r="M123" s="398" t="n"/>
      <c r="N123" s="831" t="n"/>
      <c r="O123" s="832" t="inlineStr">
        <is>
          <t>Итого</t>
        </is>
      </c>
      <c r="P123" s="799" t="n"/>
      <c r="Q123" s="799" t="n"/>
      <c r="R123" s="799" t="n"/>
      <c r="S123" s="799" t="n"/>
      <c r="T123" s="799" t="n"/>
      <c r="U123" s="800" t="n"/>
      <c r="V123" s="43" t="inlineStr">
        <is>
          <t>кг</t>
        </is>
      </c>
      <c r="W123" s="833">
        <f>IFERROR(SUM(W107:W121),"0")</f>
        <v/>
      </c>
      <c r="X123" s="833">
        <f>IFERROR(SUM(X107:X121),"0")</f>
        <v/>
      </c>
      <c r="Y123" s="43" t="n"/>
      <c r="Z123" s="834" t="n"/>
      <c r="AA123" s="834" t="n"/>
    </row>
    <row r="124" ht="14.25" customHeight="1">
      <c r="A124" s="409" t="inlineStr">
        <is>
          <t>Сардельки</t>
        </is>
      </c>
      <c r="B124" s="398" t="n"/>
      <c r="C124" s="398" t="n"/>
      <c r="D124" s="398" t="n"/>
      <c r="E124" s="398" t="n"/>
      <c r="F124" s="398" t="n"/>
      <c r="G124" s="398" t="n"/>
      <c r="H124" s="398" t="n"/>
      <c r="I124" s="398" t="n"/>
      <c r="J124" s="398" t="n"/>
      <c r="K124" s="398" t="n"/>
      <c r="L124" s="398" t="n"/>
      <c r="M124" s="398" t="n"/>
      <c r="N124" s="398" t="n"/>
      <c r="O124" s="398" t="n"/>
      <c r="P124" s="398" t="n"/>
      <c r="Q124" s="398" t="n"/>
      <c r="R124" s="398" t="n"/>
      <c r="S124" s="398" t="n"/>
      <c r="T124" s="398" t="n"/>
      <c r="U124" s="398" t="n"/>
      <c r="V124" s="398" t="n"/>
      <c r="W124" s="398" t="n"/>
      <c r="X124" s="398" t="n"/>
      <c r="Y124" s="398" t="n"/>
      <c r="Z124" s="409" t="n"/>
      <c r="AA124" s="409" t="n"/>
    </row>
    <row r="125" ht="27" customHeight="1">
      <c r="A125" s="64" t="inlineStr">
        <is>
          <t>SU002835</t>
        </is>
      </c>
      <c r="B125" s="64" t="inlineStr">
        <is>
          <t>P003883</t>
        </is>
      </c>
      <c r="C125" s="37" t="n">
        <v>4301060366</v>
      </c>
      <c r="D125" s="401" t="n">
        <v>4680115881532</v>
      </c>
      <c r="E125" s="791" t="n"/>
      <c r="F125" s="825" t="n">
        <v>1.3</v>
      </c>
      <c r="G125" s="38" t="n">
        <v>6</v>
      </c>
      <c r="H125" s="825" t="n">
        <v>7.8</v>
      </c>
      <c r="I125" s="825" t="n">
        <v>8.279999999999999</v>
      </c>
      <c r="J125" s="38" t="n">
        <v>56</v>
      </c>
      <c r="K125" s="38" t="inlineStr">
        <is>
          <t>8</t>
        </is>
      </c>
      <c r="L125" s="39" t="inlineStr">
        <is>
          <t>СК2</t>
        </is>
      </c>
      <c r="M125" s="39" t="n"/>
      <c r="N125" s="38" t="n">
        <v>30</v>
      </c>
      <c r="O125" s="899">
        <f>HYPERLINK("https://abi.ru/products/Охлажденные/Вязанка/Вязанка/Сардельки/P003883/","Сардельки «Филейские» Весовые н/о мгс ТМ «Вязанка»")</f>
        <v/>
      </c>
      <c r="P125" s="827" t="n"/>
      <c r="Q125" s="827" t="n"/>
      <c r="R125" s="827" t="n"/>
      <c r="S125" s="791" t="n"/>
      <c r="T125" s="40" t="inlineStr"/>
      <c r="U125" s="40" t="inlineStr"/>
      <c r="V125" s="41" t="inlineStr">
        <is>
          <t>кг</t>
        </is>
      </c>
      <c r="W125" s="828" t="n">
        <v>0</v>
      </c>
      <c r="X125" s="829">
        <f>IFERROR(IF(W125="",0,CEILING((W125/$H125),1)*$H125),"")</f>
        <v/>
      </c>
      <c r="Y125" s="42">
        <f>IFERROR(IF(X125=0,"",ROUNDUP(X125/H125,0)*0.02175),"")</f>
        <v/>
      </c>
      <c r="Z125" s="69" t="inlineStr"/>
      <c r="AA125" s="70" t="inlineStr"/>
      <c r="AE125" s="80" t="n"/>
      <c r="BB125" s="147" t="inlineStr">
        <is>
          <t>КИ</t>
        </is>
      </c>
      <c r="BL125" s="80">
        <f>IFERROR(W125*I125/H125,"0")</f>
        <v/>
      </c>
      <c r="BM125" s="80">
        <f>IFERROR(X125*I125/H125,"0")</f>
        <v/>
      </c>
      <c r="BN125" s="80">
        <f>IFERROR(1/J125*(W125/H125),"0")</f>
        <v/>
      </c>
      <c r="BO125" s="80">
        <f>IFERROR(1/J125*(X125/H125),"0")</f>
        <v/>
      </c>
    </row>
    <row r="126" ht="27" customHeight="1">
      <c r="A126" s="64" t="inlineStr">
        <is>
          <t>SU002835</t>
        </is>
      </c>
      <c r="B126" s="64" t="inlineStr">
        <is>
          <t>P003906</t>
        </is>
      </c>
      <c r="C126" s="37" t="n">
        <v>4301060371</v>
      </c>
      <c r="D126" s="401" t="n">
        <v>4680115881532</v>
      </c>
      <c r="E126" s="791" t="n"/>
      <c r="F126" s="825" t="n">
        <v>1.4</v>
      </c>
      <c r="G126" s="38" t="n">
        <v>6</v>
      </c>
      <c r="H126" s="825" t="n">
        <v>8.4</v>
      </c>
      <c r="I126" s="825" t="n">
        <v>8.964</v>
      </c>
      <c r="J126" s="38" t="n">
        <v>56</v>
      </c>
      <c r="K126" s="38" t="inlineStr">
        <is>
          <t>8</t>
        </is>
      </c>
      <c r="L126" s="39" t="inlineStr">
        <is>
          <t>СК2</t>
        </is>
      </c>
      <c r="M126" s="39" t="n"/>
      <c r="N126" s="38" t="n">
        <v>30</v>
      </c>
      <c r="O126" s="900">
        <f>HYPERLINK("https://abi.ru/products/Охлажденные/Вязанка/Вязанка/Сардельки/P003906/","Сардельки «Филейские» Весовые н/о мгс ТМ «Вязанка»")</f>
        <v/>
      </c>
      <c r="P126" s="827" t="n"/>
      <c r="Q126" s="827" t="n"/>
      <c r="R126" s="827" t="n"/>
      <c r="S126" s="791" t="n"/>
      <c r="T126" s="40" t="inlineStr"/>
      <c r="U126" s="40" t="inlineStr"/>
      <c r="V126" s="41" t="inlineStr">
        <is>
          <t>кг</t>
        </is>
      </c>
      <c r="W126" s="828" t="n">
        <v>0</v>
      </c>
      <c r="X126" s="829">
        <f>IFERROR(IF(W126="",0,CEILING((W126/$H126),1)*$H126),"")</f>
        <v/>
      </c>
      <c r="Y126" s="42">
        <f>IFERROR(IF(X126=0,"",ROUNDUP(X126/H126,0)*0.02175),"")</f>
        <v/>
      </c>
      <c r="Z126" s="69" t="inlineStr"/>
      <c r="AA126" s="70" t="inlineStr"/>
      <c r="AE126" s="80" t="n"/>
      <c r="BB126" s="148" t="inlineStr">
        <is>
          <t>КИ</t>
        </is>
      </c>
      <c r="BL126" s="80">
        <f>IFERROR(W126*I126/H126,"0")</f>
        <v/>
      </c>
      <c r="BM126" s="80">
        <f>IFERROR(X126*I126/H126,"0")</f>
        <v/>
      </c>
      <c r="BN126" s="80">
        <f>IFERROR(1/J126*(W126/H126),"0")</f>
        <v/>
      </c>
      <c r="BO126" s="80">
        <f>IFERROR(1/J126*(X126/H126),"0")</f>
        <v/>
      </c>
    </row>
    <row r="127" ht="27" customHeight="1">
      <c r="A127" s="64" t="inlineStr">
        <is>
          <t>SU002997</t>
        </is>
      </c>
      <c r="B127" s="64" t="inlineStr">
        <is>
          <t>P003465</t>
        </is>
      </c>
      <c r="C127" s="37" t="n">
        <v>4301060356</v>
      </c>
      <c r="D127" s="401" t="n">
        <v>4680115882652</v>
      </c>
      <c r="E127" s="791" t="n"/>
      <c r="F127" s="825" t="n">
        <v>0.33</v>
      </c>
      <c r="G127" s="38" t="n">
        <v>6</v>
      </c>
      <c r="H127" s="825" t="n">
        <v>1.98</v>
      </c>
      <c r="I127" s="825" t="n">
        <v>2.84</v>
      </c>
      <c r="J127" s="38" t="n">
        <v>156</v>
      </c>
      <c r="K127" s="38" t="inlineStr">
        <is>
          <t>12</t>
        </is>
      </c>
      <c r="L127" s="39" t="inlineStr">
        <is>
          <t>СК2</t>
        </is>
      </c>
      <c r="M127" s="39" t="n"/>
      <c r="N127" s="38" t="n">
        <v>40</v>
      </c>
      <c r="O127" s="901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P127" s="827" t="n"/>
      <c r="Q127" s="827" t="n"/>
      <c r="R127" s="827" t="n"/>
      <c r="S127" s="791" t="n"/>
      <c r="T127" s="40" t="inlineStr"/>
      <c r="U127" s="40" t="inlineStr"/>
      <c r="V127" s="41" t="inlineStr">
        <is>
          <t>кг</t>
        </is>
      </c>
      <c r="W127" s="828" t="n">
        <v>0</v>
      </c>
      <c r="X127" s="829">
        <f>IFERROR(IF(W127="",0,CEILING((W127/$H127),1)*$H127),"")</f>
        <v/>
      </c>
      <c r="Y127" s="42">
        <f>IFERROR(IF(X127=0,"",ROUNDUP(X127/H127,0)*0.00753),"")</f>
        <v/>
      </c>
      <c r="Z127" s="69" t="inlineStr"/>
      <c r="AA127" s="70" t="inlineStr"/>
      <c r="AE127" s="80" t="n"/>
      <c r="BB127" s="149" t="inlineStr">
        <is>
          <t>КИ</t>
        </is>
      </c>
      <c r="BL127" s="80">
        <f>IFERROR(W127*I127/H127,"0")</f>
        <v/>
      </c>
      <c r="BM127" s="80">
        <f>IFERROR(X127*I127/H127,"0")</f>
        <v/>
      </c>
      <c r="BN127" s="80">
        <f>IFERROR(1/J127*(W127/H127),"0")</f>
        <v/>
      </c>
      <c r="BO127" s="80">
        <f>IFERROR(1/J127*(X127/H127),"0")</f>
        <v/>
      </c>
    </row>
    <row r="128" ht="16.5" customHeight="1">
      <c r="A128" s="64" t="inlineStr">
        <is>
          <t>SU002367</t>
        </is>
      </c>
      <c r="B128" s="64" t="inlineStr">
        <is>
          <t>P002644</t>
        </is>
      </c>
      <c r="C128" s="37" t="n">
        <v>4301060309</v>
      </c>
      <c r="D128" s="401" t="n">
        <v>4680115880238</v>
      </c>
      <c r="E128" s="791" t="n"/>
      <c r="F128" s="825" t="n">
        <v>0.33</v>
      </c>
      <c r="G128" s="38" t="n">
        <v>6</v>
      </c>
      <c r="H128" s="825" t="n">
        <v>1.98</v>
      </c>
      <c r="I128" s="825" t="n">
        <v>2.258</v>
      </c>
      <c r="J128" s="38" t="n">
        <v>156</v>
      </c>
      <c r="K128" s="38" t="inlineStr">
        <is>
          <t>12</t>
        </is>
      </c>
      <c r="L128" s="39" t="inlineStr">
        <is>
          <t>СК2</t>
        </is>
      </c>
      <c r="M128" s="39" t="n"/>
      <c r="N128" s="38" t="n">
        <v>40</v>
      </c>
      <c r="O128" s="902">
        <f>HYPERLINK("https://abi.ru/products/Охлажденные/Вязанка/Вязанка/Сардельки/P002644/","Сардельки Сливушки фикс.вес 0,33 п/а мгс ТМ Вязанка")</f>
        <v/>
      </c>
      <c r="P128" s="827" t="n"/>
      <c r="Q128" s="827" t="n"/>
      <c r="R128" s="827" t="n"/>
      <c r="S128" s="791" t="n"/>
      <c r="T128" s="40" t="inlineStr"/>
      <c r="U128" s="40" t="inlineStr"/>
      <c r="V128" s="41" t="inlineStr">
        <is>
          <t>кг</t>
        </is>
      </c>
      <c r="W128" s="828" t="n">
        <v>82.5</v>
      </c>
      <c r="X128" s="829">
        <f>IFERROR(IF(W128="",0,CEILING((W128/$H128),1)*$H128),"")</f>
        <v/>
      </c>
      <c r="Y128" s="42">
        <f>IFERROR(IF(X128=0,"",ROUNDUP(X128/H128,0)*0.00753),"")</f>
        <v/>
      </c>
      <c r="Z128" s="69" t="inlineStr"/>
      <c r="AA128" s="70" t="inlineStr"/>
      <c r="AE128" s="80" t="n"/>
      <c r="BB128" s="150" t="inlineStr">
        <is>
          <t>КИ</t>
        </is>
      </c>
      <c r="BL128" s="80">
        <f>IFERROR(W128*I128/H128,"0")</f>
        <v/>
      </c>
      <c r="BM128" s="80">
        <f>IFERROR(X128*I128/H128,"0")</f>
        <v/>
      </c>
      <c r="BN128" s="80">
        <f>IFERROR(1/J128*(W128/H128),"0")</f>
        <v/>
      </c>
      <c r="BO128" s="80">
        <f>IFERROR(1/J128*(X128/H128),"0")</f>
        <v/>
      </c>
    </row>
    <row r="129" ht="27" customHeight="1">
      <c r="A129" s="64" t="inlineStr">
        <is>
          <t>SU002834</t>
        </is>
      </c>
      <c r="B129" s="64" t="inlineStr">
        <is>
          <t>P003238</t>
        </is>
      </c>
      <c r="C129" s="37" t="n">
        <v>4301060351</v>
      </c>
      <c r="D129" s="401" t="n">
        <v>4680115881464</v>
      </c>
      <c r="E129" s="791" t="n"/>
      <c r="F129" s="825" t="n">
        <v>0.4</v>
      </c>
      <c r="G129" s="38" t="n">
        <v>6</v>
      </c>
      <c r="H129" s="825" t="n">
        <v>2.4</v>
      </c>
      <c r="I129" s="825" t="n">
        <v>2.6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9" t="n"/>
      <c r="N129" s="38" t="n">
        <v>30</v>
      </c>
      <c r="O129" s="903">
        <f>HYPERLINK("https://abi.ru/products/Охлажденные/Вязанка/Вязанка/Сардельки/P003238/","Сардельки «Филейские» Фикс.вес 0,4 NDX мгс ТМ «Вязанка»")</f>
        <v/>
      </c>
      <c r="P129" s="827" t="n"/>
      <c r="Q129" s="827" t="n"/>
      <c r="R129" s="827" t="n"/>
      <c r="S129" s="791" t="n"/>
      <c r="T129" s="40" t="inlineStr"/>
      <c r="U129" s="40" t="inlineStr"/>
      <c r="V129" s="41" t="inlineStr">
        <is>
          <t>кг</t>
        </is>
      </c>
      <c r="W129" s="828" t="n">
        <v>0</v>
      </c>
      <c r="X129" s="829">
        <f>IFERROR(IF(W129="",0,CEILING((W129/$H129),1)*$H129),"")</f>
        <v/>
      </c>
      <c r="Y129" s="42">
        <f>IFERROR(IF(X129=0,"",ROUNDUP(X129/H129,0)*0.00753),"")</f>
        <v/>
      </c>
      <c r="Z129" s="69" t="inlineStr"/>
      <c r="AA129" s="70" t="inlineStr"/>
      <c r="AE129" s="80" t="n"/>
      <c r="BB129" s="151" t="inlineStr">
        <is>
          <t>КИ</t>
        </is>
      </c>
      <c r="BL129" s="80">
        <f>IFERROR(W129*I129/H129,"0")</f>
        <v/>
      </c>
      <c r="BM129" s="80">
        <f>IFERROR(X129*I129/H129,"0")</f>
        <v/>
      </c>
      <c r="BN129" s="80">
        <f>IFERROR(1/J129*(W129/H129),"0")</f>
        <v/>
      </c>
      <c r="BO129" s="80">
        <f>IFERROR(1/J129*(X129/H129),"0")</f>
        <v/>
      </c>
    </row>
    <row r="130">
      <c r="A130" s="408" t="n"/>
      <c r="B130" s="398" t="n"/>
      <c r="C130" s="398" t="n"/>
      <c r="D130" s="398" t="n"/>
      <c r="E130" s="398" t="n"/>
      <c r="F130" s="398" t="n"/>
      <c r="G130" s="398" t="n"/>
      <c r="H130" s="398" t="n"/>
      <c r="I130" s="398" t="n"/>
      <c r="J130" s="398" t="n"/>
      <c r="K130" s="398" t="n"/>
      <c r="L130" s="398" t="n"/>
      <c r="M130" s="398" t="n"/>
      <c r="N130" s="831" t="n"/>
      <c r="O130" s="832" t="inlineStr">
        <is>
          <t>Итого</t>
        </is>
      </c>
      <c r="P130" s="799" t="n"/>
      <c r="Q130" s="799" t="n"/>
      <c r="R130" s="799" t="n"/>
      <c r="S130" s="799" t="n"/>
      <c r="T130" s="799" t="n"/>
      <c r="U130" s="800" t="n"/>
      <c r="V130" s="43" t="inlineStr">
        <is>
          <t>кор</t>
        </is>
      </c>
      <c r="W130" s="833">
        <f>IFERROR(W125/H125,"0")+IFERROR(W126/H126,"0")+IFERROR(W127/H127,"0")+IFERROR(W128/H128,"0")+IFERROR(W129/H129,"0")</f>
        <v/>
      </c>
      <c r="X130" s="833">
        <f>IFERROR(X125/H125,"0")+IFERROR(X126/H126,"0")+IFERROR(X127/H127,"0")+IFERROR(X128/H128,"0")+IFERROR(X129/H129,"0")</f>
        <v/>
      </c>
      <c r="Y130" s="833">
        <f>IFERROR(IF(Y125="",0,Y125),"0")+IFERROR(IF(Y126="",0,Y126),"0")+IFERROR(IF(Y127="",0,Y127),"0")+IFERROR(IF(Y128="",0,Y128),"0")+IFERROR(IF(Y129="",0,Y129),"0")</f>
        <v/>
      </c>
      <c r="Z130" s="834" t="n"/>
      <c r="AA130" s="834" t="n"/>
    </row>
    <row r="131">
      <c r="A131" s="398" t="n"/>
      <c r="B131" s="398" t="n"/>
      <c r="C131" s="398" t="n"/>
      <c r="D131" s="398" t="n"/>
      <c r="E131" s="398" t="n"/>
      <c r="F131" s="398" t="n"/>
      <c r="G131" s="398" t="n"/>
      <c r="H131" s="398" t="n"/>
      <c r="I131" s="398" t="n"/>
      <c r="J131" s="398" t="n"/>
      <c r="K131" s="398" t="n"/>
      <c r="L131" s="398" t="n"/>
      <c r="M131" s="398" t="n"/>
      <c r="N131" s="831" t="n"/>
      <c r="O131" s="832" t="inlineStr">
        <is>
          <t>Итого</t>
        </is>
      </c>
      <c r="P131" s="799" t="n"/>
      <c r="Q131" s="799" t="n"/>
      <c r="R131" s="799" t="n"/>
      <c r="S131" s="799" t="n"/>
      <c r="T131" s="799" t="n"/>
      <c r="U131" s="800" t="n"/>
      <c r="V131" s="43" t="inlineStr">
        <is>
          <t>кг</t>
        </is>
      </c>
      <c r="W131" s="833">
        <f>IFERROR(SUM(W125:W129),"0")</f>
        <v/>
      </c>
      <c r="X131" s="833">
        <f>IFERROR(SUM(X125:X129),"0")</f>
        <v/>
      </c>
      <c r="Y131" s="43" t="n"/>
      <c r="Z131" s="834" t="n"/>
      <c r="AA131" s="834" t="n"/>
    </row>
    <row r="132" ht="16.5" customHeight="1">
      <c r="A132" s="439" t="inlineStr">
        <is>
          <t>Сливушки</t>
        </is>
      </c>
      <c r="B132" s="398" t="n"/>
      <c r="C132" s="398" t="n"/>
      <c r="D132" s="398" t="n"/>
      <c r="E132" s="398" t="n"/>
      <c r="F132" s="398" t="n"/>
      <c r="G132" s="398" t="n"/>
      <c r="H132" s="398" t="n"/>
      <c r="I132" s="398" t="n"/>
      <c r="J132" s="398" t="n"/>
      <c r="K132" s="398" t="n"/>
      <c r="L132" s="398" t="n"/>
      <c r="M132" s="398" t="n"/>
      <c r="N132" s="398" t="n"/>
      <c r="O132" s="398" t="n"/>
      <c r="P132" s="398" t="n"/>
      <c r="Q132" s="398" t="n"/>
      <c r="R132" s="398" t="n"/>
      <c r="S132" s="398" t="n"/>
      <c r="T132" s="398" t="n"/>
      <c r="U132" s="398" t="n"/>
      <c r="V132" s="398" t="n"/>
      <c r="W132" s="398" t="n"/>
      <c r="X132" s="398" t="n"/>
      <c r="Y132" s="398" t="n"/>
      <c r="Z132" s="439" t="n"/>
      <c r="AA132" s="439" t="n"/>
    </row>
    <row r="133" ht="14.25" customHeight="1">
      <c r="A133" s="409" t="inlineStr">
        <is>
          <t>Сосиски</t>
        </is>
      </c>
      <c r="B133" s="398" t="n"/>
      <c r="C133" s="398" t="n"/>
      <c r="D133" s="398" t="n"/>
      <c r="E133" s="398" t="n"/>
      <c r="F133" s="398" t="n"/>
      <c r="G133" s="398" t="n"/>
      <c r="H133" s="398" t="n"/>
      <c r="I133" s="398" t="n"/>
      <c r="J133" s="398" t="n"/>
      <c r="K133" s="398" t="n"/>
      <c r="L133" s="398" t="n"/>
      <c r="M133" s="398" t="n"/>
      <c r="N133" s="398" t="n"/>
      <c r="O133" s="398" t="n"/>
      <c r="P133" s="398" t="n"/>
      <c r="Q133" s="398" t="n"/>
      <c r="R133" s="398" t="n"/>
      <c r="S133" s="398" t="n"/>
      <c r="T133" s="398" t="n"/>
      <c r="U133" s="398" t="n"/>
      <c r="V133" s="398" t="n"/>
      <c r="W133" s="398" t="n"/>
      <c r="X133" s="398" t="n"/>
      <c r="Y133" s="398" t="n"/>
      <c r="Z133" s="409" t="n"/>
      <c r="AA133" s="409" t="n"/>
    </row>
    <row r="134" ht="27" customHeight="1">
      <c r="A134" s="64" t="inlineStr">
        <is>
          <t>SU001721</t>
        </is>
      </c>
      <c r="B134" s="64" t="inlineStr">
        <is>
          <t>P003905</t>
        </is>
      </c>
      <c r="C134" s="37" t="n">
        <v>4301051612</v>
      </c>
      <c r="D134" s="401" t="n">
        <v>4607091385168</v>
      </c>
      <c r="E134" s="791" t="n"/>
      <c r="F134" s="825" t="n">
        <v>1.4</v>
      </c>
      <c r="G134" s="38" t="n">
        <v>6</v>
      </c>
      <c r="H134" s="825" t="n">
        <v>8.4</v>
      </c>
      <c r="I134" s="825" t="n">
        <v>8.958</v>
      </c>
      <c r="J134" s="38" t="n">
        <v>56</v>
      </c>
      <c r="K134" s="38" t="inlineStr">
        <is>
          <t>8</t>
        </is>
      </c>
      <c r="L134" s="39" t="inlineStr">
        <is>
          <t>СК2</t>
        </is>
      </c>
      <c r="M134" s="39" t="n"/>
      <c r="N134" s="38" t="n">
        <v>45</v>
      </c>
      <c r="O134" s="904">
        <f>HYPERLINK("https://abi.ru/products/Охлажденные/Вязанка/Сливушки/Сосиски/P003905/","Сосиски «Вязанка Сливочные» Весовые П/а мгс ТМ «Вязанка»")</f>
        <v/>
      </c>
      <c r="P134" s="827" t="n"/>
      <c r="Q134" s="827" t="n"/>
      <c r="R134" s="827" t="n"/>
      <c r="S134" s="791" t="n"/>
      <c r="T134" s="40" t="inlineStr"/>
      <c r="U134" s="40" t="inlineStr"/>
      <c r="V134" s="41" t="inlineStr">
        <is>
          <t>кг</t>
        </is>
      </c>
      <c r="W134" s="828" t="n">
        <v>400</v>
      </c>
      <c r="X134" s="829">
        <f>IFERROR(IF(W134="",0,CEILING((W134/$H134),1)*$H134),"")</f>
        <v/>
      </c>
      <c r="Y134" s="42">
        <f>IFERROR(IF(X134=0,"",ROUNDUP(X134/H134,0)*0.02175),"")</f>
        <v/>
      </c>
      <c r="Z134" s="69" t="inlineStr"/>
      <c r="AA134" s="70" t="inlineStr"/>
      <c r="AE134" s="80" t="n"/>
      <c r="BB134" s="152" t="inlineStr">
        <is>
          <t>КИ</t>
        </is>
      </c>
      <c r="BL134" s="80">
        <f>IFERROR(W134*I134/H134,"0")</f>
        <v/>
      </c>
      <c r="BM134" s="80">
        <f>IFERROR(X134*I134/H134,"0")</f>
        <v/>
      </c>
      <c r="BN134" s="80">
        <f>IFERROR(1/J134*(W134/H134),"0")</f>
        <v/>
      </c>
      <c r="BO134" s="80">
        <f>IFERROR(1/J134*(X134/H134),"0")</f>
        <v/>
      </c>
    </row>
    <row r="135" ht="27" customHeight="1">
      <c r="A135" s="64" t="inlineStr">
        <is>
          <t>SU001721</t>
        </is>
      </c>
      <c r="B135" s="64" t="inlineStr">
        <is>
          <t>P003161</t>
        </is>
      </c>
      <c r="C135" s="37" t="n">
        <v>4301051360</v>
      </c>
      <c r="D135" s="401" t="n">
        <v>4607091385168</v>
      </c>
      <c r="E135" s="791" t="n"/>
      <c r="F135" s="825" t="n">
        <v>1.35</v>
      </c>
      <c r="G135" s="38" t="n">
        <v>6</v>
      </c>
      <c r="H135" s="825" t="n">
        <v>8.1</v>
      </c>
      <c r="I135" s="825" t="n">
        <v>8.657999999999999</v>
      </c>
      <c r="J135" s="38" t="n">
        <v>56</v>
      </c>
      <c r="K135" s="38" t="inlineStr">
        <is>
          <t>8</t>
        </is>
      </c>
      <c r="L135" s="39" t="inlineStr">
        <is>
          <t>СК3</t>
        </is>
      </c>
      <c r="M135" s="39" t="n"/>
      <c r="N135" s="38" t="n">
        <v>45</v>
      </c>
      <c r="O135" s="90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P135" s="827" t="n"/>
      <c r="Q135" s="827" t="n"/>
      <c r="R135" s="827" t="n"/>
      <c r="S135" s="791" t="n"/>
      <c r="T135" s="40" t="inlineStr"/>
      <c r="U135" s="40" t="inlineStr"/>
      <c r="V135" s="41" t="inlineStr">
        <is>
          <t>кг</t>
        </is>
      </c>
      <c r="W135" s="828" t="n">
        <v>0</v>
      </c>
      <c r="X135" s="829">
        <f>IFERROR(IF(W135="",0,CEILING((W135/$H135),1)*$H135),"")</f>
        <v/>
      </c>
      <c r="Y135" s="42">
        <f>IFERROR(IF(X135=0,"",ROUNDUP(X135/H135,0)*0.02175),"")</f>
        <v/>
      </c>
      <c r="Z135" s="69" t="inlineStr"/>
      <c r="AA135" s="70" t="inlineStr"/>
      <c r="AE135" s="80" t="n"/>
      <c r="BB135" s="153" t="inlineStr">
        <is>
          <t>КИ</t>
        </is>
      </c>
      <c r="BL135" s="80">
        <f>IFERROR(W135*I135/H135,"0")</f>
        <v/>
      </c>
      <c r="BM135" s="80">
        <f>IFERROR(X135*I135/H135,"0")</f>
        <v/>
      </c>
      <c r="BN135" s="80">
        <f>IFERROR(1/J135*(W135/H135),"0")</f>
        <v/>
      </c>
      <c r="BO135" s="80">
        <f>IFERROR(1/J135*(X135/H135),"0")</f>
        <v/>
      </c>
    </row>
    <row r="136" ht="16.5" customHeight="1">
      <c r="A136" s="64" t="inlineStr">
        <is>
          <t>SU002139</t>
        </is>
      </c>
      <c r="B136" s="64" t="inlineStr">
        <is>
          <t>P003162</t>
        </is>
      </c>
      <c r="C136" s="37" t="n">
        <v>4301051362</v>
      </c>
      <c r="D136" s="401" t="n">
        <v>4607091383256</v>
      </c>
      <c r="E136" s="791" t="n"/>
      <c r="F136" s="825" t="n">
        <v>0.33</v>
      </c>
      <c r="G136" s="38" t="n">
        <v>6</v>
      </c>
      <c r="H136" s="825" t="n">
        <v>1.98</v>
      </c>
      <c r="I136" s="825" t="n">
        <v>2.246</v>
      </c>
      <c r="J136" s="38" t="n">
        <v>156</v>
      </c>
      <c r="K136" s="38" t="inlineStr">
        <is>
          <t>12</t>
        </is>
      </c>
      <c r="L136" s="39" t="inlineStr">
        <is>
          <t>СК3</t>
        </is>
      </c>
      <c r="M136" s="39" t="n"/>
      <c r="N136" s="38" t="n">
        <v>45</v>
      </c>
      <c r="O136" s="906">
        <f>HYPERLINK("https://abi.ru/products/Охлажденные/Вязанка/Сливушки/Сосиски/P003162/","Сосиски Сливочные Сливушки Фикс.вес 0,33 П/а мгс Вязанка")</f>
        <v/>
      </c>
      <c r="P136" s="827" t="n"/>
      <c r="Q136" s="827" t="n"/>
      <c r="R136" s="827" t="n"/>
      <c r="S136" s="791" t="n"/>
      <c r="T136" s="40" t="inlineStr"/>
      <c r="U136" s="40" t="inlineStr"/>
      <c r="V136" s="41" t="inlineStr">
        <is>
          <t>кг</t>
        </is>
      </c>
      <c r="W136" s="828" t="n">
        <v>0</v>
      </c>
      <c r="X136" s="829">
        <f>IFERROR(IF(W136="",0,CEILING((W136/$H136),1)*$H136),"")</f>
        <v/>
      </c>
      <c r="Y136" s="42">
        <f>IFERROR(IF(X136=0,"",ROUNDUP(X136/H136,0)*0.00753),"")</f>
        <v/>
      </c>
      <c r="Z136" s="69" t="inlineStr"/>
      <c r="AA136" s="70" t="inlineStr"/>
      <c r="AE136" s="80" t="n"/>
      <c r="BB136" s="154" t="inlineStr">
        <is>
          <t>КИ</t>
        </is>
      </c>
      <c r="BL136" s="80">
        <f>IFERROR(W136*I136/H136,"0")</f>
        <v/>
      </c>
      <c r="BM136" s="80">
        <f>IFERROR(X136*I136/H136,"0")</f>
        <v/>
      </c>
      <c r="BN136" s="80">
        <f>IFERROR(1/J136*(W136/H136),"0")</f>
        <v/>
      </c>
      <c r="BO136" s="80">
        <f>IFERROR(1/J136*(X136/H136),"0")</f>
        <v/>
      </c>
    </row>
    <row r="137" ht="16.5" customHeight="1">
      <c r="A137" s="64" t="inlineStr">
        <is>
          <t>SU001720</t>
        </is>
      </c>
      <c r="B137" s="64" t="inlineStr">
        <is>
          <t>P003160</t>
        </is>
      </c>
      <c r="C137" s="37" t="n">
        <v>4301051358</v>
      </c>
      <c r="D137" s="401" t="n">
        <v>4607091385748</v>
      </c>
      <c r="E137" s="791" t="n"/>
      <c r="F137" s="825" t="n">
        <v>0.45</v>
      </c>
      <c r="G137" s="38" t="n">
        <v>6</v>
      </c>
      <c r="H137" s="825" t="n">
        <v>2.7</v>
      </c>
      <c r="I137" s="825" t="n">
        <v>2.972</v>
      </c>
      <c r="J137" s="38" t="n">
        <v>156</v>
      </c>
      <c r="K137" s="38" t="inlineStr">
        <is>
          <t>12</t>
        </is>
      </c>
      <c r="L137" s="39" t="inlineStr">
        <is>
          <t>СК3</t>
        </is>
      </c>
      <c r="M137" s="39" t="n"/>
      <c r="N137" s="38" t="n">
        <v>45</v>
      </c>
      <c r="O137" s="907">
        <f>HYPERLINK("https://abi.ru/products/Охлажденные/Вязанка/Сливушки/Сосиски/P003160/","Сосиски Сливочные Сливушки Фикс.вес 0,45 П/а мгс Вязанка")</f>
        <v/>
      </c>
      <c r="P137" s="827" t="n"/>
      <c r="Q137" s="827" t="n"/>
      <c r="R137" s="827" t="n"/>
      <c r="S137" s="791" t="n"/>
      <c r="T137" s="40" t="inlineStr"/>
      <c r="U137" s="40" t="inlineStr"/>
      <c r="V137" s="41" t="inlineStr">
        <is>
          <t>кг</t>
        </is>
      </c>
      <c r="W137" s="828" t="n">
        <v>450</v>
      </c>
      <c r="X137" s="829">
        <f>IFERROR(IF(W137="",0,CEILING((W137/$H137),1)*$H137),"")</f>
        <v/>
      </c>
      <c r="Y137" s="42">
        <f>IFERROR(IF(X137=0,"",ROUNDUP(X137/H137,0)*0.00753),"")</f>
        <v/>
      </c>
      <c r="Z137" s="69" t="inlineStr"/>
      <c r="AA137" s="70" t="inlineStr"/>
      <c r="AE137" s="80" t="n"/>
      <c r="BB137" s="155" t="inlineStr">
        <is>
          <t>КИ</t>
        </is>
      </c>
      <c r="BL137" s="80">
        <f>IFERROR(W137*I137/H137,"0")</f>
        <v/>
      </c>
      <c r="BM137" s="80">
        <f>IFERROR(X137*I137/H137,"0")</f>
        <v/>
      </c>
      <c r="BN137" s="80">
        <f>IFERROR(1/J137*(W137/H137),"0")</f>
        <v/>
      </c>
      <c r="BO137" s="80">
        <f>IFERROR(1/J137*(X137/H137),"0")</f>
        <v/>
      </c>
    </row>
    <row r="138" ht="16.5" customHeight="1">
      <c r="A138" s="64" t="inlineStr">
        <is>
          <t>SU003336</t>
        </is>
      </c>
      <c r="B138" s="64" t="inlineStr">
        <is>
          <t>P004116</t>
        </is>
      </c>
      <c r="C138" s="37" t="n">
        <v>4301051738</v>
      </c>
      <c r="D138" s="401" t="n">
        <v>4680115884533</v>
      </c>
      <c r="E138" s="791" t="n"/>
      <c r="F138" s="825" t="n">
        <v>0.3</v>
      </c>
      <c r="G138" s="38" t="n">
        <v>6</v>
      </c>
      <c r="H138" s="825" t="n">
        <v>1.8</v>
      </c>
      <c r="I138" s="825" t="n">
        <v>2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9" t="n"/>
      <c r="N138" s="38" t="n">
        <v>45</v>
      </c>
      <c r="O138" s="908">
        <f>HYPERLINK("https://abi.ru/products/Охлажденные/Вязанка/Сливушки/Сосиски/P004116/","Сосиски «Сливушки по-венски» ф/в 0,3 п/а ТМ «Вязанка»")</f>
        <v/>
      </c>
      <c r="P138" s="827" t="n"/>
      <c r="Q138" s="827" t="n"/>
      <c r="R138" s="827" t="n"/>
      <c r="S138" s="791" t="n"/>
      <c r="T138" s="40" t="inlineStr"/>
      <c r="U138" s="40" t="inlineStr"/>
      <c r="V138" s="41" t="inlineStr">
        <is>
          <t>кг</t>
        </is>
      </c>
      <c r="W138" s="828" t="n">
        <v>6</v>
      </c>
      <c r="X138" s="829">
        <f>IFERROR(IF(W138="",0,CEILING((W138/$H138),1)*$H138),"")</f>
        <v/>
      </c>
      <c r="Y138" s="42">
        <f>IFERROR(IF(X138=0,"",ROUNDUP(X138/H138,0)*0.00753),"")</f>
        <v/>
      </c>
      <c r="Z138" s="69" t="inlineStr"/>
      <c r="AA138" s="70" t="inlineStr"/>
      <c r="AE138" s="80" t="n"/>
      <c r="BB138" s="156" t="inlineStr">
        <is>
          <t>КИ</t>
        </is>
      </c>
      <c r="BL138" s="80">
        <f>IFERROR(W138*I138/H138,"0")</f>
        <v/>
      </c>
      <c r="BM138" s="80">
        <f>IFERROR(X138*I138/H138,"0")</f>
        <v/>
      </c>
      <c r="BN138" s="80">
        <f>IFERROR(1/J138*(W138/H138),"0")</f>
        <v/>
      </c>
      <c r="BO138" s="80">
        <f>IFERROR(1/J138*(X138/H138),"0")</f>
        <v/>
      </c>
    </row>
    <row r="139">
      <c r="A139" s="408" t="n"/>
      <c r="B139" s="398" t="n"/>
      <c r="C139" s="398" t="n"/>
      <c r="D139" s="398" t="n"/>
      <c r="E139" s="398" t="n"/>
      <c r="F139" s="398" t="n"/>
      <c r="G139" s="398" t="n"/>
      <c r="H139" s="398" t="n"/>
      <c r="I139" s="398" t="n"/>
      <c r="J139" s="398" t="n"/>
      <c r="K139" s="398" t="n"/>
      <c r="L139" s="398" t="n"/>
      <c r="M139" s="398" t="n"/>
      <c r="N139" s="831" t="n"/>
      <c r="O139" s="832" t="inlineStr">
        <is>
          <t>Итого</t>
        </is>
      </c>
      <c r="P139" s="799" t="n"/>
      <c r="Q139" s="799" t="n"/>
      <c r="R139" s="799" t="n"/>
      <c r="S139" s="799" t="n"/>
      <c r="T139" s="799" t="n"/>
      <c r="U139" s="800" t="n"/>
      <c r="V139" s="43" t="inlineStr">
        <is>
          <t>кор</t>
        </is>
      </c>
      <c r="W139" s="833">
        <f>IFERROR(W134/H134,"0")+IFERROR(W135/H135,"0")+IFERROR(W136/H136,"0")+IFERROR(W137/H137,"0")+IFERROR(W138/H138,"0")</f>
        <v/>
      </c>
      <c r="X139" s="833">
        <f>IFERROR(X134/H134,"0")+IFERROR(X135/H135,"0")+IFERROR(X136/H136,"0")+IFERROR(X137/H137,"0")+IFERROR(X138/H138,"0")</f>
        <v/>
      </c>
      <c r="Y139" s="833">
        <f>IFERROR(IF(Y134="",0,Y134),"0")+IFERROR(IF(Y135="",0,Y135),"0")+IFERROR(IF(Y136="",0,Y136),"0")+IFERROR(IF(Y137="",0,Y137),"0")+IFERROR(IF(Y138="",0,Y138),"0")</f>
        <v/>
      </c>
      <c r="Z139" s="834" t="n"/>
      <c r="AA139" s="834" t="n"/>
    </row>
    <row r="140">
      <c r="A140" s="398" t="n"/>
      <c r="B140" s="398" t="n"/>
      <c r="C140" s="398" t="n"/>
      <c r="D140" s="398" t="n"/>
      <c r="E140" s="398" t="n"/>
      <c r="F140" s="398" t="n"/>
      <c r="G140" s="398" t="n"/>
      <c r="H140" s="398" t="n"/>
      <c r="I140" s="398" t="n"/>
      <c r="J140" s="398" t="n"/>
      <c r="K140" s="398" t="n"/>
      <c r="L140" s="398" t="n"/>
      <c r="M140" s="398" t="n"/>
      <c r="N140" s="831" t="n"/>
      <c r="O140" s="832" t="inlineStr">
        <is>
          <t>Итого</t>
        </is>
      </c>
      <c r="P140" s="799" t="n"/>
      <c r="Q140" s="799" t="n"/>
      <c r="R140" s="799" t="n"/>
      <c r="S140" s="799" t="n"/>
      <c r="T140" s="799" t="n"/>
      <c r="U140" s="800" t="n"/>
      <c r="V140" s="43" t="inlineStr">
        <is>
          <t>кг</t>
        </is>
      </c>
      <c r="W140" s="833">
        <f>IFERROR(SUM(W134:W138),"0")</f>
        <v/>
      </c>
      <c r="X140" s="833">
        <f>IFERROR(SUM(X134:X138),"0")</f>
        <v/>
      </c>
      <c r="Y140" s="43" t="n"/>
      <c r="Z140" s="834" t="n"/>
      <c r="AA140" s="834" t="n"/>
    </row>
    <row r="141" ht="27.75" customHeight="1">
      <c r="A141" s="438" t="inlineStr">
        <is>
          <t>Стародворье</t>
        </is>
      </c>
      <c r="B141" s="824" t="n"/>
      <c r="C141" s="824" t="n"/>
      <c r="D141" s="824" t="n"/>
      <c r="E141" s="824" t="n"/>
      <c r="F141" s="824" t="n"/>
      <c r="G141" s="824" t="n"/>
      <c r="H141" s="824" t="n"/>
      <c r="I141" s="824" t="n"/>
      <c r="J141" s="824" t="n"/>
      <c r="K141" s="824" t="n"/>
      <c r="L141" s="824" t="n"/>
      <c r="M141" s="824" t="n"/>
      <c r="N141" s="824" t="n"/>
      <c r="O141" s="824" t="n"/>
      <c r="P141" s="824" t="n"/>
      <c r="Q141" s="824" t="n"/>
      <c r="R141" s="824" t="n"/>
      <c r="S141" s="824" t="n"/>
      <c r="T141" s="824" t="n"/>
      <c r="U141" s="824" t="n"/>
      <c r="V141" s="824" t="n"/>
      <c r="W141" s="824" t="n"/>
      <c r="X141" s="824" t="n"/>
      <c r="Y141" s="824" t="n"/>
      <c r="Z141" s="55" t="n"/>
      <c r="AA141" s="55" t="n"/>
    </row>
    <row r="142" ht="16.5" customHeight="1">
      <c r="A142" s="439" t="inlineStr">
        <is>
          <t>Золоченная в печи</t>
        </is>
      </c>
      <c r="B142" s="398" t="n"/>
      <c r="C142" s="398" t="n"/>
      <c r="D142" s="398" t="n"/>
      <c r="E142" s="398" t="n"/>
      <c r="F142" s="398" t="n"/>
      <c r="G142" s="398" t="n"/>
      <c r="H142" s="398" t="n"/>
      <c r="I142" s="398" t="n"/>
      <c r="J142" s="398" t="n"/>
      <c r="K142" s="398" t="n"/>
      <c r="L142" s="398" t="n"/>
      <c r="M142" s="398" t="n"/>
      <c r="N142" s="398" t="n"/>
      <c r="O142" s="398" t="n"/>
      <c r="P142" s="398" t="n"/>
      <c r="Q142" s="398" t="n"/>
      <c r="R142" s="398" t="n"/>
      <c r="S142" s="398" t="n"/>
      <c r="T142" s="398" t="n"/>
      <c r="U142" s="398" t="n"/>
      <c r="V142" s="398" t="n"/>
      <c r="W142" s="398" t="n"/>
      <c r="X142" s="398" t="n"/>
      <c r="Y142" s="398" t="n"/>
      <c r="Z142" s="439" t="n"/>
      <c r="AA142" s="439" t="n"/>
    </row>
    <row r="143" ht="14.25" customHeight="1">
      <c r="A143" s="409" t="inlineStr">
        <is>
          <t>Вареные колбасы</t>
        </is>
      </c>
      <c r="B143" s="398" t="n"/>
      <c r="C143" s="398" t="n"/>
      <c r="D143" s="398" t="n"/>
      <c r="E143" s="398" t="n"/>
      <c r="F143" s="398" t="n"/>
      <c r="G143" s="398" t="n"/>
      <c r="H143" s="398" t="n"/>
      <c r="I143" s="398" t="n"/>
      <c r="J143" s="398" t="n"/>
      <c r="K143" s="398" t="n"/>
      <c r="L143" s="398" t="n"/>
      <c r="M143" s="398" t="n"/>
      <c r="N143" s="398" t="n"/>
      <c r="O143" s="398" t="n"/>
      <c r="P143" s="398" t="n"/>
      <c r="Q143" s="398" t="n"/>
      <c r="R143" s="398" t="n"/>
      <c r="S143" s="398" t="n"/>
      <c r="T143" s="398" t="n"/>
      <c r="U143" s="398" t="n"/>
      <c r="V143" s="398" t="n"/>
      <c r="W143" s="398" t="n"/>
      <c r="X143" s="398" t="n"/>
      <c r="Y143" s="398" t="n"/>
      <c r="Z143" s="409" t="n"/>
      <c r="AA143" s="409" t="n"/>
    </row>
    <row r="144" ht="27" customHeight="1">
      <c r="A144" s="64" t="inlineStr">
        <is>
          <t>SU002201</t>
        </is>
      </c>
      <c r="B144" s="64" t="inlineStr">
        <is>
          <t>P002567</t>
        </is>
      </c>
      <c r="C144" s="37" t="n">
        <v>4301011223</v>
      </c>
      <c r="D144" s="401" t="n">
        <v>4607091383423</v>
      </c>
      <c r="E144" s="791" t="n"/>
      <c r="F144" s="825" t="n">
        <v>1.35</v>
      </c>
      <c r="G144" s="38" t="n">
        <v>8</v>
      </c>
      <c r="H144" s="825" t="n">
        <v>10.8</v>
      </c>
      <c r="I144" s="825" t="n">
        <v>11.376</v>
      </c>
      <c r="J144" s="38" t="n">
        <v>56</v>
      </c>
      <c r="K144" s="38" t="inlineStr">
        <is>
          <t>8</t>
        </is>
      </c>
      <c r="L144" s="39" t="inlineStr">
        <is>
          <t>СК3</t>
        </is>
      </c>
      <c r="M144" s="39" t="n"/>
      <c r="N144" s="38" t="n">
        <v>35</v>
      </c>
      <c r="O144" s="90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P144" s="827" t="n"/>
      <c r="Q144" s="827" t="n"/>
      <c r="R144" s="827" t="n"/>
      <c r="S144" s="791" t="n"/>
      <c r="T144" s="40" t="inlineStr"/>
      <c r="U144" s="40" t="inlineStr"/>
      <c r="V144" s="41" t="inlineStr">
        <is>
          <t>кг</t>
        </is>
      </c>
      <c r="W144" s="828" t="n">
        <v>0</v>
      </c>
      <c r="X144" s="829">
        <f>IFERROR(IF(W144="",0,CEILING((W144/$H144),1)*$H144),"")</f>
        <v/>
      </c>
      <c r="Y144" s="42">
        <f>IFERROR(IF(X144=0,"",ROUNDUP(X144/H144,0)*0.02175),"")</f>
        <v/>
      </c>
      <c r="Z144" s="69" t="inlineStr"/>
      <c r="AA144" s="70" t="inlineStr"/>
      <c r="AE144" s="80" t="n"/>
      <c r="BB144" s="157" t="inlineStr">
        <is>
          <t>КИ</t>
        </is>
      </c>
      <c r="BL144" s="80">
        <f>IFERROR(W144*I144/H144,"0")</f>
        <v/>
      </c>
      <c r="BM144" s="80">
        <f>IFERROR(X144*I144/H144,"0")</f>
        <v/>
      </c>
      <c r="BN144" s="80">
        <f>IFERROR(1/J144*(W144/H144),"0")</f>
        <v/>
      </c>
      <c r="BO144" s="80">
        <f>IFERROR(1/J144*(X144/H144),"0")</f>
        <v/>
      </c>
    </row>
    <row r="145" ht="27" customHeight="1">
      <c r="A145" s="64" t="inlineStr">
        <is>
          <t>SU003427</t>
        </is>
      </c>
      <c r="B145" s="64" t="inlineStr">
        <is>
          <t>P004271</t>
        </is>
      </c>
      <c r="C145" s="37" t="n">
        <v>4301011876</v>
      </c>
      <c r="D145" s="401" t="n">
        <v>4680115885707</v>
      </c>
      <c r="E145" s="791" t="n"/>
      <c r="F145" s="825" t="n">
        <v>0.9</v>
      </c>
      <c r="G145" s="38" t="n">
        <v>10</v>
      </c>
      <c r="H145" s="825" t="n">
        <v>9</v>
      </c>
      <c r="I145" s="825" t="n">
        <v>9.48</v>
      </c>
      <c r="J145" s="38" t="n">
        <v>56</v>
      </c>
      <c r="K145" s="38" t="inlineStr">
        <is>
          <t>8</t>
        </is>
      </c>
      <c r="L145" s="39" t="inlineStr">
        <is>
          <t>СК1</t>
        </is>
      </c>
      <c r="M145" s="39" t="n"/>
      <c r="N145" s="38" t="n">
        <v>31</v>
      </c>
      <c r="O145" s="910" t="inlineStr">
        <is>
          <t>Вареные колбасы «Филедворская» Весовой б/о ТМ «Стародворье»</t>
        </is>
      </c>
      <c r="P145" s="827" t="n"/>
      <c r="Q145" s="827" t="n"/>
      <c r="R145" s="827" t="n"/>
      <c r="S145" s="791" t="n"/>
      <c r="T145" s="40" t="inlineStr"/>
      <c r="U145" s="40" t="inlineStr"/>
      <c r="V145" s="41" t="inlineStr">
        <is>
          <t>кг</t>
        </is>
      </c>
      <c r="W145" s="828" t="n">
        <v>0</v>
      </c>
      <c r="X145" s="829">
        <f>IFERROR(IF(W145="",0,CEILING((W145/$H145),1)*$H145),"")</f>
        <v/>
      </c>
      <c r="Y145" s="42">
        <f>IFERROR(IF(X145=0,"",ROUNDUP(X145/H145,0)*0.02175),"")</f>
        <v/>
      </c>
      <c r="Z145" s="69" t="inlineStr"/>
      <c r="AA145" s="70" t="inlineStr"/>
      <c r="AE145" s="80" t="n"/>
      <c r="BB145" s="158" t="inlineStr">
        <is>
          <t>КИ</t>
        </is>
      </c>
      <c r="BL145" s="80">
        <f>IFERROR(W145*I145/H145,"0")</f>
        <v/>
      </c>
      <c r="BM145" s="80">
        <f>IFERROR(X145*I145/H145,"0")</f>
        <v/>
      </c>
      <c r="BN145" s="80">
        <f>IFERROR(1/J145*(W145/H145),"0")</f>
        <v/>
      </c>
      <c r="BO145" s="80">
        <f>IFERROR(1/J145*(X145/H145),"0")</f>
        <v/>
      </c>
    </row>
    <row r="146" ht="27" customHeight="1">
      <c r="A146" s="64" t="inlineStr">
        <is>
          <t>SU003429</t>
        </is>
      </c>
      <c r="B146" s="64" t="inlineStr">
        <is>
          <t>P004275</t>
        </is>
      </c>
      <c r="C146" s="37" t="n">
        <v>4301011878</v>
      </c>
      <c r="D146" s="401" t="n">
        <v>4680115885660</v>
      </c>
      <c r="E146" s="791" t="n"/>
      <c r="F146" s="825" t="n">
        <v>1.35</v>
      </c>
      <c r="G146" s="38" t="n">
        <v>8</v>
      </c>
      <c r="H146" s="825" t="n">
        <v>10.8</v>
      </c>
      <c r="I146" s="825" t="n">
        <v>11.28</v>
      </c>
      <c r="J146" s="38" t="n">
        <v>56</v>
      </c>
      <c r="K146" s="38" t="inlineStr">
        <is>
          <t>8</t>
        </is>
      </c>
      <c r="L146" s="39" t="inlineStr">
        <is>
          <t>СК2</t>
        </is>
      </c>
      <c r="M146" s="39" t="n"/>
      <c r="N146" s="38" t="n">
        <v>35</v>
      </c>
      <c r="O146" s="911" t="inlineStr">
        <is>
          <t>Вареные колбасы «Стародворская» Весовой фиброуз ТМ «Стародворье»</t>
        </is>
      </c>
      <c r="P146" s="827" t="n"/>
      <c r="Q146" s="827" t="n"/>
      <c r="R146" s="827" t="n"/>
      <c r="S146" s="791" t="n"/>
      <c r="T146" s="40" t="inlineStr"/>
      <c r="U146" s="40" t="inlineStr"/>
      <c r="V146" s="41" t="inlineStr">
        <is>
          <t>кг</t>
        </is>
      </c>
      <c r="W146" s="828" t="n">
        <v>0</v>
      </c>
      <c r="X146" s="829">
        <f>IFERROR(IF(W146="",0,CEILING((W146/$H146),1)*$H146),"")</f>
        <v/>
      </c>
      <c r="Y146" s="42">
        <f>IFERROR(IF(X146=0,"",ROUNDUP(X146/H146,0)*0.02175),"")</f>
        <v/>
      </c>
      <c r="Z146" s="69" t="inlineStr"/>
      <c r="AA146" s="70" t="inlineStr"/>
      <c r="AE146" s="80" t="n"/>
      <c r="BB146" s="159" t="inlineStr">
        <is>
          <t>КИ</t>
        </is>
      </c>
      <c r="BL146" s="80">
        <f>IFERROR(W146*I146/H146,"0")</f>
        <v/>
      </c>
      <c r="BM146" s="80">
        <f>IFERROR(X146*I146/H146,"0")</f>
        <v/>
      </c>
      <c r="BN146" s="80">
        <f>IFERROR(1/J146*(W146/H146),"0")</f>
        <v/>
      </c>
      <c r="BO146" s="80">
        <f>IFERROR(1/J146*(X146/H146),"0")</f>
        <v/>
      </c>
    </row>
    <row r="147" ht="37.5" customHeight="1">
      <c r="A147" s="64" t="inlineStr">
        <is>
          <t>SU003430</t>
        </is>
      </c>
      <c r="B147" s="64" t="inlineStr">
        <is>
          <t>P004278</t>
        </is>
      </c>
      <c r="C147" s="37" t="n">
        <v>4301011879</v>
      </c>
      <c r="D147" s="401" t="n">
        <v>4680115885691</v>
      </c>
      <c r="E147" s="791" t="n"/>
      <c r="F147" s="825" t="n">
        <v>1.35</v>
      </c>
      <c r="G147" s="38" t="n">
        <v>8</v>
      </c>
      <c r="H147" s="825" t="n">
        <v>10.8</v>
      </c>
      <c r="I147" s="825" t="n">
        <v>11.28</v>
      </c>
      <c r="J147" s="38" t="n">
        <v>56</v>
      </c>
      <c r="K147" s="38" t="inlineStr">
        <is>
          <t>8</t>
        </is>
      </c>
      <c r="L147" s="39" t="inlineStr">
        <is>
          <t>СК2</t>
        </is>
      </c>
      <c r="M147" s="39" t="n"/>
      <c r="N147" s="38" t="n">
        <v>30</v>
      </c>
      <c r="O147" s="912" t="inlineStr">
        <is>
          <t>Вареные колбасы «Стародворская со шпиком» Весовой фиброуз ТМ «Стародворье»</t>
        </is>
      </c>
      <c r="P147" s="827" t="n"/>
      <c r="Q147" s="827" t="n"/>
      <c r="R147" s="827" t="n"/>
      <c r="S147" s="791" t="n"/>
      <c r="T147" s="40" t="inlineStr"/>
      <c r="U147" s="40" t="inlineStr"/>
      <c r="V147" s="41" t="inlineStr">
        <is>
          <t>кг</t>
        </is>
      </c>
      <c r="W147" s="828" t="n">
        <v>0</v>
      </c>
      <c r="X147" s="829">
        <f>IFERROR(IF(W147="",0,CEILING((W147/$H147),1)*$H147),"")</f>
        <v/>
      </c>
      <c r="Y147" s="42">
        <f>IFERROR(IF(X147=0,"",ROUNDUP(X147/H147,0)*0.02175),"")</f>
        <v/>
      </c>
      <c r="Z147" s="69" t="inlineStr"/>
      <c r="AA147" s="70" t="inlineStr"/>
      <c r="AE147" s="80" t="n"/>
      <c r="BB147" s="160" t="inlineStr">
        <is>
          <t>КИ</t>
        </is>
      </c>
      <c r="BL147" s="80">
        <f>IFERROR(W147*I147/H147,"0")</f>
        <v/>
      </c>
      <c r="BM147" s="80">
        <f>IFERROR(X147*I147/H147,"0")</f>
        <v/>
      </c>
      <c r="BN147" s="80">
        <f>IFERROR(1/J147*(W147/H147),"0")</f>
        <v/>
      </c>
      <c r="BO147" s="80">
        <f>IFERROR(1/J147*(X147/H147),"0")</f>
        <v/>
      </c>
    </row>
    <row r="148">
      <c r="A148" s="408" t="n"/>
      <c r="B148" s="398" t="n"/>
      <c r="C148" s="398" t="n"/>
      <c r="D148" s="398" t="n"/>
      <c r="E148" s="398" t="n"/>
      <c r="F148" s="398" t="n"/>
      <c r="G148" s="398" t="n"/>
      <c r="H148" s="398" t="n"/>
      <c r="I148" s="398" t="n"/>
      <c r="J148" s="398" t="n"/>
      <c r="K148" s="398" t="n"/>
      <c r="L148" s="398" t="n"/>
      <c r="M148" s="398" t="n"/>
      <c r="N148" s="831" t="n"/>
      <c r="O148" s="832" t="inlineStr">
        <is>
          <t>Итого</t>
        </is>
      </c>
      <c r="P148" s="799" t="n"/>
      <c r="Q148" s="799" t="n"/>
      <c r="R148" s="799" t="n"/>
      <c r="S148" s="799" t="n"/>
      <c r="T148" s="799" t="n"/>
      <c r="U148" s="800" t="n"/>
      <c r="V148" s="43" t="inlineStr">
        <is>
          <t>кор</t>
        </is>
      </c>
      <c r="W148" s="833">
        <f>IFERROR(W144/H144,"0")+IFERROR(W145/H145,"0")+IFERROR(W146/H146,"0")+IFERROR(W147/H147,"0")</f>
        <v/>
      </c>
      <c r="X148" s="833">
        <f>IFERROR(X144/H144,"0")+IFERROR(X145/H145,"0")+IFERROR(X146/H146,"0")+IFERROR(X147/H147,"0")</f>
        <v/>
      </c>
      <c r="Y148" s="833">
        <f>IFERROR(IF(Y144="",0,Y144),"0")+IFERROR(IF(Y145="",0,Y145),"0")+IFERROR(IF(Y146="",0,Y146),"0")+IFERROR(IF(Y147="",0,Y147),"0")</f>
        <v/>
      </c>
      <c r="Z148" s="834" t="n"/>
      <c r="AA148" s="834" t="n"/>
    </row>
    <row r="149">
      <c r="A149" s="398" t="n"/>
      <c r="B149" s="398" t="n"/>
      <c r="C149" s="398" t="n"/>
      <c r="D149" s="398" t="n"/>
      <c r="E149" s="398" t="n"/>
      <c r="F149" s="398" t="n"/>
      <c r="G149" s="398" t="n"/>
      <c r="H149" s="398" t="n"/>
      <c r="I149" s="398" t="n"/>
      <c r="J149" s="398" t="n"/>
      <c r="K149" s="398" t="n"/>
      <c r="L149" s="398" t="n"/>
      <c r="M149" s="398" t="n"/>
      <c r="N149" s="831" t="n"/>
      <c r="O149" s="832" t="inlineStr">
        <is>
          <t>Итого</t>
        </is>
      </c>
      <c r="P149" s="799" t="n"/>
      <c r="Q149" s="799" t="n"/>
      <c r="R149" s="799" t="n"/>
      <c r="S149" s="799" t="n"/>
      <c r="T149" s="799" t="n"/>
      <c r="U149" s="800" t="n"/>
      <c r="V149" s="43" t="inlineStr">
        <is>
          <t>кг</t>
        </is>
      </c>
      <c r="W149" s="833">
        <f>IFERROR(SUM(W144:W147),"0")</f>
        <v/>
      </c>
      <c r="X149" s="833">
        <f>IFERROR(SUM(X144:X147),"0")</f>
        <v/>
      </c>
      <c r="Y149" s="43" t="n"/>
      <c r="Z149" s="834" t="n"/>
      <c r="AA149" s="834" t="n"/>
    </row>
    <row r="150" ht="16.5" customHeight="1">
      <c r="A150" s="439" t="inlineStr">
        <is>
          <t>Мясорубская</t>
        </is>
      </c>
      <c r="B150" s="398" t="n"/>
      <c r="C150" s="398" t="n"/>
      <c r="D150" s="398" t="n"/>
      <c r="E150" s="398" t="n"/>
      <c r="F150" s="398" t="n"/>
      <c r="G150" s="398" t="n"/>
      <c r="H150" s="398" t="n"/>
      <c r="I150" s="398" t="n"/>
      <c r="J150" s="398" t="n"/>
      <c r="K150" s="398" t="n"/>
      <c r="L150" s="398" t="n"/>
      <c r="M150" s="398" t="n"/>
      <c r="N150" s="398" t="n"/>
      <c r="O150" s="398" t="n"/>
      <c r="P150" s="398" t="n"/>
      <c r="Q150" s="398" t="n"/>
      <c r="R150" s="398" t="n"/>
      <c r="S150" s="398" t="n"/>
      <c r="T150" s="398" t="n"/>
      <c r="U150" s="398" t="n"/>
      <c r="V150" s="398" t="n"/>
      <c r="W150" s="398" t="n"/>
      <c r="X150" s="398" t="n"/>
      <c r="Y150" s="398" t="n"/>
      <c r="Z150" s="439" t="n"/>
      <c r="AA150" s="439" t="n"/>
    </row>
    <row r="151" ht="14.25" customHeight="1">
      <c r="A151" s="409" t="inlineStr">
        <is>
          <t>Копченые колбасы</t>
        </is>
      </c>
      <c r="B151" s="398" t="n"/>
      <c r="C151" s="398" t="n"/>
      <c r="D151" s="398" t="n"/>
      <c r="E151" s="398" t="n"/>
      <c r="F151" s="398" t="n"/>
      <c r="G151" s="398" t="n"/>
      <c r="H151" s="398" t="n"/>
      <c r="I151" s="398" t="n"/>
      <c r="J151" s="398" t="n"/>
      <c r="K151" s="398" t="n"/>
      <c r="L151" s="398" t="n"/>
      <c r="M151" s="398" t="n"/>
      <c r="N151" s="398" t="n"/>
      <c r="O151" s="398" t="n"/>
      <c r="P151" s="398" t="n"/>
      <c r="Q151" s="398" t="n"/>
      <c r="R151" s="398" t="n"/>
      <c r="S151" s="398" t="n"/>
      <c r="T151" s="398" t="n"/>
      <c r="U151" s="398" t="n"/>
      <c r="V151" s="398" t="n"/>
      <c r="W151" s="398" t="n"/>
      <c r="X151" s="398" t="n"/>
      <c r="Y151" s="398" t="n"/>
      <c r="Z151" s="409" t="n"/>
      <c r="AA151" s="409" t="n"/>
    </row>
    <row r="152" ht="27" customHeight="1">
      <c r="A152" s="64" t="inlineStr">
        <is>
          <t>SU002756</t>
        </is>
      </c>
      <c r="B152" s="64" t="inlineStr">
        <is>
          <t>P003179</t>
        </is>
      </c>
      <c r="C152" s="37" t="n">
        <v>4301031191</v>
      </c>
      <c r="D152" s="401" t="n">
        <v>4680115880993</v>
      </c>
      <c r="E152" s="791" t="n"/>
      <c r="F152" s="825" t="n">
        <v>0.7</v>
      </c>
      <c r="G152" s="38" t="n">
        <v>6</v>
      </c>
      <c r="H152" s="825" t="n">
        <v>4.2</v>
      </c>
      <c r="I152" s="825" t="n">
        <v>4.46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9" t="n"/>
      <c r="N152" s="38" t="n">
        <v>40</v>
      </c>
      <c r="O152" s="91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P152" s="827" t="n"/>
      <c r="Q152" s="827" t="n"/>
      <c r="R152" s="827" t="n"/>
      <c r="S152" s="791" t="n"/>
      <c r="T152" s="40" t="inlineStr"/>
      <c r="U152" s="40" t="inlineStr"/>
      <c r="V152" s="41" t="inlineStr">
        <is>
          <t>кг</t>
        </is>
      </c>
      <c r="W152" s="828" t="n">
        <v>60</v>
      </c>
      <c r="X152" s="829">
        <f>IFERROR(IF(W152="",0,CEILING((W152/$H152),1)*$H152),"")</f>
        <v/>
      </c>
      <c r="Y152" s="42">
        <f>IFERROR(IF(X152=0,"",ROUNDUP(X152/H152,0)*0.00753),"")</f>
        <v/>
      </c>
      <c r="Z152" s="69" t="inlineStr"/>
      <c r="AA152" s="70" t="inlineStr"/>
      <c r="AE152" s="80" t="n"/>
      <c r="BB152" s="161" t="inlineStr">
        <is>
          <t>КИ</t>
        </is>
      </c>
      <c r="BL152" s="80">
        <f>IFERROR(W152*I152/H152,"0")</f>
        <v/>
      </c>
      <c r="BM152" s="80">
        <f>IFERROR(X152*I152/H152,"0")</f>
        <v/>
      </c>
      <c r="BN152" s="80">
        <f>IFERROR(1/J152*(W152/H152),"0")</f>
        <v/>
      </c>
      <c r="BO152" s="80">
        <f>IFERROR(1/J152*(X152/H152),"0")</f>
        <v/>
      </c>
    </row>
    <row r="153" ht="27" customHeight="1">
      <c r="A153" s="64" t="inlineStr">
        <is>
          <t>SU002876</t>
        </is>
      </c>
      <c r="B153" s="64" t="inlineStr">
        <is>
          <t>P003276</t>
        </is>
      </c>
      <c r="C153" s="37" t="n">
        <v>4301031204</v>
      </c>
      <c r="D153" s="401" t="n">
        <v>4680115881761</v>
      </c>
      <c r="E153" s="791" t="n"/>
      <c r="F153" s="825" t="n">
        <v>0.7</v>
      </c>
      <c r="G153" s="38" t="n">
        <v>6</v>
      </c>
      <c r="H153" s="825" t="n">
        <v>4.2</v>
      </c>
      <c r="I153" s="825" t="n">
        <v>4.46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9" t="n"/>
      <c r="N153" s="38" t="n">
        <v>40</v>
      </c>
      <c r="O153" s="91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P153" s="827" t="n"/>
      <c r="Q153" s="827" t="n"/>
      <c r="R153" s="827" t="n"/>
      <c r="S153" s="791" t="n"/>
      <c r="T153" s="40" t="inlineStr"/>
      <c r="U153" s="40" t="inlineStr"/>
      <c r="V153" s="41" t="inlineStr">
        <is>
          <t>кг</t>
        </is>
      </c>
      <c r="W153" s="828" t="n">
        <v>20</v>
      </c>
      <c r="X153" s="829">
        <f>IFERROR(IF(W153="",0,CEILING((W153/$H153),1)*$H153),"")</f>
        <v/>
      </c>
      <c r="Y153" s="42">
        <f>IFERROR(IF(X153=0,"",ROUNDUP(X153/H153,0)*0.00753),"")</f>
        <v/>
      </c>
      <c r="Z153" s="69" t="inlineStr"/>
      <c r="AA153" s="70" t="inlineStr"/>
      <c r="AE153" s="80" t="n"/>
      <c r="BB153" s="162" t="inlineStr">
        <is>
          <t>КИ</t>
        </is>
      </c>
      <c r="BL153" s="80">
        <f>IFERROR(W153*I153/H153,"0")</f>
        <v/>
      </c>
      <c r="BM153" s="80">
        <f>IFERROR(X153*I153/H153,"0")</f>
        <v/>
      </c>
      <c r="BN153" s="80">
        <f>IFERROR(1/J153*(W153/H153),"0")</f>
        <v/>
      </c>
      <c r="BO153" s="80">
        <f>IFERROR(1/J153*(X153/H153),"0")</f>
        <v/>
      </c>
    </row>
    <row r="154" ht="27" customHeight="1">
      <c r="A154" s="64" t="inlineStr">
        <is>
          <t>SU002847</t>
        </is>
      </c>
      <c r="B154" s="64" t="inlineStr">
        <is>
          <t>P003259</t>
        </is>
      </c>
      <c r="C154" s="37" t="n">
        <v>4301031201</v>
      </c>
      <c r="D154" s="401" t="n">
        <v>4680115881563</v>
      </c>
      <c r="E154" s="791" t="n"/>
      <c r="F154" s="825" t="n">
        <v>0.7</v>
      </c>
      <c r="G154" s="38" t="n">
        <v>6</v>
      </c>
      <c r="H154" s="825" t="n">
        <v>4.2</v>
      </c>
      <c r="I154" s="825" t="n">
        <v>4.4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9" t="n"/>
      <c r="N154" s="38" t="n">
        <v>40</v>
      </c>
      <c r="O154" s="91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P154" s="827" t="n"/>
      <c r="Q154" s="827" t="n"/>
      <c r="R154" s="827" t="n"/>
      <c r="S154" s="791" t="n"/>
      <c r="T154" s="40" t="inlineStr"/>
      <c r="U154" s="40" t="inlineStr"/>
      <c r="V154" s="41" t="inlineStr">
        <is>
          <t>кг</t>
        </is>
      </c>
      <c r="W154" s="828" t="n">
        <v>60</v>
      </c>
      <c r="X154" s="829">
        <f>IFERROR(IF(W154="",0,CEILING((W154/$H154),1)*$H154),"")</f>
        <v/>
      </c>
      <c r="Y154" s="42">
        <f>IFERROR(IF(X154=0,"",ROUNDUP(X154/H154,0)*0.00753),"")</f>
        <v/>
      </c>
      <c r="Z154" s="69" t="inlineStr"/>
      <c r="AA154" s="70" t="inlineStr"/>
      <c r="AE154" s="80" t="n"/>
      <c r="BB154" s="163" t="inlineStr">
        <is>
          <t>КИ</t>
        </is>
      </c>
      <c r="BL154" s="80">
        <f>IFERROR(W154*I154/H154,"0")</f>
        <v/>
      </c>
      <c r="BM154" s="80">
        <f>IFERROR(X154*I154/H154,"0")</f>
        <v/>
      </c>
      <c r="BN154" s="80">
        <f>IFERROR(1/J154*(W154/H154),"0")</f>
        <v/>
      </c>
      <c r="BO154" s="80">
        <f>IFERROR(1/J154*(X154/H154),"0")</f>
        <v/>
      </c>
    </row>
    <row r="155" ht="27" customHeight="1">
      <c r="A155" s="64" t="inlineStr">
        <is>
          <t>SU002660</t>
        </is>
      </c>
      <c r="B155" s="64" t="inlineStr">
        <is>
          <t>P003256</t>
        </is>
      </c>
      <c r="C155" s="37" t="n">
        <v>4301031199</v>
      </c>
      <c r="D155" s="401" t="n">
        <v>4680115880986</v>
      </c>
      <c r="E155" s="791" t="n"/>
      <c r="F155" s="825" t="n">
        <v>0.35</v>
      </c>
      <c r="G155" s="38" t="n">
        <v>6</v>
      </c>
      <c r="H155" s="825" t="n">
        <v>2.1</v>
      </c>
      <c r="I155" s="825" t="n">
        <v>2.23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9" t="n"/>
      <c r="N155" s="38" t="n">
        <v>40</v>
      </c>
      <c r="O155" s="91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P155" s="827" t="n"/>
      <c r="Q155" s="827" t="n"/>
      <c r="R155" s="827" t="n"/>
      <c r="S155" s="791" t="n"/>
      <c r="T155" s="40" t="inlineStr"/>
      <c r="U155" s="40" t="inlineStr"/>
      <c r="V155" s="41" t="inlineStr">
        <is>
          <t>кг</t>
        </is>
      </c>
      <c r="W155" s="828" t="n">
        <v>94.5</v>
      </c>
      <c r="X155" s="829">
        <f>IFERROR(IF(W155="",0,CEILING((W155/$H155),1)*$H155),"")</f>
        <v/>
      </c>
      <c r="Y155" s="42">
        <f>IFERROR(IF(X155=0,"",ROUNDUP(X155/H155,0)*0.00502),"")</f>
        <v/>
      </c>
      <c r="Z155" s="69" t="inlineStr"/>
      <c r="AA155" s="70" t="inlineStr"/>
      <c r="AE155" s="80" t="n"/>
      <c r="BB155" s="164" t="inlineStr">
        <is>
          <t>КИ</t>
        </is>
      </c>
      <c r="BL155" s="80">
        <f>IFERROR(W155*I155/H155,"0")</f>
        <v/>
      </c>
      <c r="BM155" s="80">
        <f>IFERROR(X155*I155/H155,"0")</f>
        <v/>
      </c>
      <c r="BN155" s="80">
        <f>IFERROR(1/J155*(W155/H155),"0")</f>
        <v/>
      </c>
      <c r="BO155" s="80">
        <f>IFERROR(1/J155*(X155/H155),"0")</f>
        <v/>
      </c>
    </row>
    <row r="156" ht="27" customHeight="1">
      <c r="A156" s="64" t="inlineStr">
        <is>
          <t>SU002877</t>
        </is>
      </c>
      <c r="B156" s="64" t="inlineStr">
        <is>
          <t>P003277</t>
        </is>
      </c>
      <c r="C156" s="37" t="n">
        <v>4301031205</v>
      </c>
      <c r="D156" s="401" t="n">
        <v>4680115881785</v>
      </c>
      <c r="E156" s="791" t="n"/>
      <c r="F156" s="825" t="n">
        <v>0.35</v>
      </c>
      <c r="G156" s="38" t="n">
        <v>6</v>
      </c>
      <c r="H156" s="825" t="n">
        <v>2.1</v>
      </c>
      <c r="I156" s="825" t="n">
        <v>2.23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9" t="n"/>
      <c r="N156" s="38" t="n">
        <v>40</v>
      </c>
      <c r="O156" s="91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P156" s="827" t="n"/>
      <c r="Q156" s="827" t="n"/>
      <c r="R156" s="827" t="n"/>
      <c r="S156" s="791" t="n"/>
      <c r="T156" s="40" t="inlineStr"/>
      <c r="U156" s="40" t="inlineStr"/>
      <c r="V156" s="41" t="inlineStr">
        <is>
          <t>кг</t>
        </is>
      </c>
      <c r="W156" s="828" t="n">
        <v>105</v>
      </c>
      <c r="X156" s="829">
        <f>IFERROR(IF(W156="",0,CEILING((W156/$H156),1)*$H156),"")</f>
        <v/>
      </c>
      <c r="Y156" s="42">
        <f>IFERROR(IF(X156=0,"",ROUNDUP(X156/H156,0)*0.00502),"")</f>
        <v/>
      </c>
      <c r="Z156" s="69" t="inlineStr"/>
      <c r="AA156" s="70" t="inlineStr"/>
      <c r="AE156" s="80" t="n"/>
      <c r="BB156" s="165" t="inlineStr">
        <is>
          <t>КИ</t>
        </is>
      </c>
      <c r="BL156" s="80">
        <f>IFERROR(W156*I156/H156,"0")</f>
        <v/>
      </c>
      <c r="BM156" s="80">
        <f>IFERROR(X156*I156/H156,"0")</f>
        <v/>
      </c>
      <c r="BN156" s="80">
        <f>IFERROR(1/J156*(W156/H156),"0")</f>
        <v/>
      </c>
      <c r="BO156" s="80">
        <f>IFERROR(1/J156*(X156/H156),"0")</f>
        <v/>
      </c>
    </row>
    <row r="157" ht="27" customHeight="1">
      <c r="A157" s="64" t="inlineStr">
        <is>
          <t>SU002848</t>
        </is>
      </c>
      <c r="B157" s="64" t="inlineStr">
        <is>
          <t>P003260</t>
        </is>
      </c>
      <c r="C157" s="37" t="n">
        <v>4301031202</v>
      </c>
      <c r="D157" s="401" t="n">
        <v>4680115881679</v>
      </c>
      <c r="E157" s="791" t="n"/>
      <c r="F157" s="825" t="n">
        <v>0.35</v>
      </c>
      <c r="G157" s="38" t="n">
        <v>6</v>
      </c>
      <c r="H157" s="825" t="n">
        <v>2.1</v>
      </c>
      <c r="I157" s="825" t="n">
        <v>2.2</v>
      </c>
      <c r="J157" s="38" t="n">
        <v>234</v>
      </c>
      <c r="K157" s="38" t="inlineStr">
        <is>
          <t>18</t>
        </is>
      </c>
      <c r="L157" s="39" t="inlineStr">
        <is>
          <t>СК2</t>
        </is>
      </c>
      <c r="M157" s="39" t="n"/>
      <c r="N157" s="38" t="n">
        <v>40</v>
      </c>
      <c r="O157" s="91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P157" s="827" t="n"/>
      <c r="Q157" s="827" t="n"/>
      <c r="R157" s="827" t="n"/>
      <c r="S157" s="791" t="n"/>
      <c r="T157" s="40" t="inlineStr"/>
      <c r="U157" s="40" t="inlineStr"/>
      <c r="V157" s="41" t="inlineStr">
        <is>
          <t>кг</t>
        </is>
      </c>
      <c r="W157" s="828" t="n">
        <v>140</v>
      </c>
      <c r="X157" s="829">
        <f>IFERROR(IF(W157="",0,CEILING((W157/$H157),1)*$H157),"")</f>
        <v/>
      </c>
      <c r="Y157" s="42">
        <f>IFERROR(IF(X157=0,"",ROUNDUP(X157/H157,0)*0.00502),"")</f>
        <v/>
      </c>
      <c r="Z157" s="69" t="inlineStr"/>
      <c r="AA157" s="70" t="inlineStr"/>
      <c r="AE157" s="80" t="n"/>
      <c r="BB157" s="166" t="inlineStr">
        <is>
          <t>КИ</t>
        </is>
      </c>
      <c r="BL157" s="80">
        <f>IFERROR(W157*I157/H157,"0")</f>
        <v/>
      </c>
      <c r="BM157" s="80">
        <f>IFERROR(X157*I157/H157,"0")</f>
        <v/>
      </c>
      <c r="BN157" s="80">
        <f>IFERROR(1/J157*(W157/H157),"0")</f>
        <v/>
      </c>
      <c r="BO157" s="80">
        <f>IFERROR(1/J157*(X157/H157),"0")</f>
        <v/>
      </c>
    </row>
    <row r="158" ht="27" customHeight="1">
      <c r="A158" s="64" t="inlineStr">
        <is>
          <t>SU002659</t>
        </is>
      </c>
      <c r="B158" s="64" t="inlineStr">
        <is>
          <t>P003034</t>
        </is>
      </c>
      <c r="C158" s="37" t="n">
        <v>4301031158</v>
      </c>
      <c r="D158" s="401" t="n">
        <v>4680115880191</v>
      </c>
      <c r="E158" s="791" t="n"/>
      <c r="F158" s="825" t="n">
        <v>0.4</v>
      </c>
      <c r="G158" s="38" t="n">
        <v>6</v>
      </c>
      <c r="H158" s="825" t="n">
        <v>2.4</v>
      </c>
      <c r="I158" s="825" t="n">
        <v>2.6</v>
      </c>
      <c r="J158" s="38" t="n">
        <v>156</v>
      </c>
      <c r="K158" s="38" t="inlineStr">
        <is>
          <t>12</t>
        </is>
      </c>
      <c r="L158" s="39" t="inlineStr">
        <is>
          <t>СК2</t>
        </is>
      </c>
      <c r="M158" s="39" t="n"/>
      <c r="N158" s="38" t="n">
        <v>40</v>
      </c>
      <c r="O158" s="91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P158" s="827" t="n"/>
      <c r="Q158" s="827" t="n"/>
      <c r="R158" s="827" t="n"/>
      <c r="S158" s="791" t="n"/>
      <c r="T158" s="40" t="inlineStr"/>
      <c r="U158" s="40" t="inlineStr"/>
      <c r="V158" s="41" t="inlineStr">
        <is>
          <t>кг</t>
        </is>
      </c>
      <c r="W158" s="828" t="n">
        <v>0</v>
      </c>
      <c r="X158" s="829">
        <f>IFERROR(IF(W158="",0,CEILING((W158/$H158),1)*$H158),"")</f>
        <v/>
      </c>
      <c r="Y158" s="42">
        <f>IFERROR(IF(X158=0,"",ROUNDUP(X158/H158,0)*0.00753),"")</f>
        <v/>
      </c>
      <c r="Z158" s="69" t="inlineStr"/>
      <c r="AA158" s="70" t="inlineStr"/>
      <c r="AE158" s="80" t="n"/>
      <c r="BB158" s="167" t="inlineStr">
        <is>
          <t>КИ</t>
        </is>
      </c>
      <c r="BL158" s="80">
        <f>IFERROR(W158*I158/H158,"0")</f>
        <v/>
      </c>
      <c r="BM158" s="80">
        <f>IFERROR(X158*I158/H158,"0")</f>
        <v/>
      </c>
      <c r="BN158" s="80">
        <f>IFERROR(1/J158*(W158/H158),"0")</f>
        <v/>
      </c>
      <c r="BO158" s="80">
        <f>IFERROR(1/J158*(X158/H158),"0")</f>
        <v/>
      </c>
    </row>
    <row r="159" ht="16.5" customHeight="1">
      <c r="A159" s="64" t="inlineStr">
        <is>
          <t>SU003046</t>
        </is>
      </c>
      <c r="B159" s="64" t="inlineStr">
        <is>
          <t>P003598</t>
        </is>
      </c>
      <c r="C159" s="37" t="n">
        <v>4301031245</v>
      </c>
      <c r="D159" s="401" t="n">
        <v>4680115883963</v>
      </c>
      <c r="E159" s="791" t="n"/>
      <c r="F159" s="825" t="n">
        <v>0.28</v>
      </c>
      <c r="G159" s="38" t="n">
        <v>6</v>
      </c>
      <c r="H159" s="825" t="n">
        <v>1.68</v>
      </c>
      <c r="I159" s="825" t="n">
        <v>1.78</v>
      </c>
      <c r="J159" s="38" t="n">
        <v>234</v>
      </c>
      <c r="K159" s="38" t="inlineStr">
        <is>
          <t>18</t>
        </is>
      </c>
      <c r="L159" s="39" t="inlineStr">
        <is>
          <t>СК2</t>
        </is>
      </c>
      <c r="M159" s="39" t="n"/>
      <c r="N159" s="38" t="n">
        <v>40</v>
      </c>
      <c r="O159" s="920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P159" s="827" t="n"/>
      <c r="Q159" s="827" t="n"/>
      <c r="R159" s="827" t="n"/>
      <c r="S159" s="791" t="n"/>
      <c r="T159" s="40" t="inlineStr"/>
      <c r="U159" s="40" t="inlineStr"/>
      <c r="V159" s="41" t="inlineStr">
        <is>
          <t>кг</t>
        </is>
      </c>
      <c r="W159" s="828" t="n">
        <v>0</v>
      </c>
      <c r="X159" s="829">
        <f>IFERROR(IF(W159="",0,CEILING((W159/$H159),1)*$H159),"")</f>
        <v/>
      </c>
      <c r="Y159" s="42">
        <f>IFERROR(IF(X159=0,"",ROUNDUP(X159/H159,0)*0.00502),"")</f>
        <v/>
      </c>
      <c r="Z159" s="69" t="inlineStr"/>
      <c r="AA159" s="70" t="inlineStr"/>
      <c r="AE159" s="80" t="n"/>
      <c r="BB159" s="168" t="inlineStr">
        <is>
          <t>КИ</t>
        </is>
      </c>
      <c r="BL159" s="80">
        <f>IFERROR(W159*I159/H159,"0")</f>
        <v/>
      </c>
      <c r="BM159" s="80">
        <f>IFERROR(X159*I159/H159,"0")</f>
        <v/>
      </c>
      <c r="BN159" s="80">
        <f>IFERROR(1/J159*(W159/H159),"0")</f>
        <v/>
      </c>
      <c r="BO159" s="80">
        <f>IFERROR(1/J159*(X159/H159),"0")</f>
        <v/>
      </c>
    </row>
    <row r="160">
      <c r="A160" s="408" t="n"/>
      <c r="B160" s="398" t="n"/>
      <c r="C160" s="398" t="n"/>
      <c r="D160" s="398" t="n"/>
      <c r="E160" s="398" t="n"/>
      <c r="F160" s="398" t="n"/>
      <c r="G160" s="398" t="n"/>
      <c r="H160" s="398" t="n"/>
      <c r="I160" s="398" t="n"/>
      <c r="J160" s="398" t="n"/>
      <c r="K160" s="398" t="n"/>
      <c r="L160" s="398" t="n"/>
      <c r="M160" s="398" t="n"/>
      <c r="N160" s="831" t="n"/>
      <c r="O160" s="832" t="inlineStr">
        <is>
          <t>Итого</t>
        </is>
      </c>
      <c r="P160" s="799" t="n"/>
      <c r="Q160" s="799" t="n"/>
      <c r="R160" s="799" t="n"/>
      <c r="S160" s="799" t="n"/>
      <c r="T160" s="799" t="n"/>
      <c r="U160" s="800" t="n"/>
      <c r="V160" s="43" t="inlineStr">
        <is>
          <t>кор</t>
        </is>
      </c>
      <c r="W160" s="833">
        <f>IFERROR(W152/H152,"0")+IFERROR(W153/H153,"0")+IFERROR(W154/H154,"0")+IFERROR(W155/H155,"0")+IFERROR(W156/H156,"0")+IFERROR(W157/H157,"0")+IFERROR(W158/H158,"0")+IFERROR(W159/H159,"0")</f>
        <v/>
      </c>
      <c r="X160" s="833">
        <f>IFERROR(X152/H152,"0")+IFERROR(X153/H153,"0")+IFERROR(X154/H154,"0")+IFERROR(X155/H155,"0")+IFERROR(X156/H156,"0")+IFERROR(X157/H157,"0")+IFERROR(X158/H158,"0")+IFERROR(X159/H159,"0")</f>
        <v/>
      </c>
      <c r="Y160" s="833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/>
      </c>
      <c r="Z160" s="834" t="n"/>
      <c r="AA160" s="834" t="n"/>
    </row>
    <row r="161">
      <c r="A161" s="398" t="n"/>
      <c r="B161" s="398" t="n"/>
      <c r="C161" s="398" t="n"/>
      <c r="D161" s="398" t="n"/>
      <c r="E161" s="398" t="n"/>
      <c r="F161" s="398" t="n"/>
      <c r="G161" s="398" t="n"/>
      <c r="H161" s="398" t="n"/>
      <c r="I161" s="398" t="n"/>
      <c r="J161" s="398" t="n"/>
      <c r="K161" s="398" t="n"/>
      <c r="L161" s="398" t="n"/>
      <c r="M161" s="398" t="n"/>
      <c r="N161" s="831" t="n"/>
      <c r="O161" s="832" t="inlineStr">
        <is>
          <t>Итого</t>
        </is>
      </c>
      <c r="P161" s="799" t="n"/>
      <c r="Q161" s="799" t="n"/>
      <c r="R161" s="799" t="n"/>
      <c r="S161" s="799" t="n"/>
      <c r="T161" s="799" t="n"/>
      <c r="U161" s="800" t="n"/>
      <c r="V161" s="43" t="inlineStr">
        <is>
          <t>кг</t>
        </is>
      </c>
      <c r="W161" s="833">
        <f>IFERROR(SUM(W152:W159),"0")</f>
        <v/>
      </c>
      <c r="X161" s="833">
        <f>IFERROR(SUM(X152:X159),"0")</f>
        <v/>
      </c>
      <c r="Y161" s="43" t="n"/>
      <c r="Z161" s="834" t="n"/>
      <c r="AA161" s="834" t="n"/>
    </row>
    <row r="162" ht="16.5" customHeight="1">
      <c r="A162" s="439" t="inlineStr">
        <is>
          <t>Сочинка</t>
        </is>
      </c>
      <c r="B162" s="398" t="n"/>
      <c r="C162" s="398" t="n"/>
      <c r="D162" s="398" t="n"/>
      <c r="E162" s="398" t="n"/>
      <c r="F162" s="398" t="n"/>
      <c r="G162" s="398" t="n"/>
      <c r="H162" s="398" t="n"/>
      <c r="I162" s="398" t="n"/>
      <c r="J162" s="398" t="n"/>
      <c r="K162" s="398" t="n"/>
      <c r="L162" s="398" t="n"/>
      <c r="M162" s="398" t="n"/>
      <c r="N162" s="398" t="n"/>
      <c r="O162" s="398" t="n"/>
      <c r="P162" s="398" t="n"/>
      <c r="Q162" s="398" t="n"/>
      <c r="R162" s="398" t="n"/>
      <c r="S162" s="398" t="n"/>
      <c r="T162" s="398" t="n"/>
      <c r="U162" s="398" t="n"/>
      <c r="V162" s="398" t="n"/>
      <c r="W162" s="398" t="n"/>
      <c r="X162" s="398" t="n"/>
      <c r="Y162" s="398" t="n"/>
      <c r="Z162" s="439" t="n"/>
      <c r="AA162" s="439" t="n"/>
    </row>
    <row r="163" ht="14.25" customHeight="1">
      <c r="A163" s="409" t="inlineStr">
        <is>
          <t>Вареные колбасы</t>
        </is>
      </c>
      <c r="B163" s="398" t="n"/>
      <c r="C163" s="398" t="n"/>
      <c r="D163" s="398" t="n"/>
      <c r="E163" s="398" t="n"/>
      <c r="F163" s="398" t="n"/>
      <c r="G163" s="398" t="n"/>
      <c r="H163" s="398" t="n"/>
      <c r="I163" s="398" t="n"/>
      <c r="J163" s="398" t="n"/>
      <c r="K163" s="398" t="n"/>
      <c r="L163" s="398" t="n"/>
      <c r="M163" s="398" t="n"/>
      <c r="N163" s="398" t="n"/>
      <c r="O163" s="398" t="n"/>
      <c r="P163" s="398" t="n"/>
      <c r="Q163" s="398" t="n"/>
      <c r="R163" s="398" t="n"/>
      <c r="S163" s="398" t="n"/>
      <c r="T163" s="398" t="n"/>
      <c r="U163" s="398" t="n"/>
      <c r="V163" s="398" t="n"/>
      <c r="W163" s="398" t="n"/>
      <c r="X163" s="398" t="n"/>
      <c r="Y163" s="398" t="n"/>
      <c r="Z163" s="409" t="n"/>
      <c r="AA163" s="409" t="n"/>
    </row>
    <row r="164" ht="16.5" customHeight="1">
      <c r="A164" s="64" t="inlineStr">
        <is>
          <t>SU002824</t>
        </is>
      </c>
      <c r="B164" s="64" t="inlineStr">
        <is>
          <t>P003231</t>
        </is>
      </c>
      <c r="C164" s="37" t="n">
        <v>4301011450</v>
      </c>
      <c r="D164" s="401" t="n">
        <v>4680115881402</v>
      </c>
      <c r="E164" s="791" t="n"/>
      <c r="F164" s="825" t="n">
        <v>1.35</v>
      </c>
      <c r="G164" s="38" t="n">
        <v>8</v>
      </c>
      <c r="H164" s="825" t="n">
        <v>10.8</v>
      </c>
      <c r="I164" s="825" t="n">
        <v>11.28</v>
      </c>
      <c r="J164" s="38" t="n">
        <v>56</v>
      </c>
      <c r="K164" s="38" t="inlineStr">
        <is>
          <t>8</t>
        </is>
      </c>
      <c r="L164" s="39" t="inlineStr">
        <is>
          <t>СК1</t>
        </is>
      </c>
      <c r="M164" s="39" t="n"/>
      <c r="N164" s="38" t="n">
        <v>55</v>
      </c>
      <c r="O164" s="92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P164" s="827" t="n"/>
      <c r="Q164" s="827" t="n"/>
      <c r="R164" s="827" t="n"/>
      <c r="S164" s="791" t="n"/>
      <c r="T164" s="40" t="inlineStr"/>
      <c r="U164" s="40" t="inlineStr"/>
      <c r="V164" s="41" t="inlineStr">
        <is>
          <t>кг</t>
        </is>
      </c>
      <c r="W164" s="828" t="n">
        <v>0</v>
      </c>
      <c r="X164" s="829">
        <f>IFERROR(IF(W164="",0,CEILING((W164/$H164),1)*$H164),"")</f>
        <v/>
      </c>
      <c r="Y164" s="42">
        <f>IFERROR(IF(X164=0,"",ROUNDUP(X164/H164,0)*0.02175),"")</f>
        <v/>
      </c>
      <c r="Z164" s="69" t="inlineStr"/>
      <c r="AA164" s="70" t="inlineStr"/>
      <c r="AE164" s="80" t="n"/>
      <c r="BB164" s="169" t="inlineStr">
        <is>
          <t>КИ</t>
        </is>
      </c>
      <c r="BL164" s="80">
        <f>IFERROR(W164*I164/H164,"0")</f>
        <v/>
      </c>
      <c r="BM164" s="80">
        <f>IFERROR(X164*I164/H164,"0")</f>
        <v/>
      </c>
      <c r="BN164" s="80">
        <f>IFERROR(1/J164*(W164/H164),"0")</f>
        <v/>
      </c>
      <c r="BO164" s="80">
        <f>IFERROR(1/J164*(X164/H164),"0")</f>
        <v/>
      </c>
    </row>
    <row r="165" ht="27" customHeight="1">
      <c r="A165" s="64" t="inlineStr">
        <is>
          <t>SU002823</t>
        </is>
      </c>
      <c r="B165" s="64" t="inlineStr">
        <is>
          <t>P003230</t>
        </is>
      </c>
      <c r="C165" s="37" t="n">
        <v>4301011454</v>
      </c>
      <c r="D165" s="401" t="n">
        <v>4680115881396</v>
      </c>
      <c r="E165" s="791" t="n"/>
      <c r="F165" s="825" t="n">
        <v>0.45</v>
      </c>
      <c r="G165" s="38" t="n">
        <v>6</v>
      </c>
      <c r="H165" s="825" t="n">
        <v>2.7</v>
      </c>
      <c r="I165" s="825" t="n">
        <v>2.9</v>
      </c>
      <c r="J165" s="38" t="n">
        <v>156</v>
      </c>
      <c r="K165" s="38" t="inlineStr">
        <is>
          <t>12</t>
        </is>
      </c>
      <c r="L165" s="39" t="inlineStr">
        <is>
          <t>СК2</t>
        </is>
      </c>
      <c r="M165" s="39" t="n"/>
      <c r="N165" s="38" t="n">
        <v>55</v>
      </c>
      <c r="O165" s="92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P165" s="827" t="n"/>
      <c r="Q165" s="827" t="n"/>
      <c r="R165" s="827" t="n"/>
      <c r="S165" s="791" t="n"/>
      <c r="T165" s="40" t="inlineStr"/>
      <c r="U165" s="40" t="inlineStr"/>
      <c r="V165" s="41" t="inlineStr">
        <is>
          <t>кг</t>
        </is>
      </c>
      <c r="W165" s="828" t="n">
        <v>0</v>
      </c>
      <c r="X165" s="829">
        <f>IFERROR(IF(W165="",0,CEILING((W165/$H165),1)*$H165),"")</f>
        <v/>
      </c>
      <c r="Y165" s="42">
        <f>IFERROR(IF(X165=0,"",ROUNDUP(X165/H165,0)*0.00753),"")</f>
        <v/>
      </c>
      <c r="Z165" s="69" t="inlineStr"/>
      <c r="AA165" s="70" t="inlineStr"/>
      <c r="AE165" s="80" t="n"/>
      <c r="BB165" s="170" t="inlineStr">
        <is>
          <t>КИ</t>
        </is>
      </c>
      <c r="BL165" s="80">
        <f>IFERROR(W165*I165/H165,"0")</f>
        <v/>
      </c>
      <c r="BM165" s="80">
        <f>IFERROR(X165*I165/H165,"0")</f>
        <v/>
      </c>
      <c r="BN165" s="80">
        <f>IFERROR(1/J165*(W165/H165),"0")</f>
        <v/>
      </c>
      <c r="BO165" s="80">
        <f>IFERROR(1/J165*(X165/H165),"0")</f>
        <v/>
      </c>
    </row>
    <row r="166">
      <c r="A166" s="408" t="n"/>
      <c r="B166" s="398" t="n"/>
      <c r="C166" s="398" t="n"/>
      <c r="D166" s="398" t="n"/>
      <c r="E166" s="398" t="n"/>
      <c r="F166" s="398" t="n"/>
      <c r="G166" s="398" t="n"/>
      <c r="H166" s="398" t="n"/>
      <c r="I166" s="398" t="n"/>
      <c r="J166" s="398" t="n"/>
      <c r="K166" s="398" t="n"/>
      <c r="L166" s="398" t="n"/>
      <c r="M166" s="398" t="n"/>
      <c r="N166" s="831" t="n"/>
      <c r="O166" s="832" t="inlineStr">
        <is>
          <t>Итого</t>
        </is>
      </c>
      <c r="P166" s="799" t="n"/>
      <c r="Q166" s="799" t="n"/>
      <c r="R166" s="799" t="n"/>
      <c r="S166" s="799" t="n"/>
      <c r="T166" s="799" t="n"/>
      <c r="U166" s="800" t="n"/>
      <c r="V166" s="43" t="inlineStr">
        <is>
          <t>кор</t>
        </is>
      </c>
      <c r="W166" s="833">
        <f>IFERROR(W164/H164,"0")+IFERROR(W165/H165,"0")</f>
        <v/>
      </c>
      <c r="X166" s="833">
        <f>IFERROR(X164/H164,"0")+IFERROR(X165/H165,"0")</f>
        <v/>
      </c>
      <c r="Y166" s="833">
        <f>IFERROR(IF(Y164="",0,Y164),"0")+IFERROR(IF(Y165="",0,Y165),"0")</f>
        <v/>
      </c>
      <c r="Z166" s="834" t="n"/>
      <c r="AA166" s="834" t="n"/>
    </row>
    <row r="167">
      <c r="A167" s="398" t="n"/>
      <c r="B167" s="398" t="n"/>
      <c r="C167" s="398" t="n"/>
      <c r="D167" s="398" t="n"/>
      <c r="E167" s="398" t="n"/>
      <c r="F167" s="398" t="n"/>
      <c r="G167" s="398" t="n"/>
      <c r="H167" s="398" t="n"/>
      <c r="I167" s="398" t="n"/>
      <c r="J167" s="398" t="n"/>
      <c r="K167" s="398" t="n"/>
      <c r="L167" s="398" t="n"/>
      <c r="M167" s="398" t="n"/>
      <c r="N167" s="831" t="n"/>
      <c r="O167" s="832" t="inlineStr">
        <is>
          <t>Итого</t>
        </is>
      </c>
      <c r="P167" s="799" t="n"/>
      <c r="Q167" s="799" t="n"/>
      <c r="R167" s="799" t="n"/>
      <c r="S167" s="799" t="n"/>
      <c r="T167" s="799" t="n"/>
      <c r="U167" s="800" t="n"/>
      <c r="V167" s="43" t="inlineStr">
        <is>
          <t>кг</t>
        </is>
      </c>
      <c r="W167" s="833">
        <f>IFERROR(SUM(W164:W165),"0")</f>
        <v/>
      </c>
      <c r="X167" s="833">
        <f>IFERROR(SUM(X164:X165),"0")</f>
        <v/>
      </c>
      <c r="Y167" s="43" t="n"/>
      <c r="Z167" s="834" t="n"/>
      <c r="AA167" s="834" t="n"/>
    </row>
    <row r="168" ht="14.25" customHeight="1">
      <c r="A168" s="409" t="inlineStr">
        <is>
          <t>Ветчины</t>
        </is>
      </c>
      <c r="B168" s="398" t="n"/>
      <c r="C168" s="398" t="n"/>
      <c r="D168" s="398" t="n"/>
      <c r="E168" s="398" t="n"/>
      <c r="F168" s="398" t="n"/>
      <c r="G168" s="398" t="n"/>
      <c r="H168" s="398" t="n"/>
      <c r="I168" s="398" t="n"/>
      <c r="J168" s="398" t="n"/>
      <c r="K168" s="398" t="n"/>
      <c r="L168" s="398" t="n"/>
      <c r="M168" s="398" t="n"/>
      <c r="N168" s="398" t="n"/>
      <c r="O168" s="398" t="n"/>
      <c r="P168" s="398" t="n"/>
      <c r="Q168" s="398" t="n"/>
      <c r="R168" s="398" t="n"/>
      <c r="S168" s="398" t="n"/>
      <c r="T168" s="398" t="n"/>
      <c r="U168" s="398" t="n"/>
      <c r="V168" s="398" t="n"/>
      <c r="W168" s="398" t="n"/>
      <c r="X168" s="398" t="n"/>
      <c r="Y168" s="398" t="n"/>
      <c r="Z168" s="409" t="n"/>
      <c r="AA168" s="409" t="n"/>
    </row>
    <row r="169" ht="16.5" customHeight="1">
      <c r="A169" s="64" t="inlineStr">
        <is>
          <t>SU003068</t>
        </is>
      </c>
      <c r="B169" s="64" t="inlineStr">
        <is>
          <t>P003611</t>
        </is>
      </c>
      <c r="C169" s="37" t="n">
        <v>4301020262</v>
      </c>
      <c r="D169" s="401" t="n">
        <v>4680115882935</v>
      </c>
      <c r="E169" s="791" t="n"/>
      <c r="F169" s="825" t="n">
        <v>1.35</v>
      </c>
      <c r="G169" s="38" t="n">
        <v>8</v>
      </c>
      <c r="H169" s="825" t="n">
        <v>10.8</v>
      </c>
      <c r="I169" s="825" t="n">
        <v>11.28</v>
      </c>
      <c r="J169" s="38" t="n">
        <v>56</v>
      </c>
      <c r="K169" s="38" t="inlineStr">
        <is>
          <t>8</t>
        </is>
      </c>
      <c r="L169" s="39" t="inlineStr">
        <is>
          <t>СК3</t>
        </is>
      </c>
      <c r="M169" s="39" t="n"/>
      <c r="N169" s="38" t="n">
        <v>50</v>
      </c>
      <c r="O169" s="923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P169" s="827" t="n"/>
      <c r="Q169" s="827" t="n"/>
      <c r="R169" s="827" t="n"/>
      <c r="S169" s="791" t="n"/>
      <c r="T169" s="40" t="inlineStr"/>
      <c r="U169" s="40" t="inlineStr"/>
      <c r="V169" s="41" t="inlineStr">
        <is>
          <t>кг</t>
        </is>
      </c>
      <c r="W169" s="828" t="n">
        <v>0</v>
      </c>
      <c r="X169" s="829">
        <f>IFERROR(IF(W169="",0,CEILING((W169/$H169),1)*$H169),"")</f>
        <v/>
      </c>
      <c r="Y169" s="42">
        <f>IFERROR(IF(X169=0,"",ROUNDUP(X169/H169,0)*0.02175),"")</f>
        <v/>
      </c>
      <c r="Z169" s="69" t="inlineStr"/>
      <c r="AA169" s="70" t="inlineStr"/>
      <c r="AE169" s="80" t="n"/>
      <c r="BB169" s="171" t="inlineStr">
        <is>
          <t>КИ</t>
        </is>
      </c>
      <c r="BL169" s="80">
        <f>IFERROR(W169*I169/H169,"0")</f>
        <v/>
      </c>
      <c r="BM169" s="80">
        <f>IFERROR(X169*I169/H169,"0")</f>
        <v/>
      </c>
      <c r="BN169" s="80">
        <f>IFERROR(1/J169*(W169/H169),"0")</f>
        <v/>
      </c>
      <c r="BO169" s="80">
        <f>IFERROR(1/J169*(X169/H169),"0")</f>
        <v/>
      </c>
    </row>
    <row r="170" ht="16.5" customHeight="1">
      <c r="A170" s="64" t="inlineStr">
        <is>
          <t>SU002757</t>
        </is>
      </c>
      <c r="B170" s="64" t="inlineStr">
        <is>
          <t>P003128</t>
        </is>
      </c>
      <c r="C170" s="37" t="n">
        <v>4301020220</v>
      </c>
      <c r="D170" s="401" t="n">
        <v>4680115880764</v>
      </c>
      <c r="E170" s="791" t="n"/>
      <c r="F170" s="825" t="n">
        <v>0.35</v>
      </c>
      <c r="G170" s="38" t="n">
        <v>6</v>
      </c>
      <c r="H170" s="825" t="n">
        <v>2.1</v>
      </c>
      <c r="I170" s="825" t="n">
        <v>2.3</v>
      </c>
      <c r="J170" s="38" t="n">
        <v>156</v>
      </c>
      <c r="K170" s="38" t="inlineStr">
        <is>
          <t>12</t>
        </is>
      </c>
      <c r="L170" s="39" t="inlineStr">
        <is>
          <t>СК1</t>
        </is>
      </c>
      <c r="M170" s="39" t="n"/>
      <c r="N170" s="38" t="n">
        <v>50</v>
      </c>
      <c r="O170" s="92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P170" s="827" t="n"/>
      <c r="Q170" s="827" t="n"/>
      <c r="R170" s="827" t="n"/>
      <c r="S170" s="791" t="n"/>
      <c r="T170" s="40" t="inlineStr"/>
      <c r="U170" s="40" t="inlineStr"/>
      <c r="V170" s="41" t="inlineStr">
        <is>
          <t>кг</t>
        </is>
      </c>
      <c r="W170" s="828" t="n">
        <v>0</v>
      </c>
      <c r="X170" s="829">
        <f>IFERROR(IF(W170="",0,CEILING((W170/$H170),1)*$H170),"")</f>
        <v/>
      </c>
      <c r="Y170" s="42">
        <f>IFERROR(IF(X170=0,"",ROUNDUP(X170/H170,0)*0.00753),"")</f>
        <v/>
      </c>
      <c r="Z170" s="69" t="inlineStr"/>
      <c r="AA170" s="70" t="inlineStr"/>
      <c r="AE170" s="80" t="n"/>
      <c r="BB170" s="172" t="inlineStr">
        <is>
          <t>КИ</t>
        </is>
      </c>
      <c r="BL170" s="80">
        <f>IFERROR(W170*I170/H170,"0")</f>
        <v/>
      </c>
      <c r="BM170" s="80">
        <f>IFERROR(X170*I170/H170,"0")</f>
        <v/>
      </c>
      <c r="BN170" s="80">
        <f>IFERROR(1/J170*(W170/H170),"0")</f>
        <v/>
      </c>
      <c r="BO170" s="80">
        <f>IFERROR(1/J170*(X170/H170),"0")</f>
        <v/>
      </c>
    </row>
    <row r="171">
      <c r="A171" s="408" t="n"/>
      <c r="B171" s="398" t="n"/>
      <c r="C171" s="398" t="n"/>
      <c r="D171" s="398" t="n"/>
      <c r="E171" s="398" t="n"/>
      <c r="F171" s="398" t="n"/>
      <c r="G171" s="398" t="n"/>
      <c r="H171" s="398" t="n"/>
      <c r="I171" s="398" t="n"/>
      <c r="J171" s="398" t="n"/>
      <c r="K171" s="398" t="n"/>
      <c r="L171" s="398" t="n"/>
      <c r="M171" s="398" t="n"/>
      <c r="N171" s="831" t="n"/>
      <c r="O171" s="832" t="inlineStr">
        <is>
          <t>Итого</t>
        </is>
      </c>
      <c r="P171" s="799" t="n"/>
      <c r="Q171" s="799" t="n"/>
      <c r="R171" s="799" t="n"/>
      <c r="S171" s="799" t="n"/>
      <c r="T171" s="799" t="n"/>
      <c r="U171" s="800" t="n"/>
      <c r="V171" s="43" t="inlineStr">
        <is>
          <t>кор</t>
        </is>
      </c>
      <c r="W171" s="833">
        <f>IFERROR(W169/H169,"0")+IFERROR(W170/H170,"0")</f>
        <v/>
      </c>
      <c r="X171" s="833">
        <f>IFERROR(X169/H169,"0")+IFERROR(X170/H170,"0")</f>
        <v/>
      </c>
      <c r="Y171" s="833">
        <f>IFERROR(IF(Y169="",0,Y169),"0")+IFERROR(IF(Y170="",0,Y170),"0")</f>
        <v/>
      </c>
      <c r="Z171" s="834" t="n"/>
      <c r="AA171" s="834" t="n"/>
    </row>
    <row r="172">
      <c r="A172" s="398" t="n"/>
      <c r="B172" s="398" t="n"/>
      <c r="C172" s="398" t="n"/>
      <c r="D172" s="398" t="n"/>
      <c r="E172" s="398" t="n"/>
      <c r="F172" s="398" t="n"/>
      <c r="G172" s="398" t="n"/>
      <c r="H172" s="398" t="n"/>
      <c r="I172" s="398" t="n"/>
      <c r="J172" s="398" t="n"/>
      <c r="K172" s="398" t="n"/>
      <c r="L172" s="398" t="n"/>
      <c r="M172" s="398" t="n"/>
      <c r="N172" s="831" t="n"/>
      <c r="O172" s="832" t="inlineStr">
        <is>
          <t>Итого</t>
        </is>
      </c>
      <c r="P172" s="799" t="n"/>
      <c r="Q172" s="799" t="n"/>
      <c r="R172" s="799" t="n"/>
      <c r="S172" s="799" t="n"/>
      <c r="T172" s="799" t="n"/>
      <c r="U172" s="800" t="n"/>
      <c r="V172" s="43" t="inlineStr">
        <is>
          <t>кг</t>
        </is>
      </c>
      <c r="W172" s="833">
        <f>IFERROR(SUM(W169:W170),"0")</f>
        <v/>
      </c>
      <c r="X172" s="833">
        <f>IFERROR(SUM(X169:X170),"0")</f>
        <v/>
      </c>
      <c r="Y172" s="43" t="n"/>
      <c r="Z172" s="834" t="n"/>
      <c r="AA172" s="834" t="n"/>
    </row>
    <row r="173" ht="14.25" customHeight="1">
      <c r="A173" s="409" t="inlineStr">
        <is>
          <t>Копченые колбасы</t>
        </is>
      </c>
      <c r="B173" s="398" t="n"/>
      <c r="C173" s="398" t="n"/>
      <c r="D173" s="398" t="n"/>
      <c r="E173" s="398" t="n"/>
      <c r="F173" s="398" t="n"/>
      <c r="G173" s="398" t="n"/>
      <c r="H173" s="398" t="n"/>
      <c r="I173" s="398" t="n"/>
      <c r="J173" s="398" t="n"/>
      <c r="K173" s="398" t="n"/>
      <c r="L173" s="398" t="n"/>
      <c r="M173" s="398" t="n"/>
      <c r="N173" s="398" t="n"/>
      <c r="O173" s="398" t="n"/>
      <c r="P173" s="398" t="n"/>
      <c r="Q173" s="398" t="n"/>
      <c r="R173" s="398" t="n"/>
      <c r="S173" s="398" t="n"/>
      <c r="T173" s="398" t="n"/>
      <c r="U173" s="398" t="n"/>
      <c r="V173" s="398" t="n"/>
      <c r="W173" s="398" t="n"/>
      <c r="X173" s="398" t="n"/>
      <c r="Y173" s="398" t="n"/>
      <c r="Z173" s="409" t="n"/>
      <c r="AA173" s="409" t="n"/>
    </row>
    <row r="174" ht="27" customHeight="1">
      <c r="A174" s="64" t="inlineStr">
        <is>
          <t>SU002941</t>
        </is>
      </c>
      <c r="B174" s="64" t="inlineStr">
        <is>
          <t>P003387</t>
        </is>
      </c>
      <c r="C174" s="37" t="n">
        <v>4301031224</v>
      </c>
      <c r="D174" s="401" t="n">
        <v>4680115882683</v>
      </c>
      <c r="E174" s="791" t="n"/>
      <c r="F174" s="825" t="n">
        <v>0.9</v>
      </c>
      <c r="G174" s="38" t="n">
        <v>6</v>
      </c>
      <c r="H174" s="825" t="n">
        <v>5.4</v>
      </c>
      <c r="I174" s="825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9" t="n"/>
      <c r="N174" s="38" t="n">
        <v>40</v>
      </c>
      <c r="O174" s="92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P174" s="827" t="n"/>
      <c r="Q174" s="827" t="n"/>
      <c r="R174" s="827" t="n"/>
      <c r="S174" s="791" t="n"/>
      <c r="T174" s="40" t="inlineStr"/>
      <c r="U174" s="40" t="inlineStr"/>
      <c r="V174" s="41" t="inlineStr">
        <is>
          <t>кг</t>
        </is>
      </c>
      <c r="W174" s="828" t="n">
        <v>150</v>
      </c>
      <c r="X174" s="829">
        <f>IFERROR(IF(W174="",0,CEILING((W174/$H174),1)*$H174),"")</f>
        <v/>
      </c>
      <c r="Y174" s="42">
        <f>IFERROR(IF(X174=0,"",ROUNDUP(X174/H174,0)*0.00937),"")</f>
        <v/>
      </c>
      <c r="Z174" s="69" t="inlineStr"/>
      <c r="AA174" s="70" t="inlineStr"/>
      <c r="AE174" s="80" t="n"/>
      <c r="BB174" s="173" t="inlineStr">
        <is>
          <t>КИ</t>
        </is>
      </c>
      <c r="BL174" s="80">
        <f>IFERROR(W174*I174/H174,"0")</f>
        <v/>
      </c>
      <c r="BM174" s="80">
        <f>IFERROR(X174*I174/H174,"0")</f>
        <v/>
      </c>
      <c r="BN174" s="80">
        <f>IFERROR(1/J174*(W174/H174),"0")</f>
        <v/>
      </c>
      <c r="BO174" s="80">
        <f>IFERROR(1/J174*(X174/H174),"0")</f>
        <v/>
      </c>
    </row>
    <row r="175" ht="27" customHeight="1">
      <c r="A175" s="64" t="inlineStr">
        <is>
          <t>SU002943</t>
        </is>
      </c>
      <c r="B175" s="64" t="inlineStr">
        <is>
          <t>P003401</t>
        </is>
      </c>
      <c r="C175" s="37" t="n">
        <v>4301031230</v>
      </c>
      <c r="D175" s="401" t="n">
        <v>4680115882690</v>
      </c>
      <c r="E175" s="791" t="n"/>
      <c r="F175" s="825" t="n">
        <v>0.9</v>
      </c>
      <c r="G175" s="38" t="n">
        <v>6</v>
      </c>
      <c r="H175" s="825" t="n">
        <v>5.4</v>
      </c>
      <c r="I175" s="825" t="n">
        <v>5.61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9" t="n"/>
      <c r="N175" s="38" t="n">
        <v>40</v>
      </c>
      <c r="O175" s="92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P175" s="827" t="n"/>
      <c r="Q175" s="827" t="n"/>
      <c r="R175" s="827" t="n"/>
      <c r="S175" s="791" t="n"/>
      <c r="T175" s="40" t="inlineStr"/>
      <c r="U175" s="40" t="inlineStr"/>
      <c r="V175" s="41" t="inlineStr">
        <is>
          <t>кг</t>
        </is>
      </c>
      <c r="W175" s="828" t="n">
        <v>80</v>
      </c>
      <c r="X175" s="829">
        <f>IFERROR(IF(W175="",0,CEILING((W175/$H175),1)*$H175),"")</f>
        <v/>
      </c>
      <c r="Y175" s="42">
        <f>IFERROR(IF(X175=0,"",ROUNDUP(X175/H175,0)*0.00937),"")</f>
        <v/>
      </c>
      <c r="Z175" s="69" t="inlineStr"/>
      <c r="AA175" s="70" t="inlineStr"/>
      <c r="AE175" s="80" t="n"/>
      <c r="BB175" s="174" t="inlineStr">
        <is>
          <t>КИ</t>
        </is>
      </c>
      <c r="BL175" s="80">
        <f>IFERROR(W175*I175/H175,"0")</f>
        <v/>
      </c>
      <c r="BM175" s="80">
        <f>IFERROR(X175*I175/H175,"0")</f>
        <v/>
      </c>
      <c r="BN175" s="80">
        <f>IFERROR(1/J175*(W175/H175),"0")</f>
        <v/>
      </c>
      <c r="BO175" s="80">
        <f>IFERROR(1/J175*(X175/H175),"0")</f>
        <v/>
      </c>
    </row>
    <row r="176" ht="27" customHeight="1">
      <c r="A176" s="64" t="inlineStr">
        <is>
          <t>SU002945</t>
        </is>
      </c>
      <c r="B176" s="64" t="inlineStr">
        <is>
          <t>P003383</t>
        </is>
      </c>
      <c r="C176" s="37" t="n">
        <v>4301031220</v>
      </c>
      <c r="D176" s="401" t="n">
        <v>4680115882669</v>
      </c>
      <c r="E176" s="791" t="n"/>
      <c r="F176" s="825" t="n">
        <v>0.9</v>
      </c>
      <c r="G176" s="38" t="n">
        <v>6</v>
      </c>
      <c r="H176" s="825" t="n">
        <v>5.4</v>
      </c>
      <c r="I176" s="825" t="n">
        <v>5.61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9" t="n"/>
      <c r="N176" s="38" t="n">
        <v>40</v>
      </c>
      <c r="O176" s="92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P176" s="827" t="n"/>
      <c r="Q176" s="827" t="n"/>
      <c r="R176" s="827" t="n"/>
      <c r="S176" s="791" t="n"/>
      <c r="T176" s="40" t="inlineStr"/>
      <c r="U176" s="40" t="inlineStr"/>
      <c r="V176" s="41" t="inlineStr">
        <is>
          <t>кг</t>
        </is>
      </c>
      <c r="W176" s="828" t="n">
        <v>160</v>
      </c>
      <c r="X176" s="829">
        <f>IFERROR(IF(W176="",0,CEILING((W176/$H176),1)*$H176),"")</f>
        <v/>
      </c>
      <c r="Y176" s="42">
        <f>IFERROR(IF(X176=0,"",ROUNDUP(X176/H176,0)*0.00937),"")</f>
        <v/>
      </c>
      <c r="Z176" s="69" t="inlineStr"/>
      <c r="AA176" s="70" t="inlineStr"/>
      <c r="AE176" s="80" t="n"/>
      <c r="BB176" s="175" t="inlineStr">
        <is>
          <t>КИ</t>
        </is>
      </c>
      <c r="BL176" s="80">
        <f>IFERROR(W176*I176/H176,"0")</f>
        <v/>
      </c>
      <c r="BM176" s="80">
        <f>IFERROR(X176*I176/H176,"0")</f>
        <v/>
      </c>
      <c r="BN176" s="80">
        <f>IFERROR(1/J176*(W176/H176),"0")</f>
        <v/>
      </c>
      <c r="BO176" s="80">
        <f>IFERROR(1/J176*(X176/H176),"0")</f>
        <v/>
      </c>
    </row>
    <row r="177" ht="27" customHeight="1">
      <c r="A177" s="64" t="inlineStr">
        <is>
          <t>SU002947</t>
        </is>
      </c>
      <c r="B177" s="64" t="inlineStr">
        <is>
          <t>P003384</t>
        </is>
      </c>
      <c r="C177" s="37" t="n">
        <v>4301031221</v>
      </c>
      <c r="D177" s="401" t="n">
        <v>4680115882676</v>
      </c>
      <c r="E177" s="791" t="n"/>
      <c r="F177" s="825" t="n">
        <v>0.9</v>
      </c>
      <c r="G177" s="38" t="n">
        <v>6</v>
      </c>
      <c r="H177" s="825" t="n">
        <v>5.4</v>
      </c>
      <c r="I177" s="825" t="n">
        <v>5.61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9" t="n"/>
      <c r="N177" s="38" t="n">
        <v>40</v>
      </c>
      <c r="O177" s="92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P177" s="827" t="n"/>
      <c r="Q177" s="827" t="n"/>
      <c r="R177" s="827" t="n"/>
      <c r="S177" s="791" t="n"/>
      <c r="T177" s="40" t="inlineStr"/>
      <c r="U177" s="40" t="inlineStr"/>
      <c r="V177" s="41" t="inlineStr">
        <is>
          <t>кг</t>
        </is>
      </c>
      <c r="W177" s="828" t="n">
        <v>110</v>
      </c>
      <c r="X177" s="829">
        <f>IFERROR(IF(W177="",0,CEILING((W177/$H177),1)*$H177),"")</f>
        <v/>
      </c>
      <c r="Y177" s="42">
        <f>IFERROR(IF(X177=0,"",ROUNDUP(X177/H177,0)*0.00937),"")</f>
        <v/>
      </c>
      <c r="Z177" s="69" t="inlineStr"/>
      <c r="AA177" s="70" t="inlineStr"/>
      <c r="AE177" s="80" t="n"/>
      <c r="BB177" s="176" t="inlineStr">
        <is>
          <t>КИ</t>
        </is>
      </c>
      <c r="BL177" s="80">
        <f>IFERROR(W177*I177/H177,"0")</f>
        <v/>
      </c>
      <c r="BM177" s="80">
        <f>IFERROR(X177*I177/H177,"0")</f>
        <v/>
      </c>
      <c r="BN177" s="80">
        <f>IFERROR(1/J177*(W177/H177),"0")</f>
        <v/>
      </c>
      <c r="BO177" s="80">
        <f>IFERROR(1/J177*(X177/H177),"0")</f>
        <v/>
      </c>
    </row>
    <row r="178" ht="27" customHeight="1">
      <c r="A178" s="64" t="inlineStr">
        <is>
          <t>SU002944</t>
        </is>
      </c>
      <c r="B178" s="64" t="inlineStr">
        <is>
          <t>P003386</t>
        </is>
      </c>
      <c r="C178" s="37" t="n">
        <v>4301031223</v>
      </c>
      <c r="D178" s="401" t="n">
        <v>4680115884014</v>
      </c>
      <c r="E178" s="791" t="n"/>
      <c r="F178" s="825" t="n">
        <v>0.3</v>
      </c>
      <c r="G178" s="38" t="n">
        <v>6</v>
      </c>
      <c r="H178" s="825" t="n">
        <v>1.8</v>
      </c>
      <c r="I178" s="825" t="n">
        <v>1.93</v>
      </c>
      <c r="J178" s="38" t="n">
        <v>234</v>
      </c>
      <c r="K178" s="38" t="inlineStr">
        <is>
          <t>18</t>
        </is>
      </c>
      <c r="L178" s="39" t="inlineStr">
        <is>
          <t>СК2</t>
        </is>
      </c>
      <c r="M178" s="39" t="n"/>
      <c r="N178" s="38" t="n">
        <v>40</v>
      </c>
      <c r="O178" s="929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P178" s="827" t="n"/>
      <c r="Q178" s="827" t="n"/>
      <c r="R178" s="827" t="n"/>
      <c r="S178" s="791" t="n"/>
      <c r="T178" s="40" t="inlineStr"/>
      <c r="U178" s="40" t="inlineStr"/>
      <c r="V178" s="41" t="inlineStr">
        <is>
          <t>кг</t>
        </is>
      </c>
      <c r="W178" s="828" t="n">
        <v>0</v>
      </c>
      <c r="X178" s="829">
        <f>IFERROR(IF(W178="",0,CEILING((W178/$H178),1)*$H178),"")</f>
        <v/>
      </c>
      <c r="Y178" s="42">
        <f>IFERROR(IF(X178=0,"",ROUNDUP(X178/H178,0)*0.00502),"")</f>
        <v/>
      </c>
      <c r="Z178" s="69" t="inlineStr"/>
      <c r="AA178" s="70" t="inlineStr"/>
      <c r="AE178" s="80" t="n"/>
      <c r="BB178" s="177" t="inlineStr">
        <is>
          <t>КИ</t>
        </is>
      </c>
      <c r="BL178" s="80">
        <f>IFERROR(W178*I178/H178,"0")</f>
        <v/>
      </c>
      <c r="BM178" s="80">
        <f>IFERROR(X178*I178/H178,"0")</f>
        <v/>
      </c>
      <c r="BN178" s="80">
        <f>IFERROR(1/J178*(W178/H178),"0")</f>
        <v/>
      </c>
      <c r="BO178" s="80">
        <f>IFERROR(1/J178*(X178/H178),"0")</f>
        <v/>
      </c>
    </row>
    <row r="179" ht="27" customHeight="1">
      <c r="A179" s="64" t="inlineStr">
        <is>
          <t>SU002942</t>
        </is>
      </c>
      <c r="B179" s="64" t="inlineStr">
        <is>
          <t>P003385</t>
        </is>
      </c>
      <c r="C179" s="37" t="n">
        <v>4301031222</v>
      </c>
      <c r="D179" s="401" t="n">
        <v>4680115884007</v>
      </c>
      <c r="E179" s="791" t="n"/>
      <c r="F179" s="825" t="n">
        <v>0.3</v>
      </c>
      <c r="G179" s="38" t="n">
        <v>6</v>
      </c>
      <c r="H179" s="825" t="n">
        <v>1.8</v>
      </c>
      <c r="I179" s="825" t="n">
        <v>1.9</v>
      </c>
      <c r="J179" s="38" t="n">
        <v>234</v>
      </c>
      <c r="K179" s="38" t="inlineStr">
        <is>
          <t>18</t>
        </is>
      </c>
      <c r="L179" s="39" t="inlineStr">
        <is>
          <t>СК2</t>
        </is>
      </c>
      <c r="M179" s="39" t="n"/>
      <c r="N179" s="38" t="n">
        <v>40</v>
      </c>
      <c r="O179" s="930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P179" s="827" t="n"/>
      <c r="Q179" s="827" t="n"/>
      <c r="R179" s="827" t="n"/>
      <c r="S179" s="791" t="n"/>
      <c r="T179" s="40" t="inlineStr"/>
      <c r="U179" s="40" t="inlineStr"/>
      <c r="V179" s="41" t="inlineStr">
        <is>
          <t>кг</t>
        </is>
      </c>
      <c r="W179" s="828" t="n">
        <v>0</v>
      </c>
      <c r="X179" s="829">
        <f>IFERROR(IF(W179="",0,CEILING((W179/$H179),1)*$H179),"")</f>
        <v/>
      </c>
      <c r="Y179" s="42">
        <f>IFERROR(IF(X179=0,"",ROUNDUP(X179/H179,0)*0.00502),"")</f>
        <v/>
      </c>
      <c r="Z179" s="69" t="inlineStr"/>
      <c r="AA179" s="70" t="inlineStr"/>
      <c r="AE179" s="80" t="n"/>
      <c r="BB179" s="178" t="inlineStr">
        <is>
          <t>КИ</t>
        </is>
      </c>
      <c r="BL179" s="80">
        <f>IFERROR(W179*I179/H179,"0")</f>
        <v/>
      </c>
      <c r="BM179" s="80">
        <f>IFERROR(X179*I179/H179,"0")</f>
        <v/>
      </c>
      <c r="BN179" s="80">
        <f>IFERROR(1/J179*(W179/H179),"0")</f>
        <v/>
      </c>
      <c r="BO179" s="80">
        <f>IFERROR(1/J179*(X179/H179),"0")</f>
        <v/>
      </c>
    </row>
    <row r="180" ht="27" customHeight="1">
      <c r="A180" s="64" t="inlineStr">
        <is>
          <t>SU002946</t>
        </is>
      </c>
      <c r="B180" s="64" t="inlineStr">
        <is>
          <t>P003400</t>
        </is>
      </c>
      <c r="C180" s="37" t="n">
        <v>4301031229</v>
      </c>
      <c r="D180" s="401" t="n">
        <v>4680115884038</v>
      </c>
      <c r="E180" s="791" t="n"/>
      <c r="F180" s="825" t="n">
        <v>0.3</v>
      </c>
      <c r="G180" s="38" t="n">
        <v>6</v>
      </c>
      <c r="H180" s="825" t="n">
        <v>1.8</v>
      </c>
      <c r="I180" s="825" t="n">
        <v>1.9</v>
      </c>
      <c r="J180" s="38" t="n">
        <v>234</v>
      </c>
      <c r="K180" s="38" t="inlineStr">
        <is>
          <t>18</t>
        </is>
      </c>
      <c r="L180" s="39" t="inlineStr">
        <is>
          <t>СК2</t>
        </is>
      </c>
      <c r="M180" s="39" t="n"/>
      <c r="N180" s="38" t="n">
        <v>40</v>
      </c>
      <c r="O180" s="931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P180" s="827" t="n"/>
      <c r="Q180" s="827" t="n"/>
      <c r="R180" s="827" t="n"/>
      <c r="S180" s="791" t="n"/>
      <c r="T180" s="40" t="inlineStr"/>
      <c r="U180" s="40" t="inlineStr"/>
      <c r="V180" s="41" t="inlineStr">
        <is>
          <t>кг</t>
        </is>
      </c>
      <c r="W180" s="828" t="n">
        <v>0</v>
      </c>
      <c r="X180" s="829">
        <f>IFERROR(IF(W180="",0,CEILING((W180/$H180),1)*$H180),"")</f>
        <v/>
      </c>
      <c r="Y180" s="42">
        <f>IFERROR(IF(X180=0,"",ROUNDUP(X180/H180,0)*0.00502),"")</f>
        <v/>
      </c>
      <c r="Z180" s="69" t="inlineStr"/>
      <c r="AA180" s="70" t="inlineStr"/>
      <c r="AE180" s="80" t="n"/>
      <c r="BB180" s="179" t="inlineStr">
        <is>
          <t>КИ</t>
        </is>
      </c>
      <c r="BL180" s="80">
        <f>IFERROR(W180*I180/H180,"0")</f>
        <v/>
      </c>
      <c r="BM180" s="80">
        <f>IFERROR(X180*I180/H180,"0")</f>
        <v/>
      </c>
      <c r="BN180" s="80">
        <f>IFERROR(1/J180*(W180/H180),"0")</f>
        <v/>
      </c>
      <c r="BO180" s="80">
        <f>IFERROR(1/J180*(X180/H180),"0")</f>
        <v/>
      </c>
    </row>
    <row r="181" ht="27" customHeight="1">
      <c r="A181" s="64" t="inlineStr">
        <is>
          <t>SU002948</t>
        </is>
      </c>
      <c r="B181" s="64" t="inlineStr">
        <is>
          <t>P003390</t>
        </is>
      </c>
      <c r="C181" s="37" t="n">
        <v>4301031225</v>
      </c>
      <c r="D181" s="401" t="n">
        <v>4680115884021</v>
      </c>
      <c r="E181" s="791" t="n"/>
      <c r="F181" s="825" t="n">
        <v>0.3</v>
      </c>
      <c r="G181" s="38" t="n">
        <v>6</v>
      </c>
      <c r="H181" s="825" t="n">
        <v>1.8</v>
      </c>
      <c r="I181" s="825" t="n">
        <v>1.9</v>
      </c>
      <c r="J181" s="38" t="n">
        <v>234</v>
      </c>
      <c r="K181" s="38" t="inlineStr">
        <is>
          <t>18</t>
        </is>
      </c>
      <c r="L181" s="39" t="inlineStr">
        <is>
          <t>СК2</t>
        </is>
      </c>
      <c r="M181" s="39" t="n"/>
      <c r="N181" s="38" t="n">
        <v>40</v>
      </c>
      <c r="O181" s="932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P181" s="827" t="n"/>
      <c r="Q181" s="827" t="n"/>
      <c r="R181" s="827" t="n"/>
      <c r="S181" s="791" t="n"/>
      <c r="T181" s="40" t="inlineStr"/>
      <c r="U181" s="40" t="inlineStr"/>
      <c r="V181" s="41" t="inlineStr">
        <is>
          <t>кг</t>
        </is>
      </c>
      <c r="W181" s="828" t="n">
        <v>0</v>
      </c>
      <c r="X181" s="829">
        <f>IFERROR(IF(W181="",0,CEILING((W181/$H181),1)*$H181),"")</f>
        <v/>
      </c>
      <c r="Y181" s="42">
        <f>IFERROR(IF(X181=0,"",ROUNDUP(X181/H181,0)*0.00502),"")</f>
        <v/>
      </c>
      <c r="Z181" s="69" t="inlineStr"/>
      <c r="AA181" s="70" t="inlineStr"/>
      <c r="AE181" s="80" t="n"/>
      <c r="BB181" s="180" t="inlineStr">
        <is>
          <t>КИ</t>
        </is>
      </c>
      <c r="BL181" s="80">
        <f>IFERROR(W181*I181/H181,"0")</f>
        <v/>
      </c>
      <c r="BM181" s="80">
        <f>IFERROR(X181*I181/H181,"0")</f>
        <v/>
      </c>
      <c r="BN181" s="80">
        <f>IFERROR(1/J181*(W181/H181),"0")</f>
        <v/>
      </c>
      <c r="BO181" s="80">
        <f>IFERROR(1/J181*(X181/H181),"0")</f>
        <v/>
      </c>
    </row>
    <row r="182">
      <c r="A182" s="408" t="n"/>
      <c r="B182" s="398" t="n"/>
      <c r="C182" s="398" t="n"/>
      <c r="D182" s="398" t="n"/>
      <c r="E182" s="398" t="n"/>
      <c r="F182" s="398" t="n"/>
      <c r="G182" s="398" t="n"/>
      <c r="H182" s="398" t="n"/>
      <c r="I182" s="398" t="n"/>
      <c r="J182" s="398" t="n"/>
      <c r="K182" s="398" t="n"/>
      <c r="L182" s="398" t="n"/>
      <c r="M182" s="398" t="n"/>
      <c r="N182" s="831" t="n"/>
      <c r="O182" s="832" t="inlineStr">
        <is>
          <t>Итого</t>
        </is>
      </c>
      <c r="P182" s="799" t="n"/>
      <c r="Q182" s="799" t="n"/>
      <c r="R182" s="799" t="n"/>
      <c r="S182" s="799" t="n"/>
      <c r="T182" s="799" t="n"/>
      <c r="U182" s="800" t="n"/>
      <c r="V182" s="43" t="inlineStr">
        <is>
          <t>кор</t>
        </is>
      </c>
      <c r="W182" s="833">
        <f>IFERROR(W174/H174,"0")+IFERROR(W175/H175,"0")+IFERROR(W176/H176,"0")+IFERROR(W177/H177,"0")+IFERROR(W178/H178,"0")+IFERROR(W179/H179,"0")+IFERROR(W180/H180,"0")+IFERROR(W181/H181,"0")</f>
        <v/>
      </c>
      <c r="X182" s="833">
        <f>IFERROR(X174/H174,"0")+IFERROR(X175/H175,"0")+IFERROR(X176/H176,"0")+IFERROR(X177/H177,"0")+IFERROR(X178/H178,"0")+IFERROR(X179/H179,"0")+IFERROR(X180/H180,"0")+IFERROR(X181/H181,"0")</f>
        <v/>
      </c>
      <c r="Y182" s="833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/>
      </c>
      <c r="Z182" s="834" t="n"/>
      <c r="AA182" s="834" t="n"/>
    </row>
    <row r="183">
      <c r="A183" s="398" t="n"/>
      <c r="B183" s="398" t="n"/>
      <c r="C183" s="398" t="n"/>
      <c r="D183" s="398" t="n"/>
      <c r="E183" s="398" t="n"/>
      <c r="F183" s="398" t="n"/>
      <c r="G183" s="398" t="n"/>
      <c r="H183" s="398" t="n"/>
      <c r="I183" s="398" t="n"/>
      <c r="J183" s="398" t="n"/>
      <c r="K183" s="398" t="n"/>
      <c r="L183" s="398" t="n"/>
      <c r="M183" s="398" t="n"/>
      <c r="N183" s="831" t="n"/>
      <c r="O183" s="832" t="inlineStr">
        <is>
          <t>Итого</t>
        </is>
      </c>
      <c r="P183" s="799" t="n"/>
      <c r="Q183" s="799" t="n"/>
      <c r="R183" s="799" t="n"/>
      <c r="S183" s="799" t="n"/>
      <c r="T183" s="799" t="n"/>
      <c r="U183" s="800" t="n"/>
      <c r="V183" s="43" t="inlineStr">
        <is>
          <t>кг</t>
        </is>
      </c>
      <c r="W183" s="833">
        <f>IFERROR(SUM(W174:W181),"0")</f>
        <v/>
      </c>
      <c r="X183" s="833">
        <f>IFERROR(SUM(X174:X181),"0")</f>
        <v/>
      </c>
      <c r="Y183" s="43" t="n"/>
      <c r="Z183" s="834" t="n"/>
      <c r="AA183" s="834" t="n"/>
    </row>
    <row r="184" ht="14.25" customHeight="1">
      <c r="A184" s="409" t="inlineStr">
        <is>
          <t>Сосиски</t>
        </is>
      </c>
      <c r="B184" s="398" t="n"/>
      <c r="C184" s="398" t="n"/>
      <c r="D184" s="398" t="n"/>
      <c r="E184" s="398" t="n"/>
      <c r="F184" s="398" t="n"/>
      <c r="G184" s="398" t="n"/>
      <c r="H184" s="398" t="n"/>
      <c r="I184" s="398" t="n"/>
      <c r="J184" s="398" t="n"/>
      <c r="K184" s="398" t="n"/>
      <c r="L184" s="398" t="n"/>
      <c r="M184" s="398" t="n"/>
      <c r="N184" s="398" t="n"/>
      <c r="O184" s="398" t="n"/>
      <c r="P184" s="398" t="n"/>
      <c r="Q184" s="398" t="n"/>
      <c r="R184" s="398" t="n"/>
      <c r="S184" s="398" t="n"/>
      <c r="T184" s="398" t="n"/>
      <c r="U184" s="398" t="n"/>
      <c r="V184" s="398" t="n"/>
      <c r="W184" s="398" t="n"/>
      <c r="X184" s="398" t="n"/>
      <c r="Y184" s="398" t="n"/>
      <c r="Z184" s="409" t="n"/>
      <c r="AA184" s="409" t="n"/>
    </row>
    <row r="185" ht="27" customHeight="1">
      <c r="A185" s="64" t="inlineStr">
        <is>
          <t>SU002857</t>
        </is>
      </c>
      <c r="B185" s="64" t="inlineStr">
        <is>
          <t>P003264</t>
        </is>
      </c>
      <c r="C185" s="37" t="n">
        <v>4301051409</v>
      </c>
      <c r="D185" s="401" t="n">
        <v>4680115881556</v>
      </c>
      <c r="E185" s="791" t="n"/>
      <c r="F185" s="825" t="n">
        <v>1</v>
      </c>
      <c r="G185" s="38" t="n">
        <v>4</v>
      </c>
      <c r="H185" s="825" t="n">
        <v>4</v>
      </c>
      <c r="I185" s="825" t="n">
        <v>4.408</v>
      </c>
      <c r="J185" s="38" t="n">
        <v>104</v>
      </c>
      <c r="K185" s="38" t="inlineStr">
        <is>
          <t>8</t>
        </is>
      </c>
      <c r="L185" s="39" t="inlineStr">
        <is>
          <t>СК3</t>
        </is>
      </c>
      <c r="M185" s="39" t="n"/>
      <c r="N185" s="38" t="n">
        <v>45</v>
      </c>
      <c r="O185" s="933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P185" s="827" t="n"/>
      <c r="Q185" s="827" t="n"/>
      <c r="R185" s="827" t="n"/>
      <c r="S185" s="791" t="n"/>
      <c r="T185" s="40" t="inlineStr"/>
      <c r="U185" s="40" t="inlineStr"/>
      <c r="V185" s="41" t="inlineStr">
        <is>
          <t>кг</t>
        </is>
      </c>
      <c r="W185" s="828" t="n">
        <v>0</v>
      </c>
      <c r="X185" s="829">
        <f>IFERROR(IF(W185="",0,CEILING((W185/$H185),1)*$H185),"")</f>
        <v/>
      </c>
      <c r="Y185" s="42">
        <f>IFERROR(IF(X185=0,"",ROUNDUP(X185/H185,0)*0.01196),"")</f>
        <v/>
      </c>
      <c r="Z185" s="69" t="inlineStr"/>
      <c r="AA185" s="70" t="inlineStr"/>
      <c r="AE185" s="80" t="n"/>
      <c r="BB185" s="181" t="inlineStr">
        <is>
          <t>КИ</t>
        </is>
      </c>
      <c r="BL185" s="80">
        <f>IFERROR(W185*I185/H185,"0")</f>
        <v/>
      </c>
      <c r="BM185" s="80">
        <f>IFERROR(X185*I185/H185,"0")</f>
        <v/>
      </c>
      <c r="BN185" s="80">
        <f>IFERROR(1/J185*(W185/H185),"0")</f>
        <v/>
      </c>
      <c r="BO185" s="80">
        <f>IFERROR(1/J185*(X185/H185),"0")</f>
        <v/>
      </c>
    </row>
    <row r="186" ht="27" customHeight="1">
      <c r="A186" s="64" t="inlineStr">
        <is>
          <t>SU002843</t>
        </is>
      </c>
      <c r="B186" s="64" t="inlineStr">
        <is>
          <t>P003263</t>
        </is>
      </c>
      <c r="C186" s="37" t="n">
        <v>4301051408</v>
      </c>
      <c r="D186" s="401" t="n">
        <v>4680115881594</v>
      </c>
      <c r="E186" s="791" t="n"/>
      <c r="F186" s="825" t="n">
        <v>1.35</v>
      </c>
      <c r="G186" s="38" t="n">
        <v>6</v>
      </c>
      <c r="H186" s="825" t="n">
        <v>8.1</v>
      </c>
      <c r="I186" s="825" t="n">
        <v>8.664</v>
      </c>
      <c r="J186" s="38" t="n">
        <v>56</v>
      </c>
      <c r="K186" s="38" t="inlineStr">
        <is>
          <t>8</t>
        </is>
      </c>
      <c r="L186" s="39" t="inlineStr">
        <is>
          <t>СК3</t>
        </is>
      </c>
      <c r="M186" s="39" t="n"/>
      <c r="N186" s="38" t="n">
        <v>40</v>
      </c>
      <c r="O186" s="934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P186" s="827" t="n"/>
      <c r="Q186" s="827" t="n"/>
      <c r="R186" s="827" t="n"/>
      <c r="S186" s="791" t="n"/>
      <c r="T186" s="40" t="inlineStr"/>
      <c r="U186" s="40" t="inlineStr"/>
      <c r="V186" s="41" t="inlineStr">
        <is>
          <t>кг</t>
        </is>
      </c>
      <c r="W186" s="828" t="n">
        <v>0</v>
      </c>
      <c r="X186" s="829">
        <f>IFERROR(IF(W186="",0,CEILING((W186/$H186),1)*$H186),"")</f>
        <v/>
      </c>
      <c r="Y186" s="42">
        <f>IFERROR(IF(X186=0,"",ROUNDUP(X186/H186,0)*0.02175),"")</f>
        <v/>
      </c>
      <c r="Z186" s="69" t="inlineStr"/>
      <c r="AA186" s="70" t="inlineStr"/>
      <c r="AE186" s="80" t="n"/>
      <c r="BB186" s="182" t="inlineStr">
        <is>
          <t>КИ</t>
        </is>
      </c>
      <c r="BL186" s="80">
        <f>IFERROR(W186*I186/H186,"0")</f>
        <v/>
      </c>
      <c r="BM186" s="80">
        <f>IFERROR(X186*I186/H186,"0")</f>
        <v/>
      </c>
      <c r="BN186" s="80">
        <f>IFERROR(1/J186*(W186/H186),"0")</f>
        <v/>
      </c>
      <c r="BO186" s="80">
        <f>IFERROR(1/J186*(X186/H186),"0")</f>
        <v/>
      </c>
    </row>
    <row r="187" ht="27" customHeight="1">
      <c r="A187" s="64" t="inlineStr">
        <is>
          <t>SU002858</t>
        </is>
      </c>
      <c r="B187" s="64" t="inlineStr">
        <is>
          <t>P003581</t>
        </is>
      </c>
      <c r="C187" s="37" t="n">
        <v>4301051505</v>
      </c>
      <c r="D187" s="401" t="n">
        <v>4680115881587</v>
      </c>
      <c r="E187" s="791" t="n"/>
      <c r="F187" s="825" t="n">
        <v>1</v>
      </c>
      <c r="G187" s="38" t="n">
        <v>4</v>
      </c>
      <c r="H187" s="825" t="n">
        <v>4</v>
      </c>
      <c r="I187" s="825" t="n">
        <v>4.408</v>
      </c>
      <c r="J187" s="38" t="n">
        <v>104</v>
      </c>
      <c r="K187" s="38" t="inlineStr">
        <is>
          <t>8</t>
        </is>
      </c>
      <c r="L187" s="39" t="inlineStr">
        <is>
          <t>СК2</t>
        </is>
      </c>
      <c r="M187" s="39" t="n"/>
      <c r="N187" s="38" t="n">
        <v>40</v>
      </c>
      <c r="O187" s="935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P187" s="827" t="n"/>
      <c r="Q187" s="827" t="n"/>
      <c r="R187" s="827" t="n"/>
      <c r="S187" s="791" t="n"/>
      <c r="T187" s="40" t="inlineStr"/>
      <c r="U187" s="40" t="inlineStr"/>
      <c r="V187" s="41" t="inlineStr">
        <is>
          <t>кг</t>
        </is>
      </c>
      <c r="W187" s="828" t="n">
        <v>0</v>
      </c>
      <c r="X187" s="829">
        <f>IFERROR(IF(W187="",0,CEILING((W187/$H187),1)*$H187),"")</f>
        <v/>
      </c>
      <c r="Y187" s="42">
        <f>IFERROR(IF(X187=0,"",ROUNDUP(X187/H187,0)*0.01196),"")</f>
        <v/>
      </c>
      <c r="Z187" s="69" t="inlineStr"/>
      <c r="AA187" s="70" t="inlineStr"/>
      <c r="AE187" s="80" t="n"/>
      <c r="BB187" s="183" t="inlineStr">
        <is>
          <t>КИ</t>
        </is>
      </c>
      <c r="BL187" s="80">
        <f>IFERROR(W187*I187/H187,"0")</f>
        <v/>
      </c>
      <c r="BM187" s="80">
        <f>IFERROR(X187*I187/H187,"0")</f>
        <v/>
      </c>
      <c r="BN187" s="80">
        <f>IFERROR(1/J187*(W187/H187),"0")</f>
        <v/>
      </c>
      <c r="BO187" s="80">
        <f>IFERROR(1/J187*(X187/H187),"0")</f>
        <v/>
      </c>
    </row>
    <row r="188" ht="16.5" customHeight="1">
      <c r="A188" s="64" t="inlineStr">
        <is>
          <t>SU002795</t>
        </is>
      </c>
      <c r="B188" s="64" t="inlineStr">
        <is>
          <t>P004180</t>
        </is>
      </c>
      <c r="C188" s="37" t="n">
        <v>4301051754</v>
      </c>
      <c r="D188" s="401" t="n">
        <v>4680115880962</v>
      </c>
      <c r="E188" s="791" t="n"/>
      <c r="F188" s="825" t="n">
        <v>1.3</v>
      </c>
      <c r="G188" s="38" t="n">
        <v>6</v>
      </c>
      <c r="H188" s="825" t="n">
        <v>7.8</v>
      </c>
      <c r="I188" s="825" t="n">
        <v>8.364000000000001</v>
      </c>
      <c r="J188" s="38" t="n">
        <v>56</v>
      </c>
      <c r="K188" s="38" t="inlineStr">
        <is>
          <t>8</t>
        </is>
      </c>
      <c r="L188" s="39" t="inlineStr">
        <is>
          <t>СК2</t>
        </is>
      </c>
      <c r="M188" s="39" t="n"/>
      <c r="N188" s="38" t="n">
        <v>40</v>
      </c>
      <c r="O188" s="936" t="inlineStr">
        <is>
          <t>Сосиски Сочинки с сыром Бордо Весовой п/а Стародворье</t>
        </is>
      </c>
      <c r="P188" s="827" t="n"/>
      <c r="Q188" s="827" t="n"/>
      <c r="R188" s="827" t="n"/>
      <c r="S188" s="791" t="n"/>
      <c r="T188" s="40" t="inlineStr"/>
      <c r="U188" s="40" t="inlineStr"/>
      <c r="V188" s="41" t="inlineStr">
        <is>
          <t>кг</t>
        </is>
      </c>
      <c r="W188" s="828" t="n">
        <v>0</v>
      </c>
      <c r="X188" s="829">
        <f>IFERROR(IF(W188="",0,CEILING((W188/$H188),1)*$H188),"")</f>
        <v/>
      </c>
      <c r="Y188" s="42">
        <f>IFERROR(IF(X188=0,"",ROUNDUP(X188/H188,0)*0.02175),"")</f>
        <v/>
      </c>
      <c r="Z188" s="69" t="inlineStr"/>
      <c r="AA188" s="70" t="inlineStr"/>
      <c r="AE188" s="80" t="n"/>
      <c r="BB188" s="184" t="inlineStr">
        <is>
          <t>КИ</t>
        </is>
      </c>
      <c r="BL188" s="80">
        <f>IFERROR(W188*I188/H188,"0")</f>
        <v/>
      </c>
      <c r="BM188" s="80">
        <f>IFERROR(X188*I188/H188,"0")</f>
        <v/>
      </c>
      <c r="BN188" s="80">
        <f>IFERROR(1/J188*(W188/H188),"0")</f>
        <v/>
      </c>
      <c r="BO188" s="80">
        <f>IFERROR(1/J188*(X188/H188),"0")</f>
        <v/>
      </c>
    </row>
    <row r="189" ht="27" customHeight="1">
      <c r="A189" s="64" t="inlineStr">
        <is>
          <t>SU002845</t>
        </is>
      </c>
      <c r="B189" s="64" t="inlineStr">
        <is>
          <t>P003266</t>
        </is>
      </c>
      <c r="C189" s="37" t="n">
        <v>4301051411</v>
      </c>
      <c r="D189" s="401" t="n">
        <v>4680115881617</v>
      </c>
      <c r="E189" s="791" t="n"/>
      <c r="F189" s="825" t="n">
        <v>1.35</v>
      </c>
      <c r="G189" s="38" t="n">
        <v>6</v>
      </c>
      <c r="H189" s="825" t="n">
        <v>8.1</v>
      </c>
      <c r="I189" s="825" t="n">
        <v>8.646000000000001</v>
      </c>
      <c r="J189" s="38" t="n">
        <v>56</v>
      </c>
      <c r="K189" s="38" t="inlineStr">
        <is>
          <t>8</t>
        </is>
      </c>
      <c r="L189" s="39" t="inlineStr">
        <is>
          <t>СК3</t>
        </is>
      </c>
      <c r="M189" s="39" t="n"/>
      <c r="N189" s="38" t="n">
        <v>40</v>
      </c>
      <c r="O189" s="937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P189" s="827" t="n"/>
      <c r="Q189" s="827" t="n"/>
      <c r="R189" s="827" t="n"/>
      <c r="S189" s="791" t="n"/>
      <c r="T189" s="40" t="inlineStr"/>
      <c r="U189" s="40" t="inlineStr"/>
      <c r="V189" s="41" t="inlineStr">
        <is>
          <t>кг</t>
        </is>
      </c>
      <c r="W189" s="828" t="n">
        <v>0</v>
      </c>
      <c r="X189" s="829">
        <f>IFERROR(IF(W189="",0,CEILING((W189/$H189),1)*$H189),"")</f>
        <v/>
      </c>
      <c r="Y189" s="42">
        <f>IFERROR(IF(X189=0,"",ROUNDUP(X189/H189,0)*0.02175),"")</f>
        <v/>
      </c>
      <c r="Z189" s="69" t="inlineStr"/>
      <c r="AA189" s="70" t="inlineStr"/>
      <c r="AE189" s="80" t="n"/>
      <c r="BB189" s="185" t="inlineStr">
        <is>
          <t>КИ</t>
        </is>
      </c>
      <c r="BL189" s="80">
        <f>IFERROR(W189*I189/H189,"0")</f>
        <v/>
      </c>
      <c r="BM189" s="80">
        <f>IFERROR(X189*I189/H189,"0")</f>
        <v/>
      </c>
      <c r="BN189" s="80">
        <f>IFERROR(1/J189*(W189/H189),"0")</f>
        <v/>
      </c>
      <c r="BO189" s="80">
        <f>IFERROR(1/J189*(X189/H189),"0")</f>
        <v/>
      </c>
    </row>
    <row r="190" ht="16.5" customHeight="1">
      <c r="A190" s="64" t="inlineStr">
        <is>
          <t>SU002725</t>
        </is>
      </c>
      <c r="B190" s="64" t="inlineStr">
        <is>
          <t>P003959</t>
        </is>
      </c>
      <c r="C190" s="37" t="n">
        <v>4301051632</v>
      </c>
      <c r="D190" s="401" t="n">
        <v>4680115880573</v>
      </c>
      <c r="E190" s="791" t="n"/>
      <c r="F190" s="825" t="n">
        <v>1.45</v>
      </c>
      <c r="G190" s="38" t="n">
        <v>6</v>
      </c>
      <c r="H190" s="825" t="n">
        <v>8.699999999999999</v>
      </c>
      <c r="I190" s="825" t="n">
        <v>9.263999999999999</v>
      </c>
      <c r="J190" s="38" t="n">
        <v>56</v>
      </c>
      <c r="K190" s="38" t="inlineStr">
        <is>
          <t>8</t>
        </is>
      </c>
      <c r="L190" s="39" t="inlineStr">
        <is>
          <t>СК2</t>
        </is>
      </c>
      <c r="M190" s="39" t="n"/>
      <c r="N190" s="38" t="n">
        <v>45</v>
      </c>
      <c r="O190" s="938" t="inlineStr">
        <is>
          <t>Сосиски «Сочинки» Весовой п/а ТМ «Стародворье»</t>
        </is>
      </c>
      <c r="P190" s="827" t="n"/>
      <c r="Q190" s="827" t="n"/>
      <c r="R190" s="827" t="n"/>
      <c r="S190" s="791" t="n"/>
      <c r="T190" s="40" t="inlineStr"/>
      <c r="U190" s="40" t="inlineStr"/>
      <c r="V190" s="41" t="inlineStr">
        <is>
          <t>кг</t>
        </is>
      </c>
      <c r="W190" s="828" t="n">
        <v>150</v>
      </c>
      <c r="X190" s="829">
        <f>IFERROR(IF(W190="",0,CEILING((W190/$H190),1)*$H190),"")</f>
        <v/>
      </c>
      <c r="Y190" s="42">
        <f>IFERROR(IF(X190=0,"",ROUNDUP(X190/H190,0)*0.02175),"")</f>
        <v/>
      </c>
      <c r="Z190" s="69" t="inlineStr"/>
      <c r="AA190" s="70" t="inlineStr"/>
      <c r="AE190" s="80" t="n"/>
      <c r="BB190" s="186" t="inlineStr">
        <is>
          <t>КИ</t>
        </is>
      </c>
      <c r="BL190" s="80">
        <f>IFERROR(W190*I190/H190,"0")</f>
        <v/>
      </c>
      <c r="BM190" s="80">
        <f>IFERROR(X190*I190/H190,"0")</f>
        <v/>
      </c>
      <c r="BN190" s="80">
        <f>IFERROR(1/J190*(W190/H190),"0")</f>
        <v/>
      </c>
      <c r="BO190" s="80">
        <f>IFERROR(1/J190*(X190/H190),"0")</f>
        <v/>
      </c>
    </row>
    <row r="191" ht="27" customHeight="1">
      <c r="A191" s="64" t="inlineStr">
        <is>
          <t>SU002801</t>
        </is>
      </c>
      <c r="B191" s="64" t="inlineStr">
        <is>
          <t>P003475</t>
        </is>
      </c>
      <c r="C191" s="37" t="n">
        <v>4301051487</v>
      </c>
      <c r="D191" s="401" t="n">
        <v>4680115881228</v>
      </c>
      <c r="E191" s="791" t="n"/>
      <c r="F191" s="825" t="n">
        <v>0.4</v>
      </c>
      <c r="G191" s="38" t="n">
        <v>6</v>
      </c>
      <c r="H191" s="825" t="n">
        <v>2.4</v>
      </c>
      <c r="I191" s="825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9" t="n"/>
      <c r="N191" s="38" t="n">
        <v>40</v>
      </c>
      <c r="O191" s="939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P191" s="827" t="n"/>
      <c r="Q191" s="827" t="n"/>
      <c r="R191" s="827" t="n"/>
      <c r="S191" s="791" t="n"/>
      <c r="T191" s="40" t="inlineStr"/>
      <c r="U191" s="40" t="inlineStr"/>
      <c r="V191" s="41" t="inlineStr">
        <is>
          <t>кг</t>
        </is>
      </c>
      <c r="W191" s="828" t="n">
        <v>200</v>
      </c>
      <c r="X191" s="829">
        <f>IFERROR(IF(W191="",0,CEILING((W191/$H191),1)*$H191),"")</f>
        <v/>
      </c>
      <c r="Y191" s="42">
        <f>IFERROR(IF(X191=0,"",ROUNDUP(X191/H191,0)*0.00753),"")</f>
        <v/>
      </c>
      <c r="Z191" s="69" t="inlineStr"/>
      <c r="AA191" s="70" t="inlineStr"/>
      <c r="AE191" s="80" t="n"/>
      <c r="BB191" s="187" t="inlineStr">
        <is>
          <t>КИ</t>
        </is>
      </c>
      <c r="BL191" s="80">
        <f>IFERROR(W191*I191/H191,"0")</f>
        <v/>
      </c>
      <c r="BM191" s="80">
        <f>IFERROR(X191*I191/H191,"0")</f>
        <v/>
      </c>
      <c r="BN191" s="80">
        <f>IFERROR(1/J191*(W191/H191),"0")</f>
        <v/>
      </c>
      <c r="BO191" s="80">
        <f>IFERROR(1/J191*(X191/H191),"0")</f>
        <v/>
      </c>
    </row>
    <row r="192" ht="27" customHeight="1">
      <c r="A192" s="64" t="inlineStr">
        <is>
          <t>SU002802</t>
        </is>
      </c>
      <c r="B192" s="64" t="inlineStr">
        <is>
          <t>P003580</t>
        </is>
      </c>
      <c r="C192" s="37" t="n">
        <v>4301051506</v>
      </c>
      <c r="D192" s="401" t="n">
        <v>4680115881037</v>
      </c>
      <c r="E192" s="791" t="n"/>
      <c r="F192" s="825" t="n">
        <v>0.84</v>
      </c>
      <c r="G192" s="38" t="n">
        <v>4</v>
      </c>
      <c r="H192" s="825" t="n">
        <v>3.36</v>
      </c>
      <c r="I192" s="825" t="n">
        <v>3.618</v>
      </c>
      <c r="J192" s="38" t="n">
        <v>120</v>
      </c>
      <c r="K192" s="38" t="inlineStr">
        <is>
          <t>12</t>
        </is>
      </c>
      <c r="L192" s="39" t="inlineStr">
        <is>
          <t>СК2</t>
        </is>
      </c>
      <c r="M192" s="39" t="n"/>
      <c r="N192" s="38" t="n">
        <v>40</v>
      </c>
      <c r="O192" s="940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P192" s="827" t="n"/>
      <c r="Q192" s="827" t="n"/>
      <c r="R192" s="827" t="n"/>
      <c r="S192" s="791" t="n"/>
      <c r="T192" s="40" t="inlineStr"/>
      <c r="U192" s="40" t="inlineStr"/>
      <c r="V192" s="41" t="inlineStr">
        <is>
          <t>кг</t>
        </is>
      </c>
      <c r="W192" s="828" t="n">
        <v>0</v>
      </c>
      <c r="X192" s="829">
        <f>IFERROR(IF(W192="",0,CEILING((W192/$H192),1)*$H192),"")</f>
        <v/>
      </c>
      <c r="Y192" s="42">
        <f>IFERROR(IF(X192=0,"",ROUNDUP(X192/H192,0)*0.00937),"")</f>
        <v/>
      </c>
      <c r="Z192" s="69" t="inlineStr"/>
      <c r="AA192" s="70" t="inlineStr"/>
      <c r="AE192" s="80" t="n"/>
      <c r="BB192" s="188" t="inlineStr">
        <is>
          <t>КИ</t>
        </is>
      </c>
      <c r="BL192" s="80">
        <f>IFERROR(W192*I192/H192,"0")</f>
        <v/>
      </c>
      <c r="BM192" s="80">
        <f>IFERROR(X192*I192/H192,"0")</f>
        <v/>
      </c>
      <c r="BN192" s="80">
        <f>IFERROR(1/J192*(W192/H192),"0")</f>
        <v/>
      </c>
      <c r="BO192" s="80">
        <f>IFERROR(1/J192*(X192/H192),"0")</f>
        <v/>
      </c>
    </row>
    <row r="193" ht="27" customHeight="1">
      <c r="A193" s="64" t="inlineStr">
        <is>
          <t>SU002799</t>
        </is>
      </c>
      <c r="B193" s="64" t="inlineStr">
        <is>
          <t>P003217</t>
        </is>
      </c>
      <c r="C193" s="37" t="n">
        <v>4301051384</v>
      </c>
      <c r="D193" s="401" t="n">
        <v>4680115881211</v>
      </c>
      <c r="E193" s="791" t="n"/>
      <c r="F193" s="825" t="n">
        <v>0.4</v>
      </c>
      <c r="G193" s="38" t="n">
        <v>6</v>
      </c>
      <c r="H193" s="825" t="n">
        <v>2.4</v>
      </c>
      <c r="I193" s="825" t="n">
        <v>2.6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9" t="n"/>
      <c r="N193" s="38" t="n">
        <v>45</v>
      </c>
      <c r="O193" s="941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P193" s="827" t="n"/>
      <c r="Q193" s="827" t="n"/>
      <c r="R193" s="827" t="n"/>
      <c r="S193" s="791" t="n"/>
      <c r="T193" s="40" t="inlineStr"/>
      <c r="U193" s="40" t="inlineStr"/>
      <c r="V193" s="41" t="inlineStr">
        <is>
          <t>кг</t>
        </is>
      </c>
      <c r="W193" s="828" t="n">
        <v>320</v>
      </c>
      <c r="X193" s="829">
        <f>IFERROR(IF(W193="",0,CEILING((W193/$H193),1)*$H193),"")</f>
        <v/>
      </c>
      <c r="Y193" s="42">
        <f>IFERROR(IF(X193=0,"",ROUNDUP(X193/H193,0)*0.00753),"")</f>
        <v/>
      </c>
      <c r="Z193" s="69" t="inlineStr"/>
      <c r="AA193" s="70" t="inlineStr"/>
      <c r="AE193" s="80" t="n"/>
      <c r="BB193" s="189" t="inlineStr">
        <is>
          <t>КИ</t>
        </is>
      </c>
      <c r="BL193" s="80">
        <f>IFERROR(W193*I193/H193,"0")</f>
        <v/>
      </c>
      <c r="BM193" s="80">
        <f>IFERROR(X193*I193/H193,"0")</f>
        <v/>
      </c>
      <c r="BN193" s="80">
        <f>IFERROR(1/J193*(W193/H193),"0")</f>
        <v/>
      </c>
      <c r="BO193" s="80">
        <f>IFERROR(1/J193*(X193/H193),"0")</f>
        <v/>
      </c>
    </row>
    <row r="194" ht="27" customHeight="1">
      <c r="A194" s="64" t="inlineStr">
        <is>
          <t>SU002800</t>
        </is>
      </c>
      <c r="B194" s="64" t="inlineStr">
        <is>
          <t>P003201</t>
        </is>
      </c>
      <c r="C194" s="37" t="n">
        <v>4301051378</v>
      </c>
      <c r="D194" s="401" t="n">
        <v>4680115881020</v>
      </c>
      <c r="E194" s="791" t="n"/>
      <c r="F194" s="825" t="n">
        <v>0.84</v>
      </c>
      <c r="G194" s="38" t="n">
        <v>4</v>
      </c>
      <c r="H194" s="825" t="n">
        <v>3.36</v>
      </c>
      <c r="I194" s="825" t="n">
        <v>3.57</v>
      </c>
      <c r="J194" s="38" t="n">
        <v>120</v>
      </c>
      <c r="K194" s="38" t="inlineStr">
        <is>
          <t>12</t>
        </is>
      </c>
      <c r="L194" s="39" t="inlineStr">
        <is>
          <t>СК2</t>
        </is>
      </c>
      <c r="M194" s="39" t="n"/>
      <c r="N194" s="38" t="n">
        <v>45</v>
      </c>
      <c r="O194" s="942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P194" s="827" t="n"/>
      <c r="Q194" s="827" t="n"/>
      <c r="R194" s="827" t="n"/>
      <c r="S194" s="791" t="n"/>
      <c r="T194" s="40" t="inlineStr"/>
      <c r="U194" s="40" t="inlineStr"/>
      <c r="V194" s="41" t="inlineStr">
        <is>
          <t>кг</t>
        </is>
      </c>
      <c r="W194" s="828" t="n">
        <v>0</v>
      </c>
      <c r="X194" s="829">
        <f>IFERROR(IF(W194="",0,CEILING((W194/$H194),1)*$H194),"")</f>
        <v/>
      </c>
      <c r="Y194" s="42">
        <f>IFERROR(IF(X194=0,"",ROUNDUP(X194/H194,0)*0.00937),"")</f>
        <v/>
      </c>
      <c r="Z194" s="69" t="inlineStr"/>
      <c r="AA194" s="70" t="inlineStr"/>
      <c r="AE194" s="80" t="n"/>
      <c r="BB194" s="190" t="inlineStr">
        <is>
          <t>КИ</t>
        </is>
      </c>
      <c r="BL194" s="80">
        <f>IFERROR(W194*I194/H194,"0")</f>
        <v/>
      </c>
      <c r="BM194" s="80">
        <f>IFERROR(X194*I194/H194,"0")</f>
        <v/>
      </c>
      <c r="BN194" s="80">
        <f>IFERROR(1/J194*(W194/H194),"0")</f>
        <v/>
      </c>
      <c r="BO194" s="80">
        <f>IFERROR(1/J194*(X194/H194),"0")</f>
        <v/>
      </c>
    </row>
    <row r="195" ht="27" customHeight="1">
      <c r="A195" s="64" t="inlineStr">
        <is>
          <t>SU002842</t>
        </is>
      </c>
      <c r="B195" s="64" t="inlineStr">
        <is>
          <t>P003262</t>
        </is>
      </c>
      <c r="C195" s="37" t="n">
        <v>4301051407</v>
      </c>
      <c r="D195" s="401" t="n">
        <v>4680115882195</v>
      </c>
      <c r="E195" s="791" t="n"/>
      <c r="F195" s="825" t="n">
        <v>0.4</v>
      </c>
      <c r="G195" s="38" t="n">
        <v>6</v>
      </c>
      <c r="H195" s="825" t="n">
        <v>2.4</v>
      </c>
      <c r="I195" s="825" t="n">
        <v>2.69</v>
      </c>
      <c r="J195" s="38" t="n">
        <v>156</v>
      </c>
      <c r="K195" s="38" t="inlineStr">
        <is>
          <t>12</t>
        </is>
      </c>
      <c r="L195" s="39" t="inlineStr">
        <is>
          <t>СК3</t>
        </is>
      </c>
      <c r="M195" s="39" t="n"/>
      <c r="N195" s="38" t="n">
        <v>40</v>
      </c>
      <c r="O195" s="943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P195" s="827" t="n"/>
      <c r="Q195" s="827" t="n"/>
      <c r="R195" s="827" t="n"/>
      <c r="S195" s="791" t="n"/>
      <c r="T195" s="40" t="inlineStr"/>
      <c r="U195" s="40" t="inlineStr"/>
      <c r="V195" s="41" t="inlineStr">
        <is>
          <t>кг</t>
        </is>
      </c>
      <c r="W195" s="828" t="n">
        <v>320</v>
      </c>
      <c r="X195" s="829">
        <f>IFERROR(IF(W195="",0,CEILING((W195/$H195),1)*$H195),"")</f>
        <v/>
      </c>
      <c r="Y195" s="42">
        <f>IFERROR(IF(X195=0,"",ROUNDUP(X195/H195,0)*0.00753),"")</f>
        <v/>
      </c>
      <c r="Z195" s="69" t="inlineStr"/>
      <c r="AA195" s="70" t="inlineStr"/>
      <c r="AE195" s="80" t="n"/>
      <c r="BB195" s="191" t="inlineStr">
        <is>
          <t>КИ</t>
        </is>
      </c>
      <c r="BL195" s="80">
        <f>IFERROR(W195*I195/H195,"0")</f>
        <v/>
      </c>
      <c r="BM195" s="80">
        <f>IFERROR(X195*I195/H195,"0")</f>
        <v/>
      </c>
      <c r="BN195" s="80">
        <f>IFERROR(1/J195*(W195/H195),"0")</f>
        <v/>
      </c>
      <c r="BO195" s="80">
        <f>IFERROR(1/J195*(X195/H195),"0")</f>
        <v/>
      </c>
    </row>
    <row r="196" ht="27" customHeight="1">
      <c r="A196" s="64" t="inlineStr">
        <is>
          <t>SU002992</t>
        </is>
      </c>
      <c r="B196" s="64" t="inlineStr">
        <is>
          <t>P004147</t>
        </is>
      </c>
      <c r="C196" s="37" t="n">
        <v>4301051752</v>
      </c>
      <c r="D196" s="401" t="n">
        <v>4680115882607</v>
      </c>
      <c r="E196" s="791" t="n"/>
      <c r="F196" s="825" t="n">
        <v>0.3</v>
      </c>
      <c r="G196" s="38" t="n">
        <v>6</v>
      </c>
      <c r="H196" s="825" t="n">
        <v>1.8</v>
      </c>
      <c r="I196" s="825" t="n">
        <v>2.072</v>
      </c>
      <c r="J196" s="38" t="n">
        <v>156</v>
      </c>
      <c r="K196" s="38" t="inlineStr">
        <is>
          <t>12</t>
        </is>
      </c>
      <c r="L196" s="39" t="inlineStr">
        <is>
          <t>СК4</t>
        </is>
      </c>
      <c r="M196" s="39" t="n"/>
      <c r="N196" s="38" t="n">
        <v>45</v>
      </c>
      <c r="O196" s="944" t="inlineStr">
        <is>
          <t>Сосиски «Сочинки с сочной грудинкой» Фикс.вес 0,3 П/а мгс ТМ «Стародворье»</t>
        </is>
      </c>
      <c r="P196" s="827" t="n"/>
      <c r="Q196" s="827" t="n"/>
      <c r="R196" s="827" t="n"/>
      <c r="S196" s="791" t="n"/>
      <c r="T196" s="40" t="inlineStr"/>
      <c r="U196" s="40" t="inlineStr"/>
      <c r="V196" s="41" t="inlineStr">
        <is>
          <t>кг</t>
        </is>
      </c>
      <c r="W196" s="828" t="n">
        <v>0</v>
      </c>
      <c r="X196" s="829">
        <f>IFERROR(IF(W196="",0,CEILING((W196/$H196),1)*$H196),"")</f>
        <v/>
      </c>
      <c r="Y196" s="42">
        <f>IFERROR(IF(X196=0,"",ROUNDUP(X196/H196,0)*0.00753),"")</f>
        <v/>
      </c>
      <c r="Z196" s="69" t="inlineStr"/>
      <c r="AA196" s="70" t="inlineStr"/>
      <c r="AE196" s="80" t="n"/>
      <c r="BB196" s="192" t="inlineStr">
        <is>
          <t>КИ</t>
        </is>
      </c>
      <c r="BL196" s="80">
        <f>IFERROR(W196*I196/H196,"0")</f>
        <v/>
      </c>
      <c r="BM196" s="80">
        <f>IFERROR(X196*I196/H196,"0")</f>
        <v/>
      </c>
      <c r="BN196" s="80">
        <f>IFERROR(1/J196*(W196/H196),"0")</f>
        <v/>
      </c>
      <c r="BO196" s="80">
        <f>IFERROR(1/J196*(X196/H196),"0")</f>
        <v/>
      </c>
    </row>
    <row r="197" ht="27" customHeight="1">
      <c r="A197" s="64" t="inlineStr">
        <is>
          <t>SU002618</t>
        </is>
      </c>
      <c r="B197" s="64" t="inlineStr">
        <is>
          <t>P003957</t>
        </is>
      </c>
      <c r="C197" s="37" t="n">
        <v>4301051630</v>
      </c>
      <c r="D197" s="401" t="n">
        <v>4680115880092</v>
      </c>
      <c r="E197" s="791" t="n"/>
      <c r="F197" s="825" t="n">
        <v>0.4</v>
      </c>
      <c r="G197" s="38" t="n">
        <v>6</v>
      </c>
      <c r="H197" s="825" t="n">
        <v>2.4</v>
      </c>
      <c r="I197" s="825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9" t="n"/>
      <c r="N197" s="38" t="n">
        <v>45</v>
      </c>
      <c r="O197" s="945" t="inlineStr">
        <is>
          <t>Сосиски «Сочинки с сочной грудинкой» Фикс.вес 0,4 П/а мгс ТМ «Стародворье»</t>
        </is>
      </c>
      <c r="P197" s="827" t="n"/>
      <c r="Q197" s="827" t="n"/>
      <c r="R197" s="827" t="n"/>
      <c r="S197" s="791" t="n"/>
      <c r="T197" s="40" t="inlineStr"/>
      <c r="U197" s="40" t="inlineStr"/>
      <c r="V197" s="41" t="inlineStr">
        <is>
          <t>кг</t>
        </is>
      </c>
      <c r="W197" s="828" t="n">
        <v>360</v>
      </c>
      <c r="X197" s="829">
        <f>IFERROR(IF(W197="",0,CEILING((W197/$H197),1)*$H197),"")</f>
        <v/>
      </c>
      <c r="Y197" s="42">
        <f>IFERROR(IF(X197=0,"",ROUNDUP(X197/H197,0)*0.00753),"")</f>
        <v/>
      </c>
      <c r="Z197" s="69" t="inlineStr"/>
      <c r="AA197" s="70" t="inlineStr"/>
      <c r="AE197" s="80" t="n"/>
      <c r="BB197" s="193" t="inlineStr">
        <is>
          <t>КИ</t>
        </is>
      </c>
      <c r="BL197" s="80">
        <f>IFERROR(W197*I197/H197,"0")</f>
        <v/>
      </c>
      <c r="BM197" s="80">
        <f>IFERROR(X197*I197/H197,"0")</f>
        <v/>
      </c>
      <c r="BN197" s="80">
        <f>IFERROR(1/J197*(W197/H197),"0")</f>
        <v/>
      </c>
      <c r="BO197" s="80">
        <f>IFERROR(1/J197*(X197/H197),"0")</f>
        <v/>
      </c>
    </row>
    <row r="198" ht="27" customHeight="1">
      <c r="A198" s="64" t="inlineStr">
        <is>
          <t>SU002621</t>
        </is>
      </c>
      <c r="B198" s="64" t="inlineStr">
        <is>
          <t>P003958</t>
        </is>
      </c>
      <c r="C198" s="37" t="n">
        <v>4301051631</v>
      </c>
      <c r="D198" s="401" t="n">
        <v>4680115880221</v>
      </c>
      <c r="E198" s="791" t="n"/>
      <c r="F198" s="825" t="n">
        <v>0.4</v>
      </c>
      <c r="G198" s="38" t="n">
        <v>6</v>
      </c>
      <c r="H198" s="825" t="n">
        <v>2.4</v>
      </c>
      <c r="I198" s="825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9" t="n"/>
      <c r="N198" s="38" t="n">
        <v>45</v>
      </c>
      <c r="O198" s="946" t="inlineStr">
        <is>
          <t>Сосиски «Сочинки с сочным окороком» Фикс.вес 0,4 П/а мгс ТМ «Стародворье»</t>
        </is>
      </c>
      <c r="P198" s="827" t="n"/>
      <c r="Q198" s="827" t="n"/>
      <c r="R198" s="827" t="n"/>
      <c r="S198" s="791" t="n"/>
      <c r="T198" s="40" t="inlineStr"/>
      <c r="U198" s="40" t="inlineStr"/>
      <c r="V198" s="41" t="inlineStr">
        <is>
          <t>кг</t>
        </is>
      </c>
      <c r="W198" s="828" t="n">
        <v>0</v>
      </c>
      <c r="X198" s="829">
        <f>IFERROR(IF(W198="",0,CEILING((W198/$H198),1)*$H198),"")</f>
        <v/>
      </c>
      <c r="Y198" s="42">
        <f>IFERROR(IF(X198=0,"",ROUNDUP(X198/H198,0)*0.00753),"")</f>
        <v/>
      </c>
      <c r="Z198" s="69" t="inlineStr"/>
      <c r="AA198" s="70" t="inlineStr"/>
      <c r="AE198" s="80" t="n"/>
      <c r="BB198" s="194" t="inlineStr">
        <is>
          <t>КИ</t>
        </is>
      </c>
      <c r="BL198" s="80">
        <f>IFERROR(W198*I198/H198,"0")</f>
        <v/>
      </c>
      <c r="BM198" s="80">
        <f>IFERROR(X198*I198/H198,"0")</f>
        <v/>
      </c>
      <c r="BN198" s="80">
        <f>IFERROR(1/J198*(W198/H198),"0")</f>
        <v/>
      </c>
      <c r="BO198" s="80">
        <f>IFERROR(1/J198*(X198/H198),"0")</f>
        <v/>
      </c>
    </row>
    <row r="199" ht="16.5" customHeight="1">
      <c r="A199" s="64" t="inlineStr">
        <is>
          <t>SU003073</t>
        </is>
      </c>
      <c r="B199" s="64" t="inlineStr">
        <is>
          <t>P004148</t>
        </is>
      </c>
      <c r="C199" s="37" t="n">
        <v>4301051749</v>
      </c>
      <c r="D199" s="401" t="n">
        <v>4680115882942</v>
      </c>
      <c r="E199" s="791" t="n"/>
      <c r="F199" s="825" t="n">
        <v>0.3</v>
      </c>
      <c r="G199" s="38" t="n">
        <v>6</v>
      </c>
      <c r="H199" s="825" t="n">
        <v>1.8</v>
      </c>
      <c r="I199" s="825" t="n">
        <v>2.072</v>
      </c>
      <c r="J199" s="38" t="n">
        <v>156</v>
      </c>
      <c r="K199" s="38" t="inlineStr">
        <is>
          <t>12</t>
        </is>
      </c>
      <c r="L199" s="39" t="inlineStr">
        <is>
          <t>СК2</t>
        </is>
      </c>
      <c r="M199" s="39" t="n"/>
      <c r="N199" s="38" t="n">
        <v>40</v>
      </c>
      <c r="O199" s="947" t="inlineStr">
        <is>
          <t>Сосиски «Сочинки с сыром» ф/в 0,3 кг п/а ТМ «Стародворье»</t>
        </is>
      </c>
      <c r="P199" s="827" t="n"/>
      <c r="Q199" s="827" t="n"/>
      <c r="R199" s="827" t="n"/>
      <c r="S199" s="791" t="n"/>
      <c r="T199" s="40" t="inlineStr"/>
      <c r="U199" s="40" t="inlineStr"/>
      <c r="V199" s="41" t="inlineStr">
        <is>
          <t>кг</t>
        </is>
      </c>
      <c r="W199" s="828" t="n">
        <v>0</v>
      </c>
      <c r="X199" s="829">
        <f>IFERROR(IF(W199="",0,CEILING((W199/$H199),1)*$H199),"")</f>
        <v/>
      </c>
      <c r="Y199" s="42">
        <f>IFERROR(IF(X199=0,"",ROUNDUP(X199/H199,0)*0.00753),"")</f>
        <v/>
      </c>
      <c r="Z199" s="69" t="inlineStr"/>
      <c r="AA199" s="70" t="inlineStr"/>
      <c r="AE199" s="80" t="n"/>
      <c r="BB199" s="195" t="inlineStr">
        <is>
          <t>КИ</t>
        </is>
      </c>
      <c r="BL199" s="80">
        <f>IFERROR(W199*I199/H199,"0")</f>
        <v/>
      </c>
      <c r="BM199" s="80">
        <f>IFERROR(X199*I199/H199,"0")</f>
        <v/>
      </c>
      <c r="BN199" s="80">
        <f>IFERROR(1/J199*(W199/H199),"0")</f>
        <v/>
      </c>
      <c r="BO199" s="80">
        <f>IFERROR(1/J199*(X199/H199),"0")</f>
        <v/>
      </c>
    </row>
    <row r="200" ht="16.5" customHeight="1">
      <c r="A200" s="64" t="inlineStr">
        <is>
          <t>SU002686</t>
        </is>
      </c>
      <c r="B200" s="64" t="inlineStr">
        <is>
          <t>P004178</t>
        </is>
      </c>
      <c r="C200" s="37" t="n">
        <v>4301051753</v>
      </c>
      <c r="D200" s="401" t="n">
        <v>4680115880504</v>
      </c>
      <c r="E200" s="791" t="n"/>
      <c r="F200" s="825" t="n">
        <v>0.4</v>
      </c>
      <c r="G200" s="38" t="n">
        <v>6</v>
      </c>
      <c r="H200" s="825" t="n">
        <v>2.4</v>
      </c>
      <c r="I200" s="825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9" t="n"/>
      <c r="N200" s="38" t="n">
        <v>40</v>
      </c>
      <c r="O200" s="948" t="inlineStr">
        <is>
          <t>Сосиски Сочинки с сыром Бордо ф/в 0,4 кг п/а Стародворье</t>
        </is>
      </c>
      <c r="P200" s="827" t="n"/>
      <c r="Q200" s="827" t="n"/>
      <c r="R200" s="827" t="n"/>
      <c r="S200" s="791" t="n"/>
      <c r="T200" s="40" t="inlineStr"/>
      <c r="U200" s="40" t="inlineStr"/>
      <c r="V200" s="41" t="inlineStr">
        <is>
          <t>кг</t>
        </is>
      </c>
      <c r="W200" s="828" t="n">
        <v>120</v>
      </c>
      <c r="X200" s="829">
        <f>IFERROR(IF(W200="",0,CEILING((W200/$H200),1)*$H200),"")</f>
        <v/>
      </c>
      <c r="Y200" s="42">
        <f>IFERROR(IF(X200=0,"",ROUNDUP(X200/H200,0)*0.00753),"")</f>
        <v/>
      </c>
      <c r="Z200" s="69" t="inlineStr"/>
      <c r="AA200" s="70" t="inlineStr"/>
      <c r="AE200" s="80" t="n"/>
      <c r="BB200" s="196" t="inlineStr">
        <is>
          <t>КИ</t>
        </is>
      </c>
      <c r="BL200" s="80">
        <f>IFERROR(W200*I200/H200,"0")</f>
        <v/>
      </c>
      <c r="BM200" s="80">
        <f>IFERROR(X200*I200/H200,"0")</f>
        <v/>
      </c>
      <c r="BN200" s="80">
        <f>IFERROR(1/J200*(W200/H200),"0")</f>
        <v/>
      </c>
      <c r="BO200" s="80">
        <f>IFERROR(1/J200*(X200/H200),"0")</f>
        <v/>
      </c>
    </row>
    <row r="201" ht="27" customHeight="1">
      <c r="A201" s="64" t="inlineStr">
        <is>
          <t>SU002844</t>
        </is>
      </c>
      <c r="B201" s="64" t="inlineStr">
        <is>
          <t>P003265</t>
        </is>
      </c>
      <c r="C201" s="37" t="n">
        <v>4301051410</v>
      </c>
      <c r="D201" s="401" t="n">
        <v>4680115882164</v>
      </c>
      <c r="E201" s="791" t="n"/>
      <c r="F201" s="825" t="n">
        <v>0.4</v>
      </c>
      <c r="G201" s="38" t="n">
        <v>6</v>
      </c>
      <c r="H201" s="825" t="n">
        <v>2.4</v>
      </c>
      <c r="I201" s="825" t="n">
        <v>2.678</v>
      </c>
      <c r="J201" s="38" t="n">
        <v>156</v>
      </c>
      <c r="K201" s="38" t="inlineStr">
        <is>
          <t>12</t>
        </is>
      </c>
      <c r="L201" s="39" t="inlineStr">
        <is>
          <t>СК3</t>
        </is>
      </c>
      <c r="M201" s="39" t="n"/>
      <c r="N201" s="38" t="n">
        <v>40</v>
      </c>
      <c r="O201" s="949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P201" s="827" t="n"/>
      <c r="Q201" s="827" t="n"/>
      <c r="R201" s="827" t="n"/>
      <c r="S201" s="791" t="n"/>
      <c r="T201" s="40" t="inlineStr"/>
      <c r="U201" s="40" t="inlineStr"/>
      <c r="V201" s="41" t="inlineStr">
        <is>
          <t>кг</t>
        </is>
      </c>
      <c r="W201" s="828" t="n">
        <v>280</v>
      </c>
      <c r="X201" s="829">
        <f>IFERROR(IF(W201="",0,CEILING((W201/$H201),1)*$H201),"")</f>
        <v/>
      </c>
      <c r="Y201" s="42">
        <f>IFERROR(IF(X201=0,"",ROUNDUP(X201/H201,0)*0.00753),"")</f>
        <v/>
      </c>
      <c r="Z201" s="69" t="inlineStr"/>
      <c r="AA201" s="70" t="inlineStr"/>
      <c r="AE201" s="80" t="n"/>
      <c r="BB201" s="197" t="inlineStr">
        <is>
          <t>КИ</t>
        </is>
      </c>
      <c r="BL201" s="80">
        <f>IFERROR(W201*I201/H201,"0")</f>
        <v/>
      </c>
      <c r="BM201" s="80">
        <f>IFERROR(X201*I201/H201,"0")</f>
        <v/>
      </c>
      <c r="BN201" s="80">
        <f>IFERROR(1/J201*(W201/H201),"0")</f>
        <v/>
      </c>
      <c r="BO201" s="80">
        <f>IFERROR(1/J201*(X201/H201),"0")</f>
        <v/>
      </c>
    </row>
    <row r="202">
      <c r="A202" s="408" t="n"/>
      <c r="B202" s="398" t="n"/>
      <c r="C202" s="398" t="n"/>
      <c r="D202" s="398" t="n"/>
      <c r="E202" s="398" t="n"/>
      <c r="F202" s="398" t="n"/>
      <c r="G202" s="398" t="n"/>
      <c r="H202" s="398" t="n"/>
      <c r="I202" s="398" t="n"/>
      <c r="J202" s="398" t="n"/>
      <c r="K202" s="398" t="n"/>
      <c r="L202" s="398" t="n"/>
      <c r="M202" s="398" t="n"/>
      <c r="N202" s="831" t="n"/>
      <c r="O202" s="832" t="inlineStr">
        <is>
          <t>Итого</t>
        </is>
      </c>
      <c r="P202" s="799" t="n"/>
      <c r="Q202" s="799" t="n"/>
      <c r="R202" s="799" t="n"/>
      <c r="S202" s="799" t="n"/>
      <c r="T202" s="799" t="n"/>
      <c r="U202" s="800" t="n"/>
      <c r="V202" s="43" t="inlineStr">
        <is>
          <t>кор</t>
        </is>
      </c>
      <c r="W202" s="833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/>
      </c>
      <c r="X202" s="833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/>
      </c>
      <c r="Y202" s="833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/>
      </c>
      <c r="Z202" s="834" t="n"/>
      <c r="AA202" s="834" t="n"/>
    </row>
    <row r="203">
      <c r="A203" s="398" t="n"/>
      <c r="B203" s="398" t="n"/>
      <c r="C203" s="398" t="n"/>
      <c r="D203" s="398" t="n"/>
      <c r="E203" s="398" t="n"/>
      <c r="F203" s="398" t="n"/>
      <c r="G203" s="398" t="n"/>
      <c r="H203" s="398" t="n"/>
      <c r="I203" s="398" t="n"/>
      <c r="J203" s="398" t="n"/>
      <c r="K203" s="398" t="n"/>
      <c r="L203" s="398" t="n"/>
      <c r="M203" s="398" t="n"/>
      <c r="N203" s="831" t="n"/>
      <c r="O203" s="832" t="inlineStr">
        <is>
          <t>Итого</t>
        </is>
      </c>
      <c r="P203" s="799" t="n"/>
      <c r="Q203" s="799" t="n"/>
      <c r="R203" s="799" t="n"/>
      <c r="S203" s="799" t="n"/>
      <c r="T203" s="799" t="n"/>
      <c r="U203" s="800" t="n"/>
      <c r="V203" s="43" t="inlineStr">
        <is>
          <t>кг</t>
        </is>
      </c>
      <c r="W203" s="833">
        <f>IFERROR(SUM(W185:W201),"0")</f>
        <v/>
      </c>
      <c r="X203" s="833">
        <f>IFERROR(SUM(X185:X201),"0")</f>
        <v/>
      </c>
      <c r="Y203" s="43" t="n"/>
      <c r="Z203" s="834" t="n"/>
      <c r="AA203" s="834" t="n"/>
    </row>
    <row r="204" ht="14.25" customHeight="1">
      <c r="A204" s="409" t="inlineStr">
        <is>
          <t>Сардельки</t>
        </is>
      </c>
      <c r="B204" s="398" t="n"/>
      <c r="C204" s="398" t="n"/>
      <c r="D204" s="398" t="n"/>
      <c r="E204" s="398" t="n"/>
      <c r="F204" s="398" t="n"/>
      <c r="G204" s="398" t="n"/>
      <c r="H204" s="398" t="n"/>
      <c r="I204" s="398" t="n"/>
      <c r="J204" s="398" t="n"/>
      <c r="K204" s="398" t="n"/>
      <c r="L204" s="398" t="n"/>
      <c r="M204" s="398" t="n"/>
      <c r="N204" s="398" t="n"/>
      <c r="O204" s="398" t="n"/>
      <c r="P204" s="398" t="n"/>
      <c r="Q204" s="398" t="n"/>
      <c r="R204" s="398" t="n"/>
      <c r="S204" s="398" t="n"/>
      <c r="T204" s="398" t="n"/>
      <c r="U204" s="398" t="n"/>
      <c r="V204" s="398" t="n"/>
      <c r="W204" s="398" t="n"/>
      <c r="X204" s="398" t="n"/>
      <c r="Y204" s="398" t="n"/>
      <c r="Z204" s="409" t="n"/>
      <c r="AA204" s="409" t="n"/>
    </row>
    <row r="205" ht="16.5" customHeight="1">
      <c r="A205" s="64" t="inlineStr">
        <is>
          <t>SU003042</t>
        </is>
      </c>
      <c r="B205" s="64" t="inlineStr">
        <is>
          <t>P004232</t>
        </is>
      </c>
      <c r="C205" s="37" t="n">
        <v>4301060404</v>
      </c>
      <c r="D205" s="401" t="n">
        <v>4680115882874</v>
      </c>
      <c r="E205" s="791" t="n"/>
      <c r="F205" s="825" t="n">
        <v>0.8</v>
      </c>
      <c r="G205" s="38" t="n">
        <v>4</v>
      </c>
      <c r="H205" s="825" t="n">
        <v>3.2</v>
      </c>
      <c r="I205" s="825" t="n">
        <v>3.466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9" t="n"/>
      <c r="N205" s="38" t="n">
        <v>40</v>
      </c>
      <c r="O205" s="950" t="inlineStr">
        <is>
          <t>Сардельки «Сочинки» Весовой н/о ТМ «Стародворье»</t>
        </is>
      </c>
      <c r="P205" s="827" t="n"/>
      <c r="Q205" s="827" t="n"/>
      <c r="R205" s="827" t="n"/>
      <c r="S205" s="791" t="n"/>
      <c r="T205" s="40" t="inlineStr"/>
      <c r="U205" s="40" t="inlineStr"/>
      <c r="V205" s="41" t="inlineStr">
        <is>
          <t>кг</t>
        </is>
      </c>
      <c r="W205" s="828" t="n">
        <v>0</v>
      </c>
      <c r="X205" s="829">
        <f>IFERROR(IF(W205="",0,CEILING((W205/$H205),1)*$H205),"")</f>
        <v/>
      </c>
      <c r="Y205" s="42">
        <f>IFERROR(IF(X205=0,"",ROUNDUP(X205/H205,0)*0.00937),"")</f>
        <v/>
      </c>
      <c r="Z205" s="69" t="inlineStr"/>
      <c r="AA205" s="70" t="inlineStr"/>
      <c r="AE205" s="80" t="n"/>
      <c r="BB205" s="198" t="inlineStr">
        <is>
          <t>КИ</t>
        </is>
      </c>
      <c r="BL205" s="80">
        <f>IFERROR(W205*I205/H205,"0")</f>
        <v/>
      </c>
      <c r="BM205" s="80">
        <f>IFERROR(X205*I205/H205,"0")</f>
        <v/>
      </c>
      <c r="BN205" s="80">
        <f>IFERROR(1/J205*(W205/H205),"0")</f>
        <v/>
      </c>
      <c r="BO205" s="80">
        <f>IFERROR(1/J205*(X205/H205),"0")</f>
        <v/>
      </c>
    </row>
    <row r="206" ht="16.5" customHeight="1">
      <c r="A206" s="64" t="inlineStr">
        <is>
          <t>SU003042</t>
        </is>
      </c>
      <c r="B206" s="64" t="inlineStr">
        <is>
          <t>P003608</t>
        </is>
      </c>
      <c r="C206" s="37" t="n">
        <v>4301060360</v>
      </c>
      <c r="D206" s="401" t="n">
        <v>4680115882874</v>
      </c>
      <c r="E206" s="791" t="n"/>
      <c r="F206" s="825" t="n">
        <v>0.8</v>
      </c>
      <c r="G206" s="38" t="n">
        <v>4</v>
      </c>
      <c r="H206" s="825" t="n">
        <v>3.2</v>
      </c>
      <c r="I206" s="825" t="n">
        <v>3.466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9" t="n"/>
      <c r="N206" s="38" t="n">
        <v>30</v>
      </c>
      <c r="O206" s="951">
        <f>HYPERLINK("https://abi.ru/products/Охлажденные/Стародворье/Сочинка/Сардельки/P003608/","Сардельки «Сочинки» Весовой н/о ТМ «Стародворье»")</f>
        <v/>
      </c>
      <c r="P206" s="827" t="n"/>
      <c r="Q206" s="827" t="n"/>
      <c r="R206" s="827" t="n"/>
      <c r="S206" s="791" t="n"/>
      <c r="T206" s="40" t="inlineStr"/>
      <c r="U206" s="40" t="inlineStr"/>
      <c r="V206" s="41" t="inlineStr">
        <is>
          <t>кг</t>
        </is>
      </c>
      <c r="W206" s="828" t="n">
        <v>0</v>
      </c>
      <c r="X206" s="829">
        <f>IFERROR(IF(W206="",0,CEILING((W206/$H206),1)*$H206),"")</f>
        <v/>
      </c>
      <c r="Y206" s="42">
        <f>IFERROR(IF(X206=0,"",ROUNDUP(X206/H206,0)*0.00937),"")</f>
        <v/>
      </c>
      <c r="Z206" s="69" t="inlineStr"/>
      <c r="AA206" s="70" t="inlineStr"/>
      <c r="AE206" s="80" t="n"/>
      <c r="BB206" s="199" t="inlineStr">
        <is>
          <t>КИ</t>
        </is>
      </c>
      <c r="BL206" s="80">
        <f>IFERROR(W206*I206/H206,"0")</f>
        <v/>
      </c>
      <c r="BM206" s="80">
        <f>IFERROR(X206*I206/H206,"0")</f>
        <v/>
      </c>
      <c r="BN206" s="80">
        <f>IFERROR(1/J206*(W206/H206),"0")</f>
        <v/>
      </c>
      <c r="BO206" s="80">
        <f>IFERROR(1/J206*(X206/H206),"0")</f>
        <v/>
      </c>
    </row>
    <row r="207" ht="27" customHeight="1">
      <c r="A207" s="64" t="inlineStr">
        <is>
          <t>SU003043</t>
        </is>
      </c>
      <c r="B207" s="64" t="inlineStr">
        <is>
          <t>P003604</t>
        </is>
      </c>
      <c r="C207" s="37" t="n">
        <v>4301060359</v>
      </c>
      <c r="D207" s="401" t="n">
        <v>4680115884434</v>
      </c>
      <c r="E207" s="791" t="n"/>
      <c r="F207" s="825" t="n">
        <v>0.8</v>
      </c>
      <c r="G207" s="38" t="n">
        <v>4</v>
      </c>
      <c r="H207" s="825" t="n">
        <v>3.2</v>
      </c>
      <c r="I207" s="825" t="n">
        <v>3.466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9" t="n"/>
      <c r="N207" s="38" t="n">
        <v>30</v>
      </c>
      <c r="O207" s="952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P207" s="827" t="n"/>
      <c r="Q207" s="827" t="n"/>
      <c r="R207" s="827" t="n"/>
      <c r="S207" s="791" t="n"/>
      <c r="T207" s="40" t="inlineStr"/>
      <c r="U207" s="40" t="inlineStr"/>
      <c r="V207" s="41" t="inlineStr">
        <is>
          <t>кг</t>
        </is>
      </c>
      <c r="W207" s="828" t="n">
        <v>0</v>
      </c>
      <c r="X207" s="829">
        <f>IFERROR(IF(W207="",0,CEILING((W207/$H207),1)*$H207),"")</f>
        <v/>
      </c>
      <c r="Y207" s="42">
        <f>IFERROR(IF(X207=0,"",ROUNDUP(X207/H207,0)*0.00937),"")</f>
        <v/>
      </c>
      <c r="Z207" s="69" t="inlineStr"/>
      <c r="AA207" s="70" t="inlineStr"/>
      <c r="AE207" s="80" t="n"/>
      <c r="BB207" s="200" t="inlineStr">
        <is>
          <t>КИ</t>
        </is>
      </c>
      <c r="BL207" s="80">
        <f>IFERROR(W207*I207/H207,"0")</f>
        <v/>
      </c>
      <c r="BM207" s="80">
        <f>IFERROR(X207*I207/H207,"0")</f>
        <v/>
      </c>
      <c r="BN207" s="80">
        <f>IFERROR(1/J207*(W207/H207),"0")</f>
        <v/>
      </c>
      <c r="BO207" s="80">
        <f>IFERROR(1/J207*(X207/H207),"0")</f>
        <v/>
      </c>
    </row>
    <row r="208" ht="27" customHeight="1">
      <c r="A208" s="64" t="inlineStr">
        <is>
          <t>SU002759</t>
        </is>
      </c>
      <c r="B208" s="64" t="inlineStr">
        <is>
          <t>P003961</t>
        </is>
      </c>
      <c r="C208" s="37" t="n">
        <v>4301060375</v>
      </c>
      <c r="D208" s="401" t="n">
        <v>4680115880818</v>
      </c>
      <c r="E208" s="791" t="n"/>
      <c r="F208" s="825" t="n">
        <v>0.4</v>
      </c>
      <c r="G208" s="38" t="n">
        <v>6</v>
      </c>
      <c r="H208" s="825" t="n">
        <v>2.4</v>
      </c>
      <c r="I208" s="825" t="n">
        <v>2.672</v>
      </c>
      <c r="J208" s="38" t="n">
        <v>156</v>
      </c>
      <c r="K208" s="38" t="inlineStr">
        <is>
          <t>12</t>
        </is>
      </c>
      <c r="L208" s="39" t="inlineStr">
        <is>
          <t>СК2</t>
        </is>
      </c>
      <c r="M208" s="39" t="n"/>
      <c r="N208" s="38" t="n">
        <v>40</v>
      </c>
      <c r="O208" s="953" t="inlineStr">
        <is>
          <t>Сардельки «Сочинки с сыром» Фикс.вес 0,4 п/а ТМ «Стародворье»</t>
        </is>
      </c>
      <c r="P208" s="827" t="n"/>
      <c r="Q208" s="827" t="n"/>
      <c r="R208" s="827" t="n"/>
      <c r="S208" s="791" t="n"/>
      <c r="T208" s="40" t="inlineStr"/>
      <c r="U208" s="40" t="inlineStr"/>
      <c r="V208" s="41" t="inlineStr">
        <is>
          <t>кг</t>
        </is>
      </c>
      <c r="W208" s="828" t="n">
        <v>40</v>
      </c>
      <c r="X208" s="829">
        <f>IFERROR(IF(W208="",0,CEILING((W208/$H208),1)*$H208),"")</f>
        <v/>
      </c>
      <c r="Y208" s="42">
        <f>IFERROR(IF(X208=0,"",ROUNDUP(X208/H208,0)*0.00753),"")</f>
        <v/>
      </c>
      <c r="Z208" s="69" t="inlineStr"/>
      <c r="AA208" s="70" t="inlineStr"/>
      <c r="AE208" s="80" t="n"/>
      <c r="BB208" s="201" t="inlineStr">
        <is>
          <t>КИ</t>
        </is>
      </c>
      <c r="BL208" s="80">
        <f>IFERROR(W208*I208/H208,"0")</f>
        <v/>
      </c>
      <c r="BM208" s="80">
        <f>IFERROR(X208*I208/H208,"0")</f>
        <v/>
      </c>
      <c r="BN208" s="80">
        <f>IFERROR(1/J208*(W208/H208),"0")</f>
        <v/>
      </c>
      <c r="BO208" s="80">
        <f>IFERROR(1/J208*(X208/H208),"0")</f>
        <v/>
      </c>
    </row>
    <row r="209" ht="16.5" customHeight="1">
      <c r="A209" s="64" t="inlineStr">
        <is>
          <t>SU002758</t>
        </is>
      </c>
      <c r="B209" s="64" t="inlineStr">
        <is>
          <t>P003960</t>
        </is>
      </c>
      <c r="C209" s="37" t="n">
        <v>4301060389</v>
      </c>
      <c r="D209" s="401" t="n">
        <v>4680115880801</v>
      </c>
      <c r="E209" s="791" t="n"/>
      <c r="F209" s="825" t="n">
        <v>0.4</v>
      </c>
      <c r="G209" s="38" t="n">
        <v>6</v>
      </c>
      <c r="H209" s="825" t="n">
        <v>2.4</v>
      </c>
      <c r="I209" s="825" t="n">
        <v>2.672</v>
      </c>
      <c r="J209" s="38" t="n">
        <v>156</v>
      </c>
      <c r="K209" s="38" t="inlineStr">
        <is>
          <t>12</t>
        </is>
      </c>
      <c r="L209" s="39" t="inlineStr">
        <is>
          <t>СК3</t>
        </is>
      </c>
      <c r="M209" s="39" t="n"/>
      <c r="N209" s="38" t="n">
        <v>40</v>
      </c>
      <c r="O209" s="954" t="inlineStr">
        <is>
          <t>Сардельки «Сочинки с сочным окороком» Фикс.вес 0,4 п/а мгс ТМ «Стародворье»</t>
        </is>
      </c>
      <c r="P209" s="827" t="n"/>
      <c r="Q209" s="827" t="n"/>
      <c r="R209" s="827" t="n"/>
      <c r="S209" s="791" t="n"/>
      <c r="T209" s="40" t="inlineStr"/>
      <c r="U209" s="40" t="inlineStr"/>
      <c r="V209" s="41" t="inlineStr">
        <is>
          <t>кг</t>
        </is>
      </c>
      <c r="W209" s="828" t="n">
        <v>48</v>
      </c>
      <c r="X209" s="829">
        <f>IFERROR(IF(W209="",0,CEILING((W209/$H209),1)*$H209),"")</f>
        <v/>
      </c>
      <c r="Y209" s="42">
        <f>IFERROR(IF(X209=0,"",ROUNDUP(X209/H209,0)*0.00753),"")</f>
        <v/>
      </c>
      <c r="Z209" s="69" t="inlineStr"/>
      <c r="AA209" s="70" t="inlineStr"/>
      <c r="AE209" s="80" t="n"/>
      <c r="BB209" s="202" t="inlineStr">
        <is>
          <t>КИ</t>
        </is>
      </c>
      <c r="BL209" s="80">
        <f>IFERROR(W209*I209/H209,"0")</f>
        <v/>
      </c>
      <c r="BM209" s="80">
        <f>IFERROR(X209*I209/H209,"0")</f>
        <v/>
      </c>
      <c r="BN209" s="80">
        <f>IFERROR(1/J209*(W209/H209),"0")</f>
        <v/>
      </c>
      <c r="BO209" s="80">
        <f>IFERROR(1/J209*(X209/H209),"0")</f>
        <v/>
      </c>
    </row>
    <row r="210">
      <c r="A210" s="408" t="n"/>
      <c r="B210" s="398" t="n"/>
      <c r="C210" s="398" t="n"/>
      <c r="D210" s="398" t="n"/>
      <c r="E210" s="398" t="n"/>
      <c r="F210" s="398" t="n"/>
      <c r="G210" s="398" t="n"/>
      <c r="H210" s="398" t="n"/>
      <c r="I210" s="398" t="n"/>
      <c r="J210" s="398" t="n"/>
      <c r="K210" s="398" t="n"/>
      <c r="L210" s="398" t="n"/>
      <c r="M210" s="398" t="n"/>
      <c r="N210" s="831" t="n"/>
      <c r="O210" s="832" t="inlineStr">
        <is>
          <t>Итого</t>
        </is>
      </c>
      <c r="P210" s="799" t="n"/>
      <c r="Q210" s="799" t="n"/>
      <c r="R210" s="799" t="n"/>
      <c r="S210" s="799" t="n"/>
      <c r="T210" s="799" t="n"/>
      <c r="U210" s="800" t="n"/>
      <c r="V210" s="43" t="inlineStr">
        <is>
          <t>кор</t>
        </is>
      </c>
      <c r="W210" s="833">
        <f>IFERROR(W205/H205,"0")+IFERROR(W206/H206,"0")+IFERROR(W207/H207,"0")+IFERROR(W208/H208,"0")+IFERROR(W209/H209,"0")</f>
        <v/>
      </c>
      <c r="X210" s="833">
        <f>IFERROR(X205/H205,"0")+IFERROR(X206/H206,"0")+IFERROR(X207/H207,"0")+IFERROR(X208/H208,"0")+IFERROR(X209/H209,"0")</f>
        <v/>
      </c>
      <c r="Y210" s="833">
        <f>IFERROR(IF(Y205="",0,Y205),"0")+IFERROR(IF(Y206="",0,Y206),"0")+IFERROR(IF(Y207="",0,Y207),"0")+IFERROR(IF(Y208="",0,Y208),"0")+IFERROR(IF(Y209="",0,Y209),"0")</f>
        <v/>
      </c>
      <c r="Z210" s="834" t="n"/>
      <c r="AA210" s="834" t="n"/>
    </row>
    <row r="211">
      <c r="A211" s="398" t="n"/>
      <c r="B211" s="398" t="n"/>
      <c r="C211" s="398" t="n"/>
      <c r="D211" s="398" t="n"/>
      <c r="E211" s="398" t="n"/>
      <c r="F211" s="398" t="n"/>
      <c r="G211" s="398" t="n"/>
      <c r="H211" s="398" t="n"/>
      <c r="I211" s="398" t="n"/>
      <c r="J211" s="398" t="n"/>
      <c r="K211" s="398" t="n"/>
      <c r="L211" s="398" t="n"/>
      <c r="M211" s="398" t="n"/>
      <c r="N211" s="831" t="n"/>
      <c r="O211" s="832" t="inlineStr">
        <is>
          <t>Итого</t>
        </is>
      </c>
      <c r="P211" s="799" t="n"/>
      <c r="Q211" s="799" t="n"/>
      <c r="R211" s="799" t="n"/>
      <c r="S211" s="799" t="n"/>
      <c r="T211" s="799" t="n"/>
      <c r="U211" s="800" t="n"/>
      <c r="V211" s="43" t="inlineStr">
        <is>
          <t>кг</t>
        </is>
      </c>
      <c r="W211" s="833">
        <f>IFERROR(SUM(W205:W209),"0")</f>
        <v/>
      </c>
      <c r="X211" s="833">
        <f>IFERROR(SUM(X205:X209),"0")</f>
        <v/>
      </c>
      <c r="Y211" s="43" t="n"/>
      <c r="Z211" s="834" t="n"/>
      <c r="AA211" s="834" t="n"/>
    </row>
    <row r="212" ht="16.5" customHeight="1">
      <c r="A212" s="439" t="inlineStr">
        <is>
          <t>Филедворская</t>
        </is>
      </c>
      <c r="B212" s="398" t="n"/>
      <c r="C212" s="398" t="n"/>
      <c r="D212" s="398" t="n"/>
      <c r="E212" s="398" t="n"/>
      <c r="F212" s="398" t="n"/>
      <c r="G212" s="398" t="n"/>
      <c r="H212" s="398" t="n"/>
      <c r="I212" s="398" t="n"/>
      <c r="J212" s="398" t="n"/>
      <c r="K212" s="398" t="n"/>
      <c r="L212" s="398" t="n"/>
      <c r="M212" s="398" t="n"/>
      <c r="N212" s="398" t="n"/>
      <c r="O212" s="398" t="n"/>
      <c r="P212" s="398" t="n"/>
      <c r="Q212" s="398" t="n"/>
      <c r="R212" s="398" t="n"/>
      <c r="S212" s="398" t="n"/>
      <c r="T212" s="398" t="n"/>
      <c r="U212" s="398" t="n"/>
      <c r="V212" s="398" t="n"/>
      <c r="W212" s="398" t="n"/>
      <c r="X212" s="398" t="n"/>
      <c r="Y212" s="398" t="n"/>
      <c r="Z212" s="439" t="n"/>
      <c r="AA212" s="439" t="n"/>
    </row>
    <row r="213" ht="14.25" customHeight="1">
      <c r="A213" s="409" t="inlineStr">
        <is>
          <t>Вареные колбасы</t>
        </is>
      </c>
      <c r="B213" s="398" t="n"/>
      <c r="C213" s="398" t="n"/>
      <c r="D213" s="398" t="n"/>
      <c r="E213" s="398" t="n"/>
      <c r="F213" s="398" t="n"/>
      <c r="G213" s="398" t="n"/>
      <c r="H213" s="398" t="n"/>
      <c r="I213" s="398" t="n"/>
      <c r="J213" s="398" t="n"/>
      <c r="K213" s="398" t="n"/>
      <c r="L213" s="398" t="n"/>
      <c r="M213" s="398" t="n"/>
      <c r="N213" s="398" t="n"/>
      <c r="O213" s="398" t="n"/>
      <c r="P213" s="398" t="n"/>
      <c r="Q213" s="398" t="n"/>
      <c r="R213" s="398" t="n"/>
      <c r="S213" s="398" t="n"/>
      <c r="T213" s="398" t="n"/>
      <c r="U213" s="398" t="n"/>
      <c r="V213" s="398" t="n"/>
      <c r="W213" s="398" t="n"/>
      <c r="X213" s="398" t="n"/>
      <c r="Y213" s="398" t="n"/>
      <c r="Z213" s="409" t="n"/>
      <c r="AA213" s="409" t="n"/>
    </row>
    <row r="214" ht="27" customHeight="1">
      <c r="A214" s="64" t="inlineStr">
        <is>
          <t>SU003267</t>
        </is>
      </c>
      <c r="B214" s="64" t="inlineStr">
        <is>
          <t>P003941</t>
        </is>
      </c>
      <c r="C214" s="37" t="n">
        <v>4301011717</v>
      </c>
      <c r="D214" s="401" t="n">
        <v>4680115884274</v>
      </c>
      <c r="E214" s="791" t="n"/>
      <c r="F214" s="825" t="n">
        <v>1.45</v>
      </c>
      <c r="G214" s="38" t="n">
        <v>8</v>
      </c>
      <c r="H214" s="825" t="n">
        <v>11.6</v>
      </c>
      <c r="I214" s="825" t="n">
        <v>12.08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9" t="n"/>
      <c r="N214" s="38" t="n">
        <v>55</v>
      </c>
      <c r="O214" s="955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P214" s="827" t="n"/>
      <c r="Q214" s="827" t="n"/>
      <c r="R214" s="827" t="n"/>
      <c r="S214" s="791" t="n"/>
      <c r="T214" s="40" t="inlineStr"/>
      <c r="U214" s="40" t="inlineStr"/>
      <c r="V214" s="41" t="inlineStr">
        <is>
          <t>кг</t>
        </is>
      </c>
      <c r="W214" s="828" t="n">
        <v>0</v>
      </c>
      <c r="X214" s="829">
        <f>IFERROR(IF(W214="",0,CEILING((W214/$H214),1)*$H214),"")</f>
        <v/>
      </c>
      <c r="Y214" s="42">
        <f>IFERROR(IF(X214=0,"",ROUNDUP(X214/H214,0)*0.02175),"")</f>
        <v/>
      </c>
      <c r="Z214" s="69" t="inlineStr"/>
      <c r="AA214" s="70" t="inlineStr"/>
      <c r="AE214" s="80" t="n"/>
      <c r="BB214" s="203" t="inlineStr">
        <is>
          <t>КИ</t>
        </is>
      </c>
      <c r="BL214" s="80">
        <f>IFERROR(W214*I214/H214,"0")</f>
        <v/>
      </c>
      <c r="BM214" s="80">
        <f>IFERROR(X214*I214/H214,"0")</f>
        <v/>
      </c>
      <c r="BN214" s="80">
        <f>IFERROR(1/J214*(W214/H214),"0")</f>
        <v/>
      </c>
      <c r="BO214" s="80">
        <f>IFERROR(1/J214*(X214/H214),"0")</f>
        <v/>
      </c>
    </row>
    <row r="215" ht="27" customHeight="1">
      <c r="A215" s="64" t="inlineStr">
        <is>
          <t>SU003269</t>
        </is>
      </c>
      <c r="B215" s="64" t="inlineStr">
        <is>
          <t>P003943</t>
        </is>
      </c>
      <c r="C215" s="37" t="n">
        <v>4301011719</v>
      </c>
      <c r="D215" s="401" t="n">
        <v>4680115884298</v>
      </c>
      <c r="E215" s="791" t="n"/>
      <c r="F215" s="825" t="n">
        <v>1.45</v>
      </c>
      <c r="G215" s="38" t="n">
        <v>8</v>
      </c>
      <c r="H215" s="825" t="n">
        <v>11.6</v>
      </c>
      <c r="I215" s="825" t="n">
        <v>12.08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9" t="n"/>
      <c r="N215" s="38" t="n">
        <v>55</v>
      </c>
      <c r="O215" s="956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P215" s="827" t="n"/>
      <c r="Q215" s="827" t="n"/>
      <c r="R215" s="827" t="n"/>
      <c r="S215" s="791" t="n"/>
      <c r="T215" s="40" t="inlineStr"/>
      <c r="U215" s="40" t="inlineStr"/>
      <c r="V215" s="41" t="inlineStr">
        <is>
          <t>кг</t>
        </is>
      </c>
      <c r="W215" s="828" t="n">
        <v>0</v>
      </c>
      <c r="X215" s="829">
        <f>IFERROR(IF(W215="",0,CEILING((W215/$H215),1)*$H215),"")</f>
        <v/>
      </c>
      <c r="Y215" s="42">
        <f>IFERROR(IF(X215=0,"",ROUNDUP(X215/H215,0)*0.02175),"")</f>
        <v/>
      </c>
      <c r="Z215" s="69" t="inlineStr"/>
      <c r="AA215" s="70" t="inlineStr"/>
      <c r="AE215" s="80" t="n"/>
      <c r="BB215" s="204" t="inlineStr">
        <is>
          <t>КИ</t>
        </is>
      </c>
      <c r="BL215" s="80">
        <f>IFERROR(W215*I215/H215,"0")</f>
        <v/>
      </c>
      <c r="BM215" s="80">
        <f>IFERROR(X215*I215/H215,"0")</f>
        <v/>
      </c>
      <c r="BN215" s="80">
        <f>IFERROR(1/J215*(W215/H215),"0")</f>
        <v/>
      </c>
      <c r="BO215" s="80">
        <f>IFERROR(1/J215*(X215/H215),"0")</f>
        <v/>
      </c>
    </row>
    <row r="216" ht="27" customHeight="1">
      <c r="A216" s="64" t="inlineStr">
        <is>
          <t>SU003265</t>
        </is>
      </c>
      <c r="B216" s="64" t="inlineStr">
        <is>
          <t>P003939</t>
        </is>
      </c>
      <c r="C216" s="37" t="n">
        <v>4301011733</v>
      </c>
      <c r="D216" s="401" t="n">
        <v>4680115884250</v>
      </c>
      <c r="E216" s="791" t="n"/>
      <c r="F216" s="825" t="n">
        <v>1.45</v>
      </c>
      <c r="G216" s="38" t="n">
        <v>8</v>
      </c>
      <c r="H216" s="825" t="n">
        <v>11.6</v>
      </c>
      <c r="I216" s="825" t="n">
        <v>12.08</v>
      </c>
      <c r="J216" s="38" t="n">
        <v>56</v>
      </c>
      <c r="K216" s="38" t="inlineStr">
        <is>
          <t>8</t>
        </is>
      </c>
      <c r="L216" s="39" t="inlineStr">
        <is>
          <t>СК3</t>
        </is>
      </c>
      <c r="M216" s="39" t="n"/>
      <c r="N216" s="38" t="n">
        <v>55</v>
      </c>
      <c r="O216" s="957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P216" s="827" t="n"/>
      <c r="Q216" s="827" t="n"/>
      <c r="R216" s="827" t="n"/>
      <c r="S216" s="791" t="n"/>
      <c r="T216" s="40" t="inlineStr"/>
      <c r="U216" s="40" t="inlineStr"/>
      <c r="V216" s="41" t="inlineStr">
        <is>
          <t>кг</t>
        </is>
      </c>
      <c r="W216" s="828" t="n">
        <v>100</v>
      </c>
      <c r="X216" s="829">
        <f>IFERROR(IF(W216="",0,CEILING((W216/$H216),1)*$H216),"")</f>
        <v/>
      </c>
      <c r="Y216" s="42">
        <f>IFERROR(IF(X216=0,"",ROUNDUP(X216/H216,0)*0.02175),"")</f>
        <v/>
      </c>
      <c r="Z216" s="69" t="inlineStr"/>
      <c r="AA216" s="70" t="inlineStr"/>
      <c r="AE216" s="80" t="n"/>
      <c r="BB216" s="205" t="inlineStr">
        <is>
          <t>КИ</t>
        </is>
      </c>
      <c r="BL216" s="80">
        <f>IFERROR(W216*I216/H216,"0")</f>
        <v/>
      </c>
      <c r="BM216" s="80">
        <f>IFERROR(X216*I216/H216,"0")</f>
        <v/>
      </c>
      <c r="BN216" s="80">
        <f>IFERROR(1/J216*(W216/H216),"0")</f>
        <v/>
      </c>
      <c r="BO216" s="80">
        <f>IFERROR(1/J216*(X216/H216),"0")</f>
        <v/>
      </c>
    </row>
    <row r="217" ht="27" customHeight="1">
      <c r="A217" s="64" t="inlineStr">
        <is>
          <t>SU003268</t>
        </is>
      </c>
      <c r="B217" s="64" t="inlineStr">
        <is>
          <t>P003942</t>
        </is>
      </c>
      <c r="C217" s="37" t="n">
        <v>4301011718</v>
      </c>
      <c r="D217" s="401" t="n">
        <v>4680115884281</v>
      </c>
      <c r="E217" s="791" t="n"/>
      <c r="F217" s="825" t="n">
        <v>0.4</v>
      </c>
      <c r="G217" s="38" t="n">
        <v>10</v>
      </c>
      <c r="H217" s="825" t="n">
        <v>4</v>
      </c>
      <c r="I217" s="825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9" t="n"/>
      <c r="N217" s="38" t="n">
        <v>55</v>
      </c>
      <c r="O217" s="958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P217" s="827" t="n"/>
      <c r="Q217" s="827" t="n"/>
      <c r="R217" s="827" t="n"/>
      <c r="S217" s="791" t="n"/>
      <c r="T217" s="40" t="inlineStr"/>
      <c r="U217" s="40" t="inlineStr"/>
      <c r="V217" s="41" t="inlineStr">
        <is>
          <t>кг</t>
        </is>
      </c>
      <c r="W217" s="828" t="n">
        <v>0</v>
      </c>
      <c r="X217" s="829">
        <f>IFERROR(IF(W217="",0,CEILING((W217/$H217),1)*$H217),"")</f>
        <v/>
      </c>
      <c r="Y217" s="42">
        <f>IFERROR(IF(X217=0,"",ROUNDUP(X217/H217,0)*0.00937),"")</f>
        <v/>
      </c>
      <c r="Z217" s="69" t="inlineStr"/>
      <c r="AA217" s="70" t="inlineStr"/>
      <c r="AE217" s="80" t="n"/>
      <c r="BB217" s="206" t="inlineStr">
        <is>
          <t>КИ</t>
        </is>
      </c>
      <c r="BL217" s="80">
        <f>IFERROR(W217*I217/H217,"0")</f>
        <v/>
      </c>
      <c r="BM217" s="80">
        <f>IFERROR(X217*I217/H217,"0")</f>
        <v/>
      </c>
      <c r="BN217" s="80">
        <f>IFERROR(1/J217*(W217/H217),"0")</f>
        <v/>
      </c>
      <c r="BO217" s="80">
        <f>IFERROR(1/J217*(X217/H217),"0")</f>
        <v/>
      </c>
    </row>
    <row r="218" ht="27" customHeight="1">
      <c r="A218" s="64" t="inlineStr">
        <is>
          <t>SU003270</t>
        </is>
      </c>
      <c r="B218" s="64" t="inlineStr">
        <is>
          <t>P003944</t>
        </is>
      </c>
      <c r="C218" s="37" t="n">
        <v>4301011720</v>
      </c>
      <c r="D218" s="401" t="n">
        <v>4680115884199</v>
      </c>
      <c r="E218" s="791" t="n"/>
      <c r="F218" s="825" t="n">
        <v>0.37</v>
      </c>
      <c r="G218" s="38" t="n">
        <v>10</v>
      </c>
      <c r="H218" s="825" t="n">
        <v>3.7</v>
      </c>
      <c r="I218" s="825" t="n">
        <v>3.94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9" t="n"/>
      <c r="N218" s="38" t="n">
        <v>55</v>
      </c>
      <c r="O218" s="959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P218" s="827" t="n"/>
      <c r="Q218" s="827" t="n"/>
      <c r="R218" s="827" t="n"/>
      <c r="S218" s="791" t="n"/>
      <c r="T218" s="40" t="inlineStr"/>
      <c r="U218" s="40" t="inlineStr"/>
      <c r="V218" s="41" t="inlineStr">
        <is>
          <t>кг</t>
        </is>
      </c>
      <c r="W218" s="828" t="n">
        <v>0</v>
      </c>
      <c r="X218" s="829">
        <f>IFERROR(IF(W218="",0,CEILING((W218/$H218),1)*$H218),"")</f>
        <v/>
      </c>
      <c r="Y218" s="42">
        <f>IFERROR(IF(X218=0,"",ROUNDUP(X218/H218,0)*0.00937),"")</f>
        <v/>
      </c>
      <c r="Z218" s="69" t="inlineStr"/>
      <c r="AA218" s="70" t="inlineStr"/>
      <c r="AE218" s="80" t="n"/>
      <c r="BB218" s="207" t="inlineStr">
        <is>
          <t>КИ</t>
        </is>
      </c>
      <c r="BL218" s="80">
        <f>IFERROR(W218*I218/H218,"0")</f>
        <v/>
      </c>
      <c r="BM218" s="80">
        <f>IFERROR(X218*I218/H218,"0")</f>
        <v/>
      </c>
      <c r="BN218" s="80">
        <f>IFERROR(1/J218*(W218/H218),"0")</f>
        <v/>
      </c>
      <c r="BO218" s="80">
        <f>IFERROR(1/J218*(X218/H218),"0")</f>
        <v/>
      </c>
    </row>
    <row r="219" ht="27" customHeight="1">
      <c r="A219" s="64" t="inlineStr">
        <is>
          <t>SU003266</t>
        </is>
      </c>
      <c r="B219" s="64" t="inlineStr">
        <is>
          <t>P003940</t>
        </is>
      </c>
      <c r="C219" s="37" t="n">
        <v>4301011716</v>
      </c>
      <c r="D219" s="401" t="n">
        <v>4680115884267</v>
      </c>
      <c r="E219" s="791" t="n"/>
      <c r="F219" s="825" t="n">
        <v>0.4</v>
      </c>
      <c r="G219" s="38" t="n">
        <v>10</v>
      </c>
      <c r="H219" s="825" t="n">
        <v>4</v>
      </c>
      <c r="I219" s="825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9" t="n"/>
      <c r="N219" s="38" t="n">
        <v>55</v>
      </c>
      <c r="O219" s="960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P219" s="827" t="n"/>
      <c r="Q219" s="827" t="n"/>
      <c r="R219" s="827" t="n"/>
      <c r="S219" s="791" t="n"/>
      <c r="T219" s="40" t="inlineStr"/>
      <c r="U219" s="40" t="inlineStr"/>
      <c r="V219" s="41" t="inlineStr">
        <is>
          <t>кг</t>
        </is>
      </c>
      <c r="W219" s="828" t="n">
        <v>12</v>
      </c>
      <c r="X219" s="829">
        <f>IFERROR(IF(W219="",0,CEILING((W219/$H219),1)*$H219),"")</f>
        <v/>
      </c>
      <c r="Y219" s="42">
        <f>IFERROR(IF(X219=0,"",ROUNDUP(X219/H219,0)*0.00937),"")</f>
        <v/>
      </c>
      <c r="Z219" s="69" t="inlineStr"/>
      <c r="AA219" s="70" t="inlineStr"/>
      <c r="AE219" s="80" t="n"/>
      <c r="BB219" s="208" t="inlineStr">
        <is>
          <t>КИ</t>
        </is>
      </c>
      <c r="BL219" s="80">
        <f>IFERROR(W219*I219/H219,"0")</f>
        <v/>
      </c>
      <c r="BM219" s="80">
        <f>IFERROR(X219*I219/H219,"0")</f>
        <v/>
      </c>
      <c r="BN219" s="80">
        <f>IFERROR(1/J219*(W219/H219),"0")</f>
        <v/>
      </c>
      <c r="BO219" s="80">
        <f>IFERROR(1/J219*(X219/H219),"0")</f>
        <v/>
      </c>
    </row>
    <row r="220" ht="27" customHeight="1">
      <c r="A220" s="64" t="inlineStr">
        <is>
          <t>SU003051</t>
        </is>
      </c>
      <c r="B220" s="64" t="inlineStr">
        <is>
          <t>P003605</t>
        </is>
      </c>
      <c r="C220" s="37" t="n">
        <v>4301011593</v>
      </c>
      <c r="D220" s="401" t="n">
        <v>4680115882973</v>
      </c>
      <c r="E220" s="791" t="n"/>
      <c r="F220" s="825" t="n">
        <v>0.7</v>
      </c>
      <c r="G220" s="38" t="n">
        <v>6</v>
      </c>
      <c r="H220" s="825" t="n">
        <v>4.2</v>
      </c>
      <c r="I220" s="825" t="n">
        <v>4.56</v>
      </c>
      <c r="J220" s="38" t="n">
        <v>104</v>
      </c>
      <c r="K220" s="38" t="inlineStr">
        <is>
          <t>8</t>
        </is>
      </c>
      <c r="L220" s="39" t="inlineStr">
        <is>
          <t>СК1</t>
        </is>
      </c>
      <c r="M220" s="39" t="n"/>
      <c r="N220" s="38" t="n">
        <v>55</v>
      </c>
      <c r="O220" s="961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/>
      </c>
      <c r="P220" s="827" t="n"/>
      <c r="Q220" s="827" t="n"/>
      <c r="R220" s="827" t="n"/>
      <c r="S220" s="791" t="n"/>
      <c r="T220" s="40" t="inlineStr"/>
      <c r="U220" s="40" t="inlineStr"/>
      <c r="V220" s="41" t="inlineStr">
        <is>
          <t>кг</t>
        </is>
      </c>
      <c r="W220" s="828" t="n">
        <v>0</v>
      </c>
      <c r="X220" s="829">
        <f>IFERROR(IF(W220="",0,CEILING((W220/$H220),1)*$H220),"")</f>
        <v/>
      </c>
      <c r="Y220" s="42">
        <f>IFERROR(IF(X220=0,"",ROUNDUP(X220/H220,0)*0.01196),"")</f>
        <v/>
      </c>
      <c r="Z220" s="69" t="inlineStr"/>
      <c r="AA220" s="70" t="inlineStr"/>
      <c r="AE220" s="80" t="n"/>
      <c r="BB220" s="209" t="inlineStr">
        <is>
          <t>КИ</t>
        </is>
      </c>
      <c r="BL220" s="80">
        <f>IFERROR(W220*I220/H220,"0")</f>
        <v/>
      </c>
      <c r="BM220" s="80">
        <f>IFERROR(X220*I220/H220,"0")</f>
        <v/>
      </c>
      <c r="BN220" s="80">
        <f>IFERROR(1/J220*(W220/H220),"0")</f>
        <v/>
      </c>
      <c r="BO220" s="80">
        <f>IFERROR(1/J220*(X220/H220),"0")</f>
        <v/>
      </c>
    </row>
    <row r="221">
      <c r="A221" s="408" t="n"/>
      <c r="B221" s="398" t="n"/>
      <c r="C221" s="398" t="n"/>
      <c r="D221" s="398" t="n"/>
      <c r="E221" s="398" t="n"/>
      <c r="F221" s="398" t="n"/>
      <c r="G221" s="398" t="n"/>
      <c r="H221" s="398" t="n"/>
      <c r="I221" s="398" t="n"/>
      <c r="J221" s="398" t="n"/>
      <c r="K221" s="398" t="n"/>
      <c r="L221" s="398" t="n"/>
      <c r="M221" s="398" t="n"/>
      <c r="N221" s="831" t="n"/>
      <c r="O221" s="832" t="inlineStr">
        <is>
          <t>Итого</t>
        </is>
      </c>
      <c r="P221" s="799" t="n"/>
      <c r="Q221" s="799" t="n"/>
      <c r="R221" s="799" t="n"/>
      <c r="S221" s="799" t="n"/>
      <c r="T221" s="799" t="n"/>
      <c r="U221" s="800" t="n"/>
      <c r="V221" s="43" t="inlineStr">
        <is>
          <t>кор</t>
        </is>
      </c>
      <c r="W221" s="833">
        <f>IFERROR(W214/H214,"0")+IFERROR(W215/H215,"0")+IFERROR(W216/H216,"0")+IFERROR(W217/H217,"0")+IFERROR(W218/H218,"0")+IFERROR(W219/H219,"0")+IFERROR(W220/H220,"0")</f>
        <v/>
      </c>
      <c r="X221" s="833">
        <f>IFERROR(X214/H214,"0")+IFERROR(X215/H215,"0")+IFERROR(X216/H216,"0")+IFERROR(X217/H217,"0")+IFERROR(X218/H218,"0")+IFERROR(X219/H219,"0")+IFERROR(X220/H220,"0")</f>
        <v/>
      </c>
      <c r="Y221" s="833">
        <f>IFERROR(IF(Y214="",0,Y214),"0")+IFERROR(IF(Y215="",0,Y215),"0")+IFERROR(IF(Y216="",0,Y216),"0")+IFERROR(IF(Y217="",0,Y217),"0")+IFERROR(IF(Y218="",0,Y218),"0")+IFERROR(IF(Y219="",0,Y219),"0")+IFERROR(IF(Y220="",0,Y220),"0")</f>
        <v/>
      </c>
      <c r="Z221" s="834" t="n"/>
      <c r="AA221" s="834" t="n"/>
    </row>
    <row r="222">
      <c r="A222" s="398" t="n"/>
      <c r="B222" s="398" t="n"/>
      <c r="C222" s="398" t="n"/>
      <c r="D222" s="398" t="n"/>
      <c r="E222" s="398" t="n"/>
      <c r="F222" s="398" t="n"/>
      <c r="G222" s="398" t="n"/>
      <c r="H222" s="398" t="n"/>
      <c r="I222" s="398" t="n"/>
      <c r="J222" s="398" t="n"/>
      <c r="K222" s="398" t="n"/>
      <c r="L222" s="398" t="n"/>
      <c r="M222" s="398" t="n"/>
      <c r="N222" s="831" t="n"/>
      <c r="O222" s="832" t="inlineStr">
        <is>
          <t>Итого</t>
        </is>
      </c>
      <c r="P222" s="799" t="n"/>
      <c r="Q222" s="799" t="n"/>
      <c r="R222" s="799" t="n"/>
      <c r="S222" s="799" t="n"/>
      <c r="T222" s="799" t="n"/>
      <c r="U222" s="800" t="n"/>
      <c r="V222" s="43" t="inlineStr">
        <is>
          <t>кг</t>
        </is>
      </c>
      <c r="W222" s="833">
        <f>IFERROR(SUM(W214:W220),"0")</f>
        <v/>
      </c>
      <c r="X222" s="833">
        <f>IFERROR(SUM(X214:X220),"0")</f>
        <v/>
      </c>
      <c r="Y222" s="43" t="n"/>
      <c r="Z222" s="834" t="n"/>
      <c r="AA222" s="834" t="n"/>
    </row>
    <row r="223" ht="14.25" customHeight="1">
      <c r="A223" s="409" t="inlineStr">
        <is>
          <t>Копченые колбасы</t>
        </is>
      </c>
      <c r="B223" s="398" t="n"/>
      <c r="C223" s="398" t="n"/>
      <c r="D223" s="398" t="n"/>
      <c r="E223" s="398" t="n"/>
      <c r="F223" s="398" t="n"/>
      <c r="G223" s="398" t="n"/>
      <c r="H223" s="398" t="n"/>
      <c r="I223" s="398" t="n"/>
      <c r="J223" s="398" t="n"/>
      <c r="K223" s="398" t="n"/>
      <c r="L223" s="398" t="n"/>
      <c r="M223" s="398" t="n"/>
      <c r="N223" s="398" t="n"/>
      <c r="O223" s="398" t="n"/>
      <c r="P223" s="398" t="n"/>
      <c r="Q223" s="398" t="n"/>
      <c r="R223" s="398" t="n"/>
      <c r="S223" s="398" t="n"/>
      <c r="T223" s="398" t="n"/>
      <c r="U223" s="398" t="n"/>
      <c r="V223" s="398" t="n"/>
      <c r="W223" s="398" t="n"/>
      <c r="X223" s="398" t="n"/>
      <c r="Y223" s="398" t="n"/>
      <c r="Z223" s="409" t="n"/>
      <c r="AA223" s="409" t="n"/>
    </row>
    <row r="224" ht="27" customHeight="1">
      <c r="A224" s="64" t="inlineStr">
        <is>
          <t>SU002617</t>
        </is>
      </c>
      <c r="B224" s="64" t="inlineStr">
        <is>
          <t>P004229</t>
        </is>
      </c>
      <c r="C224" s="37" t="n">
        <v>4301031305</v>
      </c>
      <c r="D224" s="401" t="n">
        <v>4607091389845</v>
      </c>
      <c r="E224" s="791" t="n"/>
      <c r="F224" s="825" t="n">
        <v>0.35</v>
      </c>
      <c r="G224" s="38" t="n">
        <v>6</v>
      </c>
      <c r="H224" s="825" t="n">
        <v>2.1</v>
      </c>
      <c r="I224" s="825" t="n">
        <v>2.2</v>
      </c>
      <c r="J224" s="38" t="n">
        <v>234</v>
      </c>
      <c r="K224" s="38" t="inlineStr">
        <is>
          <t>18</t>
        </is>
      </c>
      <c r="L224" s="39" t="inlineStr">
        <is>
          <t>СК2</t>
        </is>
      </c>
      <c r="M224" s="39" t="n"/>
      <c r="N224" s="38" t="n">
        <v>40</v>
      </c>
      <c r="O224" s="962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/>
      </c>
      <c r="P224" s="827" t="n"/>
      <c r="Q224" s="827" t="n"/>
      <c r="R224" s="827" t="n"/>
      <c r="S224" s="791" t="n"/>
      <c r="T224" s="40" t="inlineStr"/>
      <c r="U224" s="40" t="inlineStr"/>
      <c r="V224" s="41" t="inlineStr">
        <is>
          <t>кг</t>
        </is>
      </c>
      <c r="W224" s="828" t="n">
        <v>140</v>
      </c>
      <c r="X224" s="829">
        <f>IFERROR(IF(W224="",0,CEILING((W224/$H224),1)*$H224),"")</f>
        <v/>
      </c>
      <c r="Y224" s="42">
        <f>IFERROR(IF(X224=0,"",ROUNDUP(X224/H224,0)*0.00502),"")</f>
        <v/>
      </c>
      <c r="Z224" s="69" t="inlineStr"/>
      <c r="AA224" s="70" t="inlineStr"/>
      <c r="AE224" s="80" t="n"/>
      <c r="BB224" s="210" t="inlineStr">
        <is>
          <t>КИ</t>
        </is>
      </c>
      <c r="BL224" s="80">
        <f>IFERROR(W224*I224/H224,"0")</f>
        <v/>
      </c>
      <c r="BM224" s="80">
        <f>IFERROR(X224*I224/H224,"0")</f>
        <v/>
      </c>
      <c r="BN224" s="80">
        <f>IFERROR(1/J224*(W224/H224),"0")</f>
        <v/>
      </c>
      <c r="BO224" s="80">
        <f>IFERROR(1/J224*(X224/H224),"0")</f>
        <v/>
      </c>
    </row>
    <row r="225" ht="27" customHeight="1">
      <c r="A225" s="64" t="inlineStr">
        <is>
          <t>SU003084</t>
        </is>
      </c>
      <c r="B225" s="64" t="inlineStr">
        <is>
          <t>P004230</t>
        </is>
      </c>
      <c r="C225" s="37" t="n">
        <v>4301031306</v>
      </c>
      <c r="D225" s="401" t="n">
        <v>4680115882881</v>
      </c>
      <c r="E225" s="791" t="n"/>
      <c r="F225" s="825" t="n">
        <v>0.28</v>
      </c>
      <c r="G225" s="38" t="n">
        <v>6</v>
      </c>
      <c r="H225" s="825" t="n">
        <v>1.68</v>
      </c>
      <c r="I225" s="825" t="n">
        <v>1.81</v>
      </c>
      <c r="J225" s="38" t="n">
        <v>234</v>
      </c>
      <c r="K225" s="38" t="inlineStr">
        <is>
          <t>18</t>
        </is>
      </c>
      <c r="L225" s="39" t="inlineStr">
        <is>
          <t>СК2</t>
        </is>
      </c>
      <c r="M225" s="39" t="n"/>
      <c r="N225" s="38" t="n">
        <v>40</v>
      </c>
      <c r="O225" s="963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/>
      </c>
      <c r="P225" s="827" t="n"/>
      <c r="Q225" s="827" t="n"/>
      <c r="R225" s="827" t="n"/>
      <c r="S225" s="791" t="n"/>
      <c r="T225" s="40" t="inlineStr"/>
      <c r="U225" s="40" t="inlineStr"/>
      <c r="V225" s="41" t="inlineStr">
        <is>
          <t>кг</t>
        </is>
      </c>
      <c r="W225" s="828" t="n">
        <v>0</v>
      </c>
      <c r="X225" s="829">
        <f>IFERROR(IF(W225="",0,CEILING((W225/$H225),1)*$H225),"")</f>
        <v/>
      </c>
      <c r="Y225" s="42">
        <f>IFERROR(IF(X225=0,"",ROUNDUP(X225/H225,0)*0.00502),"")</f>
        <v/>
      </c>
      <c r="Z225" s="69" t="inlineStr"/>
      <c r="AA225" s="70" t="inlineStr"/>
      <c r="AE225" s="80" t="n"/>
      <c r="BB225" s="211" t="inlineStr">
        <is>
          <t>КИ</t>
        </is>
      </c>
      <c r="BL225" s="80">
        <f>IFERROR(W225*I225/H225,"0")</f>
        <v/>
      </c>
      <c r="BM225" s="80">
        <f>IFERROR(X225*I225/H225,"0")</f>
        <v/>
      </c>
      <c r="BN225" s="80">
        <f>IFERROR(1/J225*(W225/H225),"0")</f>
        <v/>
      </c>
      <c r="BO225" s="80">
        <f>IFERROR(1/J225*(X225/H225),"0")</f>
        <v/>
      </c>
    </row>
    <row r="226">
      <c r="A226" s="408" t="n"/>
      <c r="B226" s="398" t="n"/>
      <c r="C226" s="398" t="n"/>
      <c r="D226" s="398" t="n"/>
      <c r="E226" s="398" t="n"/>
      <c r="F226" s="398" t="n"/>
      <c r="G226" s="398" t="n"/>
      <c r="H226" s="398" t="n"/>
      <c r="I226" s="398" t="n"/>
      <c r="J226" s="398" t="n"/>
      <c r="K226" s="398" t="n"/>
      <c r="L226" s="398" t="n"/>
      <c r="M226" s="398" t="n"/>
      <c r="N226" s="831" t="n"/>
      <c r="O226" s="832" t="inlineStr">
        <is>
          <t>Итого</t>
        </is>
      </c>
      <c r="P226" s="799" t="n"/>
      <c r="Q226" s="799" t="n"/>
      <c r="R226" s="799" t="n"/>
      <c r="S226" s="799" t="n"/>
      <c r="T226" s="799" t="n"/>
      <c r="U226" s="800" t="n"/>
      <c r="V226" s="43" t="inlineStr">
        <is>
          <t>кор</t>
        </is>
      </c>
      <c r="W226" s="833">
        <f>IFERROR(W224/H224,"0")+IFERROR(W225/H225,"0")</f>
        <v/>
      </c>
      <c r="X226" s="833">
        <f>IFERROR(X224/H224,"0")+IFERROR(X225/H225,"0")</f>
        <v/>
      </c>
      <c r="Y226" s="833">
        <f>IFERROR(IF(Y224="",0,Y224),"0")+IFERROR(IF(Y225="",0,Y225),"0")</f>
        <v/>
      </c>
      <c r="Z226" s="834" t="n"/>
      <c r="AA226" s="834" t="n"/>
    </row>
    <row r="227">
      <c r="A227" s="398" t="n"/>
      <c r="B227" s="398" t="n"/>
      <c r="C227" s="398" t="n"/>
      <c r="D227" s="398" t="n"/>
      <c r="E227" s="398" t="n"/>
      <c r="F227" s="398" t="n"/>
      <c r="G227" s="398" t="n"/>
      <c r="H227" s="398" t="n"/>
      <c r="I227" s="398" t="n"/>
      <c r="J227" s="398" t="n"/>
      <c r="K227" s="398" t="n"/>
      <c r="L227" s="398" t="n"/>
      <c r="M227" s="398" t="n"/>
      <c r="N227" s="831" t="n"/>
      <c r="O227" s="832" t="inlineStr">
        <is>
          <t>Итого</t>
        </is>
      </c>
      <c r="P227" s="799" t="n"/>
      <c r="Q227" s="799" t="n"/>
      <c r="R227" s="799" t="n"/>
      <c r="S227" s="799" t="n"/>
      <c r="T227" s="799" t="n"/>
      <c r="U227" s="800" t="n"/>
      <c r="V227" s="43" t="inlineStr">
        <is>
          <t>кг</t>
        </is>
      </c>
      <c r="W227" s="833">
        <f>IFERROR(SUM(W224:W225),"0")</f>
        <v/>
      </c>
      <c r="X227" s="833">
        <f>IFERROR(SUM(X224:X225),"0")</f>
        <v/>
      </c>
      <c r="Y227" s="43" t="n"/>
      <c r="Z227" s="834" t="n"/>
      <c r="AA227" s="834" t="n"/>
    </row>
    <row r="228" ht="16.5" customHeight="1">
      <c r="A228" s="439" t="inlineStr">
        <is>
          <t>Стародворская</t>
        </is>
      </c>
      <c r="B228" s="398" t="n"/>
      <c r="C228" s="398" t="n"/>
      <c r="D228" s="398" t="n"/>
      <c r="E228" s="398" t="n"/>
      <c r="F228" s="398" t="n"/>
      <c r="G228" s="398" t="n"/>
      <c r="H228" s="398" t="n"/>
      <c r="I228" s="398" t="n"/>
      <c r="J228" s="398" t="n"/>
      <c r="K228" s="398" t="n"/>
      <c r="L228" s="398" t="n"/>
      <c r="M228" s="398" t="n"/>
      <c r="N228" s="398" t="n"/>
      <c r="O228" s="398" t="n"/>
      <c r="P228" s="398" t="n"/>
      <c r="Q228" s="398" t="n"/>
      <c r="R228" s="398" t="n"/>
      <c r="S228" s="398" t="n"/>
      <c r="T228" s="398" t="n"/>
      <c r="U228" s="398" t="n"/>
      <c r="V228" s="398" t="n"/>
      <c r="W228" s="398" t="n"/>
      <c r="X228" s="398" t="n"/>
      <c r="Y228" s="398" t="n"/>
      <c r="Z228" s="439" t="n"/>
      <c r="AA228" s="439" t="n"/>
    </row>
    <row r="229" ht="14.25" customHeight="1">
      <c r="A229" s="409" t="inlineStr">
        <is>
          <t>Вареные колбасы</t>
        </is>
      </c>
      <c r="B229" s="398" t="n"/>
      <c r="C229" s="398" t="n"/>
      <c r="D229" s="398" t="n"/>
      <c r="E229" s="398" t="n"/>
      <c r="F229" s="398" t="n"/>
      <c r="G229" s="398" t="n"/>
      <c r="H229" s="398" t="n"/>
      <c r="I229" s="398" t="n"/>
      <c r="J229" s="398" t="n"/>
      <c r="K229" s="398" t="n"/>
      <c r="L229" s="398" t="n"/>
      <c r="M229" s="398" t="n"/>
      <c r="N229" s="398" t="n"/>
      <c r="O229" s="398" t="n"/>
      <c r="P229" s="398" t="n"/>
      <c r="Q229" s="398" t="n"/>
      <c r="R229" s="398" t="n"/>
      <c r="S229" s="398" t="n"/>
      <c r="T229" s="398" t="n"/>
      <c r="U229" s="398" t="n"/>
      <c r="V229" s="398" t="n"/>
      <c r="W229" s="398" t="n"/>
      <c r="X229" s="398" t="n"/>
      <c r="Y229" s="398" t="n"/>
      <c r="Z229" s="409" t="n"/>
      <c r="AA229" s="409" t="n"/>
    </row>
    <row r="230" ht="27" customHeight="1">
      <c r="A230" s="64" t="inlineStr">
        <is>
          <t>SU003273</t>
        </is>
      </c>
      <c r="B230" s="64" t="inlineStr">
        <is>
          <t>P004070</t>
        </is>
      </c>
      <c r="C230" s="37" t="n">
        <v>4301011826</v>
      </c>
      <c r="D230" s="401" t="n">
        <v>4680115884137</v>
      </c>
      <c r="E230" s="791" t="n"/>
      <c r="F230" s="825" t="n">
        <v>1.45</v>
      </c>
      <c r="G230" s="38" t="n">
        <v>8</v>
      </c>
      <c r="H230" s="825" t="n">
        <v>11.6</v>
      </c>
      <c r="I230" s="825" t="n">
        <v>12.08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9" t="n"/>
      <c r="N230" s="38" t="n">
        <v>55</v>
      </c>
      <c r="O230" s="964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P230" s="827" t="n"/>
      <c r="Q230" s="827" t="n"/>
      <c r="R230" s="827" t="n"/>
      <c r="S230" s="791" t="n"/>
      <c r="T230" s="40" t="inlineStr"/>
      <c r="U230" s="40" t="inlineStr"/>
      <c r="V230" s="41" t="inlineStr">
        <is>
          <t>кг</t>
        </is>
      </c>
      <c r="W230" s="828" t="n">
        <v>80</v>
      </c>
      <c r="X230" s="829">
        <f>IFERROR(IF(W230="",0,CEILING((W230/$H230),1)*$H230),"")</f>
        <v/>
      </c>
      <c r="Y230" s="42">
        <f>IFERROR(IF(X230=0,"",ROUNDUP(X230/H230,0)*0.02175),"")</f>
        <v/>
      </c>
      <c r="Z230" s="69" t="inlineStr"/>
      <c r="AA230" s="70" t="inlineStr"/>
      <c r="AE230" s="80" t="n"/>
      <c r="BB230" s="212" t="inlineStr">
        <is>
          <t>КИ</t>
        </is>
      </c>
      <c r="BL230" s="80">
        <f>IFERROR(W230*I230/H230,"0")</f>
        <v/>
      </c>
      <c r="BM230" s="80">
        <f>IFERROR(X230*I230/H230,"0")</f>
        <v/>
      </c>
      <c r="BN230" s="80">
        <f>IFERROR(1/J230*(W230/H230),"0")</f>
        <v/>
      </c>
      <c r="BO230" s="80">
        <f>IFERROR(1/J230*(X230/H230),"0")</f>
        <v/>
      </c>
    </row>
    <row r="231" ht="27" customHeight="1">
      <c r="A231" s="64" t="inlineStr">
        <is>
          <t>SU003273</t>
        </is>
      </c>
      <c r="B231" s="64" t="inlineStr">
        <is>
          <t>P004316</t>
        </is>
      </c>
      <c r="C231" s="37" t="n">
        <v>4301011942</v>
      </c>
      <c r="D231" s="401" t="n">
        <v>4680115884137</v>
      </c>
      <c r="E231" s="791" t="n"/>
      <c r="F231" s="825" t="n">
        <v>1.45</v>
      </c>
      <c r="G231" s="38" t="n">
        <v>8</v>
      </c>
      <c r="H231" s="825" t="n">
        <v>11.6</v>
      </c>
      <c r="I231" s="825" t="n">
        <v>12.08</v>
      </c>
      <c r="J231" s="38" t="n">
        <v>48</v>
      </c>
      <c r="K231" s="38" t="inlineStr">
        <is>
          <t>8</t>
        </is>
      </c>
      <c r="L231" s="39" t="inlineStr">
        <is>
          <t>ВЗ</t>
        </is>
      </c>
      <c r="M231" s="39" t="n"/>
      <c r="N231" s="38" t="n">
        <v>55</v>
      </c>
      <c r="O231" s="965" t="inlineStr">
        <is>
          <t>Вареные колбасы «Молочная Стародворская с молоком» Весовой п/а ТМ «Стародворье»</t>
        </is>
      </c>
      <c r="P231" s="827" t="n"/>
      <c r="Q231" s="827" t="n"/>
      <c r="R231" s="827" t="n"/>
      <c r="S231" s="791" t="n"/>
      <c r="T231" s="40" t="inlineStr"/>
      <c r="U231" s="40" t="inlineStr"/>
      <c r="V231" s="41" t="inlineStr">
        <is>
          <t>кг</t>
        </is>
      </c>
      <c r="W231" s="828" t="n">
        <v>0</v>
      </c>
      <c r="X231" s="829">
        <f>IFERROR(IF(W231="",0,CEILING((W231/$H231),1)*$H231),"")</f>
        <v/>
      </c>
      <c r="Y231" s="42">
        <f>IFERROR(IF(X231=0,"",ROUNDUP(X231/H231,0)*0.02039),"")</f>
        <v/>
      </c>
      <c r="Z231" s="69" t="inlineStr"/>
      <c r="AA231" s="70" t="inlineStr"/>
      <c r="AE231" s="80" t="n"/>
      <c r="BB231" s="213" t="inlineStr">
        <is>
          <t>КИ</t>
        </is>
      </c>
      <c r="BL231" s="80">
        <f>IFERROR(W231*I231/H231,"0")</f>
        <v/>
      </c>
      <c r="BM231" s="80">
        <f>IFERROR(X231*I231/H231,"0")</f>
        <v/>
      </c>
      <c r="BN231" s="80">
        <f>IFERROR(1/J231*(W231/H231),"0")</f>
        <v/>
      </c>
      <c r="BO231" s="80">
        <f>IFERROR(1/J231*(X231/H231),"0")</f>
        <v/>
      </c>
    </row>
    <row r="232" ht="27" customHeight="1">
      <c r="A232" s="64" t="inlineStr">
        <is>
          <t>SU003275</t>
        </is>
      </c>
      <c r="B232" s="64" t="inlineStr">
        <is>
          <t>P003950</t>
        </is>
      </c>
      <c r="C232" s="37" t="n">
        <v>4301011724</v>
      </c>
      <c r="D232" s="401" t="n">
        <v>4680115884236</v>
      </c>
      <c r="E232" s="791" t="n"/>
      <c r="F232" s="825" t="n">
        <v>1.45</v>
      </c>
      <c r="G232" s="38" t="n">
        <v>8</v>
      </c>
      <c r="H232" s="825" t="n">
        <v>11.6</v>
      </c>
      <c r="I232" s="825" t="n">
        <v>12.08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9" t="n"/>
      <c r="N232" s="38" t="n">
        <v>55</v>
      </c>
      <c r="O232" s="966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P232" s="827" t="n"/>
      <c r="Q232" s="827" t="n"/>
      <c r="R232" s="827" t="n"/>
      <c r="S232" s="791" t="n"/>
      <c r="T232" s="40" t="inlineStr"/>
      <c r="U232" s="40" t="inlineStr"/>
      <c r="V232" s="41" t="inlineStr">
        <is>
          <t>кг</t>
        </is>
      </c>
      <c r="W232" s="828" t="n">
        <v>0</v>
      </c>
      <c r="X232" s="829">
        <f>IFERROR(IF(W232="",0,CEILING((W232/$H232),1)*$H232),"")</f>
        <v/>
      </c>
      <c r="Y232" s="42">
        <f>IFERROR(IF(X232=0,"",ROUNDUP(X232/H232,0)*0.02175),"")</f>
        <v/>
      </c>
      <c r="Z232" s="69" t="inlineStr"/>
      <c r="AA232" s="70" t="inlineStr"/>
      <c r="AE232" s="80" t="n"/>
      <c r="BB232" s="214" t="inlineStr">
        <is>
          <t>КИ</t>
        </is>
      </c>
      <c r="BL232" s="80">
        <f>IFERROR(W232*I232/H232,"0")</f>
        <v/>
      </c>
      <c r="BM232" s="80">
        <f>IFERROR(X232*I232/H232,"0")</f>
        <v/>
      </c>
      <c r="BN232" s="80">
        <f>IFERROR(1/J232*(W232/H232),"0")</f>
        <v/>
      </c>
      <c r="BO232" s="80">
        <f>IFERROR(1/J232*(X232/H232),"0")</f>
        <v/>
      </c>
    </row>
    <row r="233" ht="27" customHeight="1">
      <c r="A233" s="64" t="inlineStr">
        <is>
          <t>SU003271</t>
        </is>
      </c>
      <c r="B233" s="64" t="inlineStr">
        <is>
          <t>P003945</t>
        </is>
      </c>
      <c r="C233" s="37" t="n">
        <v>4301011721</v>
      </c>
      <c r="D233" s="401" t="n">
        <v>4680115884175</v>
      </c>
      <c r="E233" s="791" t="n"/>
      <c r="F233" s="825" t="n">
        <v>1.45</v>
      </c>
      <c r="G233" s="38" t="n">
        <v>8</v>
      </c>
      <c r="H233" s="825" t="n">
        <v>11.6</v>
      </c>
      <c r="I233" s="825" t="n">
        <v>12.08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9" t="n"/>
      <c r="N233" s="38" t="n">
        <v>55</v>
      </c>
      <c r="O233" s="967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P233" s="827" t="n"/>
      <c r="Q233" s="827" t="n"/>
      <c r="R233" s="827" t="n"/>
      <c r="S233" s="791" t="n"/>
      <c r="T233" s="40" t="inlineStr"/>
      <c r="U233" s="40" t="inlineStr"/>
      <c r="V233" s="41" t="inlineStr">
        <is>
          <t>кг</t>
        </is>
      </c>
      <c r="W233" s="828" t="n">
        <v>30</v>
      </c>
      <c r="X233" s="829">
        <f>IFERROR(IF(W233="",0,CEILING((W233/$H233),1)*$H233),"")</f>
        <v/>
      </c>
      <c r="Y233" s="42">
        <f>IFERROR(IF(X233=0,"",ROUNDUP(X233/H233,0)*0.02175),"")</f>
        <v/>
      </c>
      <c r="Z233" s="69" t="inlineStr"/>
      <c r="AA233" s="70" t="inlineStr"/>
      <c r="AE233" s="80" t="n"/>
      <c r="BB233" s="215" t="inlineStr">
        <is>
          <t>КИ</t>
        </is>
      </c>
      <c r="BL233" s="80">
        <f>IFERROR(W233*I233/H233,"0")</f>
        <v/>
      </c>
      <c r="BM233" s="80">
        <f>IFERROR(X233*I233/H233,"0")</f>
        <v/>
      </c>
      <c r="BN233" s="80">
        <f>IFERROR(1/J233*(W233/H233),"0")</f>
        <v/>
      </c>
      <c r="BO233" s="80">
        <f>IFERROR(1/J233*(X233/H233),"0")</f>
        <v/>
      </c>
    </row>
    <row r="234" ht="27" customHeight="1">
      <c r="A234" s="64" t="inlineStr">
        <is>
          <t>SU003274</t>
        </is>
      </c>
      <c r="B234" s="64" t="inlineStr">
        <is>
          <t>P004067</t>
        </is>
      </c>
      <c r="C234" s="37" t="n">
        <v>4301011824</v>
      </c>
      <c r="D234" s="401" t="n">
        <v>4680115884144</v>
      </c>
      <c r="E234" s="791" t="n"/>
      <c r="F234" s="825" t="n">
        <v>0.4</v>
      </c>
      <c r="G234" s="38" t="n">
        <v>10</v>
      </c>
      <c r="H234" s="825" t="n">
        <v>4</v>
      </c>
      <c r="I234" s="825" t="n">
        <v>4.24</v>
      </c>
      <c r="J234" s="38" t="n">
        <v>120</v>
      </c>
      <c r="K234" s="38" t="inlineStr">
        <is>
          <t>12</t>
        </is>
      </c>
      <c r="L234" s="39" t="inlineStr">
        <is>
          <t>СК1</t>
        </is>
      </c>
      <c r="M234" s="39" t="n"/>
      <c r="N234" s="38" t="n">
        <v>55</v>
      </c>
      <c r="O234" s="968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P234" s="827" t="n"/>
      <c r="Q234" s="827" t="n"/>
      <c r="R234" s="827" t="n"/>
      <c r="S234" s="791" t="n"/>
      <c r="T234" s="40" t="inlineStr"/>
      <c r="U234" s="40" t="inlineStr"/>
      <c r="V234" s="41" t="inlineStr">
        <is>
          <t>кг</t>
        </is>
      </c>
      <c r="W234" s="828" t="n">
        <v>8</v>
      </c>
      <c r="X234" s="829">
        <f>IFERROR(IF(W234="",0,CEILING((W234/$H234),1)*$H234),"")</f>
        <v/>
      </c>
      <c r="Y234" s="42">
        <f>IFERROR(IF(X234=0,"",ROUNDUP(X234/H234,0)*0.00937),"")</f>
        <v/>
      </c>
      <c r="Z234" s="69" t="inlineStr"/>
      <c r="AA234" s="70" t="inlineStr"/>
      <c r="AE234" s="80" t="n"/>
      <c r="BB234" s="216" t="inlineStr">
        <is>
          <t>КИ</t>
        </is>
      </c>
      <c r="BL234" s="80">
        <f>IFERROR(W234*I234/H234,"0")</f>
        <v/>
      </c>
      <c r="BM234" s="80">
        <f>IFERROR(X234*I234/H234,"0")</f>
        <v/>
      </c>
      <c r="BN234" s="80">
        <f>IFERROR(1/J234*(W234/H234),"0")</f>
        <v/>
      </c>
      <c r="BO234" s="80">
        <f>IFERROR(1/J234*(X234/H234),"0")</f>
        <v/>
      </c>
    </row>
    <row r="235" ht="27" customHeight="1">
      <c r="A235" s="64" t="inlineStr">
        <is>
          <t>SU003508</t>
        </is>
      </c>
      <c r="B235" s="64" t="inlineStr">
        <is>
          <t>P004417</t>
        </is>
      </c>
      <c r="C235" s="37" t="n">
        <v>4301011963</v>
      </c>
      <c r="D235" s="401" t="n">
        <v>4680115885288</v>
      </c>
      <c r="E235" s="791" t="n"/>
      <c r="F235" s="825" t="n">
        <v>0.37</v>
      </c>
      <c r="G235" s="38" t="n">
        <v>10</v>
      </c>
      <c r="H235" s="825" t="n">
        <v>3.7</v>
      </c>
      <c r="I235" s="825" t="n">
        <v>3.94</v>
      </c>
      <c r="J235" s="38" t="n">
        <v>120</v>
      </c>
      <c r="K235" s="38" t="inlineStr">
        <is>
          <t>12</t>
        </is>
      </c>
      <c r="L235" s="39" t="inlineStr">
        <is>
          <t>СК1</t>
        </is>
      </c>
      <c r="M235" s="39" t="n"/>
      <c r="N235" s="38" t="n">
        <v>55</v>
      </c>
      <c r="O235" s="969" t="inlineStr">
        <is>
          <t>Вареные колбасы «Стародворская Мясная» ф/в 0,37 п/а ТМ «Стародворье»</t>
        </is>
      </c>
      <c r="P235" s="827" t="n"/>
      <c r="Q235" s="827" t="n"/>
      <c r="R235" s="827" t="n"/>
      <c r="S235" s="791" t="n"/>
      <c r="T235" s="40" t="inlineStr"/>
      <c r="U235" s="40" t="inlineStr"/>
      <c r="V235" s="41" t="inlineStr">
        <is>
          <t>кг</t>
        </is>
      </c>
      <c r="W235" s="828" t="n">
        <v>0</v>
      </c>
      <c r="X235" s="829">
        <f>IFERROR(IF(W235="",0,CEILING((W235/$H235),1)*$H235),"")</f>
        <v/>
      </c>
      <c r="Y235" s="42">
        <f>IFERROR(IF(X235=0,"",ROUNDUP(X235/H235,0)*0.00937),"")</f>
        <v/>
      </c>
      <c r="Z235" s="69" t="inlineStr"/>
      <c r="AA235" s="70" t="inlineStr"/>
      <c r="AE235" s="80" t="n"/>
      <c r="BB235" s="217" t="inlineStr">
        <is>
          <t>КИ</t>
        </is>
      </c>
      <c r="BL235" s="80">
        <f>IFERROR(W235*I235/H235,"0")</f>
        <v/>
      </c>
      <c r="BM235" s="80">
        <f>IFERROR(X235*I235/H235,"0")</f>
        <v/>
      </c>
      <c r="BN235" s="80">
        <f>IFERROR(1/J235*(W235/H235),"0")</f>
        <v/>
      </c>
      <c r="BO235" s="80">
        <f>IFERROR(1/J235*(X235/H235),"0")</f>
        <v/>
      </c>
    </row>
    <row r="236" ht="27" customHeight="1">
      <c r="A236" s="64" t="inlineStr">
        <is>
          <t>SU003276</t>
        </is>
      </c>
      <c r="B236" s="64" t="inlineStr">
        <is>
          <t>P003956</t>
        </is>
      </c>
      <c r="C236" s="37" t="n">
        <v>4301011726</v>
      </c>
      <c r="D236" s="401" t="n">
        <v>4680115884182</v>
      </c>
      <c r="E236" s="791" t="n"/>
      <c r="F236" s="825" t="n">
        <v>0.37</v>
      </c>
      <c r="G236" s="38" t="n">
        <v>10</v>
      </c>
      <c r="H236" s="825" t="n">
        <v>3.7</v>
      </c>
      <c r="I236" s="825" t="n">
        <v>3.94</v>
      </c>
      <c r="J236" s="38" t="n">
        <v>120</v>
      </c>
      <c r="K236" s="38" t="inlineStr">
        <is>
          <t>12</t>
        </is>
      </c>
      <c r="L236" s="39" t="inlineStr">
        <is>
          <t>СК1</t>
        </is>
      </c>
      <c r="M236" s="39" t="n"/>
      <c r="N236" s="38" t="n">
        <v>55</v>
      </c>
      <c r="O236" s="970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P236" s="827" t="n"/>
      <c r="Q236" s="827" t="n"/>
      <c r="R236" s="827" t="n"/>
      <c r="S236" s="791" t="n"/>
      <c r="T236" s="40" t="inlineStr"/>
      <c r="U236" s="40" t="inlineStr"/>
      <c r="V236" s="41" t="inlineStr">
        <is>
          <t>кг</t>
        </is>
      </c>
      <c r="W236" s="828" t="n">
        <v>0</v>
      </c>
      <c r="X236" s="829">
        <f>IFERROR(IF(W236="",0,CEILING((W236/$H236),1)*$H236),"")</f>
        <v/>
      </c>
      <c r="Y236" s="42">
        <f>IFERROR(IF(X236=0,"",ROUNDUP(X236/H236,0)*0.00937),"")</f>
        <v/>
      </c>
      <c r="Z236" s="69" t="inlineStr"/>
      <c r="AA236" s="70" t="inlineStr"/>
      <c r="AE236" s="80" t="n"/>
      <c r="BB236" s="218" t="inlineStr">
        <is>
          <t>КИ</t>
        </is>
      </c>
      <c r="BL236" s="80">
        <f>IFERROR(W236*I236/H236,"0")</f>
        <v/>
      </c>
      <c r="BM236" s="80">
        <f>IFERROR(X236*I236/H236,"0")</f>
        <v/>
      </c>
      <c r="BN236" s="80">
        <f>IFERROR(1/J236*(W236/H236),"0")</f>
        <v/>
      </c>
      <c r="BO236" s="80">
        <f>IFERROR(1/J236*(X236/H236),"0")</f>
        <v/>
      </c>
    </row>
    <row r="237" ht="27" customHeight="1">
      <c r="A237" s="64" t="inlineStr">
        <is>
          <t>SU003272</t>
        </is>
      </c>
      <c r="B237" s="64" t="inlineStr">
        <is>
          <t>P003947</t>
        </is>
      </c>
      <c r="C237" s="37" t="n">
        <v>4301011722</v>
      </c>
      <c r="D237" s="401" t="n">
        <v>4680115884205</v>
      </c>
      <c r="E237" s="791" t="n"/>
      <c r="F237" s="825" t="n">
        <v>0.4</v>
      </c>
      <c r="G237" s="38" t="n">
        <v>10</v>
      </c>
      <c r="H237" s="825" t="n">
        <v>4</v>
      </c>
      <c r="I237" s="825" t="n">
        <v>4.24</v>
      </c>
      <c r="J237" s="38" t="n">
        <v>120</v>
      </c>
      <c r="K237" s="38" t="inlineStr">
        <is>
          <t>12</t>
        </is>
      </c>
      <c r="L237" s="39" t="inlineStr">
        <is>
          <t>СК1</t>
        </is>
      </c>
      <c r="M237" s="39" t="n"/>
      <c r="N237" s="38" t="n">
        <v>55</v>
      </c>
      <c r="O237" s="971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P237" s="827" t="n"/>
      <c r="Q237" s="827" t="n"/>
      <c r="R237" s="827" t="n"/>
      <c r="S237" s="791" t="n"/>
      <c r="T237" s="40" t="inlineStr"/>
      <c r="U237" s="40" t="inlineStr"/>
      <c r="V237" s="41" t="inlineStr">
        <is>
          <t>кг</t>
        </is>
      </c>
      <c r="W237" s="828" t="n">
        <v>32</v>
      </c>
      <c r="X237" s="829">
        <f>IFERROR(IF(W237="",0,CEILING((W237/$H237),1)*$H237),"")</f>
        <v/>
      </c>
      <c r="Y237" s="42">
        <f>IFERROR(IF(X237=0,"",ROUNDUP(X237/H237,0)*0.00937),"")</f>
        <v/>
      </c>
      <c r="Z237" s="69" t="inlineStr"/>
      <c r="AA237" s="70" t="inlineStr"/>
      <c r="AE237" s="80" t="n"/>
      <c r="BB237" s="219" t="inlineStr">
        <is>
          <t>КИ</t>
        </is>
      </c>
      <c r="BL237" s="80">
        <f>IFERROR(W237*I237/H237,"0")</f>
        <v/>
      </c>
      <c r="BM237" s="80">
        <f>IFERROR(X237*I237/H237,"0")</f>
        <v/>
      </c>
      <c r="BN237" s="80">
        <f>IFERROR(1/J237*(W237/H237),"0")</f>
        <v/>
      </c>
      <c r="BO237" s="80">
        <f>IFERROR(1/J237*(X237/H237),"0")</f>
        <v/>
      </c>
    </row>
    <row r="238">
      <c r="A238" s="408" t="n"/>
      <c r="B238" s="398" t="n"/>
      <c r="C238" s="398" t="n"/>
      <c r="D238" s="398" t="n"/>
      <c r="E238" s="398" t="n"/>
      <c r="F238" s="398" t="n"/>
      <c r="G238" s="398" t="n"/>
      <c r="H238" s="398" t="n"/>
      <c r="I238" s="398" t="n"/>
      <c r="J238" s="398" t="n"/>
      <c r="K238" s="398" t="n"/>
      <c r="L238" s="398" t="n"/>
      <c r="M238" s="398" t="n"/>
      <c r="N238" s="831" t="n"/>
      <c r="O238" s="832" t="inlineStr">
        <is>
          <t>Итого</t>
        </is>
      </c>
      <c r="P238" s="799" t="n"/>
      <c r="Q238" s="799" t="n"/>
      <c r="R238" s="799" t="n"/>
      <c r="S238" s="799" t="n"/>
      <c r="T238" s="799" t="n"/>
      <c r="U238" s="800" t="n"/>
      <c r="V238" s="43" t="inlineStr">
        <is>
          <t>кор</t>
        </is>
      </c>
      <c r="W238" s="833">
        <f>IFERROR(W230/H230,"0")+IFERROR(W231/H231,"0")+IFERROR(W232/H232,"0")+IFERROR(W233/H233,"0")+IFERROR(W234/H234,"0")+IFERROR(W235/H235,"0")+IFERROR(W236/H236,"0")+IFERROR(W237/H237,"0")</f>
        <v/>
      </c>
      <c r="X238" s="833">
        <f>IFERROR(X230/H230,"0")+IFERROR(X231/H231,"0")+IFERROR(X232/H232,"0")+IFERROR(X233/H233,"0")+IFERROR(X234/H234,"0")+IFERROR(X235/H235,"0")+IFERROR(X236/H236,"0")+IFERROR(X237/H237,"0")</f>
        <v/>
      </c>
      <c r="Y238" s="833">
        <f>IFERROR(IF(Y230="",0,Y230),"0")+IFERROR(IF(Y231="",0,Y231),"0")+IFERROR(IF(Y232="",0,Y232),"0")+IFERROR(IF(Y233="",0,Y233),"0")+IFERROR(IF(Y234="",0,Y234),"0")+IFERROR(IF(Y235="",0,Y235),"0")+IFERROR(IF(Y236="",0,Y236),"0")+IFERROR(IF(Y237="",0,Y237),"0")</f>
        <v/>
      </c>
      <c r="Z238" s="834" t="n"/>
      <c r="AA238" s="834" t="n"/>
    </row>
    <row r="239">
      <c r="A239" s="398" t="n"/>
      <c r="B239" s="398" t="n"/>
      <c r="C239" s="398" t="n"/>
      <c r="D239" s="398" t="n"/>
      <c r="E239" s="398" t="n"/>
      <c r="F239" s="398" t="n"/>
      <c r="G239" s="398" t="n"/>
      <c r="H239" s="398" t="n"/>
      <c r="I239" s="398" t="n"/>
      <c r="J239" s="398" t="n"/>
      <c r="K239" s="398" t="n"/>
      <c r="L239" s="398" t="n"/>
      <c r="M239" s="398" t="n"/>
      <c r="N239" s="831" t="n"/>
      <c r="O239" s="832" t="inlineStr">
        <is>
          <t>Итого</t>
        </is>
      </c>
      <c r="P239" s="799" t="n"/>
      <c r="Q239" s="799" t="n"/>
      <c r="R239" s="799" t="n"/>
      <c r="S239" s="799" t="n"/>
      <c r="T239" s="799" t="n"/>
      <c r="U239" s="800" t="n"/>
      <c r="V239" s="43" t="inlineStr">
        <is>
          <t>кг</t>
        </is>
      </c>
      <c r="W239" s="833">
        <f>IFERROR(SUM(W230:W237),"0")</f>
        <v/>
      </c>
      <c r="X239" s="833">
        <f>IFERROR(SUM(X230:X237),"0")</f>
        <v/>
      </c>
      <c r="Y239" s="43" t="n"/>
      <c r="Z239" s="834" t="n"/>
      <c r="AA239" s="834" t="n"/>
    </row>
    <row r="240" ht="16.5" customHeight="1">
      <c r="A240" s="439" t="inlineStr">
        <is>
          <t>Бордо</t>
        </is>
      </c>
      <c r="B240" s="398" t="n"/>
      <c r="C240" s="398" t="n"/>
      <c r="D240" s="398" t="n"/>
      <c r="E240" s="398" t="n"/>
      <c r="F240" s="398" t="n"/>
      <c r="G240" s="398" t="n"/>
      <c r="H240" s="398" t="n"/>
      <c r="I240" s="398" t="n"/>
      <c r="J240" s="398" t="n"/>
      <c r="K240" s="398" t="n"/>
      <c r="L240" s="398" t="n"/>
      <c r="M240" s="398" t="n"/>
      <c r="N240" s="398" t="n"/>
      <c r="O240" s="398" t="n"/>
      <c r="P240" s="398" t="n"/>
      <c r="Q240" s="398" t="n"/>
      <c r="R240" s="398" t="n"/>
      <c r="S240" s="398" t="n"/>
      <c r="T240" s="398" t="n"/>
      <c r="U240" s="398" t="n"/>
      <c r="V240" s="398" t="n"/>
      <c r="W240" s="398" t="n"/>
      <c r="X240" s="398" t="n"/>
      <c r="Y240" s="398" t="n"/>
      <c r="Z240" s="439" t="n"/>
      <c r="AA240" s="439" t="n"/>
    </row>
    <row r="241" ht="14.25" customHeight="1">
      <c r="A241" s="409" t="inlineStr">
        <is>
          <t>Вареные колбасы</t>
        </is>
      </c>
      <c r="B241" s="398" t="n"/>
      <c r="C241" s="398" t="n"/>
      <c r="D241" s="398" t="n"/>
      <c r="E241" s="398" t="n"/>
      <c r="F241" s="398" t="n"/>
      <c r="G241" s="398" t="n"/>
      <c r="H241" s="398" t="n"/>
      <c r="I241" s="398" t="n"/>
      <c r="J241" s="398" t="n"/>
      <c r="K241" s="398" t="n"/>
      <c r="L241" s="398" t="n"/>
      <c r="M241" s="398" t="n"/>
      <c r="N241" s="398" t="n"/>
      <c r="O241" s="398" t="n"/>
      <c r="P241" s="398" t="n"/>
      <c r="Q241" s="398" t="n"/>
      <c r="R241" s="398" t="n"/>
      <c r="S241" s="398" t="n"/>
      <c r="T241" s="398" t="n"/>
      <c r="U241" s="398" t="n"/>
      <c r="V241" s="398" t="n"/>
      <c r="W241" s="398" t="n"/>
      <c r="X241" s="398" t="n"/>
      <c r="Y241" s="398" t="n"/>
      <c r="Z241" s="409" t="n"/>
      <c r="AA241" s="409" t="n"/>
    </row>
    <row r="242" ht="27" customHeight="1">
      <c r="A242" s="64" t="inlineStr">
        <is>
          <t>SU003392</t>
        </is>
      </c>
      <c r="B242" s="64" t="inlineStr">
        <is>
          <t>P004210</t>
        </is>
      </c>
      <c r="C242" s="37" t="n">
        <v>4301012016</v>
      </c>
      <c r="D242" s="401" t="n">
        <v>4680115885554</v>
      </c>
      <c r="E242" s="791" t="n"/>
      <c r="F242" s="825" t="n">
        <v>1.35</v>
      </c>
      <c r="G242" s="38" t="n">
        <v>8</v>
      </c>
      <c r="H242" s="825" t="n">
        <v>10.8</v>
      </c>
      <c r="I242" s="825" t="n">
        <v>11.28</v>
      </c>
      <c r="J242" s="38" t="n">
        <v>56</v>
      </c>
      <c r="K242" s="38" t="inlineStr">
        <is>
          <t>8</t>
        </is>
      </c>
      <c r="L242" s="39" t="inlineStr">
        <is>
          <t>СК3</t>
        </is>
      </c>
      <c r="M242" s="39" t="n"/>
      <c r="N242" s="38" t="n">
        <v>55</v>
      </c>
      <c r="O242" s="972" t="inlineStr">
        <is>
          <t>Вареные колбасы «Стародворская Традиционная» Весовой п/а ТМ «Стародворье»</t>
        </is>
      </c>
      <c r="P242" s="827" t="n"/>
      <c r="Q242" s="827" t="n"/>
      <c r="R242" s="827" t="n"/>
      <c r="S242" s="791" t="n"/>
      <c r="T242" s="40" t="inlineStr"/>
      <c r="U242" s="40" t="inlineStr"/>
      <c r="V242" s="41" t="inlineStr">
        <is>
          <t>кг</t>
        </is>
      </c>
      <c r="W242" s="828" t="n">
        <v>0</v>
      </c>
      <c r="X242" s="829">
        <f>IFERROR(IF(W242="",0,CEILING((W242/$H242),1)*$H242),"")</f>
        <v/>
      </c>
      <c r="Y242" s="42">
        <f>IFERROR(IF(X242=0,"",ROUNDUP(X242/H242,0)*0.02175),"")</f>
        <v/>
      </c>
      <c r="Z242" s="69" t="inlineStr"/>
      <c r="AA242" s="70" t="inlineStr"/>
      <c r="AE242" s="80" t="n"/>
      <c r="BB242" s="220" t="inlineStr">
        <is>
          <t>КИ</t>
        </is>
      </c>
      <c r="BL242" s="80">
        <f>IFERROR(W242*I242/H242,"0")</f>
        <v/>
      </c>
      <c r="BM242" s="80">
        <f>IFERROR(X242*I242/H242,"0")</f>
        <v/>
      </c>
      <c r="BN242" s="80">
        <f>IFERROR(1/J242*(W242/H242),"0")</f>
        <v/>
      </c>
      <c r="BO242" s="80">
        <f>IFERROR(1/J242*(X242/H242),"0")</f>
        <v/>
      </c>
    </row>
    <row r="243" ht="27" customHeight="1">
      <c r="A243" s="64" t="inlineStr">
        <is>
          <t>SU003394</t>
        </is>
      </c>
      <c r="B243" s="64" t="inlineStr">
        <is>
          <t>P004213</t>
        </is>
      </c>
      <c r="C243" s="37" t="n">
        <v>4301012024</v>
      </c>
      <c r="D243" s="401" t="n">
        <v>4680115885615</v>
      </c>
      <c r="E243" s="791" t="n"/>
      <c r="F243" s="825" t="n">
        <v>1.35</v>
      </c>
      <c r="G243" s="38" t="n">
        <v>8</v>
      </c>
      <c r="H243" s="825" t="n">
        <v>10.8</v>
      </c>
      <c r="I243" s="825" t="n">
        <v>11.28</v>
      </c>
      <c r="J243" s="38" t="n">
        <v>56</v>
      </c>
      <c r="K243" s="38" t="inlineStr">
        <is>
          <t>8</t>
        </is>
      </c>
      <c r="L243" s="39" t="inlineStr">
        <is>
          <t>СК3</t>
        </is>
      </c>
      <c r="M243" s="39" t="n"/>
      <c r="N243" s="38" t="n">
        <v>55</v>
      </c>
      <c r="O243" s="973" t="inlineStr">
        <is>
          <t>Вареные колбасы «Молочная Традиционная» Весовой п/а ТМ «Стародворье»</t>
        </is>
      </c>
      <c r="P243" s="827" t="n"/>
      <c r="Q243" s="827" t="n"/>
      <c r="R243" s="827" t="n"/>
      <c r="S243" s="791" t="n"/>
      <c r="T243" s="40" t="inlineStr"/>
      <c r="U243" s="40" t="inlineStr"/>
      <c r="V243" s="41" t="inlineStr">
        <is>
          <t>кг</t>
        </is>
      </c>
      <c r="W243" s="828" t="n">
        <v>0</v>
      </c>
      <c r="X243" s="829">
        <f>IFERROR(IF(W243="",0,CEILING((W243/$H243),1)*$H243),"")</f>
        <v/>
      </c>
      <c r="Y243" s="42">
        <f>IFERROR(IF(X243=0,"",ROUNDUP(X243/H243,0)*0.02175),"")</f>
        <v/>
      </c>
      <c r="Z243" s="69" t="inlineStr"/>
      <c r="AA243" s="70" t="inlineStr"/>
      <c r="AE243" s="80" t="n"/>
      <c r="BB243" s="221" t="inlineStr">
        <is>
          <t>КИ</t>
        </is>
      </c>
      <c r="BL243" s="80">
        <f>IFERROR(W243*I243/H243,"0")</f>
        <v/>
      </c>
      <c r="BM243" s="80">
        <f>IFERROR(X243*I243/H243,"0")</f>
        <v/>
      </c>
      <c r="BN243" s="80">
        <f>IFERROR(1/J243*(W243/H243),"0")</f>
        <v/>
      </c>
      <c r="BO243" s="80">
        <f>IFERROR(1/J243*(X243/H243),"0")</f>
        <v/>
      </c>
    </row>
    <row r="244" ht="27" customHeight="1">
      <c r="A244" s="64" t="inlineStr">
        <is>
          <t>SU003396</t>
        </is>
      </c>
      <c r="B244" s="64" t="inlineStr">
        <is>
          <t>P004215</t>
        </is>
      </c>
      <c r="C244" s="37" t="n">
        <v>4301011858</v>
      </c>
      <c r="D244" s="401" t="n">
        <v>4680115885646</v>
      </c>
      <c r="E244" s="791" t="n"/>
      <c r="F244" s="825" t="n">
        <v>1.35</v>
      </c>
      <c r="G244" s="38" t="n">
        <v>8</v>
      </c>
      <c r="H244" s="825" t="n">
        <v>10.8</v>
      </c>
      <c r="I244" s="825" t="n">
        <v>11.28</v>
      </c>
      <c r="J244" s="38" t="n">
        <v>56</v>
      </c>
      <c r="K244" s="38" t="inlineStr">
        <is>
          <t>8</t>
        </is>
      </c>
      <c r="L244" s="39" t="inlineStr">
        <is>
          <t>СК1</t>
        </is>
      </c>
      <c r="M244" s="39" t="n"/>
      <c r="N244" s="38" t="n">
        <v>55</v>
      </c>
      <c r="O244" s="974" t="inlineStr">
        <is>
          <t>Вареные колбасы «Стародворская Традиционная со шпиком» Весовой п/а ТМ «Стародворье»</t>
        </is>
      </c>
      <c r="P244" s="827" t="n"/>
      <c r="Q244" s="827" t="n"/>
      <c r="R244" s="827" t="n"/>
      <c r="S244" s="791" t="n"/>
      <c r="T244" s="40" t="inlineStr"/>
      <c r="U244" s="40" t="inlineStr"/>
      <c r="V244" s="41" t="inlineStr">
        <is>
          <t>кг</t>
        </is>
      </c>
      <c r="W244" s="828" t="n">
        <v>0</v>
      </c>
      <c r="X244" s="829">
        <f>IFERROR(IF(W244="",0,CEILING((W244/$H244),1)*$H244),"")</f>
        <v/>
      </c>
      <c r="Y244" s="42">
        <f>IFERROR(IF(X244=0,"",ROUNDUP(X244/H244,0)*0.02175),"")</f>
        <v/>
      </c>
      <c r="Z244" s="69" t="inlineStr"/>
      <c r="AA244" s="70" t="inlineStr"/>
      <c r="AE244" s="80" t="n"/>
      <c r="BB244" s="222" t="inlineStr">
        <is>
          <t>КИ</t>
        </is>
      </c>
      <c r="BL244" s="80">
        <f>IFERROR(W244*I244/H244,"0")</f>
        <v/>
      </c>
      <c r="BM244" s="80">
        <f>IFERROR(X244*I244/H244,"0")</f>
        <v/>
      </c>
      <c r="BN244" s="80">
        <f>IFERROR(1/J244*(W244/H244),"0")</f>
        <v/>
      </c>
      <c r="BO244" s="80">
        <f>IFERROR(1/J244*(X244/H244),"0")</f>
        <v/>
      </c>
    </row>
    <row r="245" ht="27" customHeight="1">
      <c r="A245" s="64" t="inlineStr">
        <is>
          <t>SU001800</t>
        </is>
      </c>
      <c r="B245" s="64" t="inlineStr">
        <is>
          <t>P001800</t>
        </is>
      </c>
      <c r="C245" s="37" t="n">
        <v>4301011328</v>
      </c>
      <c r="D245" s="401" t="n">
        <v>4607091386011</v>
      </c>
      <c r="E245" s="791" t="n"/>
      <c r="F245" s="825" t="n">
        <v>0.5</v>
      </c>
      <c r="G245" s="38" t="n">
        <v>10</v>
      </c>
      <c r="H245" s="825" t="n">
        <v>5</v>
      </c>
      <c r="I245" s="825" t="n">
        <v>5.21</v>
      </c>
      <c r="J245" s="38" t="n">
        <v>120</v>
      </c>
      <c r="K245" s="38" t="inlineStr">
        <is>
          <t>12</t>
        </is>
      </c>
      <c r="L245" s="39" t="inlineStr">
        <is>
          <t>СК2</t>
        </is>
      </c>
      <c r="M245" s="39" t="n"/>
      <c r="N245" s="38" t="n">
        <v>55</v>
      </c>
      <c r="O245" s="97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P245" s="827" t="n"/>
      <c r="Q245" s="827" t="n"/>
      <c r="R245" s="827" t="n"/>
      <c r="S245" s="791" t="n"/>
      <c r="T245" s="40" t="inlineStr"/>
      <c r="U245" s="40" t="inlineStr"/>
      <c r="V245" s="41" t="inlineStr">
        <is>
          <t>кг</t>
        </is>
      </c>
      <c r="W245" s="828" t="n">
        <v>0</v>
      </c>
      <c r="X245" s="829">
        <f>IFERROR(IF(W245="",0,CEILING((W245/$H245),1)*$H245),"")</f>
        <v/>
      </c>
      <c r="Y245" s="42">
        <f>IFERROR(IF(X245=0,"",ROUNDUP(X245/H245,0)*0.00937),"")</f>
        <v/>
      </c>
      <c r="Z245" s="69" t="inlineStr"/>
      <c r="AA245" s="70" t="inlineStr"/>
      <c r="AE245" s="80" t="n"/>
      <c r="BB245" s="223" t="inlineStr">
        <is>
          <t>КИ</t>
        </is>
      </c>
      <c r="BL245" s="80">
        <f>IFERROR(W245*I245/H245,"0")</f>
        <v/>
      </c>
      <c r="BM245" s="80">
        <f>IFERROR(X245*I245/H245,"0")</f>
        <v/>
      </c>
      <c r="BN245" s="80">
        <f>IFERROR(1/J245*(W245/H245),"0")</f>
        <v/>
      </c>
      <c r="BO245" s="80">
        <f>IFERROR(1/J245*(X245/H245),"0")</f>
        <v/>
      </c>
    </row>
    <row r="246" ht="27" customHeight="1">
      <c r="A246" s="64" t="inlineStr">
        <is>
          <t>SU001805</t>
        </is>
      </c>
      <c r="B246" s="64" t="inlineStr">
        <is>
          <t>P001805</t>
        </is>
      </c>
      <c r="C246" s="37" t="n">
        <v>4301011329</v>
      </c>
      <c r="D246" s="401" t="n">
        <v>4607091387308</v>
      </c>
      <c r="E246" s="791" t="n"/>
      <c r="F246" s="825" t="n">
        <v>0.5</v>
      </c>
      <c r="G246" s="38" t="n">
        <v>10</v>
      </c>
      <c r="H246" s="825" t="n">
        <v>5</v>
      </c>
      <c r="I246" s="825" t="n">
        <v>5.21</v>
      </c>
      <c r="J246" s="38" t="n">
        <v>120</v>
      </c>
      <c r="K246" s="38" t="inlineStr">
        <is>
          <t>12</t>
        </is>
      </c>
      <c r="L246" s="39" t="inlineStr">
        <is>
          <t>СК2</t>
        </is>
      </c>
      <c r="M246" s="39" t="n"/>
      <c r="N246" s="38" t="n">
        <v>55</v>
      </c>
      <c r="O246" s="97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P246" s="827" t="n"/>
      <c r="Q246" s="827" t="n"/>
      <c r="R246" s="827" t="n"/>
      <c r="S246" s="791" t="n"/>
      <c r="T246" s="40" t="inlineStr"/>
      <c r="U246" s="40" t="inlineStr"/>
      <c r="V246" s="41" t="inlineStr">
        <is>
          <t>кг</t>
        </is>
      </c>
      <c r="W246" s="828" t="n">
        <v>0</v>
      </c>
      <c r="X246" s="829">
        <f>IFERROR(IF(W246="",0,CEILING((W246/$H246),1)*$H246),"")</f>
        <v/>
      </c>
      <c r="Y246" s="42">
        <f>IFERROR(IF(X246=0,"",ROUNDUP(X246/H246,0)*0.00937),"")</f>
        <v/>
      </c>
      <c r="Z246" s="69" t="inlineStr"/>
      <c r="AA246" s="70" t="inlineStr"/>
      <c r="AE246" s="80" t="n"/>
      <c r="BB246" s="224" t="inlineStr">
        <is>
          <t>КИ</t>
        </is>
      </c>
      <c r="BL246" s="80">
        <f>IFERROR(W246*I246/H246,"0")</f>
        <v/>
      </c>
      <c r="BM246" s="80">
        <f>IFERROR(X246*I246/H246,"0")</f>
        <v/>
      </c>
      <c r="BN246" s="80">
        <f>IFERROR(1/J246*(W246/H246),"0")</f>
        <v/>
      </c>
      <c r="BO246" s="80">
        <f>IFERROR(1/J246*(X246/H246),"0")</f>
        <v/>
      </c>
    </row>
    <row r="247" ht="27" customHeight="1">
      <c r="A247" s="64" t="inlineStr">
        <is>
          <t>SU001829</t>
        </is>
      </c>
      <c r="B247" s="64" t="inlineStr">
        <is>
          <t>P001829</t>
        </is>
      </c>
      <c r="C247" s="37" t="n">
        <v>4301011049</v>
      </c>
      <c r="D247" s="401" t="n">
        <v>4607091387339</v>
      </c>
      <c r="E247" s="791" t="n"/>
      <c r="F247" s="825" t="n">
        <v>0.5</v>
      </c>
      <c r="G247" s="38" t="n">
        <v>10</v>
      </c>
      <c r="H247" s="825" t="n">
        <v>5</v>
      </c>
      <c r="I247" s="825" t="n">
        <v>5.24</v>
      </c>
      <c r="J247" s="38" t="n">
        <v>120</v>
      </c>
      <c r="K247" s="38" t="inlineStr">
        <is>
          <t>12</t>
        </is>
      </c>
      <c r="L247" s="39" t="inlineStr">
        <is>
          <t>СК1</t>
        </is>
      </c>
      <c r="M247" s="39" t="n"/>
      <c r="N247" s="38" t="n">
        <v>55</v>
      </c>
      <c r="O247" s="97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P247" s="827" t="n"/>
      <c r="Q247" s="827" t="n"/>
      <c r="R247" s="827" t="n"/>
      <c r="S247" s="791" t="n"/>
      <c r="T247" s="40" t="inlineStr"/>
      <c r="U247" s="40" t="inlineStr"/>
      <c r="V247" s="41" t="inlineStr">
        <is>
          <t>кг</t>
        </is>
      </c>
      <c r="W247" s="828" t="n">
        <v>0</v>
      </c>
      <c r="X247" s="829">
        <f>IFERROR(IF(W247="",0,CEILING((W247/$H247),1)*$H247),"")</f>
        <v/>
      </c>
      <c r="Y247" s="42">
        <f>IFERROR(IF(X247=0,"",ROUNDUP(X247/H247,0)*0.00937),"")</f>
        <v/>
      </c>
      <c r="Z247" s="69" t="inlineStr"/>
      <c r="AA247" s="70" t="inlineStr"/>
      <c r="AE247" s="80" t="n"/>
      <c r="BB247" s="225" t="inlineStr">
        <is>
          <t>КИ</t>
        </is>
      </c>
      <c r="BL247" s="80">
        <f>IFERROR(W247*I247/H247,"0")</f>
        <v/>
      </c>
      <c r="BM247" s="80">
        <f>IFERROR(X247*I247/H247,"0")</f>
        <v/>
      </c>
      <c r="BN247" s="80">
        <f>IFERROR(1/J247*(W247/H247),"0")</f>
        <v/>
      </c>
      <c r="BO247" s="80">
        <f>IFERROR(1/J247*(X247/H247),"0")</f>
        <v/>
      </c>
    </row>
    <row r="248" ht="27" customHeight="1">
      <c r="A248" s="64" t="inlineStr">
        <is>
          <t>SU002894</t>
        </is>
      </c>
      <c r="B248" s="64" t="inlineStr">
        <is>
          <t>P003314</t>
        </is>
      </c>
      <c r="C248" s="37" t="n">
        <v>4301011573</v>
      </c>
      <c r="D248" s="401" t="n">
        <v>4680115881938</v>
      </c>
      <c r="E248" s="791" t="n"/>
      <c r="F248" s="825" t="n">
        <v>0.4</v>
      </c>
      <c r="G248" s="38" t="n">
        <v>10</v>
      </c>
      <c r="H248" s="825" t="n">
        <v>4</v>
      </c>
      <c r="I248" s="825" t="n">
        <v>4.24</v>
      </c>
      <c r="J248" s="38" t="n">
        <v>120</v>
      </c>
      <c r="K248" s="38" t="inlineStr">
        <is>
          <t>12</t>
        </is>
      </c>
      <c r="L248" s="39" t="inlineStr">
        <is>
          <t>СК1</t>
        </is>
      </c>
      <c r="M248" s="39" t="n"/>
      <c r="N248" s="38" t="n">
        <v>90</v>
      </c>
      <c r="O248" s="97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P248" s="827" t="n"/>
      <c r="Q248" s="827" t="n"/>
      <c r="R248" s="827" t="n"/>
      <c r="S248" s="791" t="n"/>
      <c r="T248" s="40" t="inlineStr"/>
      <c r="U248" s="40" t="inlineStr"/>
      <c r="V248" s="41" t="inlineStr">
        <is>
          <t>кг</t>
        </is>
      </c>
      <c r="W248" s="828" t="n">
        <v>0</v>
      </c>
      <c r="X248" s="829">
        <f>IFERROR(IF(W248="",0,CEILING((W248/$H248),1)*$H248),"")</f>
        <v/>
      </c>
      <c r="Y248" s="42">
        <f>IFERROR(IF(X248=0,"",ROUNDUP(X248/H248,0)*0.00937),"")</f>
        <v/>
      </c>
      <c r="Z248" s="69" t="inlineStr"/>
      <c r="AA248" s="70" t="inlineStr"/>
      <c r="AE248" s="80" t="n"/>
      <c r="BB248" s="226" t="inlineStr">
        <is>
          <t>КИ</t>
        </is>
      </c>
      <c r="BL248" s="80">
        <f>IFERROR(W248*I248/H248,"0")</f>
        <v/>
      </c>
      <c r="BM248" s="80">
        <f>IFERROR(X248*I248/H248,"0")</f>
        <v/>
      </c>
      <c r="BN248" s="80">
        <f>IFERROR(1/J248*(W248/H248),"0")</f>
        <v/>
      </c>
      <c r="BO248" s="80">
        <f>IFERROR(1/J248*(X248/H248),"0")</f>
        <v/>
      </c>
    </row>
    <row r="249" ht="27" customHeight="1">
      <c r="A249" s="64" t="inlineStr">
        <is>
          <t>SU000078</t>
        </is>
      </c>
      <c r="B249" s="64" t="inlineStr">
        <is>
          <t>P001806</t>
        </is>
      </c>
      <c r="C249" s="37" t="n">
        <v>4301010944</v>
      </c>
      <c r="D249" s="401" t="n">
        <v>4607091387346</v>
      </c>
      <c r="E249" s="791" t="n"/>
      <c r="F249" s="825" t="n">
        <v>0.4</v>
      </c>
      <c r="G249" s="38" t="n">
        <v>10</v>
      </c>
      <c r="H249" s="825" t="n">
        <v>4</v>
      </c>
      <c r="I249" s="825" t="n">
        <v>4.24</v>
      </c>
      <c r="J249" s="38" t="n">
        <v>120</v>
      </c>
      <c r="K249" s="38" t="inlineStr">
        <is>
          <t>12</t>
        </is>
      </c>
      <c r="L249" s="39" t="inlineStr">
        <is>
          <t>СК1</t>
        </is>
      </c>
      <c r="M249" s="39" t="n"/>
      <c r="N249" s="38" t="n">
        <v>55</v>
      </c>
      <c r="O249" s="97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P249" s="827" t="n"/>
      <c r="Q249" s="827" t="n"/>
      <c r="R249" s="827" t="n"/>
      <c r="S249" s="791" t="n"/>
      <c r="T249" s="40" t="inlineStr"/>
      <c r="U249" s="40" t="inlineStr"/>
      <c r="V249" s="41" t="inlineStr">
        <is>
          <t>кг</t>
        </is>
      </c>
      <c r="W249" s="828" t="n">
        <v>0</v>
      </c>
      <c r="X249" s="829">
        <f>IFERROR(IF(W249="",0,CEILING((W249/$H249),1)*$H249),"")</f>
        <v/>
      </c>
      <c r="Y249" s="42">
        <f>IFERROR(IF(X249=0,"",ROUNDUP(X249/H249,0)*0.00937),"")</f>
        <v/>
      </c>
      <c r="Z249" s="69" t="inlineStr"/>
      <c r="AA249" s="70" t="inlineStr"/>
      <c r="AE249" s="80" t="n"/>
      <c r="BB249" s="227" t="inlineStr">
        <is>
          <t>КИ</t>
        </is>
      </c>
      <c r="BL249" s="80">
        <f>IFERROR(W249*I249/H249,"0")</f>
        <v/>
      </c>
      <c r="BM249" s="80">
        <f>IFERROR(X249*I249/H249,"0")</f>
        <v/>
      </c>
      <c r="BN249" s="80">
        <f>IFERROR(1/J249*(W249/H249),"0")</f>
        <v/>
      </c>
      <c r="BO249" s="80">
        <f>IFERROR(1/J249*(X249/H249),"0")</f>
        <v/>
      </c>
    </row>
    <row r="250">
      <c r="A250" s="408" t="n"/>
      <c r="B250" s="398" t="n"/>
      <c r="C250" s="398" t="n"/>
      <c r="D250" s="398" t="n"/>
      <c r="E250" s="398" t="n"/>
      <c r="F250" s="398" t="n"/>
      <c r="G250" s="398" t="n"/>
      <c r="H250" s="398" t="n"/>
      <c r="I250" s="398" t="n"/>
      <c r="J250" s="398" t="n"/>
      <c r="K250" s="398" t="n"/>
      <c r="L250" s="398" t="n"/>
      <c r="M250" s="398" t="n"/>
      <c r="N250" s="831" t="n"/>
      <c r="O250" s="832" t="inlineStr">
        <is>
          <t>Итого</t>
        </is>
      </c>
      <c r="P250" s="799" t="n"/>
      <c r="Q250" s="799" t="n"/>
      <c r="R250" s="799" t="n"/>
      <c r="S250" s="799" t="n"/>
      <c r="T250" s="799" t="n"/>
      <c r="U250" s="800" t="n"/>
      <c r="V250" s="43" t="inlineStr">
        <is>
          <t>кор</t>
        </is>
      </c>
      <c r="W250" s="833">
        <f>IFERROR(W242/H242,"0")+IFERROR(W243/H243,"0")+IFERROR(W244/H244,"0")+IFERROR(W245/H245,"0")+IFERROR(W246/H246,"0")+IFERROR(W247/H247,"0")+IFERROR(W248/H248,"0")+IFERROR(W249/H249,"0")</f>
        <v/>
      </c>
      <c r="X250" s="833">
        <f>IFERROR(X242/H242,"0")+IFERROR(X243/H243,"0")+IFERROR(X244/H244,"0")+IFERROR(X245/H245,"0")+IFERROR(X246/H246,"0")+IFERROR(X247/H247,"0")+IFERROR(X248/H248,"0")+IFERROR(X249/H249,"0")</f>
        <v/>
      </c>
      <c r="Y250" s="833">
        <f>IFERROR(IF(Y242="",0,Y242),"0")+IFERROR(IF(Y243="",0,Y243),"0")+IFERROR(IF(Y244="",0,Y244),"0")+IFERROR(IF(Y245="",0,Y245),"0")+IFERROR(IF(Y246="",0,Y246),"0")+IFERROR(IF(Y247="",0,Y247),"0")+IFERROR(IF(Y248="",0,Y248),"0")+IFERROR(IF(Y249="",0,Y249),"0")</f>
        <v/>
      </c>
      <c r="Z250" s="834" t="n"/>
      <c r="AA250" s="834" t="n"/>
    </row>
    <row r="251">
      <c r="A251" s="398" t="n"/>
      <c r="B251" s="398" t="n"/>
      <c r="C251" s="398" t="n"/>
      <c r="D251" s="398" t="n"/>
      <c r="E251" s="398" t="n"/>
      <c r="F251" s="398" t="n"/>
      <c r="G251" s="398" t="n"/>
      <c r="H251" s="398" t="n"/>
      <c r="I251" s="398" t="n"/>
      <c r="J251" s="398" t="n"/>
      <c r="K251" s="398" t="n"/>
      <c r="L251" s="398" t="n"/>
      <c r="M251" s="398" t="n"/>
      <c r="N251" s="831" t="n"/>
      <c r="O251" s="832" t="inlineStr">
        <is>
          <t>Итого</t>
        </is>
      </c>
      <c r="P251" s="799" t="n"/>
      <c r="Q251" s="799" t="n"/>
      <c r="R251" s="799" t="n"/>
      <c r="S251" s="799" t="n"/>
      <c r="T251" s="799" t="n"/>
      <c r="U251" s="800" t="n"/>
      <c r="V251" s="43" t="inlineStr">
        <is>
          <t>кг</t>
        </is>
      </c>
      <c r="W251" s="833">
        <f>IFERROR(SUM(W242:W249),"0")</f>
        <v/>
      </c>
      <c r="X251" s="833">
        <f>IFERROR(SUM(X242:X249),"0")</f>
        <v/>
      </c>
      <c r="Y251" s="43" t="n"/>
      <c r="Z251" s="834" t="n"/>
      <c r="AA251" s="834" t="n"/>
    </row>
    <row r="252" ht="14.25" customHeight="1">
      <c r="A252" s="409" t="inlineStr">
        <is>
          <t>Копченые колбасы</t>
        </is>
      </c>
      <c r="B252" s="398" t="n"/>
      <c r="C252" s="398" t="n"/>
      <c r="D252" s="398" t="n"/>
      <c r="E252" s="398" t="n"/>
      <c r="F252" s="398" t="n"/>
      <c r="G252" s="398" t="n"/>
      <c r="H252" s="398" t="n"/>
      <c r="I252" s="398" t="n"/>
      <c r="J252" s="398" t="n"/>
      <c r="K252" s="398" t="n"/>
      <c r="L252" s="398" t="n"/>
      <c r="M252" s="398" t="n"/>
      <c r="N252" s="398" t="n"/>
      <c r="O252" s="398" t="n"/>
      <c r="P252" s="398" t="n"/>
      <c r="Q252" s="398" t="n"/>
      <c r="R252" s="398" t="n"/>
      <c r="S252" s="398" t="n"/>
      <c r="T252" s="398" t="n"/>
      <c r="U252" s="398" t="n"/>
      <c r="V252" s="398" t="n"/>
      <c r="W252" s="398" t="n"/>
      <c r="X252" s="398" t="n"/>
      <c r="Y252" s="398" t="n"/>
      <c r="Z252" s="409" t="n"/>
      <c r="AA252" s="409" t="n"/>
    </row>
    <row r="253" ht="27" customHeight="1">
      <c r="A253" s="64" t="inlineStr">
        <is>
          <t>SU001820</t>
        </is>
      </c>
      <c r="B253" s="64" t="inlineStr">
        <is>
          <t>P001820</t>
        </is>
      </c>
      <c r="C253" s="37" t="n">
        <v>4301030878</v>
      </c>
      <c r="D253" s="401" t="n">
        <v>4607091387193</v>
      </c>
      <c r="E253" s="791" t="n"/>
      <c r="F253" s="825" t="n">
        <v>0.7</v>
      </c>
      <c r="G253" s="38" t="n">
        <v>6</v>
      </c>
      <c r="H253" s="825" t="n">
        <v>4.2</v>
      </c>
      <c r="I253" s="825" t="n">
        <v>4.46</v>
      </c>
      <c r="J253" s="38" t="n">
        <v>156</v>
      </c>
      <c r="K253" s="38" t="inlineStr">
        <is>
          <t>12</t>
        </is>
      </c>
      <c r="L253" s="39" t="inlineStr">
        <is>
          <t>СК2</t>
        </is>
      </c>
      <c r="M253" s="39" t="n"/>
      <c r="N253" s="38" t="n">
        <v>35</v>
      </c>
      <c r="O253" s="98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P253" s="827" t="n"/>
      <c r="Q253" s="827" t="n"/>
      <c r="R253" s="827" t="n"/>
      <c r="S253" s="791" t="n"/>
      <c r="T253" s="40" t="inlineStr"/>
      <c r="U253" s="40" t="inlineStr"/>
      <c r="V253" s="41" t="inlineStr">
        <is>
          <t>кг</t>
        </is>
      </c>
      <c r="W253" s="828" t="n">
        <v>0</v>
      </c>
      <c r="X253" s="829">
        <f>IFERROR(IF(W253="",0,CEILING((W253/$H253),1)*$H253),"")</f>
        <v/>
      </c>
      <c r="Y253" s="42">
        <f>IFERROR(IF(X253=0,"",ROUNDUP(X253/H253,0)*0.00753),"")</f>
        <v/>
      </c>
      <c r="Z253" s="69" t="inlineStr"/>
      <c r="AA253" s="70" t="inlineStr"/>
      <c r="AE253" s="80" t="n"/>
      <c r="BB253" s="228" t="inlineStr">
        <is>
          <t>КИ</t>
        </is>
      </c>
      <c r="BL253" s="80">
        <f>IFERROR(W253*I253/H253,"0")</f>
        <v/>
      </c>
      <c r="BM253" s="80">
        <f>IFERROR(X253*I253/H253,"0")</f>
        <v/>
      </c>
      <c r="BN253" s="80">
        <f>IFERROR(1/J253*(W253/H253),"0")</f>
        <v/>
      </c>
      <c r="BO253" s="80">
        <f>IFERROR(1/J253*(X253/H253),"0")</f>
        <v/>
      </c>
    </row>
    <row r="254" ht="27" customHeight="1">
      <c r="A254" s="64" t="inlineStr">
        <is>
          <t>SU001822</t>
        </is>
      </c>
      <c r="B254" s="64" t="inlineStr">
        <is>
          <t>P003013</t>
        </is>
      </c>
      <c r="C254" s="37" t="n">
        <v>4301031153</v>
      </c>
      <c r="D254" s="401" t="n">
        <v>4607091387230</v>
      </c>
      <c r="E254" s="791" t="n"/>
      <c r="F254" s="825" t="n">
        <v>0.7</v>
      </c>
      <c r="G254" s="38" t="n">
        <v>6</v>
      </c>
      <c r="H254" s="825" t="n">
        <v>4.2</v>
      </c>
      <c r="I254" s="825" t="n">
        <v>4.46</v>
      </c>
      <c r="J254" s="38" t="n">
        <v>156</v>
      </c>
      <c r="K254" s="38" t="inlineStr">
        <is>
          <t>12</t>
        </is>
      </c>
      <c r="L254" s="39" t="inlineStr">
        <is>
          <t>СК2</t>
        </is>
      </c>
      <c r="M254" s="39" t="n"/>
      <c r="N254" s="38" t="n">
        <v>40</v>
      </c>
      <c r="O254" s="98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P254" s="827" t="n"/>
      <c r="Q254" s="827" t="n"/>
      <c r="R254" s="827" t="n"/>
      <c r="S254" s="791" t="n"/>
      <c r="T254" s="40" t="inlineStr"/>
      <c r="U254" s="40" t="inlineStr"/>
      <c r="V254" s="41" t="inlineStr">
        <is>
          <t>кг</t>
        </is>
      </c>
      <c r="W254" s="828" t="n">
        <v>0</v>
      </c>
      <c r="X254" s="829">
        <f>IFERROR(IF(W254="",0,CEILING((W254/$H254),1)*$H254),"")</f>
        <v/>
      </c>
      <c r="Y254" s="42">
        <f>IFERROR(IF(X254=0,"",ROUNDUP(X254/H254,0)*0.00753),"")</f>
        <v/>
      </c>
      <c r="Z254" s="69" t="inlineStr"/>
      <c r="AA254" s="70" t="inlineStr"/>
      <c r="AE254" s="80" t="n"/>
      <c r="BB254" s="229" t="inlineStr">
        <is>
          <t>КИ</t>
        </is>
      </c>
      <c r="BL254" s="80">
        <f>IFERROR(W254*I254/H254,"0")</f>
        <v/>
      </c>
      <c r="BM254" s="80">
        <f>IFERROR(X254*I254/H254,"0")</f>
        <v/>
      </c>
      <c r="BN254" s="80">
        <f>IFERROR(1/J254*(W254/H254),"0")</f>
        <v/>
      </c>
      <c r="BO254" s="80">
        <f>IFERROR(1/J254*(X254/H254),"0")</f>
        <v/>
      </c>
    </row>
    <row r="255" ht="27" customHeight="1">
      <c r="A255" s="64" t="inlineStr">
        <is>
          <t>SU002579</t>
        </is>
      </c>
      <c r="B255" s="64" t="inlineStr">
        <is>
          <t>P003012</t>
        </is>
      </c>
      <c r="C255" s="37" t="n">
        <v>4301031152</v>
      </c>
      <c r="D255" s="401" t="n">
        <v>4607091387285</v>
      </c>
      <c r="E255" s="791" t="n"/>
      <c r="F255" s="825" t="n">
        <v>0.35</v>
      </c>
      <c r="G255" s="38" t="n">
        <v>6</v>
      </c>
      <c r="H255" s="825" t="n">
        <v>2.1</v>
      </c>
      <c r="I255" s="825" t="n">
        <v>2.23</v>
      </c>
      <c r="J255" s="38" t="n">
        <v>234</v>
      </c>
      <c r="K255" s="38" t="inlineStr">
        <is>
          <t>18</t>
        </is>
      </c>
      <c r="L255" s="39" t="inlineStr">
        <is>
          <t>СК2</t>
        </is>
      </c>
      <c r="M255" s="39" t="n"/>
      <c r="N255" s="38" t="n">
        <v>40</v>
      </c>
      <c r="O255" s="98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P255" s="827" t="n"/>
      <c r="Q255" s="827" t="n"/>
      <c r="R255" s="827" t="n"/>
      <c r="S255" s="791" t="n"/>
      <c r="T255" s="40" t="inlineStr"/>
      <c r="U255" s="40" t="inlineStr"/>
      <c r="V255" s="41" t="inlineStr">
        <is>
          <t>кг</t>
        </is>
      </c>
      <c r="W255" s="828" t="n">
        <v>0</v>
      </c>
      <c r="X255" s="829">
        <f>IFERROR(IF(W255="",0,CEILING((W255/$H255),1)*$H255),"")</f>
        <v/>
      </c>
      <c r="Y255" s="42">
        <f>IFERROR(IF(X255=0,"",ROUNDUP(X255/H255,0)*0.00502),"")</f>
        <v/>
      </c>
      <c r="Z255" s="69" t="inlineStr"/>
      <c r="AA255" s="70" t="inlineStr"/>
      <c r="AE255" s="80" t="n"/>
      <c r="BB255" s="230" t="inlineStr">
        <is>
          <t>КИ</t>
        </is>
      </c>
      <c r="BL255" s="80">
        <f>IFERROR(W255*I255/H255,"0")</f>
        <v/>
      </c>
      <c r="BM255" s="80">
        <f>IFERROR(X255*I255/H255,"0")</f>
        <v/>
      </c>
      <c r="BN255" s="80">
        <f>IFERROR(1/J255*(W255/H255),"0")</f>
        <v/>
      </c>
      <c r="BO255" s="80">
        <f>IFERROR(1/J255*(X255/H255),"0")</f>
        <v/>
      </c>
    </row>
    <row r="256">
      <c r="A256" s="408" t="n"/>
      <c r="B256" s="398" t="n"/>
      <c r="C256" s="398" t="n"/>
      <c r="D256" s="398" t="n"/>
      <c r="E256" s="398" t="n"/>
      <c r="F256" s="398" t="n"/>
      <c r="G256" s="398" t="n"/>
      <c r="H256" s="398" t="n"/>
      <c r="I256" s="398" t="n"/>
      <c r="J256" s="398" t="n"/>
      <c r="K256" s="398" t="n"/>
      <c r="L256" s="398" t="n"/>
      <c r="M256" s="398" t="n"/>
      <c r="N256" s="831" t="n"/>
      <c r="O256" s="832" t="inlineStr">
        <is>
          <t>Итого</t>
        </is>
      </c>
      <c r="P256" s="799" t="n"/>
      <c r="Q256" s="799" t="n"/>
      <c r="R256" s="799" t="n"/>
      <c r="S256" s="799" t="n"/>
      <c r="T256" s="799" t="n"/>
      <c r="U256" s="800" t="n"/>
      <c r="V256" s="43" t="inlineStr">
        <is>
          <t>кор</t>
        </is>
      </c>
      <c r="W256" s="833">
        <f>IFERROR(W253/H253,"0")+IFERROR(W254/H254,"0")+IFERROR(W255/H255,"0")</f>
        <v/>
      </c>
      <c r="X256" s="833">
        <f>IFERROR(X253/H253,"0")+IFERROR(X254/H254,"0")+IFERROR(X255/H255,"0")</f>
        <v/>
      </c>
      <c r="Y256" s="833">
        <f>IFERROR(IF(Y253="",0,Y253),"0")+IFERROR(IF(Y254="",0,Y254),"0")+IFERROR(IF(Y255="",0,Y255),"0")</f>
        <v/>
      </c>
      <c r="Z256" s="834" t="n"/>
      <c r="AA256" s="834" t="n"/>
    </row>
    <row r="257">
      <c r="A257" s="398" t="n"/>
      <c r="B257" s="398" t="n"/>
      <c r="C257" s="398" t="n"/>
      <c r="D257" s="398" t="n"/>
      <c r="E257" s="398" t="n"/>
      <c r="F257" s="398" t="n"/>
      <c r="G257" s="398" t="n"/>
      <c r="H257" s="398" t="n"/>
      <c r="I257" s="398" t="n"/>
      <c r="J257" s="398" t="n"/>
      <c r="K257" s="398" t="n"/>
      <c r="L257" s="398" t="n"/>
      <c r="M257" s="398" t="n"/>
      <c r="N257" s="831" t="n"/>
      <c r="O257" s="832" t="inlineStr">
        <is>
          <t>Итого</t>
        </is>
      </c>
      <c r="P257" s="799" t="n"/>
      <c r="Q257" s="799" t="n"/>
      <c r="R257" s="799" t="n"/>
      <c r="S257" s="799" t="n"/>
      <c r="T257" s="799" t="n"/>
      <c r="U257" s="800" t="n"/>
      <c r="V257" s="43" t="inlineStr">
        <is>
          <t>кг</t>
        </is>
      </c>
      <c r="W257" s="833">
        <f>IFERROR(SUM(W253:W255),"0")</f>
        <v/>
      </c>
      <c r="X257" s="833">
        <f>IFERROR(SUM(X253:X255),"0")</f>
        <v/>
      </c>
      <c r="Y257" s="43" t="n"/>
      <c r="Z257" s="834" t="n"/>
      <c r="AA257" s="834" t="n"/>
    </row>
    <row r="258" ht="14.25" customHeight="1">
      <c r="A258" s="409" t="inlineStr">
        <is>
          <t>Сосиски</t>
        </is>
      </c>
      <c r="B258" s="398" t="n"/>
      <c r="C258" s="398" t="n"/>
      <c r="D258" s="398" t="n"/>
      <c r="E258" s="398" t="n"/>
      <c r="F258" s="398" t="n"/>
      <c r="G258" s="398" t="n"/>
      <c r="H258" s="398" t="n"/>
      <c r="I258" s="398" t="n"/>
      <c r="J258" s="398" t="n"/>
      <c r="K258" s="398" t="n"/>
      <c r="L258" s="398" t="n"/>
      <c r="M258" s="398" t="n"/>
      <c r="N258" s="398" t="n"/>
      <c r="O258" s="398" t="n"/>
      <c r="P258" s="398" t="n"/>
      <c r="Q258" s="398" t="n"/>
      <c r="R258" s="398" t="n"/>
      <c r="S258" s="398" t="n"/>
      <c r="T258" s="398" t="n"/>
      <c r="U258" s="398" t="n"/>
      <c r="V258" s="398" t="n"/>
      <c r="W258" s="398" t="n"/>
      <c r="X258" s="398" t="n"/>
      <c r="Y258" s="398" t="n"/>
      <c r="Z258" s="409" t="n"/>
      <c r="AA258" s="409" t="n"/>
    </row>
    <row r="259" ht="16.5" customHeight="1">
      <c r="A259" s="64" t="inlineStr">
        <is>
          <t>SU001340</t>
        </is>
      </c>
      <c r="B259" s="64" t="inlineStr">
        <is>
          <t>P002209</t>
        </is>
      </c>
      <c r="C259" s="37" t="n">
        <v>4301051100</v>
      </c>
      <c r="D259" s="401" t="n">
        <v>4607091387766</v>
      </c>
      <c r="E259" s="791" t="n"/>
      <c r="F259" s="825" t="n">
        <v>1.3</v>
      </c>
      <c r="G259" s="38" t="n">
        <v>6</v>
      </c>
      <c r="H259" s="825" t="n">
        <v>7.8</v>
      </c>
      <c r="I259" s="825" t="n">
        <v>8.358000000000001</v>
      </c>
      <c r="J259" s="38" t="n">
        <v>56</v>
      </c>
      <c r="K259" s="38" t="inlineStr">
        <is>
          <t>8</t>
        </is>
      </c>
      <c r="L259" s="39" t="inlineStr">
        <is>
          <t>СК3</t>
        </is>
      </c>
      <c r="M259" s="39" t="n"/>
      <c r="N259" s="38" t="n">
        <v>40</v>
      </c>
      <c r="O259" s="983">
        <f>HYPERLINK("https://abi.ru/products/Охлажденные/Стародворье/Бордо/Сосиски/P002209/","Сосиски Ганноверские Бордо Весовые П/а мгс Баварушка")</f>
        <v/>
      </c>
      <c r="P259" s="827" t="n"/>
      <c r="Q259" s="827" t="n"/>
      <c r="R259" s="827" t="n"/>
      <c r="S259" s="791" t="n"/>
      <c r="T259" s="40" t="inlineStr"/>
      <c r="U259" s="40" t="inlineStr"/>
      <c r="V259" s="41" t="inlineStr">
        <is>
          <t>кг</t>
        </is>
      </c>
      <c r="W259" s="828" t="n">
        <v>0</v>
      </c>
      <c r="X259" s="829">
        <f>IFERROR(IF(W259="",0,CEILING((W259/$H259),1)*$H259),"")</f>
        <v/>
      </c>
      <c r="Y259" s="42">
        <f>IFERROR(IF(X259=0,"",ROUNDUP(X259/H259,0)*0.02175),"")</f>
        <v/>
      </c>
      <c r="Z259" s="69" t="inlineStr"/>
      <c r="AA259" s="70" t="inlineStr"/>
      <c r="AE259" s="80" t="n"/>
      <c r="BB259" s="231" t="inlineStr">
        <is>
          <t>КИ</t>
        </is>
      </c>
      <c r="BL259" s="80">
        <f>IFERROR(W259*I259/H259,"0")</f>
        <v/>
      </c>
      <c r="BM259" s="80">
        <f>IFERROR(X259*I259/H259,"0")</f>
        <v/>
      </c>
      <c r="BN259" s="80">
        <f>IFERROR(1/J259*(W259/H259),"0")</f>
        <v/>
      </c>
      <c r="BO259" s="80">
        <f>IFERROR(1/J259*(X259/H259),"0")</f>
        <v/>
      </c>
    </row>
    <row r="260" ht="27" customHeight="1">
      <c r="A260" s="64" t="inlineStr">
        <is>
          <t>SU001727</t>
        </is>
      </c>
      <c r="B260" s="64" t="inlineStr">
        <is>
          <t>P002205</t>
        </is>
      </c>
      <c r="C260" s="37" t="n">
        <v>4301051116</v>
      </c>
      <c r="D260" s="401" t="n">
        <v>4607091387957</v>
      </c>
      <c r="E260" s="791" t="n"/>
      <c r="F260" s="825" t="n">
        <v>1.3</v>
      </c>
      <c r="G260" s="38" t="n">
        <v>6</v>
      </c>
      <c r="H260" s="825" t="n">
        <v>7.8</v>
      </c>
      <c r="I260" s="825" t="n">
        <v>8.364000000000001</v>
      </c>
      <c r="J260" s="38" t="n">
        <v>56</v>
      </c>
      <c r="K260" s="38" t="inlineStr">
        <is>
          <t>8</t>
        </is>
      </c>
      <c r="L260" s="39" t="inlineStr">
        <is>
          <t>СК2</t>
        </is>
      </c>
      <c r="M260" s="39" t="n"/>
      <c r="N260" s="38" t="n">
        <v>40</v>
      </c>
      <c r="O260" s="98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P260" s="827" t="n"/>
      <c r="Q260" s="827" t="n"/>
      <c r="R260" s="827" t="n"/>
      <c r="S260" s="791" t="n"/>
      <c r="T260" s="40" t="inlineStr"/>
      <c r="U260" s="40" t="inlineStr"/>
      <c r="V260" s="41" t="inlineStr">
        <is>
          <t>кг</t>
        </is>
      </c>
      <c r="W260" s="828" t="n">
        <v>0</v>
      </c>
      <c r="X260" s="829">
        <f>IFERROR(IF(W260="",0,CEILING((W260/$H260),1)*$H260),"")</f>
        <v/>
      </c>
      <c r="Y260" s="42">
        <f>IFERROR(IF(X260=0,"",ROUNDUP(X260/H260,0)*0.02175),"")</f>
        <v/>
      </c>
      <c r="Z260" s="69" t="inlineStr"/>
      <c r="AA260" s="70" t="inlineStr"/>
      <c r="AE260" s="80" t="n"/>
      <c r="BB260" s="232" t="inlineStr">
        <is>
          <t>КИ</t>
        </is>
      </c>
      <c r="BL260" s="80">
        <f>IFERROR(W260*I260/H260,"0")</f>
        <v/>
      </c>
      <c r="BM260" s="80">
        <f>IFERROR(X260*I260/H260,"0")</f>
        <v/>
      </c>
      <c r="BN260" s="80">
        <f>IFERROR(1/J260*(W260/H260),"0")</f>
        <v/>
      </c>
      <c r="BO260" s="80">
        <f>IFERROR(1/J260*(X260/H260),"0")</f>
        <v/>
      </c>
    </row>
    <row r="261" ht="27" customHeight="1">
      <c r="A261" s="64" t="inlineStr">
        <is>
          <t>SU001728</t>
        </is>
      </c>
      <c r="B261" s="64" t="inlineStr">
        <is>
          <t>P002207</t>
        </is>
      </c>
      <c r="C261" s="37" t="n">
        <v>4301051115</v>
      </c>
      <c r="D261" s="401" t="n">
        <v>4607091387964</v>
      </c>
      <c r="E261" s="791" t="n"/>
      <c r="F261" s="825" t="n">
        <v>1.35</v>
      </c>
      <c r="G261" s="38" t="n">
        <v>6</v>
      </c>
      <c r="H261" s="825" t="n">
        <v>8.1</v>
      </c>
      <c r="I261" s="825" t="n">
        <v>8.646000000000001</v>
      </c>
      <c r="J261" s="38" t="n">
        <v>56</v>
      </c>
      <c r="K261" s="38" t="inlineStr">
        <is>
          <t>8</t>
        </is>
      </c>
      <c r="L261" s="39" t="inlineStr">
        <is>
          <t>СК2</t>
        </is>
      </c>
      <c r="M261" s="39" t="n"/>
      <c r="N261" s="38" t="n">
        <v>40</v>
      </c>
      <c r="O261" s="98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P261" s="827" t="n"/>
      <c r="Q261" s="827" t="n"/>
      <c r="R261" s="827" t="n"/>
      <c r="S261" s="791" t="n"/>
      <c r="T261" s="40" t="inlineStr"/>
      <c r="U261" s="40" t="inlineStr"/>
      <c r="V261" s="41" t="inlineStr">
        <is>
          <t>кг</t>
        </is>
      </c>
      <c r="W261" s="828" t="n">
        <v>0</v>
      </c>
      <c r="X261" s="829">
        <f>IFERROR(IF(W261="",0,CEILING((W261/$H261),1)*$H261),"")</f>
        <v/>
      </c>
      <c r="Y261" s="42">
        <f>IFERROR(IF(X261=0,"",ROUNDUP(X261/H261,0)*0.02175),"")</f>
        <v/>
      </c>
      <c r="Z261" s="69" t="inlineStr"/>
      <c r="AA261" s="70" t="inlineStr"/>
      <c r="AE261" s="80" t="n"/>
      <c r="BB261" s="233" t="inlineStr">
        <is>
          <t>КИ</t>
        </is>
      </c>
      <c r="BL261" s="80">
        <f>IFERROR(W261*I261/H261,"0")</f>
        <v/>
      </c>
      <c r="BM261" s="80">
        <f>IFERROR(X261*I261/H261,"0")</f>
        <v/>
      </c>
      <c r="BN261" s="80">
        <f>IFERROR(1/J261*(W261/H261),"0")</f>
        <v/>
      </c>
      <c r="BO261" s="80">
        <f>IFERROR(1/J261*(X261/H261),"0")</f>
        <v/>
      </c>
    </row>
    <row r="262" ht="16.5" customHeight="1">
      <c r="A262" s="64" t="inlineStr">
        <is>
          <t>SU003340</t>
        </is>
      </c>
      <c r="B262" s="64" t="inlineStr">
        <is>
          <t>P004090</t>
        </is>
      </c>
      <c r="C262" s="37" t="n">
        <v>4301051731</v>
      </c>
      <c r="D262" s="401" t="n">
        <v>4680115884618</v>
      </c>
      <c r="E262" s="791" t="n"/>
      <c r="F262" s="825" t="n">
        <v>0.6</v>
      </c>
      <c r="G262" s="38" t="n">
        <v>6</v>
      </c>
      <c r="H262" s="825" t="n">
        <v>3.6</v>
      </c>
      <c r="I262" s="825" t="n">
        <v>3.81</v>
      </c>
      <c r="J262" s="38" t="n">
        <v>120</v>
      </c>
      <c r="K262" s="38" t="inlineStr">
        <is>
          <t>12</t>
        </is>
      </c>
      <c r="L262" s="39" t="inlineStr">
        <is>
          <t>СК2</t>
        </is>
      </c>
      <c r="M262" s="39" t="n"/>
      <c r="N262" s="38" t="n">
        <v>45</v>
      </c>
      <c r="O262" s="986">
        <f>HYPERLINK("https://abi.ru/products/Охлажденные/Стародворье/Бордо/Сосиски/P004090/","Сосиски «Венские» ф/в 0,6 п/а ТМ «Стародворье»")</f>
        <v/>
      </c>
      <c r="P262" s="827" t="n"/>
      <c r="Q262" s="827" t="n"/>
      <c r="R262" s="827" t="n"/>
      <c r="S262" s="791" t="n"/>
      <c r="T262" s="40" t="inlineStr"/>
      <c r="U262" s="40" t="inlineStr"/>
      <c r="V262" s="41" t="inlineStr">
        <is>
          <t>кг</t>
        </is>
      </c>
      <c r="W262" s="828" t="n">
        <v>0</v>
      </c>
      <c r="X262" s="829">
        <f>IFERROR(IF(W262="",0,CEILING((W262/$H262),1)*$H262),"")</f>
        <v/>
      </c>
      <c r="Y262" s="42">
        <f>IFERROR(IF(X262=0,"",ROUNDUP(X262/H262,0)*0.00937),"")</f>
        <v/>
      </c>
      <c r="Z262" s="69" t="inlineStr"/>
      <c r="AA262" s="70" t="inlineStr"/>
      <c r="AE262" s="80" t="n"/>
      <c r="BB262" s="234" t="inlineStr">
        <is>
          <t>КИ</t>
        </is>
      </c>
      <c r="BL262" s="80">
        <f>IFERROR(W262*I262/H262,"0")</f>
        <v/>
      </c>
      <c r="BM262" s="80">
        <f>IFERROR(X262*I262/H262,"0")</f>
        <v/>
      </c>
      <c r="BN262" s="80">
        <f>IFERROR(1/J262*(W262/H262),"0")</f>
        <v/>
      </c>
      <c r="BO262" s="80">
        <f>IFERROR(1/J262*(X262/H262),"0")</f>
        <v/>
      </c>
    </row>
    <row r="263" ht="27" customHeight="1">
      <c r="A263" s="64" t="inlineStr">
        <is>
          <t>SU003333</t>
        </is>
      </c>
      <c r="B263" s="64" t="inlineStr">
        <is>
          <t>P004082</t>
        </is>
      </c>
      <c r="C263" s="37" t="n">
        <v>4301051705</v>
      </c>
      <c r="D263" s="401" t="n">
        <v>4680115884588</v>
      </c>
      <c r="E263" s="791" t="n"/>
      <c r="F263" s="825" t="n">
        <v>0.5</v>
      </c>
      <c r="G263" s="38" t="n">
        <v>6</v>
      </c>
      <c r="H263" s="825" t="n">
        <v>3</v>
      </c>
      <c r="I263" s="825" t="n">
        <v>3.266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9" t="n"/>
      <c r="N263" s="38" t="n">
        <v>40</v>
      </c>
      <c r="O263" s="987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P263" s="827" t="n"/>
      <c r="Q263" s="827" t="n"/>
      <c r="R263" s="827" t="n"/>
      <c r="S263" s="791" t="n"/>
      <c r="T263" s="40" t="inlineStr"/>
      <c r="U263" s="40" t="inlineStr"/>
      <c r="V263" s="41" t="inlineStr">
        <is>
          <t>кг</t>
        </is>
      </c>
      <c r="W263" s="828" t="n">
        <v>0</v>
      </c>
      <c r="X263" s="829">
        <f>IFERROR(IF(W263="",0,CEILING((W263/$H263),1)*$H263),"")</f>
        <v/>
      </c>
      <c r="Y263" s="42">
        <f>IFERROR(IF(X263=0,"",ROUNDUP(X263/H263,0)*0.00753),"")</f>
        <v/>
      </c>
      <c r="Z263" s="69" t="inlineStr"/>
      <c r="AA263" s="70" t="inlineStr"/>
      <c r="AE263" s="80" t="n"/>
      <c r="BB263" s="235" t="inlineStr">
        <is>
          <t>КИ</t>
        </is>
      </c>
      <c r="BL263" s="80">
        <f>IFERROR(W263*I263/H263,"0")</f>
        <v/>
      </c>
      <c r="BM263" s="80">
        <f>IFERROR(X263*I263/H263,"0")</f>
        <v/>
      </c>
      <c r="BN263" s="80">
        <f>IFERROR(1/J263*(W263/H263),"0")</f>
        <v/>
      </c>
      <c r="BO263" s="80">
        <f>IFERROR(1/J263*(X263/H263),"0")</f>
        <v/>
      </c>
    </row>
    <row r="264" ht="27" customHeight="1">
      <c r="A264" s="64" t="inlineStr">
        <is>
          <t>SU001763</t>
        </is>
      </c>
      <c r="B264" s="64" t="inlineStr">
        <is>
          <t>P002206</t>
        </is>
      </c>
      <c r="C264" s="37" t="n">
        <v>4301051130</v>
      </c>
      <c r="D264" s="401" t="n">
        <v>4607091387537</v>
      </c>
      <c r="E264" s="791" t="n"/>
      <c r="F264" s="825" t="n">
        <v>0.45</v>
      </c>
      <c r="G264" s="38" t="n">
        <v>6</v>
      </c>
      <c r="H264" s="825" t="n">
        <v>2.7</v>
      </c>
      <c r="I264" s="825" t="n">
        <v>2.99</v>
      </c>
      <c r="J264" s="38" t="n">
        <v>156</v>
      </c>
      <c r="K264" s="38" t="inlineStr">
        <is>
          <t>12</t>
        </is>
      </c>
      <c r="L264" s="39" t="inlineStr">
        <is>
          <t>СК2</t>
        </is>
      </c>
      <c r="M264" s="39" t="n"/>
      <c r="N264" s="38" t="n">
        <v>40</v>
      </c>
      <c r="O264" s="988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P264" s="827" t="n"/>
      <c r="Q264" s="827" t="n"/>
      <c r="R264" s="827" t="n"/>
      <c r="S264" s="791" t="n"/>
      <c r="T264" s="40" t="inlineStr"/>
      <c r="U264" s="40" t="inlineStr"/>
      <c r="V264" s="41" t="inlineStr">
        <is>
          <t>кг</t>
        </is>
      </c>
      <c r="W264" s="828" t="n">
        <v>0</v>
      </c>
      <c r="X264" s="829">
        <f>IFERROR(IF(W264="",0,CEILING((W264/$H264),1)*$H264),"")</f>
        <v/>
      </c>
      <c r="Y264" s="42">
        <f>IFERROR(IF(X264=0,"",ROUNDUP(X264/H264,0)*0.00753),"")</f>
        <v/>
      </c>
      <c r="Z264" s="69" t="inlineStr"/>
      <c r="AA264" s="70" t="inlineStr"/>
      <c r="AE264" s="80" t="n"/>
      <c r="BB264" s="236" t="inlineStr">
        <is>
          <t>КИ</t>
        </is>
      </c>
      <c r="BL264" s="80">
        <f>IFERROR(W264*I264/H264,"0")</f>
        <v/>
      </c>
      <c r="BM264" s="80">
        <f>IFERROR(X264*I264/H264,"0")</f>
        <v/>
      </c>
      <c r="BN264" s="80">
        <f>IFERROR(1/J264*(W264/H264),"0")</f>
        <v/>
      </c>
      <c r="BO264" s="80">
        <f>IFERROR(1/J264*(X264/H264),"0")</f>
        <v/>
      </c>
    </row>
    <row r="265" ht="27" customHeight="1">
      <c r="A265" s="64" t="inlineStr">
        <is>
          <t>SU001762</t>
        </is>
      </c>
      <c r="B265" s="64" t="inlineStr">
        <is>
          <t>P002208</t>
        </is>
      </c>
      <c r="C265" s="37" t="n">
        <v>4301051132</v>
      </c>
      <c r="D265" s="401" t="n">
        <v>4607091387513</v>
      </c>
      <c r="E265" s="791" t="n"/>
      <c r="F265" s="825" t="n">
        <v>0.45</v>
      </c>
      <c r="G265" s="38" t="n">
        <v>6</v>
      </c>
      <c r="H265" s="825" t="n">
        <v>2.7</v>
      </c>
      <c r="I265" s="825" t="n">
        <v>2.978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9" t="n"/>
      <c r="N265" s="38" t="n">
        <v>40</v>
      </c>
      <c r="O265" s="989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P265" s="827" t="n"/>
      <c r="Q265" s="827" t="n"/>
      <c r="R265" s="827" t="n"/>
      <c r="S265" s="791" t="n"/>
      <c r="T265" s="40" t="inlineStr"/>
      <c r="U265" s="40" t="inlineStr"/>
      <c r="V265" s="41" t="inlineStr">
        <is>
          <t>кг</t>
        </is>
      </c>
      <c r="W265" s="828" t="n">
        <v>0</v>
      </c>
      <c r="X265" s="829">
        <f>IFERROR(IF(W265="",0,CEILING((W265/$H265),1)*$H265),"")</f>
        <v/>
      </c>
      <c r="Y265" s="42">
        <f>IFERROR(IF(X265=0,"",ROUNDUP(X265/H265,0)*0.00753),"")</f>
        <v/>
      </c>
      <c r="Z265" s="69" t="inlineStr"/>
      <c r="AA265" s="70" t="inlineStr"/>
      <c r="AE265" s="80" t="n"/>
      <c r="BB265" s="237" t="inlineStr">
        <is>
          <t>КИ</t>
        </is>
      </c>
      <c r="BL265" s="80">
        <f>IFERROR(W265*I265/H265,"0")</f>
        <v/>
      </c>
      <c r="BM265" s="80">
        <f>IFERROR(X265*I265/H265,"0")</f>
        <v/>
      </c>
      <c r="BN265" s="80">
        <f>IFERROR(1/J265*(W265/H265),"0")</f>
        <v/>
      </c>
      <c r="BO265" s="80">
        <f>IFERROR(1/J265*(X265/H265),"0")</f>
        <v/>
      </c>
    </row>
    <row r="266">
      <c r="A266" s="408" t="n"/>
      <c r="B266" s="398" t="n"/>
      <c r="C266" s="398" t="n"/>
      <c r="D266" s="398" t="n"/>
      <c r="E266" s="398" t="n"/>
      <c r="F266" s="398" t="n"/>
      <c r="G266" s="398" t="n"/>
      <c r="H266" s="398" t="n"/>
      <c r="I266" s="398" t="n"/>
      <c r="J266" s="398" t="n"/>
      <c r="K266" s="398" t="n"/>
      <c r="L266" s="398" t="n"/>
      <c r="M266" s="398" t="n"/>
      <c r="N266" s="831" t="n"/>
      <c r="O266" s="832" t="inlineStr">
        <is>
          <t>Итого</t>
        </is>
      </c>
      <c r="P266" s="799" t="n"/>
      <c r="Q266" s="799" t="n"/>
      <c r="R266" s="799" t="n"/>
      <c r="S266" s="799" t="n"/>
      <c r="T266" s="799" t="n"/>
      <c r="U266" s="800" t="n"/>
      <c r="V266" s="43" t="inlineStr">
        <is>
          <t>кор</t>
        </is>
      </c>
      <c r="W266" s="833">
        <f>IFERROR(W259/H259,"0")+IFERROR(W260/H260,"0")+IFERROR(W261/H261,"0")+IFERROR(W262/H262,"0")+IFERROR(W263/H263,"0")+IFERROR(W264/H264,"0")+IFERROR(W265/H265,"0")</f>
        <v/>
      </c>
      <c r="X266" s="833">
        <f>IFERROR(X259/H259,"0")+IFERROR(X260/H260,"0")+IFERROR(X261/H261,"0")+IFERROR(X262/H262,"0")+IFERROR(X263/H263,"0")+IFERROR(X264/H264,"0")+IFERROR(X265/H265,"0")</f>
        <v/>
      </c>
      <c r="Y266" s="833">
        <f>IFERROR(IF(Y259="",0,Y259),"0")+IFERROR(IF(Y260="",0,Y260),"0")+IFERROR(IF(Y261="",0,Y261),"0")+IFERROR(IF(Y262="",0,Y262),"0")+IFERROR(IF(Y263="",0,Y263),"0")+IFERROR(IF(Y264="",0,Y264),"0")+IFERROR(IF(Y265="",0,Y265),"0")</f>
        <v/>
      </c>
      <c r="Z266" s="834" t="n"/>
      <c r="AA266" s="834" t="n"/>
    </row>
    <row r="267">
      <c r="A267" s="398" t="n"/>
      <c r="B267" s="398" t="n"/>
      <c r="C267" s="398" t="n"/>
      <c r="D267" s="398" t="n"/>
      <c r="E267" s="398" t="n"/>
      <c r="F267" s="398" t="n"/>
      <c r="G267" s="398" t="n"/>
      <c r="H267" s="398" t="n"/>
      <c r="I267" s="398" t="n"/>
      <c r="J267" s="398" t="n"/>
      <c r="K267" s="398" t="n"/>
      <c r="L267" s="398" t="n"/>
      <c r="M267" s="398" t="n"/>
      <c r="N267" s="831" t="n"/>
      <c r="O267" s="832" t="inlineStr">
        <is>
          <t>Итого</t>
        </is>
      </c>
      <c r="P267" s="799" t="n"/>
      <c r="Q267" s="799" t="n"/>
      <c r="R267" s="799" t="n"/>
      <c r="S267" s="799" t="n"/>
      <c r="T267" s="799" t="n"/>
      <c r="U267" s="800" t="n"/>
      <c r="V267" s="43" t="inlineStr">
        <is>
          <t>кг</t>
        </is>
      </c>
      <c r="W267" s="833">
        <f>IFERROR(SUM(W259:W265),"0")</f>
        <v/>
      </c>
      <c r="X267" s="833">
        <f>IFERROR(SUM(X259:X265),"0")</f>
        <v/>
      </c>
      <c r="Y267" s="43" t="n"/>
      <c r="Z267" s="834" t="n"/>
      <c r="AA267" s="834" t="n"/>
    </row>
    <row r="268" ht="14.25" customHeight="1">
      <c r="A268" s="409" t="inlineStr">
        <is>
          <t>Сардельки</t>
        </is>
      </c>
      <c r="B268" s="398" t="n"/>
      <c r="C268" s="398" t="n"/>
      <c r="D268" s="398" t="n"/>
      <c r="E268" s="398" t="n"/>
      <c r="F268" s="398" t="n"/>
      <c r="G268" s="398" t="n"/>
      <c r="H268" s="398" t="n"/>
      <c r="I268" s="398" t="n"/>
      <c r="J268" s="398" t="n"/>
      <c r="K268" s="398" t="n"/>
      <c r="L268" s="398" t="n"/>
      <c r="M268" s="398" t="n"/>
      <c r="N268" s="398" t="n"/>
      <c r="O268" s="398" t="n"/>
      <c r="P268" s="398" t="n"/>
      <c r="Q268" s="398" t="n"/>
      <c r="R268" s="398" t="n"/>
      <c r="S268" s="398" t="n"/>
      <c r="T268" s="398" t="n"/>
      <c r="U268" s="398" t="n"/>
      <c r="V268" s="398" t="n"/>
      <c r="W268" s="398" t="n"/>
      <c r="X268" s="398" t="n"/>
      <c r="Y268" s="398" t="n"/>
      <c r="Z268" s="409" t="n"/>
      <c r="AA268" s="409" t="n"/>
    </row>
    <row r="269" ht="16.5" customHeight="1">
      <c r="A269" s="64" t="inlineStr">
        <is>
          <t>SU001051</t>
        </is>
      </c>
      <c r="B269" s="64" t="inlineStr">
        <is>
          <t>P003997</t>
        </is>
      </c>
      <c r="C269" s="37" t="n">
        <v>4301060379</v>
      </c>
      <c r="D269" s="401" t="n">
        <v>4607091380880</v>
      </c>
      <c r="E269" s="791" t="n"/>
      <c r="F269" s="825" t="n">
        <v>1.4</v>
      </c>
      <c r="G269" s="38" t="n">
        <v>6</v>
      </c>
      <c r="H269" s="825" t="n">
        <v>8.4</v>
      </c>
      <c r="I269" s="825" t="n">
        <v>8.964</v>
      </c>
      <c r="J269" s="38" t="n">
        <v>56</v>
      </c>
      <c r="K269" s="38" t="inlineStr">
        <is>
          <t>8</t>
        </is>
      </c>
      <c r="L269" s="39" t="inlineStr">
        <is>
          <t>СК2</t>
        </is>
      </c>
      <c r="M269" s="39" t="n"/>
      <c r="N269" s="38" t="n">
        <v>30</v>
      </c>
      <c r="O269" s="990" t="inlineStr">
        <is>
          <t>Сардельки «Нежные» Весовые н/о мгс ТМ «Стародворье»</t>
        </is>
      </c>
      <c r="P269" s="827" t="n"/>
      <c r="Q269" s="827" t="n"/>
      <c r="R269" s="827" t="n"/>
      <c r="S269" s="791" t="n"/>
      <c r="T269" s="40" t="inlineStr"/>
      <c r="U269" s="40" t="inlineStr"/>
      <c r="V269" s="41" t="inlineStr">
        <is>
          <t>кг</t>
        </is>
      </c>
      <c r="W269" s="828" t="n">
        <v>30</v>
      </c>
      <c r="X269" s="829">
        <f>IFERROR(IF(W269="",0,CEILING((W269/$H269),1)*$H269),"")</f>
        <v/>
      </c>
      <c r="Y269" s="42">
        <f>IFERROR(IF(X269=0,"",ROUNDUP(X269/H269,0)*0.02175),"")</f>
        <v/>
      </c>
      <c r="Z269" s="69" t="inlineStr"/>
      <c r="AA269" s="70" t="inlineStr"/>
      <c r="AE269" s="80" t="n"/>
      <c r="BB269" s="238" t="inlineStr">
        <is>
          <t>КИ</t>
        </is>
      </c>
      <c r="BL269" s="80">
        <f>IFERROR(W269*I269/H269,"0")</f>
        <v/>
      </c>
      <c r="BM269" s="80">
        <f>IFERROR(X269*I269/H269,"0")</f>
        <v/>
      </c>
      <c r="BN269" s="80">
        <f>IFERROR(1/J269*(W269/H269),"0")</f>
        <v/>
      </c>
      <c r="BO269" s="80">
        <f>IFERROR(1/J269*(X269/H269),"0")</f>
        <v/>
      </c>
    </row>
    <row r="270" ht="27" customHeight="1">
      <c r="A270" s="64" t="inlineStr">
        <is>
          <t>SU000227</t>
        </is>
      </c>
      <c r="B270" s="64" t="inlineStr">
        <is>
          <t>P002536</t>
        </is>
      </c>
      <c r="C270" s="37" t="n">
        <v>4301060308</v>
      </c>
      <c r="D270" s="401" t="n">
        <v>4607091384482</v>
      </c>
      <c r="E270" s="791" t="n"/>
      <c r="F270" s="825" t="n">
        <v>1.3</v>
      </c>
      <c r="G270" s="38" t="n">
        <v>6</v>
      </c>
      <c r="H270" s="825" t="n">
        <v>7.8</v>
      </c>
      <c r="I270" s="825" t="n">
        <v>8.364000000000001</v>
      </c>
      <c r="J270" s="38" t="n">
        <v>56</v>
      </c>
      <c r="K270" s="38" t="inlineStr">
        <is>
          <t>8</t>
        </is>
      </c>
      <c r="L270" s="39" t="inlineStr">
        <is>
          <t>СК2</t>
        </is>
      </c>
      <c r="M270" s="39" t="n"/>
      <c r="N270" s="38" t="n">
        <v>30</v>
      </c>
      <c r="O270" s="991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P270" s="827" t="n"/>
      <c r="Q270" s="827" t="n"/>
      <c r="R270" s="827" t="n"/>
      <c r="S270" s="791" t="n"/>
      <c r="T270" s="40" t="inlineStr"/>
      <c r="U270" s="40" t="inlineStr"/>
      <c r="V270" s="41" t="inlineStr">
        <is>
          <t>кг</t>
        </is>
      </c>
      <c r="W270" s="828" t="n">
        <v>300</v>
      </c>
      <c r="X270" s="829">
        <f>IFERROR(IF(W270="",0,CEILING((W270/$H270),1)*$H270),"")</f>
        <v/>
      </c>
      <c r="Y270" s="42">
        <f>IFERROR(IF(X270=0,"",ROUNDUP(X270/H270,0)*0.02175),"")</f>
        <v/>
      </c>
      <c r="Z270" s="69" t="inlineStr"/>
      <c r="AA270" s="70" t="inlineStr"/>
      <c r="AE270" s="80" t="n"/>
      <c r="BB270" s="239" t="inlineStr">
        <is>
          <t>КИ</t>
        </is>
      </c>
      <c r="BL270" s="80">
        <f>IFERROR(W270*I270/H270,"0")</f>
        <v/>
      </c>
      <c r="BM270" s="80">
        <f>IFERROR(X270*I270/H270,"0")</f>
        <v/>
      </c>
      <c r="BN270" s="80">
        <f>IFERROR(1/J270*(W270/H270),"0")</f>
        <v/>
      </c>
      <c r="BO270" s="80">
        <f>IFERROR(1/J270*(X270/H270),"0")</f>
        <v/>
      </c>
    </row>
    <row r="271" ht="16.5" customHeight="1">
      <c r="A271" s="64" t="inlineStr">
        <is>
          <t>SU001430</t>
        </is>
      </c>
      <c r="B271" s="64" t="inlineStr">
        <is>
          <t>P002036</t>
        </is>
      </c>
      <c r="C271" s="37" t="n">
        <v>4301060325</v>
      </c>
      <c r="D271" s="401" t="n">
        <v>4607091380897</v>
      </c>
      <c r="E271" s="791" t="n"/>
      <c r="F271" s="825" t="n">
        <v>1.4</v>
      </c>
      <c r="G271" s="38" t="n">
        <v>6</v>
      </c>
      <c r="H271" s="825" t="n">
        <v>8.4</v>
      </c>
      <c r="I271" s="825" t="n">
        <v>8.964</v>
      </c>
      <c r="J271" s="38" t="n">
        <v>56</v>
      </c>
      <c r="K271" s="38" t="inlineStr">
        <is>
          <t>8</t>
        </is>
      </c>
      <c r="L271" s="39" t="inlineStr">
        <is>
          <t>СК2</t>
        </is>
      </c>
      <c r="M271" s="39" t="n"/>
      <c r="N271" s="38" t="n">
        <v>30</v>
      </c>
      <c r="O271" s="992">
        <f>HYPERLINK("https://abi.ru/products/Охлажденные/Стародворье/Бордо/Сардельки/P002036/","Сардельки Шпикачки Бордо Весовые NDX мгс Стародворье")</f>
        <v/>
      </c>
      <c r="P271" s="827" t="n"/>
      <c r="Q271" s="827" t="n"/>
      <c r="R271" s="827" t="n"/>
      <c r="S271" s="791" t="n"/>
      <c r="T271" s="40" t="inlineStr"/>
      <c r="U271" s="40" t="inlineStr"/>
      <c r="V271" s="41" t="inlineStr">
        <is>
          <t>кг</t>
        </is>
      </c>
      <c r="W271" s="828" t="n">
        <v>20</v>
      </c>
      <c r="X271" s="829">
        <f>IFERROR(IF(W271="",0,CEILING((W271/$H271),1)*$H271),"")</f>
        <v/>
      </c>
      <c r="Y271" s="42">
        <f>IFERROR(IF(X271=0,"",ROUNDUP(X271/H271,0)*0.02175),"")</f>
        <v/>
      </c>
      <c r="Z271" s="69" t="inlineStr"/>
      <c r="AA271" s="70" t="inlineStr"/>
      <c r="AE271" s="80" t="n"/>
      <c r="BB271" s="240" t="inlineStr">
        <is>
          <t>КИ</t>
        </is>
      </c>
      <c r="BL271" s="80">
        <f>IFERROR(W271*I271/H271,"0")</f>
        <v/>
      </c>
      <c r="BM271" s="80">
        <f>IFERROR(X271*I271/H271,"0")</f>
        <v/>
      </c>
      <c r="BN271" s="80">
        <f>IFERROR(1/J271*(W271/H271),"0")</f>
        <v/>
      </c>
      <c r="BO271" s="80">
        <f>IFERROR(1/J271*(X271/H271),"0")</f>
        <v/>
      </c>
    </row>
    <row r="272">
      <c r="A272" s="408" t="n"/>
      <c r="B272" s="398" t="n"/>
      <c r="C272" s="398" t="n"/>
      <c r="D272" s="398" t="n"/>
      <c r="E272" s="398" t="n"/>
      <c r="F272" s="398" t="n"/>
      <c r="G272" s="398" t="n"/>
      <c r="H272" s="398" t="n"/>
      <c r="I272" s="398" t="n"/>
      <c r="J272" s="398" t="n"/>
      <c r="K272" s="398" t="n"/>
      <c r="L272" s="398" t="n"/>
      <c r="M272" s="398" t="n"/>
      <c r="N272" s="831" t="n"/>
      <c r="O272" s="832" t="inlineStr">
        <is>
          <t>Итого</t>
        </is>
      </c>
      <c r="P272" s="799" t="n"/>
      <c r="Q272" s="799" t="n"/>
      <c r="R272" s="799" t="n"/>
      <c r="S272" s="799" t="n"/>
      <c r="T272" s="799" t="n"/>
      <c r="U272" s="800" t="n"/>
      <c r="V272" s="43" t="inlineStr">
        <is>
          <t>кор</t>
        </is>
      </c>
      <c r="W272" s="833">
        <f>IFERROR(W269/H269,"0")+IFERROR(W270/H270,"0")+IFERROR(W271/H271,"0")</f>
        <v/>
      </c>
      <c r="X272" s="833">
        <f>IFERROR(X269/H269,"0")+IFERROR(X270/H270,"0")+IFERROR(X271/H271,"0")</f>
        <v/>
      </c>
      <c r="Y272" s="833">
        <f>IFERROR(IF(Y269="",0,Y269),"0")+IFERROR(IF(Y270="",0,Y270),"0")+IFERROR(IF(Y271="",0,Y271),"0")</f>
        <v/>
      </c>
      <c r="Z272" s="834" t="n"/>
      <c r="AA272" s="834" t="n"/>
    </row>
    <row r="273">
      <c r="A273" s="398" t="n"/>
      <c r="B273" s="398" t="n"/>
      <c r="C273" s="398" t="n"/>
      <c r="D273" s="398" t="n"/>
      <c r="E273" s="398" t="n"/>
      <c r="F273" s="398" t="n"/>
      <c r="G273" s="398" t="n"/>
      <c r="H273" s="398" t="n"/>
      <c r="I273" s="398" t="n"/>
      <c r="J273" s="398" t="n"/>
      <c r="K273" s="398" t="n"/>
      <c r="L273" s="398" t="n"/>
      <c r="M273" s="398" t="n"/>
      <c r="N273" s="831" t="n"/>
      <c r="O273" s="832" t="inlineStr">
        <is>
          <t>Итого</t>
        </is>
      </c>
      <c r="P273" s="799" t="n"/>
      <c r="Q273" s="799" t="n"/>
      <c r="R273" s="799" t="n"/>
      <c r="S273" s="799" t="n"/>
      <c r="T273" s="799" t="n"/>
      <c r="U273" s="800" t="n"/>
      <c r="V273" s="43" t="inlineStr">
        <is>
          <t>кг</t>
        </is>
      </c>
      <c r="W273" s="833">
        <f>IFERROR(SUM(W269:W271),"0")</f>
        <v/>
      </c>
      <c r="X273" s="833">
        <f>IFERROR(SUM(X269:X271),"0")</f>
        <v/>
      </c>
      <c r="Y273" s="43" t="n"/>
      <c r="Z273" s="834" t="n"/>
      <c r="AA273" s="834" t="n"/>
    </row>
    <row r="274" ht="14.25" customHeight="1">
      <c r="A274" s="409" t="inlineStr">
        <is>
          <t>Сырокопченые колбасы</t>
        </is>
      </c>
      <c r="B274" s="398" t="n"/>
      <c r="C274" s="398" t="n"/>
      <c r="D274" s="398" t="n"/>
      <c r="E274" s="398" t="n"/>
      <c r="F274" s="398" t="n"/>
      <c r="G274" s="398" t="n"/>
      <c r="H274" s="398" t="n"/>
      <c r="I274" s="398" t="n"/>
      <c r="J274" s="398" t="n"/>
      <c r="K274" s="398" t="n"/>
      <c r="L274" s="398" t="n"/>
      <c r="M274" s="398" t="n"/>
      <c r="N274" s="398" t="n"/>
      <c r="O274" s="398" t="n"/>
      <c r="P274" s="398" t="n"/>
      <c r="Q274" s="398" t="n"/>
      <c r="R274" s="398" t="n"/>
      <c r="S274" s="398" t="n"/>
      <c r="T274" s="398" t="n"/>
      <c r="U274" s="398" t="n"/>
      <c r="V274" s="398" t="n"/>
      <c r="W274" s="398" t="n"/>
      <c r="X274" s="398" t="n"/>
      <c r="Y274" s="398" t="n"/>
      <c r="Z274" s="409" t="n"/>
      <c r="AA274" s="409" t="n"/>
    </row>
    <row r="275" ht="16.5" customHeight="1">
      <c r="A275" s="64" t="inlineStr">
        <is>
          <t>SU001920</t>
        </is>
      </c>
      <c r="B275" s="64" t="inlineStr">
        <is>
          <t>P001900</t>
        </is>
      </c>
      <c r="C275" s="37" t="n">
        <v>4301030232</v>
      </c>
      <c r="D275" s="401" t="n">
        <v>4607091388374</v>
      </c>
      <c r="E275" s="791" t="n"/>
      <c r="F275" s="825" t="n">
        <v>0.38</v>
      </c>
      <c r="G275" s="38" t="n">
        <v>8</v>
      </c>
      <c r="H275" s="825" t="n">
        <v>3.04</v>
      </c>
      <c r="I275" s="825" t="n">
        <v>3.28</v>
      </c>
      <c r="J275" s="38" t="n">
        <v>156</v>
      </c>
      <c r="K275" s="38" t="inlineStr">
        <is>
          <t>12</t>
        </is>
      </c>
      <c r="L275" s="39" t="inlineStr">
        <is>
          <t>АК</t>
        </is>
      </c>
      <c r="M275" s="39" t="n"/>
      <c r="N275" s="38" t="n">
        <v>180</v>
      </c>
      <c r="O275" s="993" t="inlineStr">
        <is>
          <t>С/к колбасы Княжеская Бордо Весовые б/о терм/п Стародворье</t>
        </is>
      </c>
      <c r="P275" s="827" t="n"/>
      <c r="Q275" s="827" t="n"/>
      <c r="R275" s="827" t="n"/>
      <c r="S275" s="791" t="n"/>
      <c r="T275" s="40" t="inlineStr"/>
      <c r="U275" s="40" t="inlineStr"/>
      <c r="V275" s="41" t="inlineStr">
        <is>
          <t>кг</t>
        </is>
      </c>
      <c r="W275" s="828" t="n">
        <v>0</v>
      </c>
      <c r="X275" s="829">
        <f>IFERROR(IF(W275="",0,CEILING((W275/$H275),1)*$H275),"")</f>
        <v/>
      </c>
      <c r="Y275" s="42">
        <f>IFERROR(IF(X275=0,"",ROUNDUP(X275/H275,0)*0.00753),"")</f>
        <v/>
      </c>
      <c r="Z275" s="69" t="inlineStr"/>
      <c r="AA275" s="70" t="inlineStr"/>
      <c r="AE275" s="80" t="n"/>
      <c r="BB275" s="241" t="inlineStr">
        <is>
          <t>КИ</t>
        </is>
      </c>
      <c r="BL275" s="80">
        <f>IFERROR(W275*I275/H275,"0")</f>
        <v/>
      </c>
      <c r="BM275" s="80">
        <f>IFERROR(X275*I275/H275,"0")</f>
        <v/>
      </c>
      <c r="BN275" s="80">
        <f>IFERROR(1/J275*(W275/H275),"0")</f>
        <v/>
      </c>
      <c r="BO275" s="80">
        <f>IFERROR(1/J275*(X275/H275),"0")</f>
        <v/>
      </c>
    </row>
    <row r="276" ht="27" customHeight="1">
      <c r="A276" s="64" t="inlineStr">
        <is>
          <t>SU001921</t>
        </is>
      </c>
      <c r="B276" s="64" t="inlineStr">
        <is>
          <t>P001916</t>
        </is>
      </c>
      <c r="C276" s="37" t="n">
        <v>4301030235</v>
      </c>
      <c r="D276" s="401" t="n">
        <v>4607091388381</v>
      </c>
      <c r="E276" s="791" t="n"/>
      <c r="F276" s="825" t="n">
        <v>0.38</v>
      </c>
      <c r="G276" s="38" t="n">
        <v>8</v>
      </c>
      <c r="H276" s="825" t="n">
        <v>3.04</v>
      </c>
      <c r="I276" s="825" t="n">
        <v>3.32</v>
      </c>
      <c r="J276" s="38" t="n">
        <v>156</v>
      </c>
      <c r="K276" s="38" t="inlineStr">
        <is>
          <t>12</t>
        </is>
      </c>
      <c r="L276" s="39" t="inlineStr">
        <is>
          <t>АК</t>
        </is>
      </c>
      <c r="M276" s="39" t="n"/>
      <c r="N276" s="38" t="n">
        <v>180</v>
      </c>
      <c r="O276" s="994" t="inlineStr">
        <is>
          <t>С/к колбасы Салями Охотничья Бордо Весовые б/о терм/п 180 Стародворье</t>
        </is>
      </c>
      <c r="P276" s="827" t="n"/>
      <c r="Q276" s="827" t="n"/>
      <c r="R276" s="827" t="n"/>
      <c r="S276" s="791" t="n"/>
      <c r="T276" s="40" t="inlineStr"/>
      <c r="U276" s="40" t="inlineStr"/>
      <c r="V276" s="41" t="inlineStr">
        <is>
          <t>кг</t>
        </is>
      </c>
      <c r="W276" s="828" t="n">
        <v>0</v>
      </c>
      <c r="X276" s="829">
        <f>IFERROR(IF(W276="",0,CEILING((W276/$H276),1)*$H276),"")</f>
        <v/>
      </c>
      <c r="Y276" s="42">
        <f>IFERROR(IF(X276=0,"",ROUNDUP(X276/H276,0)*0.00753),"")</f>
        <v/>
      </c>
      <c r="Z276" s="69" t="inlineStr"/>
      <c r="AA276" s="70" t="inlineStr"/>
      <c r="AE276" s="80" t="n"/>
      <c r="BB276" s="242" t="inlineStr">
        <is>
          <t>КИ</t>
        </is>
      </c>
      <c r="BL276" s="80">
        <f>IFERROR(W276*I276/H276,"0")</f>
        <v/>
      </c>
      <c r="BM276" s="80">
        <f>IFERROR(X276*I276/H276,"0")</f>
        <v/>
      </c>
      <c r="BN276" s="80">
        <f>IFERROR(1/J276*(W276/H276),"0")</f>
        <v/>
      </c>
      <c r="BO276" s="80">
        <f>IFERROR(1/J276*(X276/H276),"0")</f>
        <v/>
      </c>
    </row>
    <row r="277" ht="27" customHeight="1">
      <c r="A277" s="64" t="inlineStr">
        <is>
          <t>SU001869</t>
        </is>
      </c>
      <c r="B277" s="64" t="inlineStr">
        <is>
          <t>P001909</t>
        </is>
      </c>
      <c r="C277" s="37" t="n">
        <v>4301030233</v>
      </c>
      <c r="D277" s="401" t="n">
        <v>4607091388404</v>
      </c>
      <c r="E277" s="791" t="n"/>
      <c r="F277" s="825" t="n">
        <v>0.17</v>
      </c>
      <c r="G277" s="38" t="n">
        <v>15</v>
      </c>
      <c r="H277" s="825" t="n">
        <v>2.55</v>
      </c>
      <c r="I277" s="825" t="n">
        <v>2.9</v>
      </c>
      <c r="J277" s="38" t="n">
        <v>156</v>
      </c>
      <c r="K277" s="38" t="inlineStr">
        <is>
          <t>12</t>
        </is>
      </c>
      <c r="L277" s="39" t="inlineStr">
        <is>
          <t>АК</t>
        </is>
      </c>
      <c r="M277" s="39" t="n"/>
      <c r="N277" s="38" t="n">
        <v>180</v>
      </c>
      <c r="O277" s="99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P277" s="827" t="n"/>
      <c r="Q277" s="827" t="n"/>
      <c r="R277" s="827" t="n"/>
      <c r="S277" s="791" t="n"/>
      <c r="T277" s="40" t="inlineStr"/>
      <c r="U277" s="40" t="inlineStr"/>
      <c r="V277" s="41" t="inlineStr">
        <is>
          <t>кг</t>
        </is>
      </c>
      <c r="W277" s="828" t="n">
        <v>0</v>
      </c>
      <c r="X277" s="829">
        <f>IFERROR(IF(W277="",0,CEILING((W277/$H277),1)*$H277),"")</f>
        <v/>
      </c>
      <c r="Y277" s="42">
        <f>IFERROR(IF(X277=0,"",ROUNDUP(X277/H277,0)*0.00753),"")</f>
        <v/>
      </c>
      <c r="Z277" s="69" t="inlineStr"/>
      <c r="AA277" s="70" t="inlineStr"/>
      <c r="AE277" s="80" t="n"/>
      <c r="BB277" s="243" t="inlineStr">
        <is>
          <t>КИ</t>
        </is>
      </c>
      <c r="BL277" s="80">
        <f>IFERROR(W277*I277/H277,"0")</f>
        <v/>
      </c>
      <c r="BM277" s="80">
        <f>IFERROR(X277*I277/H277,"0")</f>
        <v/>
      </c>
      <c r="BN277" s="80">
        <f>IFERROR(1/J277*(W277/H277),"0")</f>
        <v/>
      </c>
      <c r="BO277" s="80">
        <f>IFERROR(1/J277*(X277/H277),"0")</f>
        <v/>
      </c>
    </row>
    <row r="278">
      <c r="A278" s="408" t="n"/>
      <c r="B278" s="398" t="n"/>
      <c r="C278" s="398" t="n"/>
      <c r="D278" s="398" t="n"/>
      <c r="E278" s="398" t="n"/>
      <c r="F278" s="398" t="n"/>
      <c r="G278" s="398" t="n"/>
      <c r="H278" s="398" t="n"/>
      <c r="I278" s="398" t="n"/>
      <c r="J278" s="398" t="n"/>
      <c r="K278" s="398" t="n"/>
      <c r="L278" s="398" t="n"/>
      <c r="M278" s="398" t="n"/>
      <c r="N278" s="831" t="n"/>
      <c r="O278" s="832" t="inlineStr">
        <is>
          <t>Итого</t>
        </is>
      </c>
      <c r="P278" s="799" t="n"/>
      <c r="Q278" s="799" t="n"/>
      <c r="R278" s="799" t="n"/>
      <c r="S278" s="799" t="n"/>
      <c r="T278" s="799" t="n"/>
      <c r="U278" s="800" t="n"/>
      <c r="V278" s="43" t="inlineStr">
        <is>
          <t>кор</t>
        </is>
      </c>
      <c r="W278" s="833">
        <f>IFERROR(W275/H275,"0")+IFERROR(W276/H276,"0")+IFERROR(W277/H277,"0")</f>
        <v/>
      </c>
      <c r="X278" s="833">
        <f>IFERROR(X275/H275,"0")+IFERROR(X276/H276,"0")+IFERROR(X277/H277,"0")</f>
        <v/>
      </c>
      <c r="Y278" s="833">
        <f>IFERROR(IF(Y275="",0,Y275),"0")+IFERROR(IF(Y276="",0,Y276),"0")+IFERROR(IF(Y277="",0,Y277),"0")</f>
        <v/>
      </c>
      <c r="Z278" s="834" t="n"/>
      <c r="AA278" s="834" t="n"/>
    </row>
    <row r="279">
      <c r="A279" s="398" t="n"/>
      <c r="B279" s="398" t="n"/>
      <c r="C279" s="398" t="n"/>
      <c r="D279" s="398" t="n"/>
      <c r="E279" s="398" t="n"/>
      <c r="F279" s="398" t="n"/>
      <c r="G279" s="398" t="n"/>
      <c r="H279" s="398" t="n"/>
      <c r="I279" s="398" t="n"/>
      <c r="J279" s="398" t="n"/>
      <c r="K279" s="398" t="n"/>
      <c r="L279" s="398" t="n"/>
      <c r="M279" s="398" t="n"/>
      <c r="N279" s="831" t="n"/>
      <c r="O279" s="832" t="inlineStr">
        <is>
          <t>Итого</t>
        </is>
      </c>
      <c r="P279" s="799" t="n"/>
      <c r="Q279" s="799" t="n"/>
      <c r="R279" s="799" t="n"/>
      <c r="S279" s="799" t="n"/>
      <c r="T279" s="799" t="n"/>
      <c r="U279" s="800" t="n"/>
      <c r="V279" s="43" t="inlineStr">
        <is>
          <t>кг</t>
        </is>
      </c>
      <c r="W279" s="833">
        <f>IFERROR(SUM(W275:W277),"0")</f>
        <v/>
      </c>
      <c r="X279" s="833">
        <f>IFERROR(SUM(X275:X277),"0")</f>
        <v/>
      </c>
      <c r="Y279" s="43" t="n"/>
      <c r="Z279" s="834" t="n"/>
      <c r="AA279" s="834" t="n"/>
    </row>
    <row r="280" ht="14.25" customHeight="1">
      <c r="A280" s="409" t="inlineStr">
        <is>
          <t>Паштеты</t>
        </is>
      </c>
      <c r="B280" s="398" t="n"/>
      <c r="C280" s="398" t="n"/>
      <c r="D280" s="398" t="n"/>
      <c r="E280" s="398" t="n"/>
      <c r="F280" s="398" t="n"/>
      <c r="G280" s="398" t="n"/>
      <c r="H280" s="398" t="n"/>
      <c r="I280" s="398" t="n"/>
      <c r="J280" s="398" t="n"/>
      <c r="K280" s="398" t="n"/>
      <c r="L280" s="398" t="n"/>
      <c r="M280" s="398" t="n"/>
      <c r="N280" s="398" t="n"/>
      <c r="O280" s="398" t="n"/>
      <c r="P280" s="398" t="n"/>
      <c r="Q280" s="398" t="n"/>
      <c r="R280" s="398" t="n"/>
      <c r="S280" s="398" t="n"/>
      <c r="T280" s="398" t="n"/>
      <c r="U280" s="398" t="n"/>
      <c r="V280" s="398" t="n"/>
      <c r="W280" s="398" t="n"/>
      <c r="X280" s="398" t="n"/>
      <c r="Y280" s="398" t="n"/>
      <c r="Z280" s="409" t="n"/>
      <c r="AA280" s="409" t="n"/>
    </row>
    <row r="281" ht="16.5" customHeight="1">
      <c r="A281" s="64" t="inlineStr">
        <is>
          <t>SU002841</t>
        </is>
      </c>
      <c r="B281" s="64" t="inlineStr">
        <is>
          <t>P003253</t>
        </is>
      </c>
      <c r="C281" s="37" t="n">
        <v>4301180007</v>
      </c>
      <c r="D281" s="401" t="n">
        <v>4680115881808</v>
      </c>
      <c r="E281" s="791" t="n"/>
      <c r="F281" s="825" t="n">
        <v>0.1</v>
      </c>
      <c r="G281" s="38" t="n">
        <v>20</v>
      </c>
      <c r="H281" s="825" t="n">
        <v>2</v>
      </c>
      <c r="I281" s="825" t="n">
        <v>2.24</v>
      </c>
      <c r="J281" s="38" t="n">
        <v>238</v>
      </c>
      <c r="K281" s="38" t="inlineStr">
        <is>
          <t>14</t>
        </is>
      </c>
      <c r="L281" s="39" t="inlineStr">
        <is>
          <t>РК</t>
        </is>
      </c>
      <c r="M281" s="39" t="n"/>
      <c r="N281" s="38" t="n">
        <v>730</v>
      </c>
      <c r="O281" s="996">
        <f>HYPERLINK("https://abi.ru/products/Охлажденные/Стародворье/Бордо/Паштеты/P003253/","Паштеты «Любительский ГОСТ» Фикс.вес 0,1 ТМ «Стародворье»")</f>
        <v/>
      </c>
      <c r="P281" s="827" t="n"/>
      <c r="Q281" s="827" t="n"/>
      <c r="R281" s="827" t="n"/>
      <c r="S281" s="791" t="n"/>
      <c r="T281" s="40" t="inlineStr"/>
      <c r="U281" s="40" t="inlineStr"/>
      <c r="V281" s="41" t="inlineStr">
        <is>
          <t>кг</t>
        </is>
      </c>
      <c r="W281" s="828" t="n">
        <v>0</v>
      </c>
      <c r="X281" s="829">
        <f>IFERROR(IF(W281="",0,CEILING((W281/$H281),1)*$H281),"")</f>
        <v/>
      </c>
      <c r="Y281" s="42">
        <f>IFERROR(IF(X281=0,"",ROUNDUP(X281/H281,0)*0.00474),"")</f>
        <v/>
      </c>
      <c r="Z281" s="69" t="inlineStr"/>
      <c r="AA281" s="70" t="inlineStr"/>
      <c r="AE281" s="80" t="n"/>
      <c r="BB281" s="244" t="inlineStr">
        <is>
          <t>КИ</t>
        </is>
      </c>
      <c r="BL281" s="80">
        <f>IFERROR(W281*I281/H281,"0")</f>
        <v/>
      </c>
      <c r="BM281" s="80">
        <f>IFERROR(X281*I281/H281,"0")</f>
        <v/>
      </c>
      <c r="BN281" s="80">
        <f>IFERROR(1/J281*(W281/H281),"0")</f>
        <v/>
      </c>
      <c r="BO281" s="80">
        <f>IFERROR(1/J281*(X281/H281),"0")</f>
        <v/>
      </c>
    </row>
    <row r="282" ht="27" customHeight="1">
      <c r="A282" s="64" t="inlineStr">
        <is>
          <t>SU002840</t>
        </is>
      </c>
      <c r="B282" s="64" t="inlineStr">
        <is>
          <t>P003252</t>
        </is>
      </c>
      <c r="C282" s="37" t="n">
        <v>4301180006</v>
      </c>
      <c r="D282" s="401" t="n">
        <v>4680115881822</v>
      </c>
      <c r="E282" s="791" t="n"/>
      <c r="F282" s="825" t="n">
        <v>0.1</v>
      </c>
      <c r="G282" s="38" t="n">
        <v>20</v>
      </c>
      <c r="H282" s="825" t="n">
        <v>2</v>
      </c>
      <c r="I282" s="825" t="n">
        <v>2.24</v>
      </c>
      <c r="J282" s="38" t="n">
        <v>238</v>
      </c>
      <c r="K282" s="38" t="inlineStr">
        <is>
          <t>14</t>
        </is>
      </c>
      <c r="L282" s="39" t="inlineStr">
        <is>
          <t>РК</t>
        </is>
      </c>
      <c r="M282" s="39" t="n"/>
      <c r="N282" s="38" t="n">
        <v>730</v>
      </c>
      <c r="O282" s="997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P282" s="827" t="n"/>
      <c r="Q282" s="827" t="n"/>
      <c r="R282" s="827" t="n"/>
      <c r="S282" s="791" t="n"/>
      <c r="T282" s="40" t="inlineStr"/>
      <c r="U282" s="40" t="inlineStr"/>
      <c r="V282" s="41" t="inlineStr">
        <is>
          <t>кг</t>
        </is>
      </c>
      <c r="W282" s="828" t="n">
        <v>0</v>
      </c>
      <c r="X282" s="829">
        <f>IFERROR(IF(W282="",0,CEILING((W282/$H282),1)*$H282),"")</f>
        <v/>
      </c>
      <c r="Y282" s="42">
        <f>IFERROR(IF(X282=0,"",ROUNDUP(X282/H282,0)*0.00474),"")</f>
        <v/>
      </c>
      <c r="Z282" s="69" t="inlineStr"/>
      <c r="AA282" s="70" t="inlineStr"/>
      <c r="AE282" s="80" t="n"/>
      <c r="BB282" s="245" t="inlineStr">
        <is>
          <t>КИ</t>
        </is>
      </c>
      <c r="BL282" s="80">
        <f>IFERROR(W282*I282/H282,"0")</f>
        <v/>
      </c>
      <c r="BM282" s="80">
        <f>IFERROR(X282*I282/H282,"0")</f>
        <v/>
      </c>
      <c r="BN282" s="80">
        <f>IFERROR(1/J282*(W282/H282),"0")</f>
        <v/>
      </c>
      <c r="BO282" s="80">
        <f>IFERROR(1/J282*(X282/H282),"0")</f>
        <v/>
      </c>
    </row>
    <row r="283" ht="27" customHeight="1">
      <c r="A283" s="64" t="inlineStr">
        <is>
          <t>SU002368</t>
        </is>
      </c>
      <c r="B283" s="64" t="inlineStr">
        <is>
          <t>P002648</t>
        </is>
      </c>
      <c r="C283" s="37" t="n">
        <v>4301180001</v>
      </c>
      <c r="D283" s="401" t="n">
        <v>4680115880016</v>
      </c>
      <c r="E283" s="791" t="n"/>
      <c r="F283" s="825" t="n">
        <v>0.1</v>
      </c>
      <c r="G283" s="38" t="n">
        <v>20</v>
      </c>
      <c r="H283" s="825" t="n">
        <v>2</v>
      </c>
      <c r="I283" s="825" t="n">
        <v>2.24</v>
      </c>
      <c r="J283" s="38" t="n">
        <v>238</v>
      </c>
      <c r="K283" s="38" t="inlineStr">
        <is>
          <t>14</t>
        </is>
      </c>
      <c r="L283" s="39" t="inlineStr">
        <is>
          <t>РК</t>
        </is>
      </c>
      <c r="M283" s="39" t="n"/>
      <c r="N283" s="38" t="n">
        <v>730</v>
      </c>
      <c r="O283" s="99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P283" s="827" t="n"/>
      <c r="Q283" s="827" t="n"/>
      <c r="R283" s="827" t="n"/>
      <c r="S283" s="791" t="n"/>
      <c r="T283" s="40" t="inlineStr"/>
      <c r="U283" s="40" t="inlineStr"/>
      <c r="V283" s="41" t="inlineStr">
        <is>
          <t>кг</t>
        </is>
      </c>
      <c r="W283" s="828" t="n">
        <v>0</v>
      </c>
      <c r="X283" s="829">
        <f>IFERROR(IF(W283="",0,CEILING((W283/$H283),1)*$H283),"")</f>
        <v/>
      </c>
      <c r="Y283" s="42">
        <f>IFERROR(IF(X283=0,"",ROUNDUP(X283/H283,0)*0.00474),"")</f>
        <v/>
      </c>
      <c r="Z283" s="69" t="inlineStr"/>
      <c r="AA283" s="70" t="inlineStr"/>
      <c r="AE283" s="80" t="n"/>
      <c r="BB283" s="246" t="inlineStr">
        <is>
          <t>КИ</t>
        </is>
      </c>
      <c r="BL283" s="80">
        <f>IFERROR(W283*I283/H283,"0")</f>
        <v/>
      </c>
      <c r="BM283" s="80">
        <f>IFERROR(X283*I283/H283,"0")</f>
        <v/>
      </c>
      <c r="BN283" s="80">
        <f>IFERROR(1/J283*(W283/H283),"0")</f>
        <v/>
      </c>
      <c r="BO283" s="80">
        <f>IFERROR(1/J283*(X283/H283),"0")</f>
        <v/>
      </c>
    </row>
    <row r="284">
      <c r="A284" s="408" t="n"/>
      <c r="B284" s="398" t="n"/>
      <c r="C284" s="398" t="n"/>
      <c r="D284" s="398" t="n"/>
      <c r="E284" s="398" t="n"/>
      <c r="F284" s="398" t="n"/>
      <c r="G284" s="398" t="n"/>
      <c r="H284" s="398" t="n"/>
      <c r="I284" s="398" t="n"/>
      <c r="J284" s="398" t="n"/>
      <c r="K284" s="398" t="n"/>
      <c r="L284" s="398" t="n"/>
      <c r="M284" s="398" t="n"/>
      <c r="N284" s="831" t="n"/>
      <c r="O284" s="832" t="inlineStr">
        <is>
          <t>Итого</t>
        </is>
      </c>
      <c r="P284" s="799" t="n"/>
      <c r="Q284" s="799" t="n"/>
      <c r="R284" s="799" t="n"/>
      <c r="S284" s="799" t="n"/>
      <c r="T284" s="799" t="n"/>
      <c r="U284" s="800" t="n"/>
      <c r="V284" s="43" t="inlineStr">
        <is>
          <t>кор</t>
        </is>
      </c>
      <c r="W284" s="833">
        <f>IFERROR(W281/H281,"0")+IFERROR(W282/H282,"0")+IFERROR(W283/H283,"0")</f>
        <v/>
      </c>
      <c r="X284" s="833">
        <f>IFERROR(X281/H281,"0")+IFERROR(X282/H282,"0")+IFERROR(X283/H283,"0")</f>
        <v/>
      </c>
      <c r="Y284" s="833">
        <f>IFERROR(IF(Y281="",0,Y281),"0")+IFERROR(IF(Y282="",0,Y282),"0")+IFERROR(IF(Y283="",0,Y283),"0")</f>
        <v/>
      </c>
      <c r="Z284" s="834" t="n"/>
      <c r="AA284" s="834" t="n"/>
    </row>
    <row r="285">
      <c r="A285" s="398" t="n"/>
      <c r="B285" s="398" t="n"/>
      <c r="C285" s="398" t="n"/>
      <c r="D285" s="398" t="n"/>
      <c r="E285" s="398" t="n"/>
      <c r="F285" s="398" t="n"/>
      <c r="G285" s="398" t="n"/>
      <c r="H285" s="398" t="n"/>
      <c r="I285" s="398" t="n"/>
      <c r="J285" s="398" t="n"/>
      <c r="K285" s="398" t="n"/>
      <c r="L285" s="398" t="n"/>
      <c r="M285" s="398" t="n"/>
      <c r="N285" s="831" t="n"/>
      <c r="O285" s="832" t="inlineStr">
        <is>
          <t>Итого</t>
        </is>
      </c>
      <c r="P285" s="799" t="n"/>
      <c r="Q285" s="799" t="n"/>
      <c r="R285" s="799" t="n"/>
      <c r="S285" s="799" t="n"/>
      <c r="T285" s="799" t="n"/>
      <c r="U285" s="800" t="n"/>
      <c r="V285" s="43" t="inlineStr">
        <is>
          <t>кг</t>
        </is>
      </c>
      <c r="W285" s="833">
        <f>IFERROR(SUM(W281:W283),"0")</f>
        <v/>
      </c>
      <c r="X285" s="833">
        <f>IFERROR(SUM(X281:X283),"0")</f>
        <v/>
      </c>
      <c r="Y285" s="43" t="n"/>
      <c r="Z285" s="834" t="n"/>
      <c r="AA285" s="834" t="n"/>
    </row>
    <row r="286" ht="16.5" customHeight="1">
      <c r="A286" s="439" t="inlineStr">
        <is>
          <t>Фирменная</t>
        </is>
      </c>
      <c r="B286" s="398" t="n"/>
      <c r="C286" s="398" t="n"/>
      <c r="D286" s="398" t="n"/>
      <c r="E286" s="398" t="n"/>
      <c r="F286" s="398" t="n"/>
      <c r="G286" s="398" t="n"/>
      <c r="H286" s="398" t="n"/>
      <c r="I286" s="398" t="n"/>
      <c r="J286" s="398" t="n"/>
      <c r="K286" s="398" t="n"/>
      <c r="L286" s="398" t="n"/>
      <c r="M286" s="398" t="n"/>
      <c r="N286" s="398" t="n"/>
      <c r="O286" s="398" t="n"/>
      <c r="P286" s="398" t="n"/>
      <c r="Q286" s="398" t="n"/>
      <c r="R286" s="398" t="n"/>
      <c r="S286" s="398" t="n"/>
      <c r="T286" s="398" t="n"/>
      <c r="U286" s="398" t="n"/>
      <c r="V286" s="398" t="n"/>
      <c r="W286" s="398" t="n"/>
      <c r="X286" s="398" t="n"/>
      <c r="Y286" s="398" t="n"/>
      <c r="Z286" s="439" t="n"/>
      <c r="AA286" s="439" t="n"/>
    </row>
    <row r="287" ht="14.25" customHeight="1">
      <c r="A287" s="409" t="inlineStr">
        <is>
          <t>Вареные колбасы</t>
        </is>
      </c>
      <c r="B287" s="398" t="n"/>
      <c r="C287" s="398" t="n"/>
      <c r="D287" s="398" t="n"/>
      <c r="E287" s="398" t="n"/>
      <c r="F287" s="398" t="n"/>
      <c r="G287" s="398" t="n"/>
      <c r="H287" s="398" t="n"/>
      <c r="I287" s="398" t="n"/>
      <c r="J287" s="398" t="n"/>
      <c r="K287" s="398" t="n"/>
      <c r="L287" s="398" t="n"/>
      <c r="M287" s="398" t="n"/>
      <c r="N287" s="398" t="n"/>
      <c r="O287" s="398" t="n"/>
      <c r="P287" s="398" t="n"/>
      <c r="Q287" s="398" t="n"/>
      <c r="R287" s="398" t="n"/>
      <c r="S287" s="398" t="n"/>
      <c r="T287" s="398" t="n"/>
      <c r="U287" s="398" t="n"/>
      <c r="V287" s="398" t="n"/>
      <c r="W287" s="398" t="n"/>
      <c r="X287" s="398" t="n"/>
      <c r="Y287" s="398" t="n"/>
      <c r="Z287" s="409" t="n"/>
      <c r="AA287" s="409" t="n"/>
    </row>
    <row r="288" ht="27" customHeight="1">
      <c r="A288" s="64" t="inlineStr">
        <is>
          <t>SU001793</t>
        </is>
      </c>
      <c r="B288" s="64" t="inlineStr">
        <is>
          <t>P001793</t>
        </is>
      </c>
      <c r="C288" s="37" t="n">
        <v>4301011315</v>
      </c>
      <c r="D288" s="401" t="n">
        <v>4607091387421</v>
      </c>
      <c r="E288" s="791" t="n"/>
      <c r="F288" s="825" t="n">
        <v>1.35</v>
      </c>
      <c r="G288" s="38" t="n">
        <v>8</v>
      </c>
      <c r="H288" s="825" t="n">
        <v>10.8</v>
      </c>
      <c r="I288" s="825" t="n">
        <v>11.28</v>
      </c>
      <c r="J288" s="38" t="n">
        <v>56</v>
      </c>
      <c r="K288" s="38" t="inlineStr">
        <is>
          <t>8</t>
        </is>
      </c>
      <c r="L288" s="39" t="inlineStr">
        <is>
          <t>СК1</t>
        </is>
      </c>
      <c r="M288" s="39" t="n"/>
      <c r="N288" s="38" t="n">
        <v>55</v>
      </c>
      <c r="O288" s="99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P288" s="827" t="n"/>
      <c r="Q288" s="827" t="n"/>
      <c r="R288" s="827" t="n"/>
      <c r="S288" s="791" t="n"/>
      <c r="T288" s="40" t="inlineStr"/>
      <c r="U288" s="40" t="inlineStr"/>
      <c r="V288" s="41" t="inlineStr">
        <is>
          <t>кг</t>
        </is>
      </c>
      <c r="W288" s="828" t="n">
        <v>0</v>
      </c>
      <c r="X288" s="829">
        <f>IFERROR(IF(W288="",0,CEILING((W288/$H288),1)*$H288),"")</f>
        <v/>
      </c>
      <c r="Y288" s="42">
        <f>IFERROR(IF(X288=0,"",ROUNDUP(X288/H288,0)*0.02175),"")</f>
        <v/>
      </c>
      <c r="Z288" s="69" t="inlineStr"/>
      <c r="AA288" s="70" t="inlineStr"/>
      <c r="AE288" s="80" t="n"/>
      <c r="BB288" s="247" t="inlineStr">
        <is>
          <t>КИ</t>
        </is>
      </c>
      <c r="BL288" s="80">
        <f>IFERROR(W288*I288/H288,"0")</f>
        <v/>
      </c>
      <c r="BM288" s="80">
        <f>IFERROR(X288*I288/H288,"0")</f>
        <v/>
      </c>
      <c r="BN288" s="80">
        <f>IFERROR(1/J288*(W288/H288),"0")</f>
        <v/>
      </c>
      <c r="BO288" s="80">
        <f>IFERROR(1/J288*(X288/H288),"0")</f>
        <v/>
      </c>
    </row>
    <row r="289" ht="27" customHeight="1">
      <c r="A289" s="64" t="inlineStr">
        <is>
          <t>SU001793</t>
        </is>
      </c>
      <c r="B289" s="64" t="inlineStr">
        <is>
          <t>P002227</t>
        </is>
      </c>
      <c r="C289" s="37" t="n">
        <v>4301011121</v>
      </c>
      <c r="D289" s="401" t="n">
        <v>4607091387421</v>
      </c>
      <c r="E289" s="791" t="n"/>
      <c r="F289" s="825" t="n">
        <v>1.35</v>
      </c>
      <c r="G289" s="38" t="n">
        <v>8</v>
      </c>
      <c r="H289" s="825" t="n">
        <v>10.8</v>
      </c>
      <c r="I289" s="825" t="n">
        <v>11.28</v>
      </c>
      <c r="J289" s="38" t="n">
        <v>48</v>
      </c>
      <c r="K289" s="38" t="inlineStr">
        <is>
          <t>8</t>
        </is>
      </c>
      <c r="L289" s="39" t="inlineStr">
        <is>
          <t>ВЗ</t>
        </is>
      </c>
      <c r="M289" s="39" t="n"/>
      <c r="N289" s="38" t="n">
        <v>55</v>
      </c>
      <c r="O289" s="100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P289" s="827" t="n"/>
      <c r="Q289" s="827" t="n"/>
      <c r="R289" s="827" t="n"/>
      <c r="S289" s="791" t="n"/>
      <c r="T289" s="40" t="inlineStr"/>
      <c r="U289" s="40" t="inlineStr"/>
      <c r="V289" s="41" t="inlineStr">
        <is>
          <t>кг</t>
        </is>
      </c>
      <c r="W289" s="828" t="n">
        <v>0</v>
      </c>
      <c r="X289" s="829">
        <f>IFERROR(IF(W289="",0,CEILING((W289/$H289),1)*$H289),"")</f>
        <v/>
      </c>
      <c r="Y289" s="42">
        <f>IFERROR(IF(X289=0,"",ROUNDUP(X289/H289,0)*0.02039),"")</f>
        <v/>
      </c>
      <c r="Z289" s="69" t="inlineStr"/>
      <c r="AA289" s="70" t="inlineStr"/>
      <c r="AE289" s="80" t="n"/>
      <c r="BB289" s="248" t="inlineStr">
        <is>
          <t>КИ</t>
        </is>
      </c>
      <c r="BL289" s="80">
        <f>IFERROR(W289*I289/H289,"0")</f>
        <v/>
      </c>
      <c r="BM289" s="80">
        <f>IFERROR(X289*I289/H289,"0")</f>
        <v/>
      </c>
      <c r="BN289" s="80">
        <f>IFERROR(1/J289*(W289/H289),"0")</f>
        <v/>
      </c>
      <c r="BO289" s="80">
        <f>IFERROR(1/J289*(X289/H289),"0")</f>
        <v/>
      </c>
    </row>
    <row r="290" ht="27" customHeight="1">
      <c r="A290" s="64" t="inlineStr">
        <is>
          <t>SU001799</t>
        </is>
      </c>
      <c r="B290" s="64" t="inlineStr">
        <is>
          <t>P001799</t>
        </is>
      </c>
      <c r="C290" s="37" t="n">
        <v>4301011322</v>
      </c>
      <c r="D290" s="401" t="n">
        <v>4607091387452</v>
      </c>
      <c r="E290" s="791" t="n"/>
      <c r="F290" s="825" t="n">
        <v>1.35</v>
      </c>
      <c r="G290" s="38" t="n">
        <v>8</v>
      </c>
      <c r="H290" s="825" t="n">
        <v>10.8</v>
      </c>
      <c r="I290" s="825" t="n">
        <v>11.28</v>
      </c>
      <c r="J290" s="38" t="n">
        <v>56</v>
      </c>
      <c r="K290" s="38" t="inlineStr">
        <is>
          <t>8</t>
        </is>
      </c>
      <c r="L290" s="39" t="inlineStr">
        <is>
          <t>СК3</t>
        </is>
      </c>
      <c r="M290" s="39" t="n"/>
      <c r="N290" s="38" t="n">
        <v>55</v>
      </c>
      <c r="O290" s="1001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P290" s="827" t="n"/>
      <c r="Q290" s="827" t="n"/>
      <c r="R290" s="827" t="n"/>
      <c r="S290" s="791" t="n"/>
      <c r="T290" s="40" t="inlineStr"/>
      <c r="U290" s="40" t="inlineStr"/>
      <c r="V290" s="41" t="inlineStr">
        <is>
          <t>кг</t>
        </is>
      </c>
      <c r="W290" s="828" t="n">
        <v>0</v>
      </c>
      <c r="X290" s="829">
        <f>IFERROR(IF(W290="",0,CEILING((W290/$H290),1)*$H290),"")</f>
        <v/>
      </c>
      <c r="Y290" s="42">
        <f>IFERROR(IF(X290=0,"",ROUNDUP(X290/H290,0)*0.02175),"")</f>
        <v/>
      </c>
      <c r="Z290" s="69" t="inlineStr"/>
      <c r="AA290" s="70" t="inlineStr"/>
      <c r="AE290" s="80" t="n"/>
      <c r="BB290" s="249" t="inlineStr">
        <is>
          <t>КИ</t>
        </is>
      </c>
      <c r="BL290" s="80">
        <f>IFERROR(W290*I290/H290,"0")</f>
        <v/>
      </c>
      <c r="BM290" s="80">
        <f>IFERROR(X290*I290/H290,"0")</f>
        <v/>
      </c>
      <c r="BN290" s="80">
        <f>IFERROR(1/J290*(W290/H290),"0")</f>
        <v/>
      </c>
      <c r="BO290" s="80">
        <f>IFERROR(1/J290*(X290/H290),"0")</f>
        <v/>
      </c>
    </row>
    <row r="291" ht="27" customHeight="1">
      <c r="A291" s="64" t="inlineStr">
        <is>
          <t>SU001799</t>
        </is>
      </c>
      <c r="B291" s="64" t="inlineStr">
        <is>
          <t>P003673</t>
        </is>
      </c>
      <c r="C291" s="37" t="n">
        <v>4301011619</v>
      </c>
      <c r="D291" s="401" t="n">
        <v>4607091387452</v>
      </c>
      <c r="E291" s="791" t="n"/>
      <c r="F291" s="825" t="n">
        <v>1.45</v>
      </c>
      <c r="G291" s="38" t="n">
        <v>8</v>
      </c>
      <c r="H291" s="825" t="n">
        <v>11.6</v>
      </c>
      <c r="I291" s="825" t="n">
        <v>12.08</v>
      </c>
      <c r="J291" s="38" t="n">
        <v>56</v>
      </c>
      <c r="K291" s="38" t="inlineStr">
        <is>
          <t>8</t>
        </is>
      </c>
      <c r="L291" s="39" t="inlineStr">
        <is>
          <t>СК1</t>
        </is>
      </c>
      <c r="M291" s="39" t="n"/>
      <c r="N291" s="38" t="n">
        <v>55</v>
      </c>
      <c r="O291" s="1002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P291" s="827" t="n"/>
      <c r="Q291" s="827" t="n"/>
      <c r="R291" s="827" t="n"/>
      <c r="S291" s="791" t="n"/>
      <c r="T291" s="40" t="inlineStr"/>
      <c r="U291" s="40" t="inlineStr"/>
      <c r="V291" s="41" t="inlineStr">
        <is>
          <t>кг</t>
        </is>
      </c>
      <c r="W291" s="828" t="n">
        <v>0</v>
      </c>
      <c r="X291" s="829">
        <f>IFERROR(IF(W291="",0,CEILING((W291/$H291),1)*$H291),"")</f>
        <v/>
      </c>
      <c r="Y291" s="42">
        <f>IFERROR(IF(X291=0,"",ROUNDUP(X291/H291,0)*0.02175),"")</f>
        <v/>
      </c>
      <c r="Z291" s="69" t="inlineStr"/>
      <c r="AA291" s="70" t="inlineStr"/>
      <c r="AE291" s="80" t="n"/>
      <c r="BB291" s="250" t="inlineStr">
        <is>
          <t>КИ</t>
        </is>
      </c>
      <c r="BL291" s="80">
        <f>IFERROR(W291*I291/H291,"0")</f>
        <v/>
      </c>
      <c r="BM291" s="80">
        <f>IFERROR(X291*I291/H291,"0")</f>
        <v/>
      </c>
      <c r="BN291" s="80">
        <f>IFERROR(1/J291*(W291/H291),"0")</f>
        <v/>
      </c>
      <c r="BO291" s="80">
        <f>IFERROR(1/J291*(X291/H291),"0")</f>
        <v/>
      </c>
    </row>
    <row r="292" ht="27" customHeight="1">
      <c r="A292" s="64" t="inlineStr">
        <is>
          <t>SU001792</t>
        </is>
      </c>
      <c r="B292" s="64" t="inlineStr">
        <is>
          <t>P001792</t>
        </is>
      </c>
      <c r="C292" s="37" t="n">
        <v>4301011313</v>
      </c>
      <c r="D292" s="401" t="n">
        <v>4607091385984</v>
      </c>
      <c r="E292" s="791" t="n"/>
      <c r="F292" s="825" t="n">
        <v>1.35</v>
      </c>
      <c r="G292" s="38" t="n">
        <v>8</v>
      </c>
      <c r="H292" s="825" t="n">
        <v>10.8</v>
      </c>
      <c r="I292" s="825" t="n">
        <v>11.28</v>
      </c>
      <c r="J292" s="38" t="n">
        <v>56</v>
      </c>
      <c r="K292" s="38" t="inlineStr">
        <is>
          <t>8</t>
        </is>
      </c>
      <c r="L292" s="39" t="inlineStr">
        <is>
          <t>СК1</t>
        </is>
      </c>
      <c r="M292" s="39" t="n"/>
      <c r="N292" s="38" t="n">
        <v>55</v>
      </c>
      <c r="O292" s="100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P292" s="827" t="n"/>
      <c r="Q292" s="827" t="n"/>
      <c r="R292" s="827" t="n"/>
      <c r="S292" s="791" t="n"/>
      <c r="T292" s="40" t="inlineStr"/>
      <c r="U292" s="40" t="inlineStr"/>
      <c r="V292" s="41" t="inlineStr">
        <is>
          <t>кг</t>
        </is>
      </c>
      <c r="W292" s="828" t="n">
        <v>0</v>
      </c>
      <c r="X292" s="829">
        <f>IFERROR(IF(W292="",0,CEILING((W292/$H292),1)*$H292),"")</f>
        <v/>
      </c>
      <c r="Y292" s="42">
        <f>IFERROR(IF(X292=0,"",ROUNDUP(X292/H292,0)*0.02175),"")</f>
        <v/>
      </c>
      <c r="Z292" s="69" t="inlineStr"/>
      <c r="AA292" s="70" t="inlineStr"/>
      <c r="AE292" s="80" t="n"/>
      <c r="BB292" s="251" t="inlineStr">
        <is>
          <t>КИ</t>
        </is>
      </c>
      <c r="BL292" s="80">
        <f>IFERROR(W292*I292/H292,"0")</f>
        <v/>
      </c>
      <c r="BM292" s="80">
        <f>IFERROR(X292*I292/H292,"0")</f>
        <v/>
      </c>
      <c r="BN292" s="80">
        <f>IFERROR(1/J292*(W292/H292),"0")</f>
        <v/>
      </c>
      <c r="BO292" s="80">
        <f>IFERROR(1/J292*(X292/H292),"0")</f>
        <v/>
      </c>
    </row>
    <row r="293" ht="27" customHeight="1">
      <c r="A293" s="64" t="inlineStr">
        <is>
          <t>SU001794</t>
        </is>
      </c>
      <c r="B293" s="64" t="inlineStr">
        <is>
          <t>P001794</t>
        </is>
      </c>
      <c r="C293" s="37" t="n">
        <v>4301011316</v>
      </c>
      <c r="D293" s="401" t="n">
        <v>4607091387438</v>
      </c>
      <c r="E293" s="791" t="n"/>
      <c r="F293" s="825" t="n">
        <v>0.5</v>
      </c>
      <c r="G293" s="38" t="n">
        <v>10</v>
      </c>
      <c r="H293" s="825" t="n">
        <v>5</v>
      </c>
      <c r="I293" s="825" t="n">
        <v>5.24</v>
      </c>
      <c r="J293" s="38" t="n">
        <v>120</v>
      </c>
      <c r="K293" s="38" t="inlineStr">
        <is>
          <t>12</t>
        </is>
      </c>
      <c r="L293" s="39" t="inlineStr">
        <is>
          <t>СК1</t>
        </is>
      </c>
      <c r="M293" s="39" t="n"/>
      <c r="N293" s="38" t="n">
        <v>55</v>
      </c>
      <c r="O293" s="100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P293" s="827" t="n"/>
      <c r="Q293" s="827" t="n"/>
      <c r="R293" s="827" t="n"/>
      <c r="S293" s="791" t="n"/>
      <c r="T293" s="40" t="inlineStr"/>
      <c r="U293" s="40" t="inlineStr"/>
      <c r="V293" s="41" t="inlineStr">
        <is>
          <t>кг</t>
        </is>
      </c>
      <c r="W293" s="828" t="n">
        <v>0</v>
      </c>
      <c r="X293" s="829">
        <f>IFERROR(IF(W293="",0,CEILING((W293/$H293),1)*$H293),"")</f>
        <v/>
      </c>
      <c r="Y293" s="42">
        <f>IFERROR(IF(X293=0,"",ROUNDUP(X293/H293,0)*0.00937),"")</f>
        <v/>
      </c>
      <c r="Z293" s="69" t="inlineStr"/>
      <c r="AA293" s="70" t="inlineStr"/>
      <c r="AE293" s="80" t="n"/>
      <c r="BB293" s="252" t="inlineStr">
        <is>
          <t>КИ</t>
        </is>
      </c>
      <c r="BL293" s="80">
        <f>IFERROR(W293*I293/H293,"0")</f>
        <v/>
      </c>
      <c r="BM293" s="80">
        <f>IFERROR(X293*I293/H293,"0")</f>
        <v/>
      </c>
      <c r="BN293" s="80">
        <f>IFERROR(1/J293*(W293/H293),"0")</f>
        <v/>
      </c>
      <c r="BO293" s="80">
        <f>IFERROR(1/J293*(X293/H293),"0")</f>
        <v/>
      </c>
    </row>
    <row r="294" ht="27" customHeight="1">
      <c r="A294" s="64" t="inlineStr">
        <is>
          <t>SU001795</t>
        </is>
      </c>
      <c r="B294" s="64" t="inlineStr">
        <is>
          <t>P001795</t>
        </is>
      </c>
      <c r="C294" s="37" t="n">
        <v>4301011319</v>
      </c>
      <c r="D294" s="401" t="n">
        <v>4607091387469</v>
      </c>
      <c r="E294" s="791" t="n"/>
      <c r="F294" s="825" t="n">
        <v>0.5</v>
      </c>
      <c r="G294" s="38" t="n">
        <v>10</v>
      </c>
      <c r="H294" s="825" t="n">
        <v>5</v>
      </c>
      <c r="I294" s="825" t="n">
        <v>5.24</v>
      </c>
      <c r="J294" s="38" t="n">
        <v>120</v>
      </c>
      <c r="K294" s="38" t="inlineStr">
        <is>
          <t>12</t>
        </is>
      </c>
      <c r="L294" s="39" t="inlineStr">
        <is>
          <t>СК1</t>
        </is>
      </c>
      <c r="M294" s="39" t="n"/>
      <c r="N294" s="38" t="n">
        <v>55</v>
      </c>
      <c r="O294" s="100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P294" s="827" t="n"/>
      <c r="Q294" s="827" t="n"/>
      <c r="R294" s="827" t="n"/>
      <c r="S294" s="791" t="n"/>
      <c r="T294" s="40" t="inlineStr"/>
      <c r="U294" s="40" t="inlineStr"/>
      <c r="V294" s="41" t="inlineStr">
        <is>
          <t>кг</t>
        </is>
      </c>
      <c r="W294" s="828" t="n">
        <v>0</v>
      </c>
      <c r="X294" s="829">
        <f>IFERROR(IF(W294="",0,CEILING((W294/$H294),1)*$H294),"")</f>
        <v/>
      </c>
      <c r="Y294" s="42">
        <f>IFERROR(IF(X294=0,"",ROUNDUP(X294/H294,0)*0.00937),"")</f>
        <v/>
      </c>
      <c r="Z294" s="69" t="inlineStr"/>
      <c r="AA294" s="70" t="inlineStr"/>
      <c r="AE294" s="80" t="n"/>
      <c r="BB294" s="253" t="inlineStr">
        <is>
          <t>КИ</t>
        </is>
      </c>
      <c r="BL294" s="80">
        <f>IFERROR(W294*I294/H294,"0")</f>
        <v/>
      </c>
      <c r="BM294" s="80">
        <f>IFERROR(X294*I294/H294,"0")</f>
        <v/>
      </c>
      <c r="BN294" s="80">
        <f>IFERROR(1/J294*(W294/H294),"0")</f>
        <v/>
      </c>
      <c r="BO294" s="80">
        <f>IFERROR(1/J294*(X294/H294),"0")</f>
        <v/>
      </c>
    </row>
    <row r="295">
      <c r="A295" s="408" t="n"/>
      <c r="B295" s="398" t="n"/>
      <c r="C295" s="398" t="n"/>
      <c r="D295" s="398" t="n"/>
      <c r="E295" s="398" t="n"/>
      <c r="F295" s="398" t="n"/>
      <c r="G295" s="398" t="n"/>
      <c r="H295" s="398" t="n"/>
      <c r="I295" s="398" t="n"/>
      <c r="J295" s="398" t="n"/>
      <c r="K295" s="398" t="n"/>
      <c r="L295" s="398" t="n"/>
      <c r="M295" s="398" t="n"/>
      <c r="N295" s="831" t="n"/>
      <c r="O295" s="832" t="inlineStr">
        <is>
          <t>Итого</t>
        </is>
      </c>
      <c r="P295" s="799" t="n"/>
      <c r="Q295" s="799" t="n"/>
      <c r="R295" s="799" t="n"/>
      <c r="S295" s="799" t="n"/>
      <c r="T295" s="799" t="n"/>
      <c r="U295" s="800" t="n"/>
      <c r="V295" s="43" t="inlineStr">
        <is>
          <t>кор</t>
        </is>
      </c>
      <c r="W295" s="833">
        <f>IFERROR(W288/H288,"0")+IFERROR(W289/H289,"0")+IFERROR(W290/H290,"0")+IFERROR(W291/H291,"0")+IFERROR(W292/H292,"0")+IFERROR(W293/H293,"0")+IFERROR(W294/H294,"0")</f>
        <v/>
      </c>
      <c r="X295" s="833">
        <f>IFERROR(X288/H288,"0")+IFERROR(X289/H289,"0")+IFERROR(X290/H290,"0")+IFERROR(X291/H291,"0")+IFERROR(X292/H292,"0")+IFERROR(X293/H293,"0")+IFERROR(X294/H294,"0")</f>
        <v/>
      </c>
      <c r="Y295" s="833">
        <f>IFERROR(IF(Y288="",0,Y288),"0")+IFERROR(IF(Y289="",0,Y289),"0")+IFERROR(IF(Y290="",0,Y290),"0")+IFERROR(IF(Y291="",0,Y291),"0")+IFERROR(IF(Y292="",0,Y292),"0")+IFERROR(IF(Y293="",0,Y293),"0")+IFERROR(IF(Y294="",0,Y294),"0")</f>
        <v/>
      </c>
      <c r="Z295" s="834" t="n"/>
      <c r="AA295" s="834" t="n"/>
    </row>
    <row r="296">
      <c r="A296" s="398" t="n"/>
      <c r="B296" s="398" t="n"/>
      <c r="C296" s="398" t="n"/>
      <c r="D296" s="398" t="n"/>
      <c r="E296" s="398" t="n"/>
      <c r="F296" s="398" t="n"/>
      <c r="G296" s="398" t="n"/>
      <c r="H296" s="398" t="n"/>
      <c r="I296" s="398" t="n"/>
      <c r="J296" s="398" t="n"/>
      <c r="K296" s="398" t="n"/>
      <c r="L296" s="398" t="n"/>
      <c r="M296" s="398" t="n"/>
      <c r="N296" s="831" t="n"/>
      <c r="O296" s="832" t="inlineStr">
        <is>
          <t>Итого</t>
        </is>
      </c>
      <c r="P296" s="799" t="n"/>
      <c r="Q296" s="799" t="n"/>
      <c r="R296" s="799" t="n"/>
      <c r="S296" s="799" t="n"/>
      <c r="T296" s="799" t="n"/>
      <c r="U296" s="800" t="n"/>
      <c r="V296" s="43" t="inlineStr">
        <is>
          <t>кг</t>
        </is>
      </c>
      <c r="W296" s="833">
        <f>IFERROR(SUM(W288:W294),"0")</f>
        <v/>
      </c>
      <c r="X296" s="833">
        <f>IFERROR(SUM(X288:X294),"0")</f>
        <v/>
      </c>
      <c r="Y296" s="43" t="n"/>
      <c r="Z296" s="834" t="n"/>
      <c r="AA296" s="834" t="n"/>
    </row>
    <row r="297" ht="14.25" customHeight="1">
      <c r="A297" s="409" t="inlineStr">
        <is>
          <t>Копченые колбасы</t>
        </is>
      </c>
      <c r="B297" s="398" t="n"/>
      <c r="C297" s="398" t="n"/>
      <c r="D297" s="398" t="n"/>
      <c r="E297" s="398" t="n"/>
      <c r="F297" s="398" t="n"/>
      <c r="G297" s="398" t="n"/>
      <c r="H297" s="398" t="n"/>
      <c r="I297" s="398" t="n"/>
      <c r="J297" s="398" t="n"/>
      <c r="K297" s="398" t="n"/>
      <c r="L297" s="398" t="n"/>
      <c r="M297" s="398" t="n"/>
      <c r="N297" s="398" t="n"/>
      <c r="O297" s="398" t="n"/>
      <c r="P297" s="398" t="n"/>
      <c r="Q297" s="398" t="n"/>
      <c r="R297" s="398" t="n"/>
      <c r="S297" s="398" t="n"/>
      <c r="T297" s="398" t="n"/>
      <c r="U297" s="398" t="n"/>
      <c r="V297" s="398" t="n"/>
      <c r="W297" s="398" t="n"/>
      <c r="X297" s="398" t="n"/>
      <c r="Y297" s="398" t="n"/>
      <c r="Z297" s="409" t="n"/>
      <c r="AA297" s="409" t="n"/>
    </row>
    <row r="298" ht="27" customHeight="1">
      <c r="A298" s="64" t="inlineStr">
        <is>
          <t>SU001801</t>
        </is>
      </c>
      <c r="B298" s="64" t="inlineStr">
        <is>
          <t>P003014</t>
        </is>
      </c>
      <c r="C298" s="37" t="n">
        <v>4301031154</v>
      </c>
      <c r="D298" s="401" t="n">
        <v>4607091387292</v>
      </c>
      <c r="E298" s="791" t="n"/>
      <c r="F298" s="825" t="n">
        <v>0.73</v>
      </c>
      <c r="G298" s="38" t="n">
        <v>6</v>
      </c>
      <c r="H298" s="825" t="n">
        <v>4.38</v>
      </c>
      <c r="I298" s="825" t="n">
        <v>4.64</v>
      </c>
      <c r="J298" s="38" t="n">
        <v>156</v>
      </c>
      <c r="K298" s="38" t="inlineStr">
        <is>
          <t>12</t>
        </is>
      </c>
      <c r="L298" s="39" t="inlineStr">
        <is>
          <t>СК2</t>
        </is>
      </c>
      <c r="M298" s="39" t="n"/>
      <c r="N298" s="38" t="n">
        <v>45</v>
      </c>
      <c r="O298" s="100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P298" s="827" t="n"/>
      <c r="Q298" s="827" t="n"/>
      <c r="R298" s="827" t="n"/>
      <c r="S298" s="791" t="n"/>
      <c r="T298" s="40" t="inlineStr"/>
      <c r="U298" s="40" t="inlineStr"/>
      <c r="V298" s="41" t="inlineStr">
        <is>
          <t>кг</t>
        </is>
      </c>
      <c r="W298" s="828" t="n">
        <v>0</v>
      </c>
      <c r="X298" s="829">
        <f>IFERROR(IF(W298="",0,CEILING((W298/$H298),1)*$H298),"")</f>
        <v/>
      </c>
      <c r="Y298" s="42">
        <f>IFERROR(IF(X298=0,"",ROUNDUP(X298/H298,0)*0.00753),"")</f>
        <v/>
      </c>
      <c r="Z298" s="69" t="inlineStr"/>
      <c r="AA298" s="70" t="inlineStr"/>
      <c r="AE298" s="80" t="n"/>
      <c r="BB298" s="254" t="inlineStr">
        <is>
          <t>КИ</t>
        </is>
      </c>
      <c r="BL298" s="80">
        <f>IFERROR(W298*I298/H298,"0")</f>
        <v/>
      </c>
      <c r="BM298" s="80">
        <f>IFERROR(X298*I298/H298,"0")</f>
        <v/>
      </c>
      <c r="BN298" s="80">
        <f>IFERROR(1/J298*(W298/H298),"0")</f>
        <v/>
      </c>
      <c r="BO298" s="80">
        <f>IFERROR(1/J298*(X298/H298),"0")</f>
        <v/>
      </c>
    </row>
    <row r="299">
      <c r="A299" s="408" t="n"/>
      <c r="B299" s="398" t="n"/>
      <c r="C299" s="398" t="n"/>
      <c r="D299" s="398" t="n"/>
      <c r="E299" s="398" t="n"/>
      <c r="F299" s="398" t="n"/>
      <c r="G299" s="398" t="n"/>
      <c r="H299" s="398" t="n"/>
      <c r="I299" s="398" t="n"/>
      <c r="J299" s="398" t="n"/>
      <c r="K299" s="398" t="n"/>
      <c r="L299" s="398" t="n"/>
      <c r="M299" s="398" t="n"/>
      <c r="N299" s="831" t="n"/>
      <c r="O299" s="832" t="inlineStr">
        <is>
          <t>Итого</t>
        </is>
      </c>
      <c r="P299" s="799" t="n"/>
      <c r="Q299" s="799" t="n"/>
      <c r="R299" s="799" t="n"/>
      <c r="S299" s="799" t="n"/>
      <c r="T299" s="799" t="n"/>
      <c r="U299" s="800" t="n"/>
      <c r="V299" s="43" t="inlineStr">
        <is>
          <t>кор</t>
        </is>
      </c>
      <c r="W299" s="833">
        <f>IFERROR(W298/H298,"0")</f>
        <v/>
      </c>
      <c r="X299" s="833">
        <f>IFERROR(X298/H298,"0")</f>
        <v/>
      </c>
      <c r="Y299" s="833">
        <f>IFERROR(IF(Y298="",0,Y298),"0")</f>
        <v/>
      </c>
      <c r="Z299" s="834" t="n"/>
      <c r="AA299" s="834" t="n"/>
    </row>
    <row r="300">
      <c r="A300" s="398" t="n"/>
      <c r="B300" s="398" t="n"/>
      <c r="C300" s="398" t="n"/>
      <c r="D300" s="398" t="n"/>
      <c r="E300" s="398" t="n"/>
      <c r="F300" s="398" t="n"/>
      <c r="G300" s="398" t="n"/>
      <c r="H300" s="398" t="n"/>
      <c r="I300" s="398" t="n"/>
      <c r="J300" s="398" t="n"/>
      <c r="K300" s="398" t="n"/>
      <c r="L300" s="398" t="n"/>
      <c r="M300" s="398" t="n"/>
      <c r="N300" s="831" t="n"/>
      <c r="O300" s="832" t="inlineStr">
        <is>
          <t>Итого</t>
        </is>
      </c>
      <c r="P300" s="799" t="n"/>
      <c r="Q300" s="799" t="n"/>
      <c r="R300" s="799" t="n"/>
      <c r="S300" s="799" t="n"/>
      <c r="T300" s="799" t="n"/>
      <c r="U300" s="800" t="n"/>
      <c r="V300" s="43" t="inlineStr">
        <is>
          <t>кг</t>
        </is>
      </c>
      <c r="W300" s="833">
        <f>IFERROR(SUM(W298:W298),"0")</f>
        <v/>
      </c>
      <c r="X300" s="833">
        <f>IFERROR(SUM(X298:X298),"0")</f>
        <v/>
      </c>
      <c r="Y300" s="43" t="n"/>
      <c r="Z300" s="834" t="n"/>
      <c r="AA300" s="834" t="n"/>
    </row>
    <row r="301" ht="16.5" customHeight="1">
      <c r="A301" s="439" t="inlineStr">
        <is>
          <t>Бавария</t>
        </is>
      </c>
      <c r="B301" s="398" t="n"/>
      <c r="C301" s="398" t="n"/>
      <c r="D301" s="398" t="n"/>
      <c r="E301" s="398" t="n"/>
      <c r="F301" s="398" t="n"/>
      <c r="G301" s="398" t="n"/>
      <c r="H301" s="398" t="n"/>
      <c r="I301" s="398" t="n"/>
      <c r="J301" s="398" t="n"/>
      <c r="K301" s="398" t="n"/>
      <c r="L301" s="398" t="n"/>
      <c r="M301" s="398" t="n"/>
      <c r="N301" s="398" t="n"/>
      <c r="O301" s="398" t="n"/>
      <c r="P301" s="398" t="n"/>
      <c r="Q301" s="398" t="n"/>
      <c r="R301" s="398" t="n"/>
      <c r="S301" s="398" t="n"/>
      <c r="T301" s="398" t="n"/>
      <c r="U301" s="398" t="n"/>
      <c r="V301" s="398" t="n"/>
      <c r="W301" s="398" t="n"/>
      <c r="X301" s="398" t="n"/>
      <c r="Y301" s="398" t="n"/>
      <c r="Z301" s="439" t="n"/>
      <c r="AA301" s="439" t="n"/>
    </row>
    <row r="302" ht="14.25" customHeight="1">
      <c r="A302" s="409" t="inlineStr">
        <is>
          <t>Копченые колбасы</t>
        </is>
      </c>
      <c r="B302" s="398" t="n"/>
      <c r="C302" s="398" t="n"/>
      <c r="D302" s="398" t="n"/>
      <c r="E302" s="398" t="n"/>
      <c r="F302" s="398" t="n"/>
      <c r="G302" s="398" t="n"/>
      <c r="H302" s="398" t="n"/>
      <c r="I302" s="398" t="n"/>
      <c r="J302" s="398" t="n"/>
      <c r="K302" s="398" t="n"/>
      <c r="L302" s="398" t="n"/>
      <c r="M302" s="398" t="n"/>
      <c r="N302" s="398" t="n"/>
      <c r="O302" s="398" t="n"/>
      <c r="P302" s="398" t="n"/>
      <c r="Q302" s="398" t="n"/>
      <c r="R302" s="398" t="n"/>
      <c r="S302" s="398" t="n"/>
      <c r="T302" s="398" t="n"/>
      <c r="U302" s="398" t="n"/>
      <c r="V302" s="398" t="n"/>
      <c r="W302" s="398" t="n"/>
      <c r="X302" s="398" t="n"/>
      <c r="Y302" s="398" t="n"/>
      <c r="Z302" s="409" t="n"/>
      <c r="AA302" s="409" t="n"/>
    </row>
    <row r="303" ht="27" customHeight="1">
      <c r="A303" s="64" t="inlineStr">
        <is>
          <t>SU002252</t>
        </is>
      </c>
      <c r="B303" s="64" t="inlineStr">
        <is>
          <t>P002461</t>
        </is>
      </c>
      <c r="C303" s="37" t="n">
        <v>4301031066</v>
      </c>
      <c r="D303" s="401" t="n">
        <v>4607091383836</v>
      </c>
      <c r="E303" s="791" t="n"/>
      <c r="F303" s="825" t="n">
        <v>0.3</v>
      </c>
      <c r="G303" s="38" t="n">
        <v>6</v>
      </c>
      <c r="H303" s="825" t="n">
        <v>1.8</v>
      </c>
      <c r="I303" s="825" t="n">
        <v>2.048</v>
      </c>
      <c r="J303" s="38" t="n">
        <v>156</v>
      </c>
      <c r="K303" s="38" t="inlineStr">
        <is>
          <t>12</t>
        </is>
      </c>
      <c r="L303" s="39" t="inlineStr">
        <is>
          <t>СК2</t>
        </is>
      </c>
      <c r="M303" s="39" t="n"/>
      <c r="N303" s="38" t="n">
        <v>40</v>
      </c>
      <c r="O303" s="100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P303" s="827" t="n"/>
      <c r="Q303" s="827" t="n"/>
      <c r="R303" s="827" t="n"/>
      <c r="S303" s="791" t="n"/>
      <c r="T303" s="40" t="inlineStr"/>
      <c r="U303" s="40" t="inlineStr"/>
      <c r="V303" s="41" t="inlineStr">
        <is>
          <t>кг</t>
        </is>
      </c>
      <c r="W303" s="828" t="n">
        <v>27</v>
      </c>
      <c r="X303" s="829">
        <f>IFERROR(IF(W303="",0,CEILING((W303/$H303),1)*$H303),"")</f>
        <v/>
      </c>
      <c r="Y303" s="42">
        <f>IFERROR(IF(X303=0,"",ROUNDUP(X303/H303,0)*0.00753),"")</f>
        <v/>
      </c>
      <c r="Z303" s="69" t="inlineStr"/>
      <c r="AA303" s="70" t="inlineStr"/>
      <c r="AE303" s="80" t="n"/>
      <c r="BB303" s="255" t="inlineStr">
        <is>
          <t>КИ</t>
        </is>
      </c>
      <c r="BL303" s="80">
        <f>IFERROR(W303*I303/H303,"0")</f>
        <v/>
      </c>
      <c r="BM303" s="80">
        <f>IFERROR(X303*I303/H303,"0")</f>
        <v/>
      </c>
      <c r="BN303" s="80">
        <f>IFERROR(1/J303*(W303/H303),"0")</f>
        <v/>
      </c>
      <c r="BO303" s="80">
        <f>IFERROR(1/J303*(X303/H303),"0")</f>
        <v/>
      </c>
    </row>
    <row r="304">
      <c r="A304" s="408" t="n"/>
      <c r="B304" s="398" t="n"/>
      <c r="C304" s="398" t="n"/>
      <c r="D304" s="398" t="n"/>
      <c r="E304" s="398" t="n"/>
      <c r="F304" s="398" t="n"/>
      <c r="G304" s="398" t="n"/>
      <c r="H304" s="398" t="n"/>
      <c r="I304" s="398" t="n"/>
      <c r="J304" s="398" t="n"/>
      <c r="K304" s="398" t="n"/>
      <c r="L304" s="398" t="n"/>
      <c r="M304" s="398" t="n"/>
      <c r="N304" s="831" t="n"/>
      <c r="O304" s="832" t="inlineStr">
        <is>
          <t>Итого</t>
        </is>
      </c>
      <c r="P304" s="799" t="n"/>
      <c r="Q304" s="799" t="n"/>
      <c r="R304" s="799" t="n"/>
      <c r="S304" s="799" t="n"/>
      <c r="T304" s="799" t="n"/>
      <c r="U304" s="800" t="n"/>
      <c r="V304" s="43" t="inlineStr">
        <is>
          <t>кор</t>
        </is>
      </c>
      <c r="W304" s="833">
        <f>IFERROR(W303/H303,"0")</f>
        <v/>
      </c>
      <c r="X304" s="833">
        <f>IFERROR(X303/H303,"0")</f>
        <v/>
      </c>
      <c r="Y304" s="833">
        <f>IFERROR(IF(Y303="",0,Y303),"0")</f>
        <v/>
      </c>
      <c r="Z304" s="834" t="n"/>
      <c r="AA304" s="834" t="n"/>
    </row>
    <row r="305">
      <c r="A305" s="398" t="n"/>
      <c r="B305" s="398" t="n"/>
      <c r="C305" s="398" t="n"/>
      <c r="D305" s="398" t="n"/>
      <c r="E305" s="398" t="n"/>
      <c r="F305" s="398" t="n"/>
      <c r="G305" s="398" t="n"/>
      <c r="H305" s="398" t="n"/>
      <c r="I305" s="398" t="n"/>
      <c r="J305" s="398" t="n"/>
      <c r="K305" s="398" t="n"/>
      <c r="L305" s="398" t="n"/>
      <c r="M305" s="398" t="n"/>
      <c r="N305" s="831" t="n"/>
      <c r="O305" s="832" t="inlineStr">
        <is>
          <t>Итого</t>
        </is>
      </c>
      <c r="P305" s="799" t="n"/>
      <c r="Q305" s="799" t="n"/>
      <c r="R305" s="799" t="n"/>
      <c r="S305" s="799" t="n"/>
      <c r="T305" s="799" t="n"/>
      <c r="U305" s="800" t="n"/>
      <c r="V305" s="43" t="inlineStr">
        <is>
          <t>кг</t>
        </is>
      </c>
      <c r="W305" s="833">
        <f>IFERROR(SUM(W303:W303),"0")</f>
        <v/>
      </c>
      <c r="X305" s="833">
        <f>IFERROR(SUM(X303:X303),"0")</f>
        <v/>
      </c>
      <c r="Y305" s="43" t="n"/>
      <c r="Z305" s="834" t="n"/>
      <c r="AA305" s="834" t="n"/>
    </row>
    <row r="306" ht="14.25" customHeight="1">
      <c r="A306" s="409" t="inlineStr">
        <is>
          <t>Сосиски</t>
        </is>
      </c>
      <c r="B306" s="398" t="n"/>
      <c r="C306" s="398" t="n"/>
      <c r="D306" s="398" t="n"/>
      <c r="E306" s="398" t="n"/>
      <c r="F306" s="398" t="n"/>
      <c r="G306" s="398" t="n"/>
      <c r="H306" s="398" t="n"/>
      <c r="I306" s="398" t="n"/>
      <c r="J306" s="398" t="n"/>
      <c r="K306" s="398" t="n"/>
      <c r="L306" s="398" t="n"/>
      <c r="M306" s="398" t="n"/>
      <c r="N306" s="398" t="n"/>
      <c r="O306" s="398" t="n"/>
      <c r="P306" s="398" t="n"/>
      <c r="Q306" s="398" t="n"/>
      <c r="R306" s="398" t="n"/>
      <c r="S306" s="398" t="n"/>
      <c r="T306" s="398" t="n"/>
      <c r="U306" s="398" t="n"/>
      <c r="V306" s="398" t="n"/>
      <c r="W306" s="398" t="n"/>
      <c r="X306" s="398" t="n"/>
      <c r="Y306" s="398" t="n"/>
      <c r="Z306" s="409" t="n"/>
      <c r="AA306" s="409" t="n"/>
    </row>
    <row r="307" ht="27" customHeight="1">
      <c r="A307" s="64" t="inlineStr">
        <is>
          <t>SU001835</t>
        </is>
      </c>
      <c r="B307" s="64" t="inlineStr">
        <is>
          <t>P002202</t>
        </is>
      </c>
      <c r="C307" s="37" t="n">
        <v>4301051142</v>
      </c>
      <c r="D307" s="401" t="n">
        <v>4607091387919</v>
      </c>
      <c r="E307" s="791" t="n"/>
      <c r="F307" s="825" t="n">
        <v>1.35</v>
      </c>
      <c r="G307" s="38" t="n">
        <v>6</v>
      </c>
      <c r="H307" s="825" t="n">
        <v>8.1</v>
      </c>
      <c r="I307" s="825" t="n">
        <v>8.664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9" t="n"/>
      <c r="N307" s="38" t="n">
        <v>45</v>
      </c>
      <c r="O307" s="1008">
        <f>HYPERLINK("https://abi.ru/products/Охлажденные/Стародворье/Бавария/Сосиски/P002202/","Сосиски Баварские Бавария Весовые П/а мгс Стародворье")</f>
        <v/>
      </c>
      <c r="P307" s="827" t="n"/>
      <c r="Q307" s="827" t="n"/>
      <c r="R307" s="827" t="n"/>
      <c r="S307" s="791" t="n"/>
      <c r="T307" s="40" t="inlineStr"/>
      <c r="U307" s="40" t="inlineStr"/>
      <c r="V307" s="41" t="inlineStr">
        <is>
          <t>кг</t>
        </is>
      </c>
      <c r="W307" s="828" t="n">
        <v>0</v>
      </c>
      <c r="X307" s="829">
        <f>IFERROR(IF(W307="",0,CEILING((W307/$H307),1)*$H307),"")</f>
        <v/>
      </c>
      <c r="Y307" s="42">
        <f>IFERROR(IF(X307=0,"",ROUNDUP(X307/H307,0)*0.02175),"")</f>
        <v/>
      </c>
      <c r="Z307" s="69" t="inlineStr"/>
      <c r="AA307" s="70" t="inlineStr"/>
      <c r="AE307" s="80" t="n"/>
      <c r="BB307" s="256" t="inlineStr">
        <is>
          <t>КИ</t>
        </is>
      </c>
      <c r="BL307" s="80">
        <f>IFERROR(W307*I307/H307,"0")</f>
        <v/>
      </c>
      <c r="BM307" s="80">
        <f>IFERROR(X307*I307/H307,"0")</f>
        <v/>
      </c>
      <c r="BN307" s="80">
        <f>IFERROR(1/J307*(W307/H307),"0")</f>
        <v/>
      </c>
      <c r="BO307" s="80">
        <f>IFERROR(1/J307*(X307/H307),"0")</f>
        <v/>
      </c>
    </row>
    <row r="308" ht="27" customHeight="1">
      <c r="A308" s="64" t="inlineStr">
        <is>
          <t>SU003167</t>
        </is>
      </c>
      <c r="B308" s="64" t="inlineStr">
        <is>
          <t>P003363</t>
        </is>
      </c>
      <c r="C308" s="37" t="n">
        <v>4301051461</v>
      </c>
      <c r="D308" s="401" t="n">
        <v>4680115883604</v>
      </c>
      <c r="E308" s="791" t="n"/>
      <c r="F308" s="825" t="n">
        <v>0.35</v>
      </c>
      <c r="G308" s="38" t="n">
        <v>6</v>
      </c>
      <c r="H308" s="825" t="n">
        <v>2.1</v>
      </c>
      <c r="I308" s="825" t="n">
        <v>2.372</v>
      </c>
      <c r="J308" s="38" t="n">
        <v>156</v>
      </c>
      <c r="K308" s="38" t="inlineStr">
        <is>
          <t>12</t>
        </is>
      </c>
      <c r="L308" s="39" t="inlineStr">
        <is>
          <t>СК3</t>
        </is>
      </c>
      <c r="M308" s="39" t="n"/>
      <c r="N308" s="38" t="n">
        <v>45</v>
      </c>
      <c r="O308" s="1009">
        <f>HYPERLINK("https://abi.ru/products/Охлажденные/Стародворье/Бордо/Сосиски/P003363/","Сосиски «Баварские» Фикс.вес 0,35 П/а ТМ «Стародворье»")</f>
        <v/>
      </c>
      <c r="P308" s="827" t="n"/>
      <c r="Q308" s="827" t="n"/>
      <c r="R308" s="827" t="n"/>
      <c r="S308" s="791" t="n"/>
      <c r="T308" s="40" t="inlineStr"/>
      <c r="U308" s="40" t="inlineStr"/>
      <c r="V308" s="41" t="inlineStr">
        <is>
          <t>кг</t>
        </is>
      </c>
      <c r="W308" s="828" t="n">
        <v>525</v>
      </c>
      <c r="X308" s="829">
        <f>IFERROR(IF(W308="",0,CEILING((W308/$H308),1)*$H308),"")</f>
        <v/>
      </c>
      <c r="Y308" s="42">
        <f>IFERROR(IF(X308=0,"",ROUNDUP(X308/H308,0)*0.00753),"")</f>
        <v/>
      </c>
      <c r="Z308" s="69" t="inlineStr"/>
      <c r="AA308" s="70" t="inlineStr"/>
      <c r="AE308" s="80" t="n"/>
      <c r="BB308" s="257" t="inlineStr">
        <is>
          <t>КИ</t>
        </is>
      </c>
      <c r="BL308" s="80">
        <f>IFERROR(W308*I308/H308,"0")</f>
        <v/>
      </c>
      <c r="BM308" s="80">
        <f>IFERROR(X308*I308/H308,"0")</f>
        <v/>
      </c>
      <c r="BN308" s="80">
        <f>IFERROR(1/J308*(W308/H308),"0")</f>
        <v/>
      </c>
      <c r="BO308" s="80">
        <f>IFERROR(1/J308*(X308/H308),"0")</f>
        <v/>
      </c>
    </row>
    <row r="309" ht="27" customHeight="1">
      <c r="A309" s="64" t="inlineStr">
        <is>
          <t>SU003168</t>
        </is>
      </c>
      <c r="B309" s="64" t="inlineStr">
        <is>
          <t>P003364</t>
        </is>
      </c>
      <c r="C309" s="37" t="n">
        <v>4301051485</v>
      </c>
      <c r="D309" s="401" t="n">
        <v>4680115883567</v>
      </c>
      <c r="E309" s="791" t="n"/>
      <c r="F309" s="825" t="n">
        <v>0.35</v>
      </c>
      <c r="G309" s="38" t="n">
        <v>6</v>
      </c>
      <c r="H309" s="825" t="n">
        <v>2.1</v>
      </c>
      <c r="I309" s="825" t="n">
        <v>2.36</v>
      </c>
      <c r="J309" s="38" t="n">
        <v>156</v>
      </c>
      <c r="K309" s="38" t="inlineStr">
        <is>
          <t>12</t>
        </is>
      </c>
      <c r="L309" s="39" t="inlineStr">
        <is>
          <t>СК2</t>
        </is>
      </c>
      <c r="M309" s="39" t="n"/>
      <c r="N309" s="38" t="n">
        <v>40</v>
      </c>
      <c r="O309" s="1010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P309" s="827" t="n"/>
      <c r="Q309" s="827" t="n"/>
      <c r="R309" s="827" t="n"/>
      <c r="S309" s="791" t="n"/>
      <c r="T309" s="40" t="inlineStr"/>
      <c r="U309" s="40" t="inlineStr"/>
      <c r="V309" s="41" t="inlineStr">
        <is>
          <t>кг</t>
        </is>
      </c>
      <c r="W309" s="828" t="n">
        <v>385</v>
      </c>
      <c r="X309" s="829">
        <f>IFERROR(IF(W309="",0,CEILING((W309/$H309),1)*$H309),"")</f>
        <v/>
      </c>
      <c r="Y309" s="42">
        <f>IFERROR(IF(X309=0,"",ROUNDUP(X309/H309,0)*0.00753),"")</f>
        <v/>
      </c>
      <c r="Z309" s="69" t="inlineStr"/>
      <c r="AA309" s="70" t="inlineStr"/>
      <c r="AE309" s="80" t="n"/>
      <c r="BB309" s="258" t="inlineStr">
        <is>
          <t>КИ</t>
        </is>
      </c>
      <c r="BL309" s="80">
        <f>IFERROR(W309*I309/H309,"0")</f>
        <v/>
      </c>
      <c r="BM309" s="80">
        <f>IFERROR(X309*I309/H309,"0")</f>
        <v/>
      </c>
      <c r="BN309" s="80">
        <f>IFERROR(1/J309*(W309/H309),"0")</f>
        <v/>
      </c>
      <c r="BO309" s="80">
        <f>IFERROR(1/J309*(X309/H309),"0")</f>
        <v/>
      </c>
    </row>
    <row r="310">
      <c r="A310" s="408" t="n"/>
      <c r="B310" s="398" t="n"/>
      <c r="C310" s="398" t="n"/>
      <c r="D310" s="398" t="n"/>
      <c r="E310" s="398" t="n"/>
      <c r="F310" s="398" t="n"/>
      <c r="G310" s="398" t="n"/>
      <c r="H310" s="398" t="n"/>
      <c r="I310" s="398" t="n"/>
      <c r="J310" s="398" t="n"/>
      <c r="K310" s="398" t="n"/>
      <c r="L310" s="398" t="n"/>
      <c r="M310" s="398" t="n"/>
      <c r="N310" s="831" t="n"/>
      <c r="O310" s="832" t="inlineStr">
        <is>
          <t>Итого</t>
        </is>
      </c>
      <c r="P310" s="799" t="n"/>
      <c r="Q310" s="799" t="n"/>
      <c r="R310" s="799" t="n"/>
      <c r="S310" s="799" t="n"/>
      <c r="T310" s="799" t="n"/>
      <c r="U310" s="800" t="n"/>
      <c r="V310" s="43" t="inlineStr">
        <is>
          <t>кор</t>
        </is>
      </c>
      <c r="W310" s="833">
        <f>IFERROR(W307/H307,"0")+IFERROR(W308/H308,"0")+IFERROR(W309/H309,"0")</f>
        <v/>
      </c>
      <c r="X310" s="833">
        <f>IFERROR(X307/H307,"0")+IFERROR(X308/H308,"0")+IFERROR(X309/H309,"0")</f>
        <v/>
      </c>
      <c r="Y310" s="833">
        <f>IFERROR(IF(Y307="",0,Y307),"0")+IFERROR(IF(Y308="",0,Y308),"0")+IFERROR(IF(Y309="",0,Y309),"0")</f>
        <v/>
      </c>
      <c r="Z310" s="834" t="n"/>
      <c r="AA310" s="834" t="n"/>
    </row>
    <row r="311">
      <c r="A311" s="398" t="n"/>
      <c r="B311" s="398" t="n"/>
      <c r="C311" s="398" t="n"/>
      <c r="D311" s="398" t="n"/>
      <c r="E311" s="398" t="n"/>
      <c r="F311" s="398" t="n"/>
      <c r="G311" s="398" t="n"/>
      <c r="H311" s="398" t="n"/>
      <c r="I311" s="398" t="n"/>
      <c r="J311" s="398" t="n"/>
      <c r="K311" s="398" t="n"/>
      <c r="L311" s="398" t="n"/>
      <c r="M311" s="398" t="n"/>
      <c r="N311" s="831" t="n"/>
      <c r="O311" s="832" t="inlineStr">
        <is>
          <t>Итого</t>
        </is>
      </c>
      <c r="P311" s="799" t="n"/>
      <c r="Q311" s="799" t="n"/>
      <c r="R311" s="799" t="n"/>
      <c r="S311" s="799" t="n"/>
      <c r="T311" s="799" t="n"/>
      <c r="U311" s="800" t="n"/>
      <c r="V311" s="43" t="inlineStr">
        <is>
          <t>кг</t>
        </is>
      </c>
      <c r="W311" s="833">
        <f>IFERROR(SUM(W307:W309),"0")</f>
        <v/>
      </c>
      <c r="X311" s="833">
        <f>IFERROR(SUM(X307:X309),"0")</f>
        <v/>
      </c>
      <c r="Y311" s="43" t="n"/>
      <c r="Z311" s="834" t="n"/>
      <c r="AA311" s="834" t="n"/>
    </row>
    <row r="312" ht="14.25" customHeight="1">
      <c r="A312" s="409" t="inlineStr">
        <is>
          <t>Сырокопченые колбасы</t>
        </is>
      </c>
      <c r="B312" s="398" t="n"/>
      <c r="C312" s="398" t="n"/>
      <c r="D312" s="398" t="n"/>
      <c r="E312" s="398" t="n"/>
      <c r="F312" s="398" t="n"/>
      <c r="G312" s="398" t="n"/>
      <c r="H312" s="398" t="n"/>
      <c r="I312" s="398" t="n"/>
      <c r="J312" s="398" t="n"/>
      <c r="K312" s="398" t="n"/>
      <c r="L312" s="398" t="n"/>
      <c r="M312" s="398" t="n"/>
      <c r="N312" s="398" t="n"/>
      <c r="O312" s="398" t="n"/>
      <c r="P312" s="398" t="n"/>
      <c r="Q312" s="398" t="n"/>
      <c r="R312" s="398" t="n"/>
      <c r="S312" s="398" t="n"/>
      <c r="T312" s="398" t="n"/>
      <c r="U312" s="398" t="n"/>
      <c r="V312" s="398" t="n"/>
      <c r="W312" s="398" t="n"/>
      <c r="X312" s="398" t="n"/>
      <c r="Y312" s="398" t="n"/>
      <c r="Z312" s="409" t="n"/>
      <c r="AA312" s="409" t="n"/>
    </row>
    <row r="313" ht="27" customHeight="1">
      <c r="A313" s="64" t="inlineStr">
        <is>
          <t>SU002092</t>
        </is>
      </c>
      <c r="B313" s="64" t="inlineStr">
        <is>
          <t>P002290</t>
        </is>
      </c>
      <c r="C313" s="37" t="n">
        <v>4301032015</v>
      </c>
      <c r="D313" s="401" t="n">
        <v>4607091383102</v>
      </c>
      <c r="E313" s="791" t="n"/>
      <c r="F313" s="825" t="n">
        <v>0.17</v>
      </c>
      <c r="G313" s="38" t="n">
        <v>15</v>
      </c>
      <c r="H313" s="825" t="n">
        <v>2.55</v>
      </c>
      <c r="I313" s="825" t="n">
        <v>2.975</v>
      </c>
      <c r="J313" s="38" t="n">
        <v>156</v>
      </c>
      <c r="K313" s="38" t="inlineStr">
        <is>
          <t>12</t>
        </is>
      </c>
      <c r="L313" s="39" t="inlineStr">
        <is>
          <t>АК</t>
        </is>
      </c>
      <c r="M313" s="39" t="n"/>
      <c r="N313" s="38" t="n">
        <v>180</v>
      </c>
      <c r="O313" s="1011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P313" s="827" t="n"/>
      <c r="Q313" s="827" t="n"/>
      <c r="R313" s="827" t="n"/>
      <c r="S313" s="791" t="n"/>
      <c r="T313" s="40" t="inlineStr"/>
      <c r="U313" s="40" t="inlineStr"/>
      <c r="V313" s="41" t="inlineStr">
        <is>
          <t>кг</t>
        </is>
      </c>
      <c r="W313" s="828" t="n">
        <v>0</v>
      </c>
      <c r="X313" s="829">
        <f>IFERROR(IF(W313="",0,CEILING((W313/$H313),1)*$H313),"")</f>
        <v/>
      </c>
      <c r="Y313" s="42">
        <f>IFERROR(IF(X313=0,"",ROUNDUP(X313/H313,0)*0.00753),"")</f>
        <v/>
      </c>
      <c r="Z313" s="69" t="inlineStr"/>
      <c r="AA313" s="70" t="inlineStr"/>
      <c r="AE313" s="80" t="n"/>
      <c r="BB313" s="259" t="inlineStr">
        <is>
          <t>КИ</t>
        </is>
      </c>
      <c r="BL313" s="80">
        <f>IFERROR(W313*I313/H313,"0")</f>
        <v/>
      </c>
      <c r="BM313" s="80">
        <f>IFERROR(X313*I313/H313,"0")</f>
        <v/>
      </c>
      <c r="BN313" s="80">
        <f>IFERROR(1/J313*(W313/H313),"0")</f>
        <v/>
      </c>
      <c r="BO313" s="80">
        <f>IFERROR(1/J313*(X313/H313),"0")</f>
        <v/>
      </c>
    </row>
    <row r="314">
      <c r="A314" s="408" t="n"/>
      <c r="B314" s="398" t="n"/>
      <c r="C314" s="398" t="n"/>
      <c r="D314" s="398" t="n"/>
      <c r="E314" s="398" t="n"/>
      <c r="F314" s="398" t="n"/>
      <c r="G314" s="398" t="n"/>
      <c r="H314" s="398" t="n"/>
      <c r="I314" s="398" t="n"/>
      <c r="J314" s="398" t="n"/>
      <c r="K314" s="398" t="n"/>
      <c r="L314" s="398" t="n"/>
      <c r="M314" s="398" t="n"/>
      <c r="N314" s="831" t="n"/>
      <c r="O314" s="832" t="inlineStr">
        <is>
          <t>Итого</t>
        </is>
      </c>
      <c r="P314" s="799" t="n"/>
      <c r="Q314" s="799" t="n"/>
      <c r="R314" s="799" t="n"/>
      <c r="S314" s="799" t="n"/>
      <c r="T314" s="799" t="n"/>
      <c r="U314" s="800" t="n"/>
      <c r="V314" s="43" t="inlineStr">
        <is>
          <t>кор</t>
        </is>
      </c>
      <c r="W314" s="833">
        <f>IFERROR(W313/H313,"0")</f>
        <v/>
      </c>
      <c r="X314" s="833">
        <f>IFERROR(X313/H313,"0")</f>
        <v/>
      </c>
      <c r="Y314" s="833">
        <f>IFERROR(IF(Y313="",0,Y313),"0")</f>
        <v/>
      </c>
      <c r="Z314" s="834" t="n"/>
      <c r="AA314" s="834" t="n"/>
    </row>
    <row r="315">
      <c r="A315" s="398" t="n"/>
      <c r="B315" s="398" t="n"/>
      <c r="C315" s="398" t="n"/>
      <c r="D315" s="398" t="n"/>
      <c r="E315" s="398" t="n"/>
      <c r="F315" s="398" t="n"/>
      <c r="G315" s="398" t="n"/>
      <c r="H315" s="398" t="n"/>
      <c r="I315" s="398" t="n"/>
      <c r="J315" s="398" t="n"/>
      <c r="K315" s="398" t="n"/>
      <c r="L315" s="398" t="n"/>
      <c r="M315" s="398" t="n"/>
      <c r="N315" s="831" t="n"/>
      <c r="O315" s="832" t="inlineStr">
        <is>
          <t>Итого</t>
        </is>
      </c>
      <c r="P315" s="799" t="n"/>
      <c r="Q315" s="799" t="n"/>
      <c r="R315" s="799" t="n"/>
      <c r="S315" s="799" t="n"/>
      <c r="T315" s="799" t="n"/>
      <c r="U315" s="800" t="n"/>
      <c r="V315" s="43" t="inlineStr">
        <is>
          <t>кг</t>
        </is>
      </c>
      <c r="W315" s="833">
        <f>IFERROR(SUM(W313:W313),"0")</f>
        <v/>
      </c>
      <c r="X315" s="833">
        <f>IFERROR(SUM(X313:X313),"0")</f>
        <v/>
      </c>
      <c r="Y315" s="43" t="n"/>
      <c r="Z315" s="834" t="n"/>
      <c r="AA315" s="834" t="n"/>
    </row>
    <row r="316" ht="27.75" customHeight="1">
      <c r="A316" s="438" t="inlineStr">
        <is>
          <t>Особый рецепт</t>
        </is>
      </c>
      <c r="B316" s="824" t="n"/>
      <c r="C316" s="824" t="n"/>
      <c r="D316" s="824" t="n"/>
      <c r="E316" s="824" t="n"/>
      <c r="F316" s="824" t="n"/>
      <c r="G316" s="824" t="n"/>
      <c r="H316" s="824" t="n"/>
      <c r="I316" s="824" t="n"/>
      <c r="J316" s="824" t="n"/>
      <c r="K316" s="824" t="n"/>
      <c r="L316" s="824" t="n"/>
      <c r="M316" s="824" t="n"/>
      <c r="N316" s="824" t="n"/>
      <c r="O316" s="824" t="n"/>
      <c r="P316" s="824" t="n"/>
      <c r="Q316" s="824" t="n"/>
      <c r="R316" s="824" t="n"/>
      <c r="S316" s="824" t="n"/>
      <c r="T316" s="824" t="n"/>
      <c r="U316" s="824" t="n"/>
      <c r="V316" s="824" t="n"/>
      <c r="W316" s="824" t="n"/>
      <c r="X316" s="824" t="n"/>
      <c r="Y316" s="824" t="n"/>
      <c r="Z316" s="55" t="n"/>
      <c r="AA316" s="55" t="n"/>
    </row>
    <row r="317" ht="16.5" customHeight="1">
      <c r="A317" s="439" t="inlineStr">
        <is>
          <t>Особая</t>
        </is>
      </c>
      <c r="B317" s="398" t="n"/>
      <c r="C317" s="398" t="n"/>
      <c r="D317" s="398" t="n"/>
      <c r="E317" s="398" t="n"/>
      <c r="F317" s="398" t="n"/>
      <c r="G317" s="398" t="n"/>
      <c r="H317" s="398" t="n"/>
      <c r="I317" s="398" t="n"/>
      <c r="J317" s="398" t="n"/>
      <c r="K317" s="398" t="n"/>
      <c r="L317" s="398" t="n"/>
      <c r="M317" s="398" t="n"/>
      <c r="N317" s="398" t="n"/>
      <c r="O317" s="398" t="n"/>
      <c r="P317" s="398" t="n"/>
      <c r="Q317" s="398" t="n"/>
      <c r="R317" s="398" t="n"/>
      <c r="S317" s="398" t="n"/>
      <c r="T317" s="398" t="n"/>
      <c r="U317" s="398" t="n"/>
      <c r="V317" s="398" t="n"/>
      <c r="W317" s="398" t="n"/>
      <c r="X317" s="398" t="n"/>
      <c r="Y317" s="398" t="n"/>
      <c r="Z317" s="439" t="n"/>
      <c r="AA317" s="439" t="n"/>
    </row>
    <row r="318" ht="14.25" customHeight="1">
      <c r="A318" s="409" t="inlineStr">
        <is>
          <t>Вареные колбасы</t>
        </is>
      </c>
      <c r="B318" s="398" t="n"/>
      <c r="C318" s="398" t="n"/>
      <c r="D318" s="398" t="n"/>
      <c r="E318" s="398" t="n"/>
      <c r="F318" s="398" t="n"/>
      <c r="G318" s="398" t="n"/>
      <c r="H318" s="398" t="n"/>
      <c r="I318" s="398" t="n"/>
      <c r="J318" s="398" t="n"/>
      <c r="K318" s="398" t="n"/>
      <c r="L318" s="398" t="n"/>
      <c r="M318" s="398" t="n"/>
      <c r="N318" s="398" t="n"/>
      <c r="O318" s="398" t="n"/>
      <c r="P318" s="398" t="n"/>
      <c r="Q318" s="398" t="n"/>
      <c r="R318" s="398" t="n"/>
      <c r="S318" s="398" t="n"/>
      <c r="T318" s="398" t="n"/>
      <c r="U318" s="398" t="n"/>
      <c r="V318" s="398" t="n"/>
      <c r="W318" s="398" t="n"/>
      <c r="X318" s="398" t="n"/>
      <c r="Y318" s="398" t="n"/>
      <c r="Z318" s="409" t="n"/>
      <c r="AA318" s="409" t="n"/>
    </row>
    <row r="319" ht="37.5" customHeight="1">
      <c r="A319" s="64" t="inlineStr">
        <is>
          <t>SU003425</t>
        </is>
      </c>
      <c r="B319" s="64" t="inlineStr">
        <is>
          <t>P004273</t>
        </is>
      </c>
      <c r="C319" s="37" t="n">
        <v>4301011875</v>
      </c>
      <c r="D319" s="401" t="n">
        <v>4680115884885</v>
      </c>
      <c r="E319" s="791" t="n"/>
      <c r="F319" s="825" t="n">
        <v>0.8</v>
      </c>
      <c r="G319" s="38" t="n">
        <v>15</v>
      </c>
      <c r="H319" s="825" t="n">
        <v>12</v>
      </c>
      <c r="I319" s="825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9" t="n"/>
      <c r="N319" s="38" t="n">
        <v>60</v>
      </c>
      <c r="O319" s="1012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/>
      </c>
      <c r="P319" s="827" t="n"/>
      <c r="Q319" s="827" t="n"/>
      <c r="R319" s="827" t="n"/>
      <c r="S319" s="791" t="n"/>
      <c r="T319" s="40" t="inlineStr"/>
      <c r="U319" s="40" t="inlineStr"/>
      <c r="V319" s="41" t="inlineStr">
        <is>
          <t>кг</t>
        </is>
      </c>
      <c r="W319" s="828" t="n">
        <v>0</v>
      </c>
      <c r="X319" s="829">
        <f>IFERROR(IF(W319="",0,CEILING((W319/$H319),1)*$H319),"")</f>
        <v/>
      </c>
      <c r="Y319" s="42">
        <f>IFERROR(IF(X319=0,"",ROUNDUP(X319/H319,0)*0.02175),"")</f>
        <v/>
      </c>
      <c r="Z319" s="69" t="inlineStr"/>
      <c r="AA319" s="70" t="inlineStr"/>
      <c r="AE319" s="80" t="n"/>
      <c r="BB319" s="260" t="inlineStr">
        <is>
          <t>КИ</t>
        </is>
      </c>
      <c r="BL319" s="80">
        <f>IFERROR(W319*I319/H319,"0")</f>
        <v/>
      </c>
      <c r="BM319" s="80">
        <f>IFERROR(X319*I319/H319,"0")</f>
        <v/>
      </c>
      <c r="BN319" s="80">
        <f>IFERROR(1/J319*(W319/H319),"0")</f>
        <v/>
      </c>
      <c r="BO319" s="80">
        <f>IFERROR(1/J319*(X319/H319),"0")</f>
        <v/>
      </c>
    </row>
    <row r="320" ht="37.5" customHeight="1">
      <c r="A320" s="64" t="inlineStr">
        <is>
          <t>SU003424</t>
        </is>
      </c>
      <c r="B320" s="64" t="inlineStr">
        <is>
          <t>P004259</t>
        </is>
      </c>
      <c r="C320" s="37" t="n">
        <v>4301011874</v>
      </c>
      <c r="D320" s="401" t="n">
        <v>4680115884892</v>
      </c>
      <c r="E320" s="791" t="n"/>
      <c r="F320" s="825" t="n">
        <v>1.8</v>
      </c>
      <c r="G320" s="38" t="n">
        <v>6</v>
      </c>
      <c r="H320" s="825" t="n">
        <v>10.8</v>
      </c>
      <c r="I320" s="825" t="n">
        <v>11.28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9" t="n"/>
      <c r="N320" s="38" t="n">
        <v>60</v>
      </c>
      <c r="O320" s="1013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/>
      </c>
      <c r="P320" s="827" t="n"/>
      <c r="Q320" s="827" t="n"/>
      <c r="R320" s="827" t="n"/>
      <c r="S320" s="791" t="n"/>
      <c r="T320" s="40" t="inlineStr"/>
      <c r="U320" s="40" t="inlineStr"/>
      <c r="V320" s="41" t="inlineStr">
        <is>
          <t>кг</t>
        </is>
      </c>
      <c r="W320" s="828" t="n">
        <v>0</v>
      </c>
      <c r="X320" s="829">
        <f>IFERROR(IF(W320="",0,CEILING((W320/$H320),1)*$H320),"")</f>
        <v/>
      </c>
      <c r="Y320" s="42">
        <f>IFERROR(IF(X320=0,"",ROUNDUP(X320/H320,0)*0.02175),"")</f>
        <v/>
      </c>
      <c r="Z320" s="69" t="inlineStr"/>
      <c r="AA320" s="70" t="inlineStr"/>
      <c r="AE320" s="80" t="n"/>
      <c r="BB320" s="261" t="inlineStr">
        <is>
          <t>КИ</t>
        </is>
      </c>
      <c r="BL320" s="80">
        <f>IFERROR(W320*I320/H320,"0")</f>
        <v/>
      </c>
      <c r="BM320" s="80">
        <f>IFERROR(X320*I320/H320,"0")</f>
        <v/>
      </c>
      <c r="BN320" s="80">
        <f>IFERROR(1/J320*(W320/H320),"0")</f>
        <v/>
      </c>
      <c r="BO320" s="80">
        <f>IFERROR(1/J320*(X320/H320),"0")</f>
        <v/>
      </c>
    </row>
    <row r="321" ht="27" customHeight="1">
      <c r="A321" s="64" t="inlineStr">
        <is>
          <t>SU003420</t>
        </is>
      </c>
      <c r="B321" s="64" t="inlineStr">
        <is>
          <t>P004293</t>
        </is>
      </c>
      <c r="C321" s="37" t="n">
        <v>4301011943</v>
      </c>
      <c r="D321" s="401" t="n">
        <v>4680115884830</v>
      </c>
      <c r="E321" s="791" t="n"/>
      <c r="F321" s="825" t="n">
        <v>2.5</v>
      </c>
      <c r="G321" s="38" t="n">
        <v>6</v>
      </c>
      <c r="H321" s="825" t="n">
        <v>15</v>
      </c>
      <c r="I321" s="825" t="n">
        <v>15.48</v>
      </c>
      <c r="J321" s="38" t="n">
        <v>48</v>
      </c>
      <c r="K321" s="38" t="inlineStr">
        <is>
          <t>8</t>
        </is>
      </c>
      <c r="L321" s="39" t="inlineStr">
        <is>
          <t>ВЗ</t>
        </is>
      </c>
      <c r="M321" s="39" t="n"/>
      <c r="N321" s="38" t="n">
        <v>60</v>
      </c>
      <c r="O321" s="1014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P321" s="827" t="n"/>
      <c r="Q321" s="827" t="n"/>
      <c r="R321" s="827" t="n"/>
      <c r="S321" s="791" t="n"/>
      <c r="T321" s="40" t="inlineStr"/>
      <c r="U321" s="40" t="inlineStr"/>
      <c r="V321" s="41" t="inlineStr">
        <is>
          <t>кг</t>
        </is>
      </c>
      <c r="W321" s="828" t="n">
        <v>0</v>
      </c>
      <c r="X321" s="829">
        <f>IFERROR(IF(W321="",0,CEILING((W321/$H321),1)*$H321),"")</f>
        <v/>
      </c>
      <c r="Y321" s="42">
        <f>IFERROR(IF(X321=0,"",ROUNDUP(X321/H321,0)*0.02039),"")</f>
        <v/>
      </c>
      <c r="Z321" s="69" t="inlineStr"/>
      <c r="AA321" s="70" t="inlineStr"/>
      <c r="AE321" s="80" t="n"/>
      <c r="BB321" s="262" t="inlineStr">
        <is>
          <t>КИ</t>
        </is>
      </c>
      <c r="BL321" s="80">
        <f>IFERROR(W321*I321/H321,"0")</f>
        <v/>
      </c>
      <c r="BM321" s="80">
        <f>IFERROR(X321*I321/H321,"0")</f>
        <v/>
      </c>
      <c r="BN321" s="80">
        <f>IFERROR(1/J321*(W321/H321),"0")</f>
        <v/>
      </c>
      <c r="BO321" s="80">
        <f>IFERROR(1/J321*(X321/H321),"0")</f>
        <v/>
      </c>
    </row>
    <row r="322" ht="27" customHeight="1">
      <c r="A322" s="64" t="inlineStr">
        <is>
          <t>SU003420</t>
        </is>
      </c>
      <c r="B322" s="64" t="inlineStr">
        <is>
          <t>P004252</t>
        </is>
      </c>
      <c r="C322" s="37" t="n">
        <v>4301011867</v>
      </c>
      <c r="D322" s="401" t="n">
        <v>4680115884830</v>
      </c>
      <c r="E322" s="791" t="n"/>
      <c r="F322" s="825" t="n">
        <v>2.5</v>
      </c>
      <c r="G322" s="38" t="n">
        <v>6</v>
      </c>
      <c r="H322" s="825" t="n">
        <v>15</v>
      </c>
      <c r="I322" s="825" t="n">
        <v>15.48</v>
      </c>
      <c r="J322" s="38" t="n">
        <v>48</v>
      </c>
      <c r="K322" s="38" t="inlineStr">
        <is>
          <t>8</t>
        </is>
      </c>
      <c r="L322" s="39" t="inlineStr">
        <is>
          <t>СК2</t>
        </is>
      </c>
      <c r="M322" s="39" t="n"/>
      <c r="N322" s="38" t="n">
        <v>60</v>
      </c>
      <c r="O322" s="1015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P322" s="827" t="n"/>
      <c r="Q322" s="827" t="n"/>
      <c r="R322" s="827" t="n"/>
      <c r="S322" s="791" t="n"/>
      <c r="T322" s="40" t="inlineStr"/>
      <c r="U322" s="40" t="inlineStr"/>
      <c r="V322" s="41" t="inlineStr">
        <is>
          <t>кг</t>
        </is>
      </c>
      <c r="W322" s="828" t="n">
        <v>2300</v>
      </c>
      <c r="X322" s="829">
        <f>IFERROR(IF(W322="",0,CEILING((W322/$H322),1)*$H322),"")</f>
        <v/>
      </c>
      <c r="Y322" s="42">
        <f>IFERROR(IF(X322=0,"",ROUNDUP(X322/H322,0)*0.02175),"")</f>
        <v/>
      </c>
      <c r="Z322" s="69" t="inlineStr"/>
      <c r="AA322" s="70" t="inlineStr"/>
      <c r="AE322" s="80" t="n"/>
      <c r="BB322" s="263" t="inlineStr">
        <is>
          <t>КИ</t>
        </is>
      </c>
      <c r="BL322" s="80">
        <f>IFERROR(W322*I322/H322,"0")</f>
        <v/>
      </c>
      <c r="BM322" s="80">
        <f>IFERROR(X322*I322/H322,"0")</f>
        <v/>
      </c>
      <c r="BN322" s="80">
        <f>IFERROR(1/J322*(W322/H322),"0")</f>
        <v/>
      </c>
      <c r="BO322" s="80">
        <f>IFERROR(1/J322*(X322/H322),"0")</f>
        <v/>
      </c>
    </row>
    <row r="323" ht="27" customHeight="1">
      <c r="A323" s="64" t="inlineStr">
        <is>
          <t>SU003422</t>
        </is>
      </c>
      <c r="B323" s="64" t="inlineStr">
        <is>
          <t>P004303</t>
        </is>
      </c>
      <c r="C323" s="37" t="n">
        <v>4301011946</v>
      </c>
      <c r="D323" s="401" t="n">
        <v>4680115884847</v>
      </c>
      <c r="E323" s="791" t="n"/>
      <c r="F323" s="825" t="n">
        <v>2.5</v>
      </c>
      <c r="G323" s="38" t="n">
        <v>6</v>
      </c>
      <c r="H323" s="825" t="n">
        <v>15</v>
      </c>
      <c r="I323" s="825" t="n">
        <v>15.48</v>
      </c>
      <c r="J323" s="38" t="n">
        <v>48</v>
      </c>
      <c r="K323" s="38" t="inlineStr">
        <is>
          <t>8</t>
        </is>
      </c>
      <c r="L323" s="39" t="inlineStr">
        <is>
          <t>ВЗ</t>
        </is>
      </c>
      <c r="M323" s="39" t="n"/>
      <c r="N323" s="38" t="n">
        <v>60</v>
      </c>
      <c r="O323" s="1016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P323" s="827" t="n"/>
      <c r="Q323" s="827" t="n"/>
      <c r="R323" s="827" t="n"/>
      <c r="S323" s="791" t="n"/>
      <c r="T323" s="40" t="inlineStr"/>
      <c r="U323" s="40" t="inlineStr"/>
      <c r="V323" s="41" t="inlineStr">
        <is>
          <t>кг</t>
        </is>
      </c>
      <c r="W323" s="828" t="n">
        <v>0</v>
      </c>
      <c r="X323" s="829">
        <f>IFERROR(IF(W323="",0,CEILING((W323/$H323),1)*$H323),"")</f>
        <v/>
      </c>
      <c r="Y323" s="42">
        <f>IFERROR(IF(X323=0,"",ROUNDUP(X323/H323,0)*0.02039),"")</f>
        <v/>
      </c>
      <c r="Z323" s="69" t="inlineStr"/>
      <c r="AA323" s="70" t="inlineStr"/>
      <c r="AE323" s="80" t="n"/>
      <c r="BB323" s="264" t="inlineStr">
        <is>
          <t>КИ</t>
        </is>
      </c>
      <c r="BL323" s="80">
        <f>IFERROR(W323*I323/H323,"0")</f>
        <v/>
      </c>
      <c r="BM323" s="80">
        <f>IFERROR(X323*I323/H323,"0")</f>
        <v/>
      </c>
      <c r="BN323" s="80">
        <f>IFERROR(1/J323*(W323/H323),"0")</f>
        <v/>
      </c>
      <c r="BO323" s="80">
        <f>IFERROR(1/J323*(X323/H323),"0")</f>
        <v/>
      </c>
    </row>
    <row r="324" ht="27" customHeight="1">
      <c r="A324" s="64" t="inlineStr">
        <is>
          <t>SU003422</t>
        </is>
      </c>
      <c r="B324" s="64" t="inlineStr">
        <is>
          <t>P004256</t>
        </is>
      </c>
      <c r="C324" s="37" t="n">
        <v>4301011869</v>
      </c>
      <c r="D324" s="401" t="n">
        <v>4680115884847</v>
      </c>
      <c r="E324" s="791" t="n"/>
      <c r="F324" s="825" t="n">
        <v>2.5</v>
      </c>
      <c r="G324" s="38" t="n">
        <v>6</v>
      </c>
      <c r="H324" s="825" t="n">
        <v>15</v>
      </c>
      <c r="I324" s="825" t="n">
        <v>15.48</v>
      </c>
      <c r="J324" s="38" t="n">
        <v>48</v>
      </c>
      <c r="K324" s="38" t="inlineStr">
        <is>
          <t>8</t>
        </is>
      </c>
      <c r="L324" s="39" t="inlineStr">
        <is>
          <t>СК2</t>
        </is>
      </c>
      <c r="M324" s="39" t="n"/>
      <c r="N324" s="38" t="n">
        <v>60</v>
      </c>
      <c r="O324" s="1017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/>
      </c>
      <c r="P324" s="827" t="n"/>
      <c r="Q324" s="827" t="n"/>
      <c r="R324" s="827" t="n"/>
      <c r="S324" s="791" t="n"/>
      <c r="T324" s="40" t="inlineStr"/>
      <c r="U324" s="40" t="inlineStr"/>
      <c r="V324" s="41" t="inlineStr">
        <is>
          <t>кг</t>
        </is>
      </c>
      <c r="W324" s="828" t="n">
        <v>1200</v>
      </c>
      <c r="X324" s="829">
        <f>IFERROR(IF(W324="",0,CEILING((W324/$H324),1)*$H324),"")</f>
        <v/>
      </c>
      <c r="Y324" s="42">
        <f>IFERROR(IF(X324=0,"",ROUNDUP(X324/H324,0)*0.02175),"")</f>
        <v/>
      </c>
      <c r="Z324" s="69" t="inlineStr"/>
      <c r="AA324" s="70" t="inlineStr"/>
      <c r="AE324" s="80" t="n"/>
      <c r="BB324" s="265" t="inlineStr">
        <is>
          <t>КИ</t>
        </is>
      </c>
      <c r="BL324" s="80">
        <f>IFERROR(W324*I324/H324,"0")</f>
        <v/>
      </c>
      <c r="BM324" s="80">
        <f>IFERROR(X324*I324/H324,"0")</f>
        <v/>
      </c>
      <c r="BN324" s="80">
        <f>IFERROR(1/J324*(W324/H324),"0")</f>
        <v/>
      </c>
      <c r="BO324" s="80">
        <f>IFERROR(1/J324*(X324/H324),"0")</f>
        <v/>
      </c>
    </row>
    <row r="325" ht="27" customHeight="1">
      <c r="A325" s="64" t="inlineStr">
        <is>
          <t>SU003423</t>
        </is>
      </c>
      <c r="B325" s="64" t="inlineStr">
        <is>
          <t>P004315</t>
        </is>
      </c>
      <c r="C325" s="37" t="n">
        <v>4301011947</v>
      </c>
      <c r="D325" s="401" t="n">
        <v>4680115884854</v>
      </c>
      <c r="E325" s="791" t="n"/>
      <c r="F325" s="825" t="n">
        <v>2.5</v>
      </c>
      <c r="G325" s="38" t="n">
        <v>6</v>
      </c>
      <c r="H325" s="825" t="n">
        <v>15</v>
      </c>
      <c r="I325" s="825" t="n">
        <v>15.48</v>
      </c>
      <c r="J325" s="38" t="n">
        <v>48</v>
      </c>
      <c r="K325" s="38" t="inlineStr">
        <is>
          <t>8</t>
        </is>
      </c>
      <c r="L325" s="39" t="inlineStr">
        <is>
          <t>ВЗ</t>
        </is>
      </c>
      <c r="M325" s="39" t="n"/>
      <c r="N325" s="38" t="n">
        <v>60</v>
      </c>
      <c r="O325" s="1018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P325" s="827" t="n"/>
      <c r="Q325" s="827" t="n"/>
      <c r="R325" s="827" t="n"/>
      <c r="S325" s="791" t="n"/>
      <c r="T325" s="40" t="inlineStr"/>
      <c r="U325" s="40" t="inlineStr"/>
      <c r="V325" s="41" t="inlineStr">
        <is>
          <t>кг</t>
        </is>
      </c>
      <c r="W325" s="828" t="n">
        <v>0</v>
      </c>
      <c r="X325" s="829">
        <f>IFERROR(IF(W325="",0,CEILING((W325/$H325),1)*$H325),"")</f>
        <v/>
      </c>
      <c r="Y325" s="42">
        <f>IFERROR(IF(X325=0,"",ROUNDUP(X325/H325,0)*0.02039),"")</f>
        <v/>
      </c>
      <c r="Z325" s="69" t="inlineStr"/>
      <c r="AA325" s="70" t="inlineStr"/>
      <c r="AE325" s="80" t="n"/>
      <c r="BB325" s="266" t="inlineStr">
        <is>
          <t>КИ</t>
        </is>
      </c>
      <c r="BL325" s="80">
        <f>IFERROR(W325*I325/H325,"0")</f>
        <v/>
      </c>
      <c r="BM325" s="80">
        <f>IFERROR(X325*I325/H325,"0")</f>
        <v/>
      </c>
      <c r="BN325" s="80">
        <f>IFERROR(1/J325*(W325/H325),"0")</f>
        <v/>
      </c>
      <c r="BO325" s="80">
        <f>IFERROR(1/J325*(X325/H325),"0")</f>
        <v/>
      </c>
    </row>
    <row r="326" ht="27" customHeight="1">
      <c r="A326" s="64" t="inlineStr">
        <is>
          <t>SU003423</t>
        </is>
      </c>
      <c r="B326" s="64" t="inlineStr">
        <is>
          <t>P004257</t>
        </is>
      </c>
      <c r="C326" s="37" t="n">
        <v>4301011870</v>
      </c>
      <c r="D326" s="401" t="n">
        <v>4680115884854</v>
      </c>
      <c r="E326" s="791" t="n"/>
      <c r="F326" s="825" t="n">
        <v>2.5</v>
      </c>
      <c r="G326" s="38" t="n">
        <v>6</v>
      </c>
      <c r="H326" s="825" t="n">
        <v>15</v>
      </c>
      <c r="I326" s="825" t="n">
        <v>15.48</v>
      </c>
      <c r="J326" s="38" t="n">
        <v>48</v>
      </c>
      <c r="K326" s="38" t="inlineStr">
        <is>
          <t>8</t>
        </is>
      </c>
      <c r="L326" s="39" t="inlineStr">
        <is>
          <t>СК2</t>
        </is>
      </c>
      <c r="M326" s="39" t="n"/>
      <c r="N326" s="38" t="n">
        <v>60</v>
      </c>
      <c r="O326" s="1019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P326" s="827" t="n"/>
      <c r="Q326" s="827" t="n"/>
      <c r="R326" s="827" t="n"/>
      <c r="S326" s="791" t="n"/>
      <c r="T326" s="40" t="inlineStr"/>
      <c r="U326" s="40" t="inlineStr"/>
      <c r="V326" s="41" t="inlineStr">
        <is>
          <t>кг</t>
        </is>
      </c>
      <c r="W326" s="828" t="n">
        <v>1000</v>
      </c>
      <c r="X326" s="829">
        <f>IFERROR(IF(W326="",0,CEILING((W326/$H326),1)*$H326),"")</f>
        <v/>
      </c>
      <c r="Y326" s="42">
        <f>IFERROR(IF(X326=0,"",ROUNDUP(X326/H326,0)*0.02175),"")</f>
        <v/>
      </c>
      <c r="Z326" s="69" t="inlineStr"/>
      <c r="AA326" s="70" t="inlineStr"/>
      <c r="AE326" s="80" t="n"/>
      <c r="BB326" s="267" t="inlineStr">
        <is>
          <t>КИ</t>
        </is>
      </c>
      <c r="BL326" s="80">
        <f>IFERROR(W326*I326/H326,"0")</f>
        <v/>
      </c>
      <c r="BM326" s="80">
        <f>IFERROR(X326*I326/H326,"0")</f>
        <v/>
      </c>
      <c r="BN326" s="80">
        <f>IFERROR(1/J326*(W326/H326),"0")</f>
        <v/>
      </c>
      <c r="BO326" s="80">
        <f>IFERROR(1/J326*(X326/H326),"0")</f>
        <v/>
      </c>
    </row>
    <row r="327" ht="37.5" customHeight="1">
      <c r="A327" s="64" t="inlineStr">
        <is>
          <t>SU003426</t>
        </is>
      </c>
      <c r="B327" s="64" t="inlineStr">
        <is>
          <t>P004258</t>
        </is>
      </c>
      <c r="C327" s="37" t="n">
        <v>4301011871</v>
      </c>
      <c r="D327" s="401" t="n">
        <v>4680115884908</v>
      </c>
      <c r="E327" s="791" t="n"/>
      <c r="F327" s="825" t="n">
        <v>0.4</v>
      </c>
      <c r="G327" s="38" t="n">
        <v>10</v>
      </c>
      <c r="H327" s="825" t="n">
        <v>4</v>
      </c>
      <c r="I327" s="825" t="n">
        <v>4.21</v>
      </c>
      <c r="J327" s="38" t="n">
        <v>120</v>
      </c>
      <c r="K327" s="38" t="inlineStr">
        <is>
          <t>12</t>
        </is>
      </c>
      <c r="L327" s="39" t="inlineStr">
        <is>
          <t>СК2</t>
        </is>
      </c>
      <c r="M327" s="39" t="n"/>
      <c r="N327" s="38" t="n">
        <v>60</v>
      </c>
      <c r="O327" s="1020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/>
      </c>
      <c r="P327" s="827" t="n"/>
      <c r="Q327" s="827" t="n"/>
      <c r="R327" s="827" t="n"/>
      <c r="S327" s="791" t="n"/>
      <c r="T327" s="40" t="inlineStr"/>
      <c r="U327" s="40" t="inlineStr"/>
      <c r="V327" s="41" t="inlineStr">
        <is>
          <t>кг</t>
        </is>
      </c>
      <c r="W327" s="828" t="n">
        <v>0</v>
      </c>
      <c r="X327" s="829">
        <f>IFERROR(IF(W327="",0,CEILING((W327/$H327),1)*$H327),"")</f>
        <v/>
      </c>
      <c r="Y327" s="42">
        <f>IFERROR(IF(X327=0,"",ROUNDUP(X327/H327,0)*0.00937),"")</f>
        <v/>
      </c>
      <c r="Z327" s="69" t="inlineStr"/>
      <c r="AA327" s="70" t="inlineStr"/>
      <c r="AE327" s="80" t="n"/>
      <c r="BB327" s="268" t="inlineStr">
        <is>
          <t>КИ</t>
        </is>
      </c>
      <c r="BL327" s="80">
        <f>IFERROR(W327*I327/H327,"0")</f>
        <v/>
      </c>
      <c r="BM327" s="80">
        <f>IFERROR(X327*I327/H327,"0")</f>
        <v/>
      </c>
      <c r="BN327" s="80">
        <f>IFERROR(1/J327*(W327/H327),"0")</f>
        <v/>
      </c>
      <c r="BO327" s="80">
        <f>IFERROR(1/J327*(X327/H327),"0")</f>
        <v/>
      </c>
    </row>
    <row r="328" ht="27" customHeight="1">
      <c r="A328" s="64" t="inlineStr">
        <is>
          <t>SU003421</t>
        </is>
      </c>
      <c r="B328" s="64" t="inlineStr">
        <is>
          <t>P004253</t>
        </is>
      </c>
      <c r="C328" s="37" t="n">
        <v>4301011868</v>
      </c>
      <c r="D328" s="401" t="n">
        <v>4680115884861</v>
      </c>
      <c r="E328" s="791" t="n"/>
      <c r="F328" s="825" t="n">
        <v>0.5</v>
      </c>
      <c r="G328" s="38" t="n">
        <v>10</v>
      </c>
      <c r="H328" s="825" t="n">
        <v>5</v>
      </c>
      <c r="I328" s="825" t="n">
        <v>5.21</v>
      </c>
      <c r="J328" s="38" t="n">
        <v>120</v>
      </c>
      <c r="K328" s="38" t="inlineStr">
        <is>
          <t>12</t>
        </is>
      </c>
      <c r="L328" s="39" t="inlineStr">
        <is>
          <t>СК2</t>
        </is>
      </c>
      <c r="M328" s="39" t="n"/>
      <c r="N328" s="38" t="n">
        <v>60</v>
      </c>
      <c r="O328" s="1021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P328" s="827" t="n"/>
      <c r="Q328" s="827" t="n"/>
      <c r="R328" s="827" t="n"/>
      <c r="S328" s="791" t="n"/>
      <c r="T328" s="40" t="inlineStr"/>
      <c r="U328" s="40" t="inlineStr"/>
      <c r="V328" s="41" t="inlineStr">
        <is>
          <t>кг</t>
        </is>
      </c>
      <c r="W328" s="828" t="n">
        <v>25</v>
      </c>
      <c r="X328" s="829">
        <f>IFERROR(IF(W328="",0,CEILING((W328/$H328),1)*$H328),"")</f>
        <v/>
      </c>
      <c r="Y328" s="42">
        <f>IFERROR(IF(X328=0,"",ROUNDUP(X328/H328,0)*0.00937),"")</f>
        <v/>
      </c>
      <c r="Z328" s="69" t="inlineStr"/>
      <c r="AA328" s="70" t="inlineStr"/>
      <c r="AE328" s="80" t="n"/>
      <c r="BB328" s="269" t="inlineStr">
        <is>
          <t>КИ</t>
        </is>
      </c>
      <c r="BL328" s="80">
        <f>IFERROR(W328*I328/H328,"0")</f>
        <v/>
      </c>
      <c r="BM328" s="80">
        <f>IFERROR(X328*I328/H328,"0")</f>
        <v/>
      </c>
      <c r="BN328" s="80">
        <f>IFERROR(1/J328*(W328/H328),"0")</f>
        <v/>
      </c>
      <c r="BO328" s="80">
        <f>IFERROR(1/J328*(X328/H328),"0")</f>
        <v/>
      </c>
    </row>
    <row r="329" ht="27" customHeight="1">
      <c r="A329" s="64" t="inlineStr">
        <is>
          <t>SU003432</t>
        </is>
      </c>
      <c r="B329" s="64" t="inlineStr">
        <is>
          <t>P004347</t>
        </is>
      </c>
      <c r="C329" s="37" t="n">
        <v>4301011952</v>
      </c>
      <c r="D329" s="401" t="n">
        <v>4680115884922</v>
      </c>
      <c r="E329" s="791" t="n"/>
      <c r="F329" s="825" t="n">
        <v>0.5</v>
      </c>
      <c r="G329" s="38" t="n">
        <v>10</v>
      </c>
      <c r="H329" s="825" t="n">
        <v>5</v>
      </c>
      <c r="I329" s="825" t="n">
        <v>5.21</v>
      </c>
      <c r="J329" s="38" t="n">
        <v>120</v>
      </c>
      <c r="K329" s="38" t="inlineStr">
        <is>
          <t>12</t>
        </is>
      </c>
      <c r="L329" s="39" t="inlineStr">
        <is>
          <t>СК2</t>
        </is>
      </c>
      <c r="M329" s="39" t="n"/>
      <c r="N329" s="38" t="n">
        <v>60</v>
      </c>
      <c r="O329" s="1022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P329" s="827" t="n"/>
      <c r="Q329" s="827" t="n"/>
      <c r="R329" s="827" t="n"/>
      <c r="S329" s="791" t="n"/>
      <c r="T329" s="40" t="inlineStr"/>
      <c r="U329" s="40" t="inlineStr"/>
      <c r="V329" s="41" t="inlineStr">
        <is>
          <t>кг</t>
        </is>
      </c>
      <c r="W329" s="828" t="n">
        <v>0</v>
      </c>
      <c r="X329" s="829">
        <f>IFERROR(IF(W329="",0,CEILING((W329/$H329),1)*$H329),"")</f>
        <v/>
      </c>
      <c r="Y329" s="42">
        <f>IFERROR(IF(X329=0,"",ROUNDUP(X329/H329,0)*0.00937),"")</f>
        <v/>
      </c>
      <c r="Z329" s="69" t="inlineStr"/>
      <c r="AA329" s="70" t="inlineStr"/>
      <c r="AE329" s="80" t="n"/>
      <c r="BB329" s="270" t="inlineStr">
        <is>
          <t>КИ</t>
        </is>
      </c>
      <c r="BL329" s="80">
        <f>IFERROR(W329*I329/H329,"0")</f>
        <v/>
      </c>
      <c r="BM329" s="80">
        <f>IFERROR(X329*I329/H329,"0")</f>
        <v/>
      </c>
      <c r="BN329" s="80">
        <f>IFERROR(1/J329*(W329/H329),"0")</f>
        <v/>
      </c>
      <c r="BO329" s="80">
        <f>IFERROR(1/J329*(X329/H329),"0")</f>
        <v/>
      </c>
    </row>
    <row r="330" ht="27" customHeight="1">
      <c r="A330" s="64" t="inlineStr">
        <is>
          <t>SU002787</t>
        </is>
      </c>
      <c r="B330" s="64" t="inlineStr">
        <is>
          <t>P003189</t>
        </is>
      </c>
      <c r="C330" s="37" t="n">
        <v>4301011433</v>
      </c>
      <c r="D330" s="401" t="n">
        <v>4680115882638</v>
      </c>
      <c r="E330" s="791" t="n"/>
      <c r="F330" s="825" t="n">
        <v>0.4</v>
      </c>
      <c r="G330" s="38" t="n">
        <v>10</v>
      </c>
      <c r="H330" s="825" t="n">
        <v>4</v>
      </c>
      <c r="I330" s="825" t="n">
        <v>4.24</v>
      </c>
      <c r="J330" s="38" t="n">
        <v>120</v>
      </c>
      <c r="K330" s="38" t="inlineStr">
        <is>
          <t>12</t>
        </is>
      </c>
      <c r="L330" s="39" t="inlineStr">
        <is>
          <t>СК1</t>
        </is>
      </c>
      <c r="M330" s="39" t="n"/>
      <c r="N330" s="38" t="n">
        <v>90</v>
      </c>
      <c r="O330" s="102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P330" s="827" t="n"/>
      <c r="Q330" s="827" t="n"/>
      <c r="R330" s="827" t="n"/>
      <c r="S330" s="791" t="n"/>
      <c r="T330" s="40" t="inlineStr"/>
      <c r="U330" s="40" t="inlineStr"/>
      <c r="V330" s="41" t="inlineStr">
        <is>
          <t>кг</t>
        </is>
      </c>
      <c r="W330" s="828" t="n">
        <v>0</v>
      </c>
      <c r="X330" s="829">
        <f>IFERROR(IF(W330="",0,CEILING((W330/$H330),1)*$H330),"")</f>
        <v/>
      </c>
      <c r="Y330" s="42">
        <f>IFERROR(IF(X330=0,"",ROUNDUP(X330/H330,0)*0.00937),"")</f>
        <v/>
      </c>
      <c r="Z330" s="69" t="inlineStr"/>
      <c r="AA330" s="70" t="inlineStr"/>
      <c r="AE330" s="80" t="n"/>
      <c r="BB330" s="271" t="inlineStr">
        <is>
          <t>КИ</t>
        </is>
      </c>
      <c r="BL330" s="80">
        <f>IFERROR(W330*I330/H330,"0")</f>
        <v/>
      </c>
      <c r="BM330" s="80">
        <f>IFERROR(X330*I330/H330,"0")</f>
        <v/>
      </c>
      <c r="BN330" s="80">
        <f>IFERROR(1/J330*(W330/H330),"0")</f>
        <v/>
      </c>
      <c r="BO330" s="80">
        <f>IFERROR(1/J330*(X330/H330),"0")</f>
        <v/>
      </c>
    </row>
    <row r="331">
      <c r="A331" s="408" t="n"/>
      <c r="B331" s="398" t="n"/>
      <c r="C331" s="398" t="n"/>
      <c r="D331" s="398" t="n"/>
      <c r="E331" s="398" t="n"/>
      <c r="F331" s="398" t="n"/>
      <c r="G331" s="398" t="n"/>
      <c r="H331" s="398" t="n"/>
      <c r="I331" s="398" t="n"/>
      <c r="J331" s="398" t="n"/>
      <c r="K331" s="398" t="n"/>
      <c r="L331" s="398" t="n"/>
      <c r="M331" s="398" t="n"/>
      <c r="N331" s="831" t="n"/>
      <c r="O331" s="832" t="inlineStr">
        <is>
          <t>Итого</t>
        </is>
      </c>
      <c r="P331" s="799" t="n"/>
      <c r="Q331" s="799" t="n"/>
      <c r="R331" s="799" t="n"/>
      <c r="S331" s="799" t="n"/>
      <c r="T331" s="799" t="n"/>
      <c r="U331" s="800" t="n"/>
      <c r="V331" s="43" t="inlineStr">
        <is>
          <t>кор</t>
        </is>
      </c>
      <c r="W331" s="833">
        <f>IFERROR(W319/H319,"0")+IFERROR(W320/H320,"0")+IFERROR(W321/H321,"0")+IFERROR(W322/H322,"0")+IFERROR(W323/H323,"0")+IFERROR(W324/H324,"0")+IFERROR(W325/H325,"0")+IFERROR(W326/H326,"0")+IFERROR(W327/H327,"0")+IFERROR(W328/H328,"0")+IFERROR(W329/H329,"0")+IFERROR(W330/H330,"0")</f>
        <v/>
      </c>
      <c r="X331" s="833">
        <f>IFERROR(X319/H319,"0")+IFERROR(X320/H320,"0")+IFERROR(X321/H321,"0")+IFERROR(X322/H322,"0")+IFERROR(X323/H323,"0")+IFERROR(X324/H324,"0")+IFERROR(X325/H325,"0")+IFERROR(X326/H326,"0")+IFERROR(X327/H327,"0")+IFERROR(X328/H328,"0")+IFERROR(X329/H329,"0")+IFERROR(X330/H330,"0")</f>
        <v/>
      </c>
      <c r="Y331" s="833">
        <f>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+IFERROR(IF(Y330="",0,Y330),"0")</f>
        <v/>
      </c>
      <c r="Z331" s="834" t="n"/>
      <c r="AA331" s="834" t="n"/>
    </row>
    <row r="332">
      <c r="A332" s="398" t="n"/>
      <c r="B332" s="398" t="n"/>
      <c r="C332" s="398" t="n"/>
      <c r="D332" s="398" t="n"/>
      <c r="E332" s="398" t="n"/>
      <c r="F332" s="398" t="n"/>
      <c r="G332" s="398" t="n"/>
      <c r="H332" s="398" t="n"/>
      <c r="I332" s="398" t="n"/>
      <c r="J332" s="398" t="n"/>
      <c r="K332" s="398" t="n"/>
      <c r="L332" s="398" t="n"/>
      <c r="M332" s="398" t="n"/>
      <c r="N332" s="831" t="n"/>
      <c r="O332" s="832" t="inlineStr">
        <is>
          <t>Итого</t>
        </is>
      </c>
      <c r="P332" s="799" t="n"/>
      <c r="Q332" s="799" t="n"/>
      <c r="R332" s="799" t="n"/>
      <c r="S332" s="799" t="n"/>
      <c r="T332" s="799" t="n"/>
      <c r="U332" s="800" t="n"/>
      <c r="V332" s="43" t="inlineStr">
        <is>
          <t>кг</t>
        </is>
      </c>
      <c r="W332" s="833">
        <f>IFERROR(SUM(W319:W330),"0")</f>
        <v/>
      </c>
      <c r="X332" s="833">
        <f>IFERROR(SUM(X319:X330),"0")</f>
        <v/>
      </c>
      <c r="Y332" s="43" t="n"/>
      <c r="Z332" s="834" t="n"/>
      <c r="AA332" s="834" t="n"/>
    </row>
    <row r="333" ht="14.25" customHeight="1">
      <c r="A333" s="409" t="inlineStr">
        <is>
          <t>Ветчины</t>
        </is>
      </c>
      <c r="B333" s="398" t="n"/>
      <c r="C333" s="398" t="n"/>
      <c r="D333" s="398" t="n"/>
      <c r="E333" s="398" t="n"/>
      <c r="F333" s="398" t="n"/>
      <c r="G333" s="398" t="n"/>
      <c r="H333" s="398" t="n"/>
      <c r="I333" s="398" t="n"/>
      <c r="J333" s="398" t="n"/>
      <c r="K333" s="398" t="n"/>
      <c r="L333" s="398" t="n"/>
      <c r="M333" s="398" t="n"/>
      <c r="N333" s="398" t="n"/>
      <c r="O333" s="398" t="n"/>
      <c r="P333" s="398" t="n"/>
      <c r="Q333" s="398" t="n"/>
      <c r="R333" s="398" t="n"/>
      <c r="S333" s="398" t="n"/>
      <c r="T333" s="398" t="n"/>
      <c r="U333" s="398" t="n"/>
      <c r="V333" s="398" t="n"/>
      <c r="W333" s="398" t="n"/>
      <c r="X333" s="398" t="n"/>
      <c r="Y333" s="398" t="n"/>
      <c r="Z333" s="409" t="n"/>
      <c r="AA333" s="409" t="n"/>
    </row>
    <row r="334" ht="27" customHeight="1">
      <c r="A334" s="64" t="inlineStr">
        <is>
          <t>SU000126</t>
        </is>
      </c>
      <c r="B334" s="64" t="inlineStr">
        <is>
          <t>P002555</t>
        </is>
      </c>
      <c r="C334" s="37" t="n">
        <v>4301020178</v>
      </c>
      <c r="D334" s="401" t="n">
        <v>4607091383980</v>
      </c>
      <c r="E334" s="791" t="n"/>
      <c r="F334" s="825" t="n">
        <v>2.5</v>
      </c>
      <c r="G334" s="38" t="n">
        <v>6</v>
      </c>
      <c r="H334" s="825" t="n">
        <v>15</v>
      </c>
      <c r="I334" s="825" t="n">
        <v>15.48</v>
      </c>
      <c r="J334" s="38" t="n">
        <v>48</v>
      </c>
      <c r="K334" s="38" t="inlineStr">
        <is>
          <t>8</t>
        </is>
      </c>
      <c r="L334" s="39" t="inlineStr">
        <is>
          <t>СК1</t>
        </is>
      </c>
      <c r="M334" s="39" t="n"/>
      <c r="N334" s="38" t="n">
        <v>50</v>
      </c>
      <c r="O334" s="102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P334" s="827" t="n"/>
      <c r="Q334" s="827" t="n"/>
      <c r="R334" s="827" t="n"/>
      <c r="S334" s="791" t="n"/>
      <c r="T334" s="40" t="inlineStr"/>
      <c r="U334" s="40" t="inlineStr"/>
      <c r="V334" s="41" t="inlineStr">
        <is>
          <t>кг</t>
        </is>
      </c>
      <c r="W334" s="828" t="n">
        <v>1500</v>
      </c>
      <c r="X334" s="829">
        <f>IFERROR(IF(W334="",0,CEILING((W334/$H334),1)*$H334),"")</f>
        <v/>
      </c>
      <c r="Y334" s="42">
        <f>IFERROR(IF(X334=0,"",ROUNDUP(X334/H334,0)*0.02175),"")</f>
        <v/>
      </c>
      <c r="Z334" s="69" t="inlineStr"/>
      <c r="AA334" s="70" t="inlineStr"/>
      <c r="AE334" s="80" t="n"/>
      <c r="BB334" s="272" t="inlineStr">
        <is>
          <t>КИ</t>
        </is>
      </c>
      <c r="BL334" s="80">
        <f>IFERROR(W334*I334/H334,"0")</f>
        <v/>
      </c>
      <c r="BM334" s="80">
        <f>IFERROR(X334*I334/H334,"0")</f>
        <v/>
      </c>
      <c r="BN334" s="80">
        <f>IFERROR(1/J334*(W334/H334),"0")</f>
        <v/>
      </c>
      <c r="BO334" s="80">
        <f>IFERROR(1/J334*(X334/H334),"0")</f>
        <v/>
      </c>
    </row>
    <row r="335" ht="16.5" customHeight="1">
      <c r="A335" s="64" t="inlineStr">
        <is>
          <t>SU003121</t>
        </is>
      </c>
      <c r="B335" s="64" t="inlineStr">
        <is>
          <t>P003715</t>
        </is>
      </c>
      <c r="C335" s="37" t="n">
        <v>4301020270</v>
      </c>
      <c r="D335" s="401" t="n">
        <v>4680115883314</v>
      </c>
      <c r="E335" s="791" t="n"/>
      <c r="F335" s="825" t="n">
        <v>1.35</v>
      </c>
      <c r="G335" s="38" t="n">
        <v>8</v>
      </c>
      <c r="H335" s="825" t="n">
        <v>10.8</v>
      </c>
      <c r="I335" s="825" t="n">
        <v>11.28</v>
      </c>
      <c r="J335" s="38" t="n">
        <v>56</v>
      </c>
      <c r="K335" s="38" t="inlineStr">
        <is>
          <t>8</t>
        </is>
      </c>
      <c r="L335" s="39" t="inlineStr">
        <is>
          <t>СК3</t>
        </is>
      </c>
      <c r="M335" s="39" t="n"/>
      <c r="N335" s="38" t="n">
        <v>50</v>
      </c>
      <c r="O335" s="1025">
        <f>HYPERLINK("https://abi.ru/products/Охлажденные/Особый рецепт/Особая/Ветчины/P003715/","Ветчины «Славница» Весовой п/а ТМ «Особый рецепт»")</f>
        <v/>
      </c>
      <c r="P335" s="827" t="n"/>
      <c r="Q335" s="827" t="n"/>
      <c r="R335" s="827" t="n"/>
      <c r="S335" s="791" t="n"/>
      <c r="T335" s="40" t="inlineStr"/>
      <c r="U335" s="40" t="inlineStr"/>
      <c r="V335" s="41" t="inlineStr">
        <is>
          <t>кг</t>
        </is>
      </c>
      <c r="W335" s="828" t="n">
        <v>0</v>
      </c>
      <c r="X335" s="829">
        <f>IFERROR(IF(W335="",0,CEILING((W335/$H335),1)*$H335),"")</f>
        <v/>
      </c>
      <c r="Y335" s="42">
        <f>IFERROR(IF(X335=0,"",ROUNDUP(X335/H335,0)*0.02175),"")</f>
        <v/>
      </c>
      <c r="Z335" s="69" t="inlineStr"/>
      <c r="AA335" s="70" t="inlineStr"/>
      <c r="AE335" s="80" t="n"/>
      <c r="BB335" s="273" t="inlineStr">
        <is>
          <t>КИ</t>
        </is>
      </c>
      <c r="BL335" s="80">
        <f>IFERROR(W335*I335/H335,"0")</f>
        <v/>
      </c>
      <c r="BM335" s="80">
        <f>IFERROR(X335*I335/H335,"0")</f>
        <v/>
      </c>
      <c r="BN335" s="80">
        <f>IFERROR(1/J335*(W335/H335),"0")</f>
        <v/>
      </c>
      <c r="BO335" s="80">
        <f>IFERROR(1/J335*(X335/H335),"0")</f>
        <v/>
      </c>
    </row>
    <row r="336" ht="27" customHeight="1">
      <c r="A336" s="64" t="inlineStr">
        <is>
          <t>SU002027</t>
        </is>
      </c>
      <c r="B336" s="64" t="inlineStr">
        <is>
          <t>P002556</t>
        </is>
      </c>
      <c r="C336" s="37" t="n">
        <v>4301020179</v>
      </c>
      <c r="D336" s="401" t="n">
        <v>4607091384178</v>
      </c>
      <c r="E336" s="791" t="n"/>
      <c r="F336" s="825" t="n">
        <v>0.4</v>
      </c>
      <c r="G336" s="38" t="n">
        <v>10</v>
      </c>
      <c r="H336" s="825" t="n">
        <v>4</v>
      </c>
      <c r="I336" s="825" t="n">
        <v>4.24</v>
      </c>
      <c r="J336" s="38" t="n">
        <v>120</v>
      </c>
      <c r="K336" s="38" t="inlineStr">
        <is>
          <t>12</t>
        </is>
      </c>
      <c r="L336" s="39" t="inlineStr">
        <is>
          <t>СК1</t>
        </is>
      </c>
      <c r="M336" s="39" t="n"/>
      <c r="N336" s="38" t="n">
        <v>50</v>
      </c>
      <c r="O336" s="102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P336" s="827" t="n"/>
      <c r="Q336" s="827" t="n"/>
      <c r="R336" s="827" t="n"/>
      <c r="S336" s="791" t="n"/>
      <c r="T336" s="40" t="inlineStr"/>
      <c r="U336" s="40" t="inlineStr"/>
      <c r="V336" s="41" t="inlineStr">
        <is>
          <t>кг</t>
        </is>
      </c>
      <c r="W336" s="828" t="n">
        <v>0</v>
      </c>
      <c r="X336" s="829">
        <f>IFERROR(IF(W336="",0,CEILING((W336/$H336),1)*$H336),"")</f>
        <v/>
      </c>
      <c r="Y336" s="42">
        <f>IFERROR(IF(X336=0,"",ROUNDUP(X336/H336,0)*0.00937),"")</f>
        <v/>
      </c>
      <c r="Z336" s="69" t="inlineStr"/>
      <c r="AA336" s="70" t="inlineStr"/>
      <c r="AE336" s="80" t="n"/>
      <c r="BB336" s="274" t="inlineStr">
        <is>
          <t>КИ</t>
        </is>
      </c>
      <c r="BL336" s="80">
        <f>IFERROR(W336*I336/H336,"0")</f>
        <v/>
      </c>
      <c r="BM336" s="80">
        <f>IFERROR(X336*I336/H336,"0")</f>
        <v/>
      </c>
      <c r="BN336" s="80">
        <f>IFERROR(1/J336*(W336/H336),"0")</f>
        <v/>
      </c>
      <c r="BO336" s="80">
        <f>IFERROR(1/J336*(X336/H336),"0")</f>
        <v/>
      </c>
    </row>
    <row r="337">
      <c r="A337" s="408" t="n"/>
      <c r="B337" s="398" t="n"/>
      <c r="C337" s="398" t="n"/>
      <c r="D337" s="398" t="n"/>
      <c r="E337" s="398" t="n"/>
      <c r="F337" s="398" t="n"/>
      <c r="G337" s="398" t="n"/>
      <c r="H337" s="398" t="n"/>
      <c r="I337" s="398" t="n"/>
      <c r="J337" s="398" t="n"/>
      <c r="K337" s="398" t="n"/>
      <c r="L337" s="398" t="n"/>
      <c r="M337" s="398" t="n"/>
      <c r="N337" s="831" t="n"/>
      <c r="O337" s="832" t="inlineStr">
        <is>
          <t>Итого</t>
        </is>
      </c>
      <c r="P337" s="799" t="n"/>
      <c r="Q337" s="799" t="n"/>
      <c r="R337" s="799" t="n"/>
      <c r="S337" s="799" t="n"/>
      <c r="T337" s="799" t="n"/>
      <c r="U337" s="800" t="n"/>
      <c r="V337" s="43" t="inlineStr">
        <is>
          <t>кор</t>
        </is>
      </c>
      <c r="W337" s="833">
        <f>IFERROR(W334/H334,"0")+IFERROR(W335/H335,"0")+IFERROR(W336/H336,"0")</f>
        <v/>
      </c>
      <c r="X337" s="833">
        <f>IFERROR(X334/H334,"0")+IFERROR(X335/H335,"0")+IFERROR(X336/H336,"0")</f>
        <v/>
      </c>
      <c r="Y337" s="833">
        <f>IFERROR(IF(Y334="",0,Y334),"0")+IFERROR(IF(Y335="",0,Y335),"0")+IFERROR(IF(Y336="",0,Y336),"0")</f>
        <v/>
      </c>
      <c r="Z337" s="834" t="n"/>
      <c r="AA337" s="834" t="n"/>
    </row>
    <row r="338">
      <c r="A338" s="398" t="n"/>
      <c r="B338" s="398" t="n"/>
      <c r="C338" s="398" t="n"/>
      <c r="D338" s="398" t="n"/>
      <c r="E338" s="398" t="n"/>
      <c r="F338" s="398" t="n"/>
      <c r="G338" s="398" t="n"/>
      <c r="H338" s="398" t="n"/>
      <c r="I338" s="398" t="n"/>
      <c r="J338" s="398" t="n"/>
      <c r="K338" s="398" t="n"/>
      <c r="L338" s="398" t="n"/>
      <c r="M338" s="398" t="n"/>
      <c r="N338" s="831" t="n"/>
      <c r="O338" s="832" t="inlineStr">
        <is>
          <t>Итого</t>
        </is>
      </c>
      <c r="P338" s="799" t="n"/>
      <c r="Q338" s="799" t="n"/>
      <c r="R338" s="799" t="n"/>
      <c r="S338" s="799" t="n"/>
      <c r="T338" s="799" t="n"/>
      <c r="U338" s="800" t="n"/>
      <c r="V338" s="43" t="inlineStr">
        <is>
          <t>кг</t>
        </is>
      </c>
      <c r="W338" s="833">
        <f>IFERROR(SUM(W334:W336),"0")</f>
        <v/>
      </c>
      <c r="X338" s="833">
        <f>IFERROR(SUM(X334:X336),"0")</f>
        <v/>
      </c>
      <c r="Y338" s="43" t="n"/>
      <c r="Z338" s="834" t="n"/>
      <c r="AA338" s="834" t="n"/>
    </row>
    <row r="339" ht="14.25" customHeight="1">
      <c r="A339" s="409" t="inlineStr">
        <is>
          <t>Сосиски</t>
        </is>
      </c>
      <c r="B339" s="398" t="n"/>
      <c r="C339" s="398" t="n"/>
      <c r="D339" s="398" t="n"/>
      <c r="E339" s="398" t="n"/>
      <c r="F339" s="398" t="n"/>
      <c r="G339" s="398" t="n"/>
      <c r="H339" s="398" t="n"/>
      <c r="I339" s="398" t="n"/>
      <c r="J339" s="398" t="n"/>
      <c r="K339" s="398" t="n"/>
      <c r="L339" s="398" t="n"/>
      <c r="M339" s="398" t="n"/>
      <c r="N339" s="398" t="n"/>
      <c r="O339" s="398" t="n"/>
      <c r="P339" s="398" t="n"/>
      <c r="Q339" s="398" t="n"/>
      <c r="R339" s="398" t="n"/>
      <c r="S339" s="398" t="n"/>
      <c r="T339" s="398" t="n"/>
      <c r="U339" s="398" t="n"/>
      <c r="V339" s="398" t="n"/>
      <c r="W339" s="398" t="n"/>
      <c r="X339" s="398" t="n"/>
      <c r="Y339" s="398" t="n"/>
      <c r="Z339" s="409" t="n"/>
      <c r="AA339" s="409" t="n"/>
    </row>
    <row r="340" ht="27" customHeight="1">
      <c r="A340" s="64" t="inlineStr">
        <is>
          <t>SU003161</t>
        </is>
      </c>
      <c r="B340" s="64" t="inlineStr">
        <is>
          <t>P003767</t>
        </is>
      </c>
      <c r="C340" s="37" t="n">
        <v>4301051560</v>
      </c>
      <c r="D340" s="401" t="n">
        <v>4607091383928</v>
      </c>
      <c r="E340" s="791" t="n"/>
      <c r="F340" s="825" t="n">
        <v>1.3</v>
      </c>
      <c r="G340" s="38" t="n">
        <v>6</v>
      </c>
      <c r="H340" s="825" t="n">
        <v>7.8</v>
      </c>
      <c r="I340" s="825" t="n">
        <v>8.369999999999999</v>
      </c>
      <c r="J340" s="38" t="n">
        <v>56</v>
      </c>
      <c r="K340" s="38" t="inlineStr">
        <is>
          <t>8</t>
        </is>
      </c>
      <c r="L340" s="39" t="inlineStr">
        <is>
          <t>СК3</t>
        </is>
      </c>
      <c r="M340" s="39" t="n"/>
      <c r="N340" s="38" t="n">
        <v>40</v>
      </c>
      <c r="O340" s="1027">
        <f>HYPERLINK("https://abi.ru/products/Охлажденные/Особый рецепт/Особая/Сосиски/P003767/","Сосиски «Датские» Весовые п/а мгс ТМ «Особый рецепт»")</f>
        <v/>
      </c>
      <c r="P340" s="827" t="n"/>
      <c r="Q340" s="827" t="n"/>
      <c r="R340" s="827" t="n"/>
      <c r="S340" s="791" t="n"/>
      <c r="T340" s="40" t="inlineStr"/>
      <c r="U340" s="40" t="inlineStr"/>
      <c r="V340" s="41" t="inlineStr">
        <is>
          <t>кг</t>
        </is>
      </c>
      <c r="W340" s="828" t="n">
        <v>0</v>
      </c>
      <c r="X340" s="829">
        <f>IFERROR(IF(W340="",0,CEILING((W340/$H340),1)*$H340),"")</f>
        <v/>
      </c>
      <c r="Y340" s="42">
        <f>IFERROR(IF(X340=0,"",ROUNDUP(X340/H340,0)*0.02175),"")</f>
        <v/>
      </c>
      <c r="Z340" s="69" t="inlineStr"/>
      <c r="AA340" s="70" t="inlineStr"/>
      <c r="AE340" s="80" t="n"/>
      <c r="BB340" s="275" t="inlineStr">
        <is>
          <t>КИ</t>
        </is>
      </c>
      <c r="BL340" s="80">
        <f>IFERROR(W340*I340/H340,"0")</f>
        <v/>
      </c>
      <c r="BM340" s="80">
        <f>IFERROR(X340*I340/H340,"0")</f>
        <v/>
      </c>
      <c r="BN340" s="80">
        <f>IFERROR(1/J340*(W340/H340),"0")</f>
        <v/>
      </c>
      <c r="BO340" s="80">
        <f>IFERROR(1/J340*(X340/H340),"0")</f>
        <v/>
      </c>
    </row>
    <row r="341" ht="27" customHeight="1">
      <c r="A341" s="64" t="inlineStr">
        <is>
          <t>SU003161</t>
        </is>
      </c>
      <c r="B341" s="64" t="inlineStr">
        <is>
          <t>P003979</t>
        </is>
      </c>
      <c r="C341" s="37" t="n">
        <v>4301051639</v>
      </c>
      <c r="D341" s="401" t="n">
        <v>4607091383928</v>
      </c>
      <c r="E341" s="791" t="n"/>
      <c r="F341" s="825" t="n">
        <v>1.3</v>
      </c>
      <c r="G341" s="38" t="n">
        <v>6</v>
      </c>
      <c r="H341" s="825" t="n">
        <v>7.8</v>
      </c>
      <c r="I341" s="825" t="n">
        <v>8.369999999999999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9" t="n"/>
      <c r="N341" s="38" t="n">
        <v>40</v>
      </c>
      <c r="O341" s="1028">
        <f>HYPERLINK("https://abi.ru/products/Охлажденные/Особый рецепт/Особая/Сосиски/P003979/","Сосиски «Датские» Весовые п/а мгс ТМ «Особый рецепт»")</f>
        <v/>
      </c>
      <c r="P341" s="827" t="n"/>
      <c r="Q341" s="827" t="n"/>
      <c r="R341" s="827" t="n"/>
      <c r="S341" s="791" t="n"/>
      <c r="T341" s="40" t="inlineStr"/>
      <c r="U341" s="40" t="inlineStr"/>
      <c r="V341" s="41" t="inlineStr">
        <is>
          <t>кг</t>
        </is>
      </c>
      <c r="W341" s="828" t="n">
        <v>0</v>
      </c>
      <c r="X341" s="829">
        <f>IFERROR(IF(W341="",0,CEILING((W341/$H341),1)*$H341),"")</f>
        <v/>
      </c>
      <c r="Y341" s="42">
        <f>IFERROR(IF(X341=0,"",ROUNDUP(X341/H341,0)*0.02175),"")</f>
        <v/>
      </c>
      <c r="Z341" s="69" t="inlineStr"/>
      <c r="AA341" s="70" t="inlineStr"/>
      <c r="AE341" s="80" t="n"/>
      <c r="BB341" s="276" t="inlineStr">
        <is>
          <t>КИ</t>
        </is>
      </c>
      <c r="BL341" s="80">
        <f>IFERROR(W341*I341/H341,"0")</f>
        <v/>
      </c>
      <c r="BM341" s="80">
        <f>IFERROR(X341*I341/H341,"0")</f>
        <v/>
      </c>
      <c r="BN341" s="80">
        <f>IFERROR(1/J341*(W341/H341),"0")</f>
        <v/>
      </c>
      <c r="BO341" s="80">
        <f>IFERROR(1/J341*(X341/H341),"0")</f>
        <v/>
      </c>
    </row>
    <row r="342" ht="27" customHeight="1">
      <c r="A342" s="64" t="inlineStr">
        <is>
          <t>SU000246</t>
        </is>
      </c>
      <c r="B342" s="64" t="inlineStr">
        <is>
          <t>P003973</t>
        </is>
      </c>
      <c r="C342" s="37" t="n">
        <v>4301051636</v>
      </c>
      <c r="D342" s="401" t="n">
        <v>4607091384260</v>
      </c>
      <c r="E342" s="791" t="n"/>
      <c r="F342" s="825" t="n">
        <v>1.3</v>
      </c>
      <c r="G342" s="38" t="n">
        <v>6</v>
      </c>
      <c r="H342" s="825" t="n">
        <v>7.8</v>
      </c>
      <c r="I342" s="825" t="n">
        <v>8.364000000000001</v>
      </c>
      <c r="J342" s="38" t="n">
        <v>56</v>
      </c>
      <c r="K342" s="38" t="inlineStr">
        <is>
          <t>8</t>
        </is>
      </c>
      <c r="L342" s="39" t="inlineStr">
        <is>
          <t>СК2</t>
        </is>
      </c>
      <c r="M342" s="39" t="n"/>
      <c r="N342" s="38" t="n">
        <v>40</v>
      </c>
      <c r="O342" s="1029">
        <f>HYPERLINK("https://abi.ru/products/Охлажденные/Особый рецепт/Особая/Сосиски/P003973/","Сосиски «Молочные Оригинальные» Весовые П/а мгс ТМ «Особый рецепт»")</f>
        <v/>
      </c>
      <c r="P342" s="827" t="n"/>
      <c r="Q342" s="827" t="n"/>
      <c r="R342" s="827" t="n"/>
      <c r="S342" s="791" t="n"/>
      <c r="T342" s="40" t="inlineStr"/>
      <c r="U342" s="40" t="inlineStr"/>
      <c r="V342" s="41" t="inlineStr">
        <is>
          <t>кг</t>
        </is>
      </c>
      <c r="W342" s="828" t="n">
        <v>20</v>
      </c>
      <c r="X342" s="829">
        <f>IFERROR(IF(W342="",0,CEILING((W342/$H342),1)*$H342),"")</f>
        <v/>
      </c>
      <c r="Y342" s="42">
        <f>IFERROR(IF(X342=0,"",ROUNDUP(X342/H342,0)*0.02175),"")</f>
        <v/>
      </c>
      <c r="Z342" s="69" t="inlineStr"/>
      <c r="AA342" s="70" t="inlineStr"/>
      <c r="AE342" s="80" t="n"/>
      <c r="BB342" s="277" t="inlineStr">
        <is>
          <t>КИ</t>
        </is>
      </c>
      <c r="BL342" s="80">
        <f>IFERROR(W342*I342/H342,"0")</f>
        <v/>
      </c>
      <c r="BM342" s="80">
        <f>IFERROR(X342*I342/H342,"0")</f>
        <v/>
      </c>
      <c r="BN342" s="80">
        <f>IFERROR(1/J342*(W342/H342),"0")</f>
        <v/>
      </c>
      <c r="BO342" s="80">
        <f>IFERROR(1/J342*(X342/H342),"0")</f>
        <v/>
      </c>
    </row>
    <row r="343">
      <c r="A343" s="408" t="n"/>
      <c r="B343" s="398" t="n"/>
      <c r="C343" s="398" t="n"/>
      <c r="D343" s="398" t="n"/>
      <c r="E343" s="398" t="n"/>
      <c r="F343" s="398" t="n"/>
      <c r="G343" s="398" t="n"/>
      <c r="H343" s="398" t="n"/>
      <c r="I343" s="398" t="n"/>
      <c r="J343" s="398" t="n"/>
      <c r="K343" s="398" t="n"/>
      <c r="L343" s="398" t="n"/>
      <c r="M343" s="398" t="n"/>
      <c r="N343" s="831" t="n"/>
      <c r="O343" s="832" t="inlineStr">
        <is>
          <t>Итого</t>
        </is>
      </c>
      <c r="P343" s="799" t="n"/>
      <c r="Q343" s="799" t="n"/>
      <c r="R343" s="799" t="n"/>
      <c r="S343" s="799" t="n"/>
      <c r="T343" s="799" t="n"/>
      <c r="U343" s="800" t="n"/>
      <c r="V343" s="43" t="inlineStr">
        <is>
          <t>кор</t>
        </is>
      </c>
      <c r="W343" s="833">
        <f>IFERROR(W340/H340,"0")+IFERROR(W341/H341,"0")+IFERROR(W342/H342,"0")</f>
        <v/>
      </c>
      <c r="X343" s="833">
        <f>IFERROR(X340/H340,"0")+IFERROR(X341/H341,"0")+IFERROR(X342/H342,"0")</f>
        <v/>
      </c>
      <c r="Y343" s="833">
        <f>IFERROR(IF(Y340="",0,Y340),"0")+IFERROR(IF(Y341="",0,Y341),"0")+IFERROR(IF(Y342="",0,Y342),"0")</f>
        <v/>
      </c>
      <c r="Z343" s="834" t="n"/>
      <c r="AA343" s="834" t="n"/>
    </row>
    <row r="344">
      <c r="A344" s="398" t="n"/>
      <c r="B344" s="398" t="n"/>
      <c r="C344" s="398" t="n"/>
      <c r="D344" s="398" t="n"/>
      <c r="E344" s="398" t="n"/>
      <c r="F344" s="398" t="n"/>
      <c r="G344" s="398" t="n"/>
      <c r="H344" s="398" t="n"/>
      <c r="I344" s="398" t="n"/>
      <c r="J344" s="398" t="n"/>
      <c r="K344" s="398" t="n"/>
      <c r="L344" s="398" t="n"/>
      <c r="M344" s="398" t="n"/>
      <c r="N344" s="831" t="n"/>
      <c r="O344" s="832" t="inlineStr">
        <is>
          <t>Итого</t>
        </is>
      </c>
      <c r="P344" s="799" t="n"/>
      <c r="Q344" s="799" t="n"/>
      <c r="R344" s="799" t="n"/>
      <c r="S344" s="799" t="n"/>
      <c r="T344" s="799" t="n"/>
      <c r="U344" s="800" t="n"/>
      <c r="V344" s="43" t="inlineStr">
        <is>
          <t>кг</t>
        </is>
      </c>
      <c r="W344" s="833">
        <f>IFERROR(SUM(W340:W342),"0")</f>
        <v/>
      </c>
      <c r="X344" s="833">
        <f>IFERROR(SUM(X340:X342),"0")</f>
        <v/>
      </c>
      <c r="Y344" s="43" t="n"/>
      <c r="Z344" s="834" t="n"/>
      <c r="AA344" s="834" t="n"/>
    </row>
    <row r="345" ht="14.25" customHeight="1">
      <c r="A345" s="409" t="inlineStr">
        <is>
          <t>Сардельки</t>
        </is>
      </c>
      <c r="B345" s="398" t="n"/>
      <c r="C345" s="398" t="n"/>
      <c r="D345" s="398" t="n"/>
      <c r="E345" s="398" t="n"/>
      <c r="F345" s="398" t="n"/>
      <c r="G345" s="398" t="n"/>
      <c r="H345" s="398" t="n"/>
      <c r="I345" s="398" t="n"/>
      <c r="J345" s="398" t="n"/>
      <c r="K345" s="398" t="n"/>
      <c r="L345" s="398" t="n"/>
      <c r="M345" s="398" t="n"/>
      <c r="N345" s="398" t="n"/>
      <c r="O345" s="398" t="n"/>
      <c r="P345" s="398" t="n"/>
      <c r="Q345" s="398" t="n"/>
      <c r="R345" s="398" t="n"/>
      <c r="S345" s="398" t="n"/>
      <c r="T345" s="398" t="n"/>
      <c r="U345" s="398" t="n"/>
      <c r="V345" s="398" t="n"/>
      <c r="W345" s="398" t="n"/>
      <c r="X345" s="398" t="n"/>
      <c r="Y345" s="398" t="n"/>
      <c r="Z345" s="409" t="n"/>
      <c r="AA345" s="409" t="n"/>
    </row>
    <row r="346" ht="16.5" customHeight="1">
      <c r="A346" s="64" t="inlineStr">
        <is>
          <t>SU002287</t>
        </is>
      </c>
      <c r="B346" s="64" t="inlineStr">
        <is>
          <t>P002490</t>
        </is>
      </c>
      <c r="C346" s="37" t="n">
        <v>4301060314</v>
      </c>
      <c r="D346" s="401" t="n">
        <v>4607091384673</v>
      </c>
      <c r="E346" s="791" t="n"/>
      <c r="F346" s="825" t="n">
        <v>1.3</v>
      </c>
      <c r="G346" s="38" t="n">
        <v>6</v>
      </c>
      <c r="H346" s="825" t="n">
        <v>7.8</v>
      </c>
      <c r="I346" s="825" t="n">
        <v>8.364000000000001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9" t="n"/>
      <c r="N346" s="38" t="n">
        <v>30</v>
      </c>
      <c r="O346" s="103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P346" s="827" t="n"/>
      <c r="Q346" s="827" t="n"/>
      <c r="R346" s="827" t="n"/>
      <c r="S346" s="791" t="n"/>
      <c r="T346" s="40" t="inlineStr"/>
      <c r="U346" s="40" t="inlineStr"/>
      <c r="V346" s="41" t="inlineStr">
        <is>
          <t>кг</t>
        </is>
      </c>
      <c r="W346" s="828" t="n">
        <v>50</v>
      </c>
      <c r="X346" s="829">
        <f>IFERROR(IF(W346="",0,CEILING((W346/$H346),1)*$H346),"")</f>
        <v/>
      </c>
      <c r="Y346" s="42">
        <f>IFERROR(IF(X346=0,"",ROUNDUP(X346/H346,0)*0.02175),"")</f>
        <v/>
      </c>
      <c r="Z346" s="69" t="inlineStr"/>
      <c r="AA346" s="70" t="inlineStr"/>
      <c r="AE346" s="80" t="n"/>
      <c r="BB346" s="278" t="inlineStr">
        <is>
          <t>КИ</t>
        </is>
      </c>
      <c r="BL346" s="80">
        <f>IFERROR(W346*I346/H346,"0")</f>
        <v/>
      </c>
      <c r="BM346" s="80">
        <f>IFERROR(X346*I346/H346,"0")</f>
        <v/>
      </c>
      <c r="BN346" s="80">
        <f>IFERROR(1/J346*(W346/H346),"0")</f>
        <v/>
      </c>
      <c r="BO346" s="80">
        <f>IFERROR(1/J346*(X346/H346),"0")</f>
        <v/>
      </c>
    </row>
    <row r="347" ht="16.5" customHeight="1">
      <c r="A347" s="64" t="inlineStr">
        <is>
          <t>SU002287</t>
        </is>
      </c>
      <c r="B347" s="64" t="inlineStr">
        <is>
          <t>P003198</t>
        </is>
      </c>
      <c r="C347" s="37" t="n">
        <v>4301060345</v>
      </c>
      <c r="D347" s="401" t="n">
        <v>4607091384673</v>
      </c>
      <c r="E347" s="791" t="n"/>
      <c r="F347" s="825" t="n">
        <v>1.3</v>
      </c>
      <c r="G347" s="38" t="n">
        <v>6</v>
      </c>
      <c r="H347" s="825" t="n">
        <v>7.8</v>
      </c>
      <c r="I347" s="825" t="n">
        <v>8.364000000000001</v>
      </c>
      <c r="J347" s="38" t="n">
        <v>56</v>
      </c>
      <c r="K347" s="38" t="inlineStr">
        <is>
          <t>8</t>
        </is>
      </c>
      <c r="L347" s="39" t="inlineStr">
        <is>
          <t>СК2</t>
        </is>
      </c>
      <c r="M347" s="39" t="n"/>
      <c r="N347" s="38" t="n">
        <v>30</v>
      </c>
      <c r="O347" s="1031">
        <f>HYPERLINK("https://abi.ru/products/Охлажденные/Особый рецепт/Особая/Сардельки/P003198/","Сардельки «Сочные» Весовые п/а мгс ТМ «Особый рецепт»")</f>
        <v/>
      </c>
      <c r="P347" s="827" t="n"/>
      <c r="Q347" s="827" t="n"/>
      <c r="R347" s="827" t="n"/>
      <c r="S347" s="791" t="n"/>
      <c r="T347" s="40" t="inlineStr"/>
      <c r="U347" s="40" t="inlineStr"/>
      <c r="V347" s="41" t="inlineStr">
        <is>
          <t>кг</t>
        </is>
      </c>
      <c r="W347" s="828" t="n">
        <v>0</v>
      </c>
      <c r="X347" s="829">
        <f>IFERROR(IF(W347="",0,CEILING((W347/$H347),1)*$H347),"")</f>
        <v/>
      </c>
      <c r="Y347" s="42">
        <f>IFERROR(IF(X347=0,"",ROUNDUP(X347/H347,0)*0.02175),"")</f>
        <v/>
      </c>
      <c r="Z347" s="69" t="inlineStr"/>
      <c r="AA347" s="70" t="inlineStr"/>
      <c r="AE347" s="80" t="n"/>
      <c r="BB347" s="279" t="inlineStr">
        <is>
          <t>КИ</t>
        </is>
      </c>
      <c r="BL347" s="80">
        <f>IFERROR(W347*I347/H347,"0")</f>
        <v/>
      </c>
      <c r="BM347" s="80">
        <f>IFERROR(X347*I347/H347,"0")</f>
        <v/>
      </c>
      <c r="BN347" s="80">
        <f>IFERROR(1/J347*(W347/H347),"0")</f>
        <v/>
      </c>
      <c r="BO347" s="80">
        <f>IFERROR(1/J347*(X347/H347),"0")</f>
        <v/>
      </c>
    </row>
    <row r="348">
      <c r="A348" s="408" t="n"/>
      <c r="B348" s="398" t="n"/>
      <c r="C348" s="398" t="n"/>
      <c r="D348" s="398" t="n"/>
      <c r="E348" s="398" t="n"/>
      <c r="F348" s="398" t="n"/>
      <c r="G348" s="398" t="n"/>
      <c r="H348" s="398" t="n"/>
      <c r="I348" s="398" t="n"/>
      <c r="J348" s="398" t="n"/>
      <c r="K348" s="398" t="n"/>
      <c r="L348" s="398" t="n"/>
      <c r="M348" s="398" t="n"/>
      <c r="N348" s="831" t="n"/>
      <c r="O348" s="832" t="inlineStr">
        <is>
          <t>Итого</t>
        </is>
      </c>
      <c r="P348" s="799" t="n"/>
      <c r="Q348" s="799" t="n"/>
      <c r="R348" s="799" t="n"/>
      <c r="S348" s="799" t="n"/>
      <c r="T348" s="799" t="n"/>
      <c r="U348" s="800" t="n"/>
      <c r="V348" s="43" t="inlineStr">
        <is>
          <t>кор</t>
        </is>
      </c>
      <c r="W348" s="833">
        <f>IFERROR(W346/H346,"0")+IFERROR(W347/H347,"0")</f>
        <v/>
      </c>
      <c r="X348" s="833">
        <f>IFERROR(X346/H346,"0")+IFERROR(X347/H347,"0")</f>
        <v/>
      </c>
      <c r="Y348" s="833">
        <f>IFERROR(IF(Y346="",0,Y346),"0")+IFERROR(IF(Y347="",0,Y347),"0")</f>
        <v/>
      </c>
      <c r="Z348" s="834" t="n"/>
      <c r="AA348" s="834" t="n"/>
    </row>
    <row r="349">
      <c r="A349" s="398" t="n"/>
      <c r="B349" s="398" t="n"/>
      <c r="C349" s="398" t="n"/>
      <c r="D349" s="398" t="n"/>
      <c r="E349" s="398" t="n"/>
      <c r="F349" s="398" t="n"/>
      <c r="G349" s="398" t="n"/>
      <c r="H349" s="398" t="n"/>
      <c r="I349" s="398" t="n"/>
      <c r="J349" s="398" t="n"/>
      <c r="K349" s="398" t="n"/>
      <c r="L349" s="398" t="n"/>
      <c r="M349" s="398" t="n"/>
      <c r="N349" s="831" t="n"/>
      <c r="O349" s="832" t="inlineStr">
        <is>
          <t>Итого</t>
        </is>
      </c>
      <c r="P349" s="799" t="n"/>
      <c r="Q349" s="799" t="n"/>
      <c r="R349" s="799" t="n"/>
      <c r="S349" s="799" t="n"/>
      <c r="T349" s="799" t="n"/>
      <c r="U349" s="800" t="n"/>
      <c r="V349" s="43" t="inlineStr">
        <is>
          <t>кг</t>
        </is>
      </c>
      <c r="W349" s="833">
        <f>IFERROR(SUM(W346:W347),"0")</f>
        <v/>
      </c>
      <c r="X349" s="833">
        <f>IFERROR(SUM(X346:X347),"0")</f>
        <v/>
      </c>
      <c r="Y349" s="43" t="n"/>
      <c r="Z349" s="834" t="n"/>
      <c r="AA349" s="834" t="n"/>
    </row>
    <row r="350" ht="16.5" customHeight="1">
      <c r="A350" s="439" t="inlineStr">
        <is>
          <t>Особая Без свинины</t>
        </is>
      </c>
      <c r="B350" s="398" t="n"/>
      <c r="C350" s="398" t="n"/>
      <c r="D350" s="398" t="n"/>
      <c r="E350" s="398" t="n"/>
      <c r="F350" s="398" t="n"/>
      <c r="G350" s="398" t="n"/>
      <c r="H350" s="398" t="n"/>
      <c r="I350" s="398" t="n"/>
      <c r="J350" s="398" t="n"/>
      <c r="K350" s="398" t="n"/>
      <c r="L350" s="398" t="n"/>
      <c r="M350" s="398" t="n"/>
      <c r="N350" s="398" t="n"/>
      <c r="O350" s="398" t="n"/>
      <c r="P350" s="398" t="n"/>
      <c r="Q350" s="398" t="n"/>
      <c r="R350" s="398" t="n"/>
      <c r="S350" s="398" t="n"/>
      <c r="T350" s="398" t="n"/>
      <c r="U350" s="398" t="n"/>
      <c r="V350" s="398" t="n"/>
      <c r="W350" s="398" t="n"/>
      <c r="X350" s="398" t="n"/>
      <c r="Y350" s="398" t="n"/>
      <c r="Z350" s="439" t="n"/>
      <c r="AA350" s="439" t="n"/>
    </row>
    <row r="351" ht="14.25" customHeight="1">
      <c r="A351" s="409" t="inlineStr">
        <is>
          <t>Вареные колбасы</t>
        </is>
      </c>
      <c r="B351" s="398" t="n"/>
      <c r="C351" s="398" t="n"/>
      <c r="D351" s="398" t="n"/>
      <c r="E351" s="398" t="n"/>
      <c r="F351" s="398" t="n"/>
      <c r="G351" s="398" t="n"/>
      <c r="H351" s="398" t="n"/>
      <c r="I351" s="398" t="n"/>
      <c r="J351" s="398" t="n"/>
      <c r="K351" s="398" t="n"/>
      <c r="L351" s="398" t="n"/>
      <c r="M351" s="398" t="n"/>
      <c r="N351" s="398" t="n"/>
      <c r="O351" s="398" t="n"/>
      <c r="P351" s="398" t="n"/>
      <c r="Q351" s="398" t="n"/>
      <c r="R351" s="398" t="n"/>
      <c r="S351" s="398" t="n"/>
      <c r="T351" s="398" t="n"/>
      <c r="U351" s="398" t="n"/>
      <c r="V351" s="398" t="n"/>
      <c r="W351" s="398" t="n"/>
      <c r="X351" s="398" t="n"/>
      <c r="Y351" s="398" t="n"/>
      <c r="Z351" s="409" t="n"/>
      <c r="AA351" s="409" t="n"/>
    </row>
    <row r="352" ht="37.5" customHeight="1">
      <c r="A352" s="64" t="inlineStr">
        <is>
          <t>SU002073</t>
        </is>
      </c>
      <c r="B352" s="64" t="inlineStr">
        <is>
          <t>P002563</t>
        </is>
      </c>
      <c r="C352" s="37" t="n">
        <v>4301011324</v>
      </c>
      <c r="D352" s="401" t="n">
        <v>4607091384185</v>
      </c>
      <c r="E352" s="791" t="n"/>
      <c r="F352" s="825" t="n">
        <v>0.8</v>
      </c>
      <c r="G352" s="38" t="n">
        <v>15</v>
      </c>
      <c r="H352" s="825" t="n">
        <v>12</v>
      </c>
      <c r="I352" s="825" t="n">
        <v>12.48</v>
      </c>
      <c r="J352" s="38" t="n">
        <v>56</v>
      </c>
      <c r="K352" s="38" t="inlineStr">
        <is>
          <t>8</t>
        </is>
      </c>
      <c r="L352" s="39" t="inlineStr">
        <is>
          <t>СК2</t>
        </is>
      </c>
      <c r="M352" s="39" t="n"/>
      <c r="N352" s="38" t="n">
        <v>60</v>
      </c>
      <c r="O352" s="103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P352" s="827" t="n"/>
      <c r="Q352" s="827" t="n"/>
      <c r="R352" s="827" t="n"/>
      <c r="S352" s="791" t="n"/>
      <c r="T352" s="40" t="inlineStr"/>
      <c r="U352" s="40" t="inlineStr"/>
      <c r="V352" s="41" t="inlineStr">
        <is>
          <t>кг</t>
        </is>
      </c>
      <c r="W352" s="828" t="n">
        <v>40</v>
      </c>
      <c r="X352" s="829">
        <f>IFERROR(IF(W352="",0,CEILING((W352/$H352),1)*$H352),"")</f>
        <v/>
      </c>
      <c r="Y352" s="42">
        <f>IFERROR(IF(X352=0,"",ROUNDUP(X352/H352,0)*0.02175),"")</f>
        <v/>
      </c>
      <c r="Z352" s="69" t="inlineStr"/>
      <c r="AA352" s="70" t="inlineStr"/>
      <c r="AE352" s="80" t="n"/>
      <c r="BB352" s="280" t="inlineStr">
        <is>
          <t>КИ</t>
        </is>
      </c>
      <c r="BL352" s="80">
        <f>IFERROR(W352*I352/H352,"0")</f>
        <v/>
      </c>
      <c r="BM352" s="80">
        <f>IFERROR(X352*I352/H352,"0")</f>
        <v/>
      </c>
      <c r="BN352" s="80">
        <f>IFERROR(1/J352*(W352/H352),"0")</f>
        <v/>
      </c>
      <c r="BO352" s="80">
        <f>IFERROR(1/J352*(X352/H352),"0")</f>
        <v/>
      </c>
    </row>
    <row r="353" ht="37.5" customHeight="1">
      <c r="A353" s="64" t="inlineStr">
        <is>
          <t>SU002187</t>
        </is>
      </c>
      <c r="B353" s="64" t="inlineStr">
        <is>
          <t>P002559</t>
        </is>
      </c>
      <c r="C353" s="37" t="n">
        <v>4301011312</v>
      </c>
      <c r="D353" s="401" t="n">
        <v>4607091384192</v>
      </c>
      <c r="E353" s="791" t="n"/>
      <c r="F353" s="825" t="n">
        <v>1.8</v>
      </c>
      <c r="G353" s="38" t="n">
        <v>6</v>
      </c>
      <c r="H353" s="825" t="n">
        <v>10.8</v>
      </c>
      <c r="I353" s="825" t="n">
        <v>11.28</v>
      </c>
      <c r="J353" s="38" t="n">
        <v>56</v>
      </c>
      <c r="K353" s="38" t="inlineStr">
        <is>
          <t>8</t>
        </is>
      </c>
      <c r="L353" s="39" t="inlineStr">
        <is>
          <t>СК1</t>
        </is>
      </c>
      <c r="M353" s="39" t="n"/>
      <c r="N353" s="38" t="n">
        <v>60</v>
      </c>
      <c r="O353" s="103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P353" s="827" t="n"/>
      <c r="Q353" s="827" t="n"/>
      <c r="R353" s="827" t="n"/>
      <c r="S353" s="791" t="n"/>
      <c r="T353" s="40" t="inlineStr"/>
      <c r="U353" s="40" t="inlineStr"/>
      <c r="V353" s="41" t="inlineStr">
        <is>
          <t>кг</t>
        </is>
      </c>
      <c r="W353" s="828" t="n">
        <v>0</v>
      </c>
      <c r="X353" s="829">
        <f>IFERROR(IF(W353="",0,CEILING((W353/$H353),1)*$H353),"")</f>
        <v/>
      </c>
      <c r="Y353" s="42">
        <f>IFERROR(IF(X353=0,"",ROUNDUP(X353/H353,0)*0.02175),"")</f>
        <v/>
      </c>
      <c r="Z353" s="69" t="inlineStr"/>
      <c r="AA353" s="70" t="inlineStr"/>
      <c r="AE353" s="80" t="n"/>
      <c r="BB353" s="281" t="inlineStr">
        <is>
          <t>КИ</t>
        </is>
      </c>
      <c r="BL353" s="80">
        <f>IFERROR(W353*I353/H353,"0")</f>
        <v/>
      </c>
      <c r="BM353" s="80">
        <f>IFERROR(X353*I353/H353,"0")</f>
        <v/>
      </c>
      <c r="BN353" s="80">
        <f>IFERROR(1/J353*(W353/H353),"0")</f>
        <v/>
      </c>
      <c r="BO353" s="80">
        <f>IFERROR(1/J353*(X353/H353),"0")</f>
        <v/>
      </c>
    </row>
    <row r="354" ht="27" customHeight="1">
      <c r="A354" s="64" t="inlineStr">
        <is>
          <t>SU002899</t>
        </is>
      </c>
      <c r="B354" s="64" t="inlineStr">
        <is>
          <t>P003323</t>
        </is>
      </c>
      <c r="C354" s="37" t="n">
        <v>4301011483</v>
      </c>
      <c r="D354" s="401" t="n">
        <v>4680115881907</v>
      </c>
      <c r="E354" s="791" t="n"/>
      <c r="F354" s="825" t="n">
        <v>1.8</v>
      </c>
      <c r="G354" s="38" t="n">
        <v>6</v>
      </c>
      <c r="H354" s="825" t="n">
        <v>10.8</v>
      </c>
      <c r="I354" s="825" t="n">
        <v>11.28</v>
      </c>
      <c r="J354" s="38" t="n">
        <v>56</v>
      </c>
      <c r="K354" s="38" t="inlineStr">
        <is>
          <t>8</t>
        </is>
      </c>
      <c r="L354" s="39" t="inlineStr">
        <is>
          <t>СК2</t>
        </is>
      </c>
      <c r="M354" s="39" t="n"/>
      <c r="N354" s="38" t="n">
        <v>60</v>
      </c>
      <c r="O354" s="103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P354" s="827" t="n"/>
      <c r="Q354" s="827" t="n"/>
      <c r="R354" s="827" t="n"/>
      <c r="S354" s="791" t="n"/>
      <c r="T354" s="40" t="inlineStr"/>
      <c r="U354" s="40" t="inlineStr"/>
      <c r="V354" s="41" t="inlineStr">
        <is>
          <t>кг</t>
        </is>
      </c>
      <c r="W354" s="828" t="n">
        <v>0</v>
      </c>
      <c r="X354" s="829">
        <f>IFERROR(IF(W354="",0,CEILING((W354/$H354),1)*$H354),"")</f>
        <v/>
      </c>
      <c r="Y354" s="42">
        <f>IFERROR(IF(X354=0,"",ROUNDUP(X354/H354,0)*0.02175),"")</f>
        <v/>
      </c>
      <c r="Z354" s="69" t="inlineStr"/>
      <c r="AA354" s="70" t="inlineStr"/>
      <c r="AE354" s="80" t="n"/>
      <c r="BB354" s="282" t="inlineStr">
        <is>
          <t>КИ</t>
        </is>
      </c>
      <c r="BL354" s="80">
        <f>IFERROR(W354*I354/H354,"0")</f>
        <v/>
      </c>
      <c r="BM354" s="80">
        <f>IFERROR(X354*I354/H354,"0")</f>
        <v/>
      </c>
      <c r="BN354" s="80">
        <f>IFERROR(1/J354*(W354/H354),"0")</f>
        <v/>
      </c>
      <c r="BO354" s="80">
        <f>IFERROR(1/J354*(X354/H354),"0")</f>
        <v/>
      </c>
    </row>
    <row r="355" ht="27" customHeight="1">
      <c r="A355" s="64" t="inlineStr">
        <is>
          <t>SU003226</t>
        </is>
      </c>
      <c r="B355" s="64" t="inlineStr">
        <is>
          <t>P003844</t>
        </is>
      </c>
      <c r="C355" s="37" t="n">
        <v>4301011655</v>
      </c>
      <c r="D355" s="401" t="n">
        <v>4680115883925</v>
      </c>
      <c r="E355" s="791" t="n"/>
      <c r="F355" s="825" t="n">
        <v>2.5</v>
      </c>
      <c r="G355" s="38" t="n">
        <v>6</v>
      </c>
      <c r="H355" s="825" t="n">
        <v>15</v>
      </c>
      <c r="I355" s="825" t="n">
        <v>15.48</v>
      </c>
      <c r="J355" s="38" t="n">
        <v>48</v>
      </c>
      <c r="K355" s="38" t="inlineStr">
        <is>
          <t>8</t>
        </is>
      </c>
      <c r="L355" s="39" t="inlineStr">
        <is>
          <t>СК2</t>
        </is>
      </c>
      <c r="M355" s="39" t="n"/>
      <c r="N355" s="38" t="n">
        <v>60</v>
      </c>
      <c r="O355" s="1035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P355" s="827" t="n"/>
      <c r="Q355" s="827" t="n"/>
      <c r="R355" s="827" t="n"/>
      <c r="S355" s="791" t="n"/>
      <c r="T355" s="40" t="inlineStr"/>
      <c r="U355" s="40" t="inlineStr"/>
      <c r="V355" s="41" t="inlineStr">
        <is>
          <t>кг</t>
        </is>
      </c>
      <c r="W355" s="828" t="n">
        <v>0</v>
      </c>
      <c r="X355" s="829">
        <f>IFERROR(IF(W355="",0,CEILING((W355/$H355),1)*$H355),"")</f>
        <v/>
      </c>
      <c r="Y355" s="42">
        <f>IFERROR(IF(X355=0,"",ROUNDUP(X355/H355,0)*0.02175),"")</f>
        <v/>
      </c>
      <c r="Z355" s="69" t="inlineStr"/>
      <c r="AA355" s="70" t="inlineStr"/>
      <c r="AE355" s="80" t="n"/>
      <c r="BB355" s="283" t="inlineStr">
        <is>
          <t>КИ</t>
        </is>
      </c>
      <c r="BL355" s="80">
        <f>IFERROR(W355*I355/H355,"0")</f>
        <v/>
      </c>
      <c r="BM355" s="80">
        <f>IFERROR(X355*I355/H355,"0")</f>
        <v/>
      </c>
      <c r="BN355" s="80">
        <f>IFERROR(1/J355*(W355/H355),"0")</f>
        <v/>
      </c>
      <c r="BO355" s="80">
        <f>IFERROR(1/J355*(X355/H355),"0")</f>
        <v/>
      </c>
    </row>
    <row r="356">
      <c r="A356" s="408" t="n"/>
      <c r="B356" s="398" t="n"/>
      <c r="C356" s="398" t="n"/>
      <c r="D356" s="398" t="n"/>
      <c r="E356" s="398" t="n"/>
      <c r="F356" s="398" t="n"/>
      <c r="G356" s="398" t="n"/>
      <c r="H356" s="398" t="n"/>
      <c r="I356" s="398" t="n"/>
      <c r="J356" s="398" t="n"/>
      <c r="K356" s="398" t="n"/>
      <c r="L356" s="398" t="n"/>
      <c r="M356" s="398" t="n"/>
      <c r="N356" s="831" t="n"/>
      <c r="O356" s="832" t="inlineStr">
        <is>
          <t>Итого</t>
        </is>
      </c>
      <c r="P356" s="799" t="n"/>
      <c r="Q356" s="799" t="n"/>
      <c r="R356" s="799" t="n"/>
      <c r="S356" s="799" t="n"/>
      <c r="T356" s="799" t="n"/>
      <c r="U356" s="800" t="n"/>
      <c r="V356" s="43" t="inlineStr">
        <is>
          <t>кор</t>
        </is>
      </c>
      <c r="W356" s="833">
        <f>IFERROR(W352/H352,"0")+IFERROR(W353/H353,"0")+IFERROR(W354/H354,"0")+IFERROR(W355/H355,"0")</f>
        <v/>
      </c>
      <c r="X356" s="833">
        <f>IFERROR(X352/H352,"0")+IFERROR(X353/H353,"0")+IFERROR(X354/H354,"0")+IFERROR(X355/H355,"0")</f>
        <v/>
      </c>
      <c r="Y356" s="833">
        <f>IFERROR(IF(Y352="",0,Y352),"0")+IFERROR(IF(Y353="",0,Y353),"0")+IFERROR(IF(Y354="",0,Y354),"0")+IFERROR(IF(Y355="",0,Y355),"0")</f>
        <v/>
      </c>
      <c r="Z356" s="834" t="n"/>
      <c r="AA356" s="834" t="n"/>
    </row>
    <row r="357">
      <c r="A357" s="398" t="n"/>
      <c r="B357" s="398" t="n"/>
      <c r="C357" s="398" t="n"/>
      <c r="D357" s="398" t="n"/>
      <c r="E357" s="398" t="n"/>
      <c r="F357" s="398" t="n"/>
      <c r="G357" s="398" t="n"/>
      <c r="H357" s="398" t="n"/>
      <c r="I357" s="398" t="n"/>
      <c r="J357" s="398" t="n"/>
      <c r="K357" s="398" t="n"/>
      <c r="L357" s="398" t="n"/>
      <c r="M357" s="398" t="n"/>
      <c r="N357" s="831" t="n"/>
      <c r="O357" s="832" t="inlineStr">
        <is>
          <t>Итого</t>
        </is>
      </c>
      <c r="P357" s="799" t="n"/>
      <c r="Q357" s="799" t="n"/>
      <c r="R357" s="799" t="n"/>
      <c r="S357" s="799" t="n"/>
      <c r="T357" s="799" t="n"/>
      <c r="U357" s="800" t="n"/>
      <c r="V357" s="43" t="inlineStr">
        <is>
          <t>кг</t>
        </is>
      </c>
      <c r="W357" s="833">
        <f>IFERROR(SUM(W352:W355),"0")</f>
        <v/>
      </c>
      <c r="X357" s="833">
        <f>IFERROR(SUM(X352:X355),"0")</f>
        <v/>
      </c>
      <c r="Y357" s="43" t="n"/>
      <c r="Z357" s="834" t="n"/>
      <c r="AA357" s="834" t="n"/>
    </row>
    <row r="358" ht="14.25" customHeight="1">
      <c r="A358" s="409" t="inlineStr">
        <is>
          <t>Копченые колбасы</t>
        </is>
      </c>
      <c r="B358" s="398" t="n"/>
      <c r="C358" s="398" t="n"/>
      <c r="D358" s="398" t="n"/>
      <c r="E358" s="398" t="n"/>
      <c r="F358" s="398" t="n"/>
      <c r="G358" s="398" t="n"/>
      <c r="H358" s="398" t="n"/>
      <c r="I358" s="398" t="n"/>
      <c r="J358" s="398" t="n"/>
      <c r="K358" s="398" t="n"/>
      <c r="L358" s="398" t="n"/>
      <c r="M358" s="398" t="n"/>
      <c r="N358" s="398" t="n"/>
      <c r="O358" s="398" t="n"/>
      <c r="P358" s="398" t="n"/>
      <c r="Q358" s="398" t="n"/>
      <c r="R358" s="398" t="n"/>
      <c r="S358" s="398" t="n"/>
      <c r="T358" s="398" t="n"/>
      <c r="U358" s="398" t="n"/>
      <c r="V358" s="398" t="n"/>
      <c r="W358" s="398" t="n"/>
      <c r="X358" s="398" t="n"/>
      <c r="Y358" s="398" t="n"/>
      <c r="Z358" s="409" t="n"/>
      <c r="AA358" s="409" t="n"/>
    </row>
    <row r="359" ht="27" customHeight="1">
      <c r="A359" s="64" t="inlineStr">
        <is>
          <t>SU002360</t>
        </is>
      </c>
      <c r="B359" s="64" t="inlineStr">
        <is>
          <t>P002629</t>
        </is>
      </c>
      <c r="C359" s="37" t="n">
        <v>4301031139</v>
      </c>
      <c r="D359" s="401" t="n">
        <v>4607091384802</v>
      </c>
      <c r="E359" s="791" t="n"/>
      <c r="F359" s="825" t="n">
        <v>0.73</v>
      </c>
      <c r="G359" s="38" t="n">
        <v>6</v>
      </c>
      <c r="H359" s="825" t="n">
        <v>4.38</v>
      </c>
      <c r="I359" s="825" t="n">
        <v>4.58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9" t="n"/>
      <c r="N359" s="38" t="n">
        <v>35</v>
      </c>
      <c r="O359" s="103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P359" s="827" t="n"/>
      <c r="Q359" s="827" t="n"/>
      <c r="R359" s="827" t="n"/>
      <c r="S359" s="791" t="n"/>
      <c r="T359" s="40" t="inlineStr"/>
      <c r="U359" s="40" t="inlineStr"/>
      <c r="V359" s="41" t="inlineStr">
        <is>
          <t>кг</t>
        </is>
      </c>
      <c r="W359" s="828" t="n">
        <v>0</v>
      </c>
      <c r="X359" s="829">
        <f>IFERROR(IF(W359="",0,CEILING((W359/$H359),1)*$H359),"")</f>
        <v/>
      </c>
      <c r="Y359" s="42">
        <f>IFERROR(IF(X359=0,"",ROUNDUP(X359/H359,0)*0.00753),"")</f>
        <v/>
      </c>
      <c r="Z359" s="69" t="inlineStr"/>
      <c r="AA359" s="70" t="inlineStr"/>
      <c r="AE359" s="80" t="n"/>
      <c r="BB359" s="284" t="inlineStr">
        <is>
          <t>КИ</t>
        </is>
      </c>
      <c r="BL359" s="80">
        <f>IFERROR(W359*I359/H359,"0")</f>
        <v/>
      </c>
      <c r="BM359" s="80">
        <f>IFERROR(X359*I359/H359,"0")</f>
        <v/>
      </c>
      <c r="BN359" s="80">
        <f>IFERROR(1/J359*(W359/H359),"0")</f>
        <v/>
      </c>
      <c r="BO359" s="80">
        <f>IFERROR(1/J359*(X359/H359),"0")</f>
        <v/>
      </c>
    </row>
    <row r="360" ht="27" customHeight="1">
      <c r="A360" s="64" t="inlineStr">
        <is>
          <t>SU002360</t>
        </is>
      </c>
      <c r="B360" s="64" t="inlineStr">
        <is>
          <t>P004227</t>
        </is>
      </c>
      <c r="C360" s="37" t="n">
        <v>4301031303</v>
      </c>
      <c r="D360" s="401" t="n">
        <v>4607091384802</v>
      </c>
      <c r="E360" s="791" t="n"/>
      <c r="F360" s="825" t="n">
        <v>0.73</v>
      </c>
      <c r="G360" s="38" t="n">
        <v>6</v>
      </c>
      <c r="H360" s="825" t="n">
        <v>4.38</v>
      </c>
      <c r="I360" s="825" t="n">
        <v>4.64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9" t="n"/>
      <c r="N360" s="38" t="n">
        <v>35</v>
      </c>
      <c r="O360" s="1037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P360" s="827" t="n"/>
      <c r="Q360" s="827" t="n"/>
      <c r="R360" s="827" t="n"/>
      <c r="S360" s="791" t="n"/>
      <c r="T360" s="40" t="inlineStr"/>
      <c r="U360" s="40" t="inlineStr"/>
      <c r="V360" s="41" t="inlineStr">
        <is>
          <t>кг</t>
        </is>
      </c>
      <c r="W360" s="828" t="n">
        <v>0</v>
      </c>
      <c r="X360" s="829">
        <f>IFERROR(IF(W360="",0,CEILING((W360/$H360),1)*$H360),"")</f>
        <v/>
      </c>
      <c r="Y360" s="42">
        <f>IFERROR(IF(X360=0,"",ROUNDUP(X360/H360,0)*0.00753),"")</f>
        <v/>
      </c>
      <c r="Z360" s="69" t="inlineStr"/>
      <c r="AA360" s="70" t="inlineStr"/>
      <c r="AE360" s="80" t="n"/>
      <c r="BB360" s="285" t="inlineStr">
        <is>
          <t>КИ</t>
        </is>
      </c>
      <c r="BL360" s="80">
        <f>IFERROR(W360*I360/H360,"0")</f>
        <v/>
      </c>
      <c r="BM360" s="80">
        <f>IFERROR(X360*I360/H360,"0")</f>
        <v/>
      </c>
      <c r="BN360" s="80">
        <f>IFERROR(1/J360*(W360/H360),"0")</f>
        <v/>
      </c>
      <c r="BO360" s="80">
        <f>IFERROR(1/J360*(X360/H360),"0")</f>
        <v/>
      </c>
    </row>
    <row r="361" ht="27" customHeight="1">
      <c r="A361" s="64" t="inlineStr">
        <is>
          <t>SU002361</t>
        </is>
      </c>
      <c r="B361" s="64" t="inlineStr">
        <is>
          <t>P004228</t>
        </is>
      </c>
      <c r="C361" s="37" t="n">
        <v>4301031304</v>
      </c>
      <c r="D361" s="401" t="n">
        <v>4607091384826</v>
      </c>
      <c r="E361" s="791" t="n"/>
      <c r="F361" s="825" t="n">
        <v>0.35</v>
      </c>
      <c r="G361" s="38" t="n">
        <v>8</v>
      </c>
      <c r="H361" s="825" t="n">
        <v>2.8</v>
      </c>
      <c r="I361" s="825" t="n">
        <v>2.98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9" t="n"/>
      <c r="N361" s="38" t="n">
        <v>35</v>
      </c>
      <c r="O361" s="1038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P361" s="827" t="n"/>
      <c r="Q361" s="827" t="n"/>
      <c r="R361" s="827" t="n"/>
      <c r="S361" s="791" t="n"/>
      <c r="T361" s="40" t="inlineStr"/>
      <c r="U361" s="40" t="inlineStr"/>
      <c r="V361" s="41" t="inlineStr">
        <is>
          <t>кг</t>
        </is>
      </c>
      <c r="W361" s="828" t="n">
        <v>0</v>
      </c>
      <c r="X361" s="829">
        <f>IFERROR(IF(W361="",0,CEILING((W361/$H361),1)*$H361),"")</f>
        <v/>
      </c>
      <c r="Y361" s="42">
        <f>IFERROR(IF(X361=0,"",ROUNDUP(X361/H361,0)*0.00502),"")</f>
        <v/>
      </c>
      <c r="Z361" s="69" t="inlineStr"/>
      <c r="AA361" s="70" t="inlineStr"/>
      <c r="AE361" s="80" t="n"/>
      <c r="BB361" s="286" t="inlineStr">
        <is>
          <t>КИ</t>
        </is>
      </c>
      <c r="BL361" s="80">
        <f>IFERROR(W361*I361/H361,"0")</f>
        <v/>
      </c>
      <c r="BM361" s="80">
        <f>IFERROR(X361*I361/H361,"0")</f>
        <v/>
      </c>
      <c r="BN361" s="80">
        <f>IFERROR(1/J361*(W361/H361),"0")</f>
        <v/>
      </c>
      <c r="BO361" s="80">
        <f>IFERROR(1/J361*(X361/H361),"0")</f>
        <v/>
      </c>
    </row>
    <row r="362">
      <c r="A362" s="408" t="n"/>
      <c r="B362" s="398" t="n"/>
      <c r="C362" s="398" t="n"/>
      <c r="D362" s="398" t="n"/>
      <c r="E362" s="398" t="n"/>
      <c r="F362" s="398" t="n"/>
      <c r="G362" s="398" t="n"/>
      <c r="H362" s="398" t="n"/>
      <c r="I362" s="398" t="n"/>
      <c r="J362" s="398" t="n"/>
      <c r="K362" s="398" t="n"/>
      <c r="L362" s="398" t="n"/>
      <c r="M362" s="398" t="n"/>
      <c r="N362" s="831" t="n"/>
      <c r="O362" s="832" t="inlineStr">
        <is>
          <t>Итого</t>
        </is>
      </c>
      <c r="P362" s="799" t="n"/>
      <c r="Q362" s="799" t="n"/>
      <c r="R362" s="799" t="n"/>
      <c r="S362" s="799" t="n"/>
      <c r="T362" s="799" t="n"/>
      <c r="U362" s="800" t="n"/>
      <c r="V362" s="43" t="inlineStr">
        <is>
          <t>кор</t>
        </is>
      </c>
      <c r="W362" s="833">
        <f>IFERROR(W359/H359,"0")+IFERROR(W360/H360,"0")+IFERROR(W361/H361,"0")</f>
        <v/>
      </c>
      <c r="X362" s="833">
        <f>IFERROR(X359/H359,"0")+IFERROR(X360/H360,"0")+IFERROR(X361/H361,"0")</f>
        <v/>
      </c>
      <c r="Y362" s="833">
        <f>IFERROR(IF(Y359="",0,Y359),"0")+IFERROR(IF(Y360="",0,Y360),"0")+IFERROR(IF(Y361="",0,Y361),"0")</f>
        <v/>
      </c>
      <c r="Z362" s="834" t="n"/>
      <c r="AA362" s="834" t="n"/>
    </row>
    <row r="363">
      <c r="A363" s="398" t="n"/>
      <c r="B363" s="398" t="n"/>
      <c r="C363" s="398" t="n"/>
      <c r="D363" s="398" t="n"/>
      <c r="E363" s="398" t="n"/>
      <c r="F363" s="398" t="n"/>
      <c r="G363" s="398" t="n"/>
      <c r="H363" s="398" t="n"/>
      <c r="I363" s="398" t="n"/>
      <c r="J363" s="398" t="n"/>
      <c r="K363" s="398" t="n"/>
      <c r="L363" s="398" t="n"/>
      <c r="M363" s="398" t="n"/>
      <c r="N363" s="831" t="n"/>
      <c r="O363" s="832" t="inlineStr">
        <is>
          <t>Итого</t>
        </is>
      </c>
      <c r="P363" s="799" t="n"/>
      <c r="Q363" s="799" t="n"/>
      <c r="R363" s="799" t="n"/>
      <c r="S363" s="799" t="n"/>
      <c r="T363" s="799" t="n"/>
      <c r="U363" s="800" t="n"/>
      <c r="V363" s="43" t="inlineStr">
        <is>
          <t>кг</t>
        </is>
      </c>
      <c r="W363" s="833">
        <f>IFERROR(SUM(W359:W361),"0")</f>
        <v/>
      </c>
      <c r="X363" s="833">
        <f>IFERROR(SUM(X359:X361),"0")</f>
        <v/>
      </c>
      <c r="Y363" s="43" t="n"/>
      <c r="Z363" s="834" t="n"/>
      <c r="AA363" s="834" t="n"/>
    </row>
    <row r="364" ht="14.25" customHeight="1">
      <c r="A364" s="409" t="inlineStr">
        <is>
          <t>Сосиски</t>
        </is>
      </c>
      <c r="B364" s="398" t="n"/>
      <c r="C364" s="398" t="n"/>
      <c r="D364" s="398" t="n"/>
      <c r="E364" s="398" t="n"/>
      <c r="F364" s="398" t="n"/>
      <c r="G364" s="398" t="n"/>
      <c r="H364" s="398" t="n"/>
      <c r="I364" s="398" t="n"/>
      <c r="J364" s="398" t="n"/>
      <c r="K364" s="398" t="n"/>
      <c r="L364" s="398" t="n"/>
      <c r="M364" s="398" t="n"/>
      <c r="N364" s="398" t="n"/>
      <c r="O364" s="398" t="n"/>
      <c r="P364" s="398" t="n"/>
      <c r="Q364" s="398" t="n"/>
      <c r="R364" s="398" t="n"/>
      <c r="S364" s="398" t="n"/>
      <c r="T364" s="398" t="n"/>
      <c r="U364" s="398" t="n"/>
      <c r="V364" s="398" t="n"/>
      <c r="W364" s="398" t="n"/>
      <c r="X364" s="398" t="n"/>
      <c r="Y364" s="398" t="n"/>
      <c r="Z364" s="409" t="n"/>
      <c r="AA364" s="409" t="n"/>
    </row>
    <row r="365" ht="27" customHeight="1">
      <c r="A365" s="64" t="inlineStr">
        <is>
          <t>SU002074</t>
        </is>
      </c>
      <c r="B365" s="64" t="inlineStr">
        <is>
          <t>P003972</t>
        </is>
      </c>
      <c r="C365" s="37" t="n">
        <v>4301051635</v>
      </c>
      <c r="D365" s="401" t="n">
        <v>4607091384246</v>
      </c>
      <c r="E365" s="791" t="n"/>
      <c r="F365" s="825" t="n">
        <v>1.3</v>
      </c>
      <c r="G365" s="38" t="n">
        <v>6</v>
      </c>
      <c r="H365" s="825" t="n">
        <v>7.8</v>
      </c>
      <c r="I365" s="825" t="n">
        <v>8.364000000000001</v>
      </c>
      <c r="J365" s="38" t="n">
        <v>56</v>
      </c>
      <c r="K365" s="38" t="inlineStr">
        <is>
          <t>8</t>
        </is>
      </c>
      <c r="L365" s="39" t="inlineStr">
        <is>
          <t>СК2</t>
        </is>
      </c>
      <c r="M365" s="39" t="n"/>
      <c r="N365" s="38" t="n">
        <v>40</v>
      </c>
      <c r="O365" s="1039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/>
      </c>
      <c r="P365" s="827" t="n"/>
      <c r="Q365" s="827" t="n"/>
      <c r="R365" s="827" t="n"/>
      <c r="S365" s="791" t="n"/>
      <c r="T365" s="40" t="inlineStr"/>
      <c r="U365" s="40" t="inlineStr"/>
      <c r="V365" s="41" t="inlineStr">
        <is>
          <t>кг</t>
        </is>
      </c>
      <c r="W365" s="828" t="n">
        <v>0</v>
      </c>
      <c r="X365" s="829">
        <f>IFERROR(IF(W365="",0,CEILING((W365/$H365),1)*$H365),"")</f>
        <v/>
      </c>
      <c r="Y365" s="42">
        <f>IFERROR(IF(X365=0,"",ROUNDUP(X365/H365,0)*0.02175),"")</f>
        <v/>
      </c>
      <c r="Z365" s="69" t="inlineStr"/>
      <c r="AA365" s="70" t="inlineStr"/>
      <c r="AE365" s="80" t="n"/>
      <c r="BB365" s="287" t="inlineStr">
        <is>
          <t>КИ</t>
        </is>
      </c>
      <c r="BL365" s="80">
        <f>IFERROR(W365*I365/H365,"0")</f>
        <v/>
      </c>
      <c r="BM365" s="80">
        <f>IFERROR(X365*I365/H365,"0")</f>
        <v/>
      </c>
      <c r="BN365" s="80">
        <f>IFERROR(1/J365*(W365/H365),"0")</f>
        <v/>
      </c>
      <c r="BO365" s="80">
        <f>IFERROR(1/J365*(X365/H365),"0")</f>
        <v/>
      </c>
    </row>
    <row r="366" ht="27" customHeight="1">
      <c r="A366" s="64" t="inlineStr">
        <is>
          <t>SU002896</t>
        </is>
      </c>
      <c r="B366" s="64" t="inlineStr">
        <is>
          <t>P003330</t>
        </is>
      </c>
      <c r="C366" s="37" t="n">
        <v>4301051445</v>
      </c>
      <c r="D366" s="401" t="n">
        <v>4680115881976</v>
      </c>
      <c r="E366" s="791" t="n"/>
      <c r="F366" s="825" t="n">
        <v>1.3</v>
      </c>
      <c r="G366" s="38" t="n">
        <v>6</v>
      </c>
      <c r="H366" s="825" t="n">
        <v>7.8</v>
      </c>
      <c r="I366" s="825" t="n">
        <v>8.279999999999999</v>
      </c>
      <c r="J366" s="38" t="n">
        <v>56</v>
      </c>
      <c r="K366" s="38" t="inlineStr">
        <is>
          <t>8</t>
        </is>
      </c>
      <c r="L366" s="39" t="inlineStr">
        <is>
          <t>СК2</t>
        </is>
      </c>
      <c r="M366" s="39" t="n"/>
      <c r="N366" s="38" t="n">
        <v>40</v>
      </c>
      <c r="O366" s="104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P366" s="827" t="n"/>
      <c r="Q366" s="827" t="n"/>
      <c r="R366" s="827" t="n"/>
      <c r="S366" s="791" t="n"/>
      <c r="T366" s="40" t="inlineStr"/>
      <c r="U366" s="40" t="inlineStr"/>
      <c r="V366" s="41" t="inlineStr">
        <is>
          <t>кг</t>
        </is>
      </c>
      <c r="W366" s="828" t="n">
        <v>0</v>
      </c>
      <c r="X366" s="829">
        <f>IFERROR(IF(W366="",0,CEILING((W366/$H366),1)*$H366),"")</f>
        <v/>
      </c>
      <c r="Y366" s="42">
        <f>IFERROR(IF(X366=0,"",ROUNDUP(X366/H366,0)*0.02175),"")</f>
        <v/>
      </c>
      <c r="Z366" s="69" t="inlineStr"/>
      <c r="AA366" s="70" t="inlineStr"/>
      <c r="AE366" s="80" t="n"/>
      <c r="BB366" s="288" t="inlineStr">
        <is>
          <t>КИ</t>
        </is>
      </c>
      <c r="BL366" s="80">
        <f>IFERROR(W366*I366/H366,"0")</f>
        <v/>
      </c>
      <c r="BM366" s="80">
        <f>IFERROR(X366*I366/H366,"0")</f>
        <v/>
      </c>
      <c r="BN366" s="80">
        <f>IFERROR(1/J366*(W366/H366),"0")</f>
        <v/>
      </c>
      <c r="BO366" s="80">
        <f>IFERROR(1/J366*(X366/H366),"0")</f>
        <v/>
      </c>
    </row>
    <row r="367" ht="27" customHeight="1">
      <c r="A367" s="64" t="inlineStr">
        <is>
          <t>SU002205</t>
        </is>
      </c>
      <c r="B367" s="64" t="inlineStr">
        <is>
          <t>P002694</t>
        </is>
      </c>
      <c r="C367" s="37" t="n">
        <v>4301051297</v>
      </c>
      <c r="D367" s="401" t="n">
        <v>4607091384253</v>
      </c>
      <c r="E367" s="791" t="n"/>
      <c r="F367" s="825" t="n">
        <v>0.4</v>
      </c>
      <c r="G367" s="38" t="n">
        <v>6</v>
      </c>
      <c r="H367" s="825" t="n">
        <v>2.4</v>
      </c>
      <c r="I367" s="825" t="n">
        <v>2.684</v>
      </c>
      <c r="J367" s="38" t="n">
        <v>156</v>
      </c>
      <c r="K367" s="38" t="inlineStr">
        <is>
          <t>12</t>
        </is>
      </c>
      <c r="L367" s="39" t="inlineStr">
        <is>
          <t>СК2</t>
        </is>
      </c>
      <c r="M367" s="39" t="n"/>
      <c r="N367" s="38" t="n">
        <v>40</v>
      </c>
      <c r="O367" s="104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P367" s="827" t="n"/>
      <c r="Q367" s="827" t="n"/>
      <c r="R367" s="827" t="n"/>
      <c r="S367" s="791" t="n"/>
      <c r="T367" s="40" t="inlineStr"/>
      <c r="U367" s="40" t="inlineStr"/>
      <c r="V367" s="41" t="inlineStr">
        <is>
          <t>кг</t>
        </is>
      </c>
      <c r="W367" s="828" t="n">
        <v>0</v>
      </c>
      <c r="X367" s="829">
        <f>IFERROR(IF(W367="",0,CEILING((W367/$H367),1)*$H367),"")</f>
        <v/>
      </c>
      <c r="Y367" s="42">
        <f>IFERROR(IF(X367=0,"",ROUNDUP(X367/H367,0)*0.00753),"")</f>
        <v/>
      </c>
      <c r="Z367" s="69" t="inlineStr"/>
      <c r="AA367" s="70" t="inlineStr"/>
      <c r="AE367" s="80" t="n"/>
      <c r="BB367" s="289" t="inlineStr">
        <is>
          <t>КИ</t>
        </is>
      </c>
      <c r="BL367" s="80">
        <f>IFERROR(W367*I367/H367,"0")</f>
        <v/>
      </c>
      <c r="BM367" s="80">
        <f>IFERROR(X367*I367/H367,"0")</f>
        <v/>
      </c>
      <c r="BN367" s="80">
        <f>IFERROR(1/J367*(W367/H367),"0")</f>
        <v/>
      </c>
      <c r="BO367" s="80">
        <f>IFERROR(1/J367*(X367/H367),"0")</f>
        <v/>
      </c>
    </row>
    <row r="368" ht="27" customHeight="1">
      <c r="A368" s="64" t="inlineStr">
        <is>
          <t>SU002205</t>
        </is>
      </c>
      <c r="B368" s="64" t="inlineStr">
        <is>
          <t>P003969</t>
        </is>
      </c>
      <c r="C368" s="37" t="n">
        <v>4301051634</v>
      </c>
      <c r="D368" s="401" t="n">
        <v>4607091384253</v>
      </c>
      <c r="E368" s="791" t="n"/>
      <c r="F368" s="825" t="n">
        <v>0.4</v>
      </c>
      <c r="G368" s="38" t="n">
        <v>6</v>
      </c>
      <c r="H368" s="825" t="n">
        <v>2.4</v>
      </c>
      <c r="I368" s="825" t="n">
        <v>2.684</v>
      </c>
      <c r="J368" s="38" t="n">
        <v>156</v>
      </c>
      <c r="K368" s="38" t="inlineStr">
        <is>
          <t>12</t>
        </is>
      </c>
      <c r="L368" s="39" t="inlineStr">
        <is>
          <t>СК2</t>
        </is>
      </c>
      <c r="M368" s="39" t="n"/>
      <c r="N368" s="38" t="n">
        <v>40</v>
      </c>
      <c r="O368" s="1042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P368" s="827" t="n"/>
      <c r="Q368" s="827" t="n"/>
      <c r="R368" s="827" t="n"/>
      <c r="S368" s="791" t="n"/>
      <c r="T368" s="40" t="inlineStr"/>
      <c r="U368" s="40" t="inlineStr"/>
      <c r="V368" s="41" t="inlineStr">
        <is>
          <t>кг</t>
        </is>
      </c>
      <c r="W368" s="828" t="n">
        <v>0</v>
      </c>
      <c r="X368" s="829">
        <f>IFERROR(IF(W368="",0,CEILING((W368/$H368),1)*$H368),"")</f>
        <v/>
      </c>
      <c r="Y368" s="42">
        <f>IFERROR(IF(X368=0,"",ROUNDUP(X368/H368,0)*0.00753),"")</f>
        <v/>
      </c>
      <c r="Z368" s="69" t="inlineStr"/>
      <c r="AA368" s="70" t="inlineStr"/>
      <c r="AE368" s="80" t="n"/>
      <c r="BB368" s="290" t="inlineStr">
        <is>
          <t>КИ</t>
        </is>
      </c>
      <c r="BL368" s="80">
        <f>IFERROR(W368*I368/H368,"0")</f>
        <v/>
      </c>
      <c r="BM368" s="80">
        <f>IFERROR(X368*I368/H368,"0")</f>
        <v/>
      </c>
      <c r="BN368" s="80">
        <f>IFERROR(1/J368*(W368/H368),"0")</f>
        <v/>
      </c>
      <c r="BO368" s="80">
        <f>IFERROR(1/J368*(X368/H368),"0")</f>
        <v/>
      </c>
    </row>
    <row r="369" ht="27" customHeight="1">
      <c r="A369" s="64" t="inlineStr">
        <is>
          <t>SU002895</t>
        </is>
      </c>
      <c r="B369" s="64" t="inlineStr">
        <is>
          <t>P003329</t>
        </is>
      </c>
      <c r="C369" s="37" t="n">
        <v>4301051444</v>
      </c>
      <c r="D369" s="401" t="n">
        <v>4680115881969</v>
      </c>
      <c r="E369" s="791" t="n"/>
      <c r="F369" s="825" t="n">
        <v>0.4</v>
      </c>
      <c r="G369" s="38" t="n">
        <v>6</v>
      </c>
      <c r="H369" s="825" t="n">
        <v>2.4</v>
      </c>
      <c r="I369" s="825" t="n">
        <v>2.6</v>
      </c>
      <c r="J369" s="38" t="n">
        <v>156</v>
      </c>
      <c r="K369" s="38" t="inlineStr">
        <is>
          <t>12</t>
        </is>
      </c>
      <c r="L369" s="39" t="inlineStr">
        <is>
          <t>СК2</t>
        </is>
      </c>
      <c r="M369" s="39" t="n"/>
      <c r="N369" s="38" t="n">
        <v>40</v>
      </c>
      <c r="O369" s="1043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P369" s="827" t="n"/>
      <c r="Q369" s="827" t="n"/>
      <c r="R369" s="827" t="n"/>
      <c r="S369" s="791" t="n"/>
      <c r="T369" s="40" t="inlineStr"/>
      <c r="U369" s="40" t="inlineStr"/>
      <c r="V369" s="41" t="inlineStr">
        <is>
          <t>кг</t>
        </is>
      </c>
      <c r="W369" s="828" t="n">
        <v>0</v>
      </c>
      <c r="X369" s="829">
        <f>IFERROR(IF(W369="",0,CEILING((W369/$H369),1)*$H369),"")</f>
        <v/>
      </c>
      <c r="Y369" s="42">
        <f>IFERROR(IF(X369=0,"",ROUNDUP(X369/H369,0)*0.00753),"")</f>
        <v/>
      </c>
      <c r="Z369" s="69" t="inlineStr"/>
      <c r="AA369" s="70" t="inlineStr"/>
      <c r="AE369" s="80" t="n"/>
      <c r="BB369" s="291" t="inlineStr">
        <is>
          <t>КИ</t>
        </is>
      </c>
      <c r="BL369" s="80">
        <f>IFERROR(W369*I369/H369,"0")</f>
        <v/>
      </c>
      <c r="BM369" s="80">
        <f>IFERROR(X369*I369/H369,"0")</f>
        <v/>
      </c>
      <c r="BN369" s="80">
        <f>IFERROR(1/J369*(W369/H369),"0")</f>
        <v/>
      </c>
      <c r="BO369" s="80">
        <f>IFERROR(1/J369*(X369/H369),"0")</f>
        <v/>
      </c>
    </row>
    <row r="370">
      <c r="A370" s="408" t="n"/>
      <c r="B370" s="398" t="n"/>
      <c r="C370" s="398" t="n"/>
      <c r="D370" s="398" t="n"/>
      <c r="E370" s="398" t="n"/>
      <c r="F370" s="398" t="n"/>
      <c r="G370" s="398" t="n"/>
      <c r="H370" s="398" t="n"/>
      <c r="I370" s="398" t="n"/>
      <c r="J370" s="398" t="n"/>
      <c r="K370" s="398" t="n"/>
      <c r="L370" s="398" t="n"/>
      <c r="M370" s="398" t="n"/>
      <c r="N370" s="831" t="n"/>
      <c r="O370" s="832" t="inlineStr">
        <is>
          <t>Итого</t>
        </is>
      </c>
      <c r="P370" s="799" t="n"/>
      <c r="Q370" s="799" t="n"/>
      <c r="R370" s="799" t="n"/>
      <c r="S370" s="799" t="n"/>
      <c r="T370" s="799" t="n"/>
      <c r="U370" s="800" t="n"/>
      <c r="V370" s="43" t="inlineStr">
        <is>
          <t>кор</t>
        </is>
      </c>
      <c r="W370" s="833">
        <f>IFERROR(W365/H365,"0")+IFERROR(W366/H366,"0")+IFERROR(W367/H367,"0")+IFERROR(W368/H368,"0")+IFERROR(W369/H369,"0")</f>
        <v/>
      </c>
      <c r="X370" s="833">
        <f>IFERROR(X365/H365,"0")+IFERROR(X366/H366,"0")+IFERROR(X367/H367,"0")+IFERROR(X368/H368,"0")+IFERROR(X369/H369,"0")</f>
        <v/>
      </c>
      <c r="Y370" s="833">
        <f>IFERROR(IF(Y365="",0,Y365),"0")+IFERROR(IF(Y366="",0,Y366),"0")+IFERROR(IF(Y367="",0,Y367),"0")+IFERROR(IF(Y368="",0,Y368),"0")+IFERROR(IF(Y369="",0,Y369),"0")</f>
        <v/>
      </c>
      <c r="Z370" s="834" t="n"/>
      <c r="AA370" s="834" t="n"/>
    </row>
    <row r="371">
      <c r="A371" s="398" t="n"/>
      <c r="B371" s="398" t="n"/>
      <c r="C371" s="398" t="n"/>
      <c r="D371" s="398" t="n"/>
      <c r="E371" s="398" t="n"/>
      <c r="F371" s="398" t="n"/>
      <c r="G371" s="398" t="n"/>
      <c r="H371" s="398" t="n"/>
      <c r="I371" s="398" t="n"/>
      <c r="J371" s="398" t="n"/>
      <c r="K371" s="398" t="n"/>
      <c r="L371" s="398" t="n"/>
      <c r="M371" s="398" t="n"/>
      <c r="N371" s="831" t="n"/>
      <c r="O371" s="832" t="inlineStr">
        <is>
          <t>Итого</t>
        </is>
      </c>
      <c r="P371" s="799" t="n"/>
      <c r="Q371" s="799" t="n"/>
      <c r="R371" s="799" t="n"/>
      <c r="S371" s="799" t="n"/>
      <c r="T371" s="799" t="n"/>
      <c r="U371" s="800" t="n"/>
      <c r="V371" s="43" t="inlineStr">
        <is>
          <t>кг</t>
        </is>
      </c>
      <c r="W371" s="833">
        <f>IFERROR(SUM(W365:W369),"0")</f>
        <v/>
      </c>
      <c r="X371" s="833">
        <f>IFERROR(SUM(X365:X369),"0")</f>
        <v/>
      </c>
      <c r="Y371" s="43" t="n"/>
      <c r="Z371" s="834" t="n"/>
      <c r="AA371" s="834" t="n"/>
    </row>
    <row r="372" ht="14.25" customHeight="1">
      <c r="A372" s="409" t="inlineStr">
        <is>
          <t>Сардельки</t>
        </is>
      </c>
      <c r="B372" s="398" t="n"/>
      <c r="C372" s="398" t="n"/>
      <c r="D372" s="398" t="n"/>
      <c r="E372" s="398" t="n"/>
      <c r="F372" s="398" t="n"/>
      <c r="G372" s="398" t="n"/>
      <c r="H372" s="398" t="n"/>
      <c r="I372" s="398" t="n"/>
      <c r="J372" s="398" t="n"/>
      <c r="K372" s="398" t="n"/>
      <c r="L372" s="398" t="n"/>
      <c r="M372" s="398" t="n"/>
      <c r="N372" s="398" t="n"/>
      <c r="O372" s="398" t="n"/>
      <c r="P372" s="398" t="n"/>
      <c r="Q372" s="398" t="n"/>
      <c r="R372" s="398" t="n"/>
      <c r="S372" s="398" t="n"/>
      <c r="T372" s="398" t="n"/>
      <c r="U372" s="398" t="n"/>
      <c r="V372" s="398" t="n"/>
      <c r="W372" s="398" t="n"/>
      <c r="X372" s="398" t="n"/>
      <c r="Y372" s="398" t="n"/>
      <c r="Z372" s="409" t="n"/>
      <c r="AA372" s="409" t="n"/>
    </row>
    <row r="373" ht="27" customHeight="1">
      <c r="A373" s="64" t="inlineStr">
        <is>
          <t>SU002472</t>
        </is>
      </c>
      <c r="B373" s="64" t="inlineStr">
        <is>
          <t>P002973</t>
        </is>
      </c>
      <c r="C373" s="37" t="n">
        <v>4301060322</v>
      </c>
      <c r="D373" s="401" t="n">
        <v>4607091389357</v>
      </c>
      <c r="E373" s="791" t="n"/>
      <c r="F373" s="825" t="n">
        <v>1.3</v>
      </c>
      <c r="G373" s="38" t="n">
        <v>6</v>
      </c>
      <c r="H373" s="825" t="n">
        <v>7.8</v>
      </c>
      <c r="I373" s="825" t="n">
        <v>8.279999999999999</v>
      </c>
      <c r="J373" s="38" t="n">
        <v>56</v>
      </c>
      <c r="K373" s="38" t="inlineStr">
        <is>
          <t>8</t>
        </is>
      </c>
      <c r="L373" s="39" t="inlineStr">
        <is>
          <t>СК2</t>
        </is>
      </c>
      <c r="M373" s="39" t="n"/>
      <c r="N373" s="38" t="n">
        <v>40</v>
      </c>
      <c r="O373" s="1044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P373" s="827" t="n"/>
      <c r="Q373" s="827" t="n"/>
      <c r="R373" s="827" t="n"/>
      <c r="S373" s="791" t="n"/>
      <c r="T373" s="40" t="inlineStr"/>
      <c r="U373" s="40" t="inlineStr"/>
      <c r="V373" s="41" t="inlineStr">
        <is>
          <t>кг</t>
        </is>
      </c>
      <c r="W373" s="828" t="n">
        <v>0</v>
      </c>
      <c r="X373" s="829">
        <f>IFERROR(IF(W373="",0,CEILING((W373/$H373),1)*$H373),"")</f>
        <v/>
      </c>
      <c r="Y373" s="42">
        <f>IFERROR(IF(X373=0,"",ROUNDUP(X373/H373,0)*0.02175),"")</f>
        <v/>
      </c>
      <c r="Z373" s="69" t="inlineStr"/>
      <c r="AA373" s="70" t="inlineStr"/>
      <c r="AE373" s="80" t="n"/>
      <c r="BB373" s="292" t="inlineStr">
        <is>
          <t>КИ</t>
        </is>
      </c>
      <c r="BL373" s="80">
        <f>IFERROR(W373*I373/H373,"0")</f>
        <v/>
      </c>
      <c r="BM373" s="80">
        <f>IFERROR(X373*I373/H373,"0")</f>
        <v/>
      </c>
      <c r="BN373" s="80">
        <f>IFERROR(1/J373*(W373/H373),"0")</f>
        <v/>
      </c>
      <c r="BO373" s="80">
        <f>IFERROR(1/J373*(X373/H373),"0")</f>
        <v/>
      </c>
    </row>
    <row r="374" ht="27" customHeight="1">
      <c r="A374" s="64" t="inlineStr">
        <is>
          <t>SU002472</t>
        </is>
      </c>
      <c r="B374" s="64" t="inlineStr">
        <is>
          <t>P003975</t>
        </is>
      </c>
      <c r="C374" s="37" t="n">
        <v>4301060377</v>
      </c>
      <c r="D374" s="401" t="n">
        <v>4607091389357</v>
      </c>
      <c r="E374" s="791" t="n"/>
      <c r="F374" s="825" t="n">
        <v>1.3</v>
      </c>
      <c r="G374" s="38" t="n">
        <v>6</v>
      </c>
      <c r="H374" s="825" t="n">
        <v>7.8</v>
      </c>
      <c r="I374" s="825" t="n">
        <v>8.279999999999999</v>
      </c>
      <c r="J374" s="38" t="n">
        <v>56</v>
      </c>
      <c r="K374" s="38" t="inlineStr">
        <is>
          <t>8</t>
        </is>
      </c>
      <c r="L374" s="39" t="inlineStr">
        <is>
          <t>СК2</t>
        </is>
      </c>
      <c r="M374" s="39" t="n"/>
      <c r="N374" s="38" t="n">
        <v>40</v>
      </c>
      <c r="O374" s="1045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/>
      </c>
      <c r="P374" s="827" t="n"/>
      <c r="Q374" s="827" t="n"/>
      <c r="R374" s="827" t="n"/>
      <c r="S374" s="791" t="n"/>
      <c r="T374" s="40" t="inlineStr"/>
      <c r="U374" s="40" t="inlineStr"/>
      <c r="V374" s="41" t="inlineStr">
        <is>
          <t>кг</t>
        </is>
      </c>
      <c r="W374" s="828" t="n">
        <v>0</v>
      </c>
      <c r="X374" s="829">
        <f>IFERROR(IF(W374="",0,CEILING((W374/$H374),1)*$H374),"")</f>
        <v/>
      </c>
      <c r="Y374" s="42">
        <f>IFERROR(IF(X374=0,"",ROUNDUP(X374/H374,0)*0.02175),"")</f>
        <v/>
      </c>
      <c r="Z374" s="69" t="inlineStr"/>
      <c r="AA374" s="70" t="inlineStr"/>
      <c r="AE374" s="80" t="n"/>
      <c r="BB374" s="293" t="inlineStr">
        <is>
          <t>КИ</t>
        </is>
      </c>
      <c r="BL374" s="80">
        <f>IFERROR(W374*I374/H374,"0")</f>
        <v/>
      </c>
      <c r="BM374" s="80">
        <f>IFERROR(X374*I374/H374,"0")</f>
        <v/>
      </c>
      <c r="BN374" s="80">
        <f>IFERROR(1/J374*(W374/H374),"0")</f>
        <v/>
      </c>
      <c r="BO374" s="80">
        <f>IFERROR(1/J374*(X374/H374),"0")</f>
        <v/>
      </c>
    </row>
    <row r="375">
      <c r="A375" s="408" t="n"/>
      <c r="B375" s="398" t="n"/>
      <c r="C375" s="398" t="n"/>
      <c r="D375" s="398" t="n"/>
      <c r="E375" s="398" t="n"/>
      <c r="F375" s="398" t="n"/>
      <c r="G375" s="398" t="n"/>
      <c r="H375" s="398" t="n"/>
      <c r="I375" s="398" t="n"/>
      <c r="J375" s="398" t="n"/>
      <c r="K375" s="398" t="n"/>
      <c r="L375" s="398" t="n"/>
      <c r="M375" s="398" t="n"/>
      <c r="N375" s="831" t="n"/>
      <c r="O375" s="832" t="inlineStr">
        <is>
          <t>Итого</t>
        </is>
      </c>
      <c r="P375" s="799" t="n"/>
      <c r="Q375" s="799" t="n"/>
      <c r="R375" s="799" t="n"/>
      <c r="S375" s="799" t="n"/>
      <c r="T375" s="799" t="n"/>
      <c r="U375" s="800" t="n"/>
      <c r="V375" s="43" t="inlineStr">
        <is>
          <t>кор</t>
        </is>
      </c>
      <c r="W375" s="833">
        <f>IFERROR(W373/H373,"0")+IFERROR(W374/H374,"0")</f>
        <v/>
      </c>
      <c r="X375" s="833">
        <f>IFERROR(X373/H373,"0")+IFERROR(X374/H374,"0")</f>
        <v/>
      </c>
      <c r="Y375" s="833">
        <f>IFERROR(IF(Y373="",0,Y373),"0")+IFERROR(IF(Y374="",0,Y374),"0")</f>
        <v/>
      </c>
      <c r="Z375" s="834" t="n"/>
      <c r="AA375" s="834" t="n"/>
    </row>
    <row r="376">
      <c r="A376" s="398" t="n"/>
      <c r="B376" s="398" t="n"/>
      <c r="C376" s="398" t="n"/>
      <c r="D376" s="398" t="n"/>
      <c r="E376" s="398" t="n"/>
      <c r="F376" s="398" t="n"/>
      <c r="G376" s="398" t="n"/>
      <c r="H376" s="398" t="n"/>
      <c r="I376" s="398" t="n"/>
      <c r="J376" s="398" t="n"/>
      <c r="K376" s="398" t="n"/>
      <c r="L376" s="398" t="n"/>
      <c r="M376" s="398" t="n"/>
      <c r="N376" s="831" t="n"/>
      <c r="O376" s="832" t="inlineStr">
        <is>
          <t>Итого</t>
        </is>
      </c>
      <c r="P376" s="799" t="n"/>
      <c r="Q376" s="799" t="n"/>
      <c r="R376" s="799" t="n"/>
      <c r="S376" s="799" t="n"/>
      <c r="T376" s="799" t="n"/>
      <c r="U376" s="800" t="n"/>
      <c r="V376" s="43" t="inlineStr">
        <is>
          <t>кг</t>
        </is>
      </c>
      <c r="W376" s="833">
        <f>IFERROR(SUM(W373:W374),"0")</f>
        <v/>
      </c>
      <c r="X376" s="833">
        <f>IFERROR(SUM(X373:X374),"0")</f>
        <v/>
      </c>
      <c r="Y376" s="43" t="n"/>
      <c r="Z376" s="834" t="n"/>
      <c r="AA376" s="834" t="n"/>
    </row>
    <row r="377" ht="27.75" customHeight="1">
      <c r="A377" s="438" t="inlineStr">
        <is>
          <t>Баварушка</t>
        </is>
      </c>
      <c r="B377" s="824" t="n"/>
      <c r="C377" s="824" t="n"/>
      <c r="D377" s="824" t="n"/>
      <c r="E377" s="824" t="n"/>
      <c r="F377" s="824" t="n"/>
      <c r="G377" s="824" t="n"/>
      <c r="H377" s="824" t="n"/>
      <c r="I377" s="824" t="n"/>
      <c r="J377" s="824" t="n"/>
      <c r="K377" s="824" t="n"/>
      <c r="L377" s="824" t="n"/>
      <c r="M377" s="824" t="n"/>
      <c r="N377" s="824" t="n"/>
      <c r="O377" s="824" t="n"/>
      <c r="P377" s="824" t="n"/>
      <c r="Q377" s="824" t="n"/>
      <c r="R377" s="824" t="n"/>
      <c r="S377" s="824" t="n"/>
      <c r="T377" s="824" t="n"/>
      <c r="U377" s="824" t="n"/>
      <c r="V377" s="824" t="n"/>
      <c r="W377" s="824" t="n"/>
      <c r="X377" s="824" t="n"/>
      <c r="Y377" s="824" t="n"/>
      <c r="Z377" s="55" t="n"/>
      <c r="AA377" s="55" t="n"/>
    </row>
    <row r="378" ht="16.5" customHeight="1">
      <c r="A378" s="439" t="inlineStr">
        <is>
          <t>Филейбургская</t>
        </is>
      </c>
      <c r="B378" s="398" t="n"/>
      <c r="C378" s="398" t="n"/>
      <c r="D378" s="398" t="n"/>
      <c r="E378" s="398" t="n"/>
      <c r="F378" s="398" t="n"/>
      <c r="G378" s="398" t="n"/>
      <c r="H378" s="398" t="n"/>
      <c r="I378" s="398" t="n"/>
      <c r="J378" s="398" t="n"/>
      <c r="K378" s="398" t="n"/>
      <c r="L378" s="398" t="n"/>
      <c r="M378" s="398" t="n"/>
      <c r="N378" s="398" t="n"/>
      <c r="O378" s="398" t="n"/>
      <c r="P378" s="398" t="n"/>
      <c r="Q378" s="398" t="n"/>
      <c r="R378" s="398" t="n"/>
      <c r="S378" s="398" t="n"/>
      <c r="T378" s="398" t="n"/>
      <c r="U378" s="398" t="n"/>
      <c r="V378" s="398" t="n"/>
      <c r="W378" s="398" t="n"/>
      <c r="X378" s="398" t="n"/>
      <c r="Y378" s="398" t="n"/>
      <c r="Z378" s="439" t="n"/>
      <c r="AA378" s="439" t="n"/>
    </row>
    <row r="379" ht="14.25" customHeight="1">
      <c r="A379" s="409" t="inlineStr">
        <is>
          <t>Вареные колбасы</t>
        </is>
      </c>
      <c r="B379" s="398" t="n"/>
      <c r="C379" s="398" t="n"/>
      <c r="D379" s="398" t="n"/>
      <c r="E379" s="398" t="n"/>
      <c r="F379" s="398" t="n"/>
      <c r="G379" s="398" t="n"/>
      <c r="H379" s="398" t="n"/>
      <c r="I379" s="398" t="n"/>
      <c r="J379" s="398" t="n"/>
      <c r="K379" s="398" t="n"/>
      <c r="L379" s="398" t="n"/>
      <c r="M379" s="398" t="n"/>
      <c r="N379" s="398" t="n"/>
      <c r="O379" s="398" t="n"/>
      <c r="P379" s="398" t="n"/>
      <c r="Q379" s="398" t="n"/>
      <c r="R379" s="398" t="n"/>
      <c r="S379" s="398" t="n"/>
      <c r="T379" s="398" t="n"/>
      <c r="U379" s="398" t="n"/>
      <c r="V379" s="398" t="n"/>
      <c r="W379" s="398" t="n"/>
      <c r="X379" s="398" t="n"/>
      <c r="Y379" s="398" t="n"/>
      <c r="Z379" s="409" t="n"/>
      <c r="AA379" s="409" t="n"/>
    </row>
    <row r="380" ht="27" customHeight="1">
      <c r="A380" s="64" t="inlineStr">
        <is>
          <t>SU002477</t>
        </is>
      </c>
      <c r="B380" s="64" t="inlineStr">
        <is>
          <t>P003148</t>
        </is>
      </c>
      <c r="C380" s="37" t="n">
        <v>4301011428</v>
      </c>
      <c r="D380" s="401" t="n">
        <v>4607091389708</v>
      </c>
      <c r="E380" s="791" t="n"/>
      <c r="F380" s="825" t="n">
        <v>0.45</v>
      </c>
      <c r="G380" s="38" t="n">
        <v>6</v>
      </c>
      <c r="H380" s="825" t="n">
        <v>2.7</v>
      </c>
      <c r="I380" s="825" t="n">
        <v>2.9</v>
      </c>
      <c r="J380" s="38" t="n">
        <v>156</v>
      </c>
      <c r="K380" s="38" t="inlineStr">
        <is>
          <t>12</t>
        </is>
      </c>
      <c r="L380" s="39" t="inlineStr">
        <is>
          <t>СК1</t>
        </is>
      </c>
      <c r="M380" s="39" t="n"/>
      <c r="N380" s="38" t="n">
        <v>50</v>
      </c>
      <c r="O380" s="104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P380" s="827" t="n"/>
      <c r="Q380" s="827" t="n"/>
      <c r="R380" s="827" t="n"/>
      <c r="S380" s="791" t="n"/>
      <c r="T380" s="40" t="inlineStr"/>
      <c r="U380" s="40" t="inlineStr"/>
      <c r="V380" s="41" t="inlineStr">
        <is>
          <t>кг</t>
        </is>
      </c>
      <c r="W380" s="828" t="n">
        <v>0</v>
      </c>
      <c r="X380" s="829">
        <f>IFERROR(IF(W380="",0,CEILING((W380/$H380),1)*$H380),"")</f>
        <v/>
      </c>
      <c r="Y380" s="42">
        <f>IFERROR(IF(X380=0,"",ROUNDUP(X380/H380,0)*0.00753),"")</f>
        <v/>
      </c>
      <c r="Z380" s="69" t="inlineStr"/>
      <c r="AA380" s="70" t="inlineStr"/>
      <c r="AE380" s="80" t="n"/>
      <c r="BB380" s="294" t="inlineStr">
        <is>
          <t>КИ</t>
        </is>
      </c>
      <c r="BL380" s="80">
        <f>IFERROR(W380*I380/H380,"0")</f>
        <v/>
      </c>
      <c r="BM380" s="80">
        <f>IFERROR(X380*I380/H380,"0")</f>
        <v/>
      </c>
      <c r="BN380" s="80">
        <f>IFERROR(1/J380*(W380/H380),"0")</f>
        <v/>
      </c>
      <c r="BO380" s="80">
        <f>IFERROR(1/J380*(X380/H380),"0")</f>
        <v/>
      </c>
    </row>
    <row r="381" ht="27" customHeight="1">
      <c r="A381" s="64" t="inlineStr">
        <is>
          <t>SU002476</t>
        </is>
      </c>
      <c r="B381" s="64" t="inlineStr">
        <is>
          <t>P003147</t>
        </is>
      </c>
      <c r="C381" s="37" t="n">
        <v>4301011427</v>
      </c>
      <c r="D381" s="401" t="n">
        <v>4607091389692</v>
      </c>
      <c r="E381" s="791" t="n"/>
      <c r="F381" s="825" t="n">
        <v>0.45</v>
      </c>
      <c r="G381" s="38" t="n">
        <v>6</v>
      </c>
      <c r="H381" s="825" t="n">
        <v>2.7</v>
      </c>
      <c r="I381" s="825" t="n">
        <v>2.9</v>
      </c>
      <c r="J381" s="38" t="n">
        <v>156</v>
      </c>
      <c r="K381" s="38" t="inlineStr">
        <is>
          <t>12</t>
        </is>
      </c>
      <c r="L381" s="39" t="inlineStr">
        <is>
          <t>СК1</t>
        </is>
      </c>
      <c r="M381" s="39" t="n"/>
      <c r="N381" s="38" t="n">
        <v>50</v>
      </c>
      <c r="O381" s="104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P381" s="827" t="n"/>
      <c r="Q381" s="827" t="n"/>
      <c r="R381" s="827" t="n"/>
      <c r="S381" s="791" t="n"/>
      <c r="T381" s="40" t="inlineStr"/>
      <c r="U381" s="40" t="inlineStr"/>
      <c r="V381" s="41" t="inlineStr">
        <is>
          <t>кг</t>
        </is>
      </c>
      <c r="W381" s="828" t="n">
        <v>0</v>
      </c>
      <c r="X381" s="829">
        <f>IFERROR(IF(W381="",0,CEILING((W381/$H381),1)*$H381),"")</f>
        <v/>
      </c>
      <c r="Y381" s="42">
        <f>IFERROR(IF(X381=0,"",ROUNDUP(X381/H381,0)*0.00753),"")</f>
        <v/>
      </c>
      <c r="Z381" s="69" t="inlineStr"/>
      <c r="AA381" s="70" t="inlineStr"/>
      <c r="AE381" s="80" t="n"/>
      <c r="BB381" s="295" t="inlineStr">
        <is>
          <t>КИ</t>
        </is>
      </c>
      <c r="BL381" s="80">
        <f>IFERROR(W381*I381/H381,"0")</f>
        <v/>
      </c>
      <c r="BM381" s="80">
        <f>IFERROR(X381*I381/H381,"0")</f>
        <v/>
      </c>
      <c r="BN381" s="80">
        <f>IFERROR(1/J381*(W381/H381),"0")</f>
        <v/>
      </c>
      <c r="BO381" s="80">
        <f>IFERROR(1/J381*(X381/H381),"0")</f>
        <v/>
      </c>
    </row>
    <row r="382">
      <c r="A382" s="408" t="n"/>
      <c r="B382" s="398" t="n"/>
      <c r="C382" s="398" t="n"/>
      <c r="D382" s="398" t="n"/>
      <c r="E382" s="398" t="n"/>
      <c r="F382" s="398" t="n"/>
      <c r="G382" s="398" t="n"/>
      <c r="H382" s="398" t="n"/>
      <c r="I382" s="398" t="n"/>
      <c r="J382" s="398" t="n"/>
      <c r="K382" s="398" t="n"/>
      <c r="L382" s="398" t="n"/>
      <c r="M382" s="398" t="n"/>
      <c r="N382" s="831" t="n"/>
      <c r="O382" s="832" t="inlineStr">
        <is>
          <t>Итого</t>
        </is>
      </c>
      <c r="P382" s="799" t="n"/>
      <c r="Q382" s="799" t="n"/>
      <c r="R382" s="799" t="n"/>
      <c r="S382" s="799" t="n"/>
      <c r="T382" s="799" t="n"/>
      <c r="U382" s="800" t="n"/>
      <c r="V382" s="43" t="inlineStr">
        <is>
          <t>кор</t>
        </is>
      </c>
      <c r="W382" s="833">
        <f>IFERROR(W380/H380,"0")+IFERROR(W381/H381,"0")</f>
        <v/>
      </c>
      <c r="X382" s="833">
        <f>IFERROR(X380/H380,"0")+IFERROR(X381/H381,"0")</f>
        <v/>
      </c>
      <c r="Y382" s="833">
        <f>IFERROR(IF(Y380="",0,Y380),"0")+IFERROR(IF(Y381="",0,Y381),"0")</f>
        <v/>
      </c>
      <c r="Z382" s="834" t="n"/>
      <c r="AA382" s="834" t="n"/>
    </row>
    <row r="383">
      <c r="A383" s="398" t="n"/>
      <c r="B383" s="398" t="n"/>
      <c r="C383" s="398" t="n"/>
      <c r="D383" s="398" t="n"/>
      <c r="E383" s="398" t="n"/>
      <c r="F383" s="398" t="n"/>
      <c r="G383" s="398" t="n"/>
      <c r="H383" s="398" t="n"/>
      <c r="I383" s="398" t="n"/>
      <c r="J383" s="398" t="n"/>
      <c r="K383" s="398" t="n"/>
      <c r="L383" s="398" t="n"/>
      <c r="M383" s="398" t="n"/>
      <c r="N383" s="831" t="n"/>
      <c r="O383" s="832" t="inlineStr">
        <is>
          <t>Итого</t>
        </is>
      </c>
      <c r="P383" s="799" t="n"/>
      <c r="Q383" s="799" t="n"/>
      <c r="R383" s="799" t="n"/>
      <c r="S383" s="799" t="n"/>
      <c r="T383" s="799" t="n"/>
      <c r="U383" s="800" t="n"/>
      <c r="V383" s="43" t="inlineStr">
        <is>
          <t>кг</t>
        </is>
      </c>
      <c r="W383" s="833">
        <f>IFERROR(SUM(W380:W381),"0")</f>
        <v/>
      </c>
      <c r="X383" s="833">
        <f>IFERROR(SUM(X380:X381),"0")</f>
        <v/>
      </c>
      <c r="Y383" s="43" t="n"/>
      <c r="Z383" s="834" t="n"/>
      <c r="AA383" s="834" t="n"/>
    </row>
    <row r="384" ht="14.25" customHeight="1">
      <c r="A384" s="409" t="inlineStr">
        <is>
          <t>Копченые колбасы</t>
        </is>
      </c>
      <c r="B384" s="398" t="n"/>
      <c r="C384" s="398" t="n"/>
      <c r="D384" s="398" t="n"/>
      <c r="E384" s="398" t="n"/>
      <c r="F384" s="398" t="n"/>
      <c r="G384" s="398" t="n"/>
      <c r="H384" s="398" t="n"/>
      <c r="I384" s="398" t="n"/>
      <c r="J384" s="398" t="n"/>
      <c r="K384" s="398" t="n"/>
      <c r="L384" s="398" t="n"/>
      <c r="M384" s="398" t="n"/>
      <c r="N384" s="398" t="n"/>
      <c r="O384" s="398" t="n"/>
      <c r="P384" s="398" t="n"/>
      <c r="Q384" s="398" t="n"/>
      <c r="R384" s="398" t="n"/>
      <c r="S384" s="398" t="n"/>
      <c r="T384" s="398" t="n"/>
      <c r="U384" s="398" t="n"/>
      <c r="V384" s="398" t="n"/>
      <c r="W384" s="398" t="n"/>
      <c r="X384" s="398" t="n"/>
      <c r="Y384" s="398" t="n"/>
      <c r="Z384" s="409" t="n"/>
      <c r="AA384" s="409" t="n"/>
    </row>
    <row r="385" ht="27" customHeight="1">
      <c r="A385" s="64" t="inlineStr">
        <is>
          <t>SU002614</t>
        </is>
      </c>
      <c r="B385" s="64" t="inlineStr">
        <is>
          <t>P003138</t>
        </is>
      </c>
      <c r="C385" s="37" t="n">
        <v>4301031177</v>
      </c>
      <c r="D385" s="401" t="n">
        <v>4607091389753</v>
      </c>
      <c r="E385" s="791" t="n"/>
      <c r="F385" s="825" t="n">
        <v>0.7</v>
      </c>
      <c r="G385" s="38" t="n">
        <v>6</v>
      </c>
      <c r="H385" s="825" t="n">
        <v>4.2</v>
      </c>
      <c r="I385" s="825" t="n">
        <v>4.43</v>
      </c>
      <c r="J385" s="38" t="n">
        <v>156</v>
      </c>
      <c r="K385" s="38" t="inlineStr">
        <is>
          <t>12</t>
        </is>
      </c>
      <c r="L385" s="39" t="inlineStr">
        <is>
          <t>СК2</t>
        </is>
      </c>
      <c r="M385" s="39" t="n"/>
      <c r="N385" s="38" t="n">
        <v>45</v>
      </c>
      <c r="O385" s="104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P385" s="827" t="n"/>
      <c r="Q385" s="827" t="n"/>
      <c r="R385" s="827" t="n"/>
      <c r="S385" s="791" t="n"/>
      <c r="T385" s="40" t="inlineStr"/>
      <c r="U385" s="40" t="inlineStr"/>
      <c r="V385" s="41" t="inlineStr">
        <is>
          <t>кг</t>
        </is>
      </c>
      <c r="W385" s="828" t="n">
        <v>50</v>
      </c>
      <c r="X385" s="829">
        <f>IFERROR(IF(W385="",0,CEILING((W385/$H385),1)*$H385),"")</f>
        <v/>
      </c>
      <c r="Y385" s="42">
        <f>IFERROR(IF(X385=0,"",ROUNDUP(X385/H385,0)*0.00753),"")</f>
        <v/>
      </c>
      <c r="Z385" s="69" t="inlineStr"/>
      <c r="AA385" s="70" t="inlineStr"/>
      <c r="AE385" s="80" t="n"/>
      <c r="BB385" s="296" t="inlineStr">
        <is>
          <t>КИ</t>
        </is>
      </c>
      <c r="BL385" s="80">
        <f>IFERROR(W385*I385/H385,"0")</f>
        <v/>
      </c>
      <c r="BM385" s="80">
        <f>IFERROR(X385*I385/H385,"0")</f>
        <v/>
      </c>
      <c r="BN385" s="80">
        <f>IFERROR(1/J385*(W385/H385),"0")</f>
        <v/>
      </c>
      <c r="BO385" s="80">
        <f>IFERROR(1/J385*(X385/H385),"0")</f>
        <v/>
      </c>
    </row>
    <row r="386" ht="27" customHeight="1">
      <c r="A386" s="64" t="inlineStr">
        <is>
          <t>SU002614</t>
        </is>
      </c>
      <c r="B386" s="64" t="inlineStr">
        <is>
          <t>P004329</t>
        </is>
      </c>
      <c r="C386" s="37" t="n">
        <v>4301031322</v>
      </c>
      <c r="D386" s="401" t="n">
        <v>4607091389753</v>
      </c>
      <c r="E386" s="791" t="n"/>
      <c r="F386" s="825" t="n">
        <v>0.7</v>
      </c>
      <c r="G386" s="38" t="n">
        <v>6</v>
      </c>
      <c r="H386" s="825" t="n">
        <v>4.2</v>
      </c>
      <c r="I386" s="825" t="n">
        <v>4.43</v>
      </c>
      <c r="J386" s="38" t="n">
        <v>156</v>
      </c>
      <c r="K386" s="38" t="inlineStr">
        <is>
          <t>12</t>
        </is>
      </c>
      <c r="L386" s="39" t="inlineStr">
        <is>
          <t>СК2</t>
        </is>
      </c>
      <c r="M386" s="39" t="n"/>
      <c r="N386" s="38" t="n">
        <v>50</v>
      </c>
      <c r="O386" s="1049" t="inlineStr">
        <is>
          <t>В/к колбасы «Салями Филейбургская зернистая» Весовые фиброуз в/у ТМ «Баварушка»</t>
        </is>
      </c>
      <c r="P386" s="827" t="n"/>
      <c r="Q386" s="827" t="n"/>
      <c r="R386" s="827" t="n"/>
      <c r="S386" s="791" t="n"/>
      <c r="T386" s="40" t="inlineStr"/>
      <c r="U386" s="40" t="inlineStr"/>
      <c r="V386" s="41" t="inlineStr">
        <is>
          <t>кг</t>
        </is>
      </c>
      <c r="W386" s="828" t="n">
        <v>0</v>
      </c>
      <c r="X386" s="829">
        <f>IFERROR(IF(W386="",0,CEILING((W386/$H386),1)*$H386),"")</f>
        <v/>
      </c>
      <c r="Y386" s="42">
        <f>IFERROR(IF(X386=0,"",ROUNDUP(X386/H386,0)*0.00753),"")</f>
        <v/>
      </c>
      <c r="Z386" s="69" t="inlineStr"/>
      <c r="AA386" s="70" t="inlineStr"/>
      <c r="AE386" s="80" t="n"/>
      <c r="BB386" s="297" t="inlineStr">
        <is>
          <t>КИ</t>
        </is>
      </c>
      <c r="BL386" s="80">
        <f>IFERROR(W386*I386/H386,"0")</f>
        <v/>
      </c>
      <c r="BM386" s="80">
        <f>IFERROR(X386*I386/H386,"0")</f>
        <v/>
      </c>
      <c r="BN386" s="80">
        <f>IFERROR(1/J386*(W386/H386),"0")</f>
        <v/>
      </c>
      <c r="BO386" s="80">
        <f>IFERROR(1/J386*(X386/H386),"0")</f>
        <v/>
      </c>
    </row>
    <row r="387" ht="27" customHeight="1">
      <c r="A387" s="64" t="inlineStr">
        <is>
          <t>SU002615</t>
        </is>
      </c>
      <c r="B387" s="64" t="inlineStr">
        <is>
          <t>P003136</t>
        </is>
      </c>
      <c r="C387" s="37" t="n">
        <v>4301031174</v>
      </c>
      <c r="D387" s="401" t="n">
        <v>4607091389760</v>
      </c>
      <c r="E387" s="791" t="n"/>
      <c r="F387" s="825" t="n">
        <v>0.7</v>
      </c>
      <c r="G387" s="38" t="n">
        <v>6</v>
      </c>
      <c r="H387" s="825" t="n">
        <v>4.2</v>
      </c>
      <c r="I387" s="825" t="n">
        <v>4.43</v>
      </c>
      <c r="J387" s="38" t="n">
        <v>156</v>
      </c>
      <c r="K387" s="38" t="inlineStr">
        <is>
          <t>12</t>
        </is>
      </c>
      <c r="L387" s="39" t="inlineStr">
        <is>
          <t>СК2</t>
        </is>
      </c>
      <c r="M387" s="39" t="n"/>
      <c r="N387" s="38" t="n">
        <v>45</v>
      </c>
      <c r="O387" s="1050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P387" s="827" t="n"/>
      <c r="Q387" s="827" t="n"/>
      <c r="R387" s="827" t="n"/>
      <c r="S387" s="791" t="n"/>
      <c r="T387" s="40" t="inlineStr"/>
      <c r="U387" s="40" t="inlineStr"/>
      <c r="V387" s="41" t="inlineStr">
        <is>
          <t>кг</t>
        </is>
      </c>
      <c r="W387" s="828" t="n">
        <v>0</v>
      </c>
      <c r="X387" s="829">
        <f>IFERROR(IF(W387="",0,CEILING((W387/$H387),1)*$H387),"")</f>
        <v/>
      </c>
      <c r="Y387" s="42">
        <f>IFERROR(IF(X387=0,"",ROUNDUP(X387/H387,0)*0.00753),"")</f>
        <v/>
      </c>
      <c r="Z387" s="69" t="inlineStr"/>
      <c r="AA387" s="70" t="inlineStr"/>
      <c r="AE387" s="80" t="n"/>
      <c r="BB387" s="298" t="inlineStr">
        <is>
          <t>КИ</t>
        </is>
      </c>
      <c r="BL387" s="80">
        <f>IFERROR(W387*I387/H387,"0")</f>
        <v/>
      </c>
      <c r="BM387" s="80">
        <f>IFERROR(X387*I387/H387,"0")</f>
        <v/>
      </c>
      <c r="BN387" s="80">
        <f>IFERROR(1/J387*(W387/H387),"0")</f>
        <v/>
      </c>
      <c r="BO387" s="80">
        <f>IFERROR(1/J387*(X387/H387),"0")</f>
        <v/>
      </c>
    </row>
    <row r="388" ht="27" customHeight="1">
      <c r="A388" s="64" t="inlineStr">
        <is>
          <t>SU002615</t>
        </is>
      </c>
      <c r="B388" s="64" t="inlineStr">
        <is>
          <t>P004332</t>
        </is>
      </c>
      <c r="C388" s="37" t="n">
        <v>4301031323</v>
      </c>
      <c r="D388" s="401" t="n">
        <v>4607091389760</v>
      </c>
      <c r="E388" s="791" t="n"/>
      <c r="F388" s="825" t="n">
        <v>0.7</v>
      </c>
      <c r="G388" s="38" t="n">
        <v>6</v>
      </c>
      <c r="H388" s="825" t="n">
        <v>4.2</v>
      </c>
      <c r="I388" s="825" t="n">
        <v>4.43</v>
      </c>
      <c r="J388" s="38" t="n">
        <v>156</v>
      </c>
      <c r="K388" s="38" t="inlineStr">
        <is>
          <t>12</t>
        </is>
      </c>
      <c r="L388" s="39" t="inlineStr">
        <is>
          <t>СК2</t>
        </is>
      </c>
      <c r="M388" s="39" t="n"/>
      <c r="N388" s="38" t="n">
        <v>50</v>
      </c>
      <c r="O388" s="1051" t="inlineStr">
        <is>
          <t>В/к колбасы Филейбургская с душистым чесноком Филейбургская Весовые фиброуз в/у Баварушка</t>
        </is>
      </c>
      <c r="P388" s="827" t="n"/>
      <c r="Q388" s="827" t="n"/>
      <c r="R388" s="827" t="n"/>
      <c r="S388" s="791" t="n"/>
      <c r="T388" s="40" t="inlineStr"/>
      <c r="U388" s="40" t="inlineStr"/>
      <c r="V388" s="41" t="inlineStr">
        <is>
          <t>кг</t>
        </is>
      </c>
      <c r="W388" s="828" t="n">
        <v>0</v>
      </c>
      <c r="X388" s="829">
        <f>IFERROR(IF(W388="",0,CEILING((W388/$H388),1)*$H388),"")</f>
        <v/>
      </c>
      <c r="Y388" s="42">
        <f>IFERROR(IF(X388=0,"",ROUNDUP(X388/H388,0)*0.00753),"")</f>
        <v/>
      </c>
      <c r="Z388" s="69" t="inlineStr"/>
      <c r="AA388" s="70" t="inlineStr"/>
      <c r="AE388" s="80" t="n"/>
      <c r="BB388" s="299" t="inlineStr">
        <is>
          <t>КИ</t>
        </is>
      </c>
      <c r="BL388" s="80">
        <f>IFERROR(W388*I388/H388,"0")</f>
        <v/>
      </c>
      <c r="BM388" s="80">
        <f>IFERROR(X388*I388/H388,"0")</f>
        <v/>
      </c>
      <c r="BN388" s="80">
        <f>IFERROR(1/J388*(W388/H388),"0")</f>
        <v/>
      </c>
      <c r="BO388" s="80">
        <f>IFERROR(1/J388*(X388/H388),"0")</f>
        <v/>
      </c>
    </row>
    <row r="389" ht="27" customHeight="1">
      <c r="A389" s="64" t="inlineStr">
        <is>
          <t>SU002613</t>
        </is>
      </c>
      <c r="B389" s="64" t="inlineStr">
        <is>
          <t>P004514</t>
        </is>
      </c>
      <c r="C389" s="37" t="n">
        <v>4301031356</v>
      </c>
      <c r="D389" s="401" t="n">
        <v>4607091389746</v>
      </c>
      <c r="E389" s="791" t="n"/>
      <c r="F389" s="825" t="n">
        <v>0.7</v>
      </c>
      <c r="G389" s="38" t="n">
        <v>6</v>
      </c>
      <c r="H389" s="825" t="n">
        <v>4.2</v>
      </c>
      <c r="I389" s="825" t="n">
        <v>4.43</v>
      </c>
      <c r="J389" s="38" t="n">
        <v>156</v>
      </c>
      <c r="K389" s="38" t="inlineStr">
        <is>
          <t>12</t>
        </is>
      </c>
      <c r="L389" s="39" t="inlineStr">
        <is>
          <t>СК2</t>
        </is>
      </c>
      <c r="M389" s="39" t="n"/>
      <c r="N389" s="38" t="n">
        <v>50</v>
      </c>
      <c r="O389" s="1052" t="inlineStr">
        <is>
          <t>В/к колбасы Филейбургская с сочным окороком Филейбургская Весовые фиброуз в/у Баварушка</t>
        </is>
      </c>
      <c r="P389" s="827" t="n"/>
      <c r="Q389" s="827" t="n"/>
      <c r="R389" s="827" t="n"/>
      <c r="S389" s="791" t="n"/>
      <c r="T389" s="40" t="inlineStr"/>
      <c r="U389" s="40" t="inlineStr"/>
      <c r="V389" s="41" t="inlineStr">
        <is>
          <t>кг</t>
        </is>
      </c>
      <c r="W389" s="828" t="n">
        <v>0</v>
      </c>
      <c r="X389" s="829">
        <f>IFERROR(IF(W389="",0,CEILING((W389/$H389),1)*$H389),"")</f>
        <v/>
      </c>
      <c r="Y389" s="42">
        <f>IFERROR(IF(X389=0,"",ROUNDUP(X389/H389,0)*0.00753),"")</f>
        <v/>
      </c>
      <c r="Z389" s="69" t="inlineStr"/>
      <c r="AA389" s="70" t="inlineStr"/>
      <c r="AE389" s="80" t="n"/>
      <c r="BB389" s="300" t="inlineStr">
        <is>
          <t>КИ</t>
        </is>
      </c>
      <c r="BL389" s="80">
        <f>IFERROR(W389*I389/H389,"0")</f>
        <v/>
      </c>
      <c r="BM389" s="80">
        <f>IFERROR(X389*I389/H389,"0")</f>
        <v/>
      </c>
      <c r="BN389" s="80">
        <f>IFERROR(1/J389*(W389/H389),"0")</f>
        <v/>
      </c>
      <c r="BO389" s="80">
        <f>IFERROR(1/J389*(X389/H389),"0")</f>
        <v/>
      </c>
    </row>
    <row r="390" ht="27" customHeight="1">
      <c r="A390" s="64" t="inlineStr">
        <is>
          <t>SU002613</t>
        </is>
      </c>
      <c r="B390" s="64" t="inlineStr">
        <is>
          <t>P004336</t>
        </is>
      </c>
      <c r="C390" s="37" t="n">
        <v>4301031325</v>
      </c>
      <c r="D390" s="401" t="n">
        <v>4607091389746</v>
      </c>
      <c r="E390" s="791" t="n"/>
      <c r="F390" s="825" t="n">
        <v>0.7</v>
      </c>
      <c r="G390" s="38" t="n">
        <v>6</v>
      </c>
      <c r="H390" s="825" t="n">
        <v>4.2</v>
      </c>
      <c r="I390" s="825" t="n">
        <v>4.43</v>
      </c>
      <c r="J390" s="38" t="n">
        <v>156</v>
      </c>
      <c r="K390" s="38" t="inlineStr">
        <is>
          <t>12</t>
        </is>
      </c>
      <c r="L390" s="39" t="inlineStr">
        <is>
          <t>СК2</t>
        </is>
      </c>
      <c r="M390" s="39" t="n"/>
      <c r="N390" s="38" t="n">
        <v>50</v>
      </c>
      <c r="O390" s="1053" t="inlineStr">
        <is>
          <t>В/к колбасы Филейбургская с сочным окороком Филейбургская Весовые фиброуз в/у Баварушка</t>
        </is>
      </c>
      <c r="P390" s="827" t="n"/>
      <c r="Q390" s="827" t="n"/>
      <c r="R390" s="827" t="n"/>
      <c r="S390" s="791" t="n"/>
      <c r="T390" s="40" t="inlineStr"/>
      <c r="U390" s="40" t="inlineStr"/>
      <c r="V390" s="41" t="inlineStr">
        <is>
          <t>кг</t>
        </is>
      </c>
      <c r="W390" s="828" t="n">
        <v>40</v>
      </c>
      <c r="X390" s="829">
        <f>IFERROR(IF(W390="",0,CEILING((W390/$H390),1)*$H390),"")</f>
        <v/>
      </c>
      <c r="Y390" s="42">
        <f>IFERROR(IF(X390=0,"",ROUNDUP(X390/H390,0)*0.00753),"")</f>
        <v/>
      </c>
      <c r="Z390" s="69" t="inlineStr"/>
      <c r="AA390" s="70" t="inlineStr"/>
      <c r="AE390" s="80" t="n"/>
      <c r="BB390" s="301" t="inlineStr">
        <is>
          <t>КИ</t>
        </is>
      </c>
      <c r="BL390" s="80">
        <f>IFERROR(W390*I390/H390,"0")</f>
        <v/>
      </c>
      <c r="BM390" s="80">
        <f>IFERROR(X390*I390/H390,"0")</f>
        <v/>
      </c>
      <c r="BN390" s="80">
        <f>IFERROR(1/J390*(W390/H390),"0")</f>
        <v/>
      </c>
      <c r="BO390" s="80">
        <f>IFERROR(1/J390*(X390/H390),"0")</f>
        <v/>
      </c>
    </row>
    <row r="391" ht="37.5" customHeight="1">
      <c r="A391" s="64" t="inlineStr">
        <is>
          <t>SU003035</t>
        </is>
      </c>
      <c r="B391" s="64" t="inlineStr">
        <is>
          <t>P003496</t>
        </is>
      </c>
      <c r="C391" s="37" t="n">
        <v>4301031236</v>
      </c>
      <c r="D391" s="401" t="n">
        <v>4680115882928</v>
      </c>
      <c r="E391" s="791" t="n"/>
      <c r="F391" s="825" t="n">
        <v>0.28</v>
      </c>
      <c r="G391" s="38" t="n">
        <v>6</v>
      </c>
      <c r="H391" s="825" t="n">
        <v>1.68</v>
      </c>
      <c r="I391" s="825" t="n">
        <v>2.6</v>
      </c>
      <c r="J391" s="38" t="n">
        <v>156</v>
      </c>
      <c r="K391" s="38" t="inlineStr">
        <is>
          <t>12</t>
        </is>
      </c>
      <c r="L391" s="39" t="inlineStr">
        <is>
          <t>СК2</t>
        </is>
      </c>
      <c r="M391" s="39" t="n"/>
      <c r="N391" s="38" t="n">
        <v>35</v>
      </c>
      <c r="O391" s="105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P391" s="827" t="n"/>
      <c r="Q391" s="827" t="n"/>
      <c r="R391" s="827" t="n"/>
      <c r="S391" s="791" t="n"/>
      <c r="T391" s="40" t="inlineStr"/>
      <c r="U391" s="40" t="inlineStr"/>
      <c r="V391" s="41" t="inlineStr">
        <is>
          <t>кг</t>
        </is>
      </c>
      <c r="W391" s="828" t="n">
        <v>140</v>
      </c>
      <c r="X391" s="829">
        <f>IFERROR(IF(W391="",0,CEILING((W391/$H391),1)*$H391),"")</f>
        <v/>
      </c>
      <c r="Y391" s="42">
        <f>IFERROR(IF(X391=0,"",ROUNDUP(X391/H391,0)*0.00753),"")</f>
        <v/>
      </c>
      <c r="Z391" s="69" t="inlineStr"/>
      <c r="AA391" s="70" t="inlineStr"/>
      <c r="AE391" s="80" t="n"/>
      <c r="BB391" s="302" t="inlineStr">
        <is>
          <t>КИ</t>
        </is>
      </c>
      <c r="BL391" s="80">
        <f>IFERROR(W391*I391/H391,"0")</f>
        <v/>
      </c>
      <c r="BM391" s="80">
        <f>IFERROR(X391*I391/H391,"0")</f>
        <v/>
      </c>
      <c r="BN391" s="80">
        <f>IFERROR(1/J391*(W391/H391),"0")</f>
        <v/>
      </c>
      <c r="BO391" s="80">
        <f>IFERROR(1/J391*(X391/H391),"0")</f>
        <v/>
      </c>
    </row>
    <row r="392" ht="27" customHeight="1">
      <c r="A392" s="64" t="inlineStr">
        <is>
          <t>SU003083</t>
        </is>
      </c>
      <c r="B392" s="64" t="inlineStr">
        <is>
          <t>P004353</t>
        </is>
      </c>
      <c r="C392" s="37" t="n">
        <v>4301031335</v>
      </c>
      <c r="D392" s="401" t="n">
        <v>4680115883147</v>
      </c>
      <c r="E392" s="791" t="n"/>
      <c r="F392" s="825" t="n">
        <v>0.28</v>
      </c>
      <c r="G392" s="38" t="n">
        <v>6</v>
      </c>
      <c r="H392" s="825" t="n">
        <v>1.68</v>
      </c>
      <c r="I392" s="825" t="n">
        <v>1.81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9" t="n"/>
      <c r="N392" s="38" t="n">
        <v>50</v>
      </c>
      <c r="O392" s="1055" t="inlineStr">
        <is>
          <t>В/к колбасы «Салями Филейбургская зернистая» срез Фикс.вес 0,28 фиброуз ТМ «Баварушка»</t>
        </is>
      </c>
      <c r="P392" s="827" t="n"/>
      <c r="Q392" s="827" t="n"/>
      <c r="R392" s="827" t="n"/>
      <c r="S392" s="791" t="n"/>
      <c r="T392" s="40" t="inlineStr"/>
      <c r="U392" s="40" t="inlineStr"/>
      <c r="V392" s="41" t="inlineStr">
        <is>
          <t>кг</t>
        </is>
      </c>
      <c r="W392" s="828" t="n">
        <v>0</v>
      </c>
      <c r="X392" s="829">
        <f>IFERROR(IF(W392="",0,CEILING((W392/$H392),1)*$H392),"")</f>
        <v/>
      </c>
      <c r="Y392" s="42">
        <f>IFERROR(IF(X392=0,"",ROUNDUP(X392/H392,0)*0.00502),"")</f>
        <v/>
      </c>
      <c r="Z392" s="69" t="inlineStr"/>
      <c r="AA392" s="70" t="inlineStr"/>
      <c r="AE392" s="80" t="n"/>
      <c r="BB392" s="303" t="inlineStr">
        <is>
          <t>КИ</t>
        </is>
      </c>
      <c r="BL392" s="80">
        <f>IFERROR(W392*I392/H392,"0")</f>
        <v/>
      </c>
      <c r="BM392" s="80">
        <f>IFERROR(X392*I392/H392,"0")</f>
        <v/>
      </c>
      <c r="BN392" s="80">
        <f>IFERROR(1/J392*(W392/H392),"0")</f>
        <v/>
      </c>
      <c r="BO392" s="80">
        <f>IFERROR(1/J392*(X392/H392),"0")</f>
        <v/>
      </c>
    </row>
    <row r="393" ht="27" customHeight="1">
      <c r="A393" s="64" t="inlineStr">
        <is>
          <t>SU003083</t>
        </is>
      </c>
      <c r="B393" s="64" t="inlineStr">
        <is>
          <t>P003646</t>
        </is>
      </c>
      <c r="C393" s="37" t="n">
        <v>4301031257</v>
      </c>
      <c r="D393" s="401" t="n">
        <v>4680115883147</v>
      </c>
      <c r="E393" s="791" t="n"/>
      <c r="F393" s="825" t="n">
        <v>0.28</v>
      </c>
      <c r="G393" s="38" t="n">
        <v>6</v>
      </c>
      <c r="H393" s="825" t="n">
        <v>1.68</v>
      </c>
      <c r="I393" s="825" t="n">
        <v>1.81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9" t="n"/>
      <c r="N393" s="38" t="n">
        <v>45</v>
      </c>
      <c r="O393" s="1056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P393" s="827" t="n"/>
      <c r="Q393" s="827" t="n"/>
      <c r="R393" s="827" t="n"/>
      <c r="S393" s="791" t="n"/>
      <c r="T393" s="40" t="inlineStr"/>
      <c r="U393" s="40" t="inlineStr"/>
      <c r="V393" s="41" t="inlineStr">
        <is>
          <t>кг</t>
        </is>
      </c>
      <c r="W393" s="828" t="n">
        <v>0</v>
      </c>
      <c r="X393" s="829">
        <f>IFERROR(IF(W393="",0,CEILING((W393/$H393),1)*$H393),"")</f>
        <v/>
      </c>
      <c r="Y393" s="42">
        <f>IFERROR(IF(X393=0,"",ROUNDUP(X393/H393,0)*0.00502),"")</f>
        <v/>
      </c>
      <c r="Z393" s="69" t="inlineStr"/>
      <c r="AA393" s="70" t="inlineStr"/>
      <c r="AE393" s="80" t="n"/>
      <c r="BB393" s="304" t="inlineStr">
        <is>
          <t>КИ</t>
        </is>
      </c>
      <c r="BL393" s="80">
        <f>IFERROR(W393*I393/H393,"0")</f>
        <v/>
      </c>
      <c r="BM393" s="80">
        <f>IFERROR(X393*I393/H393,"0")</f>
        <v/>
      </c>
      <c r="BN393" s="80">
        <f>IFERROR(1/J393*(W393/H393),"0")</f>
        <v/>
      </c>
      <c r="BO393" s="80">
        <f>IFERROR(1/J393*(X393/H393),"0")</f>
        <v/>
      </c>
    </row>
    <row r="394" ht="27" customHeight="1">
      <c r="A394" s="64" t="inlineStr">
        <is>
          <t>SU002538</t>
        </is>
      </c>
      <c r="B394" s="64" t="inlineStr">
        <is>
          <t>P003139</t>
        </is>
      </c>
      <c r="C394" s="37" t="n">
        <v>4301031178</v>
      </c>
      <c r="D394" s="401" t="n">
        <v>4607091384338</v>
      </c>
      <c r="E394" s="791" t="n"/>
      <c r="F394" s="825" t="n">
        <v>0.35</v>
      </c>
      <c r="G394" s="38" t="n">
        <v>6</v>
      </c>
      <c r="H394" s="825" t="n">
        <v>2.1</v>
      </c>
      <c r="I394" s="825" t="n">
        <v>2.23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9" t="n"/>
      <c r="N394" s="38" t="n">
        <v>45</v>
      </c>
      <c r="O394" s="105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P394" s="827" t="n"/>
      <c r="Q394" s="827" t="n"/>
      <c r="R394" s="827" t="n"/>
      <c r="S394" s="791" t="n"/>
      <c r="T394" s="40" t="inlineStr"/>
      <c r="U394" s="40" t="inlineStr"/>
      <c r="V394" s="41" t="inlineStr">
        <is>
          <t>кг</t>
        </is>
      </c>
      <c r="W394" s="828" t="n">
        <v>70</v>
      </c>
      <c r="X394" s="829">
        <f>IFERROR(IF(W394="",0,CEILING((W394/$H394),1)*$H394),"")</f>
        <v/>
      </c>
      <c r="Y394" s="42">
        <f>IFERROR(IF(X394=0,"",ROUNDUP(X394/H394,0)*0.00502),"")</f>
        <v/>
      </c>
      <c r="Z394" s="69" t="inlineStr"/>
      <c r="AA394" s="70" t="inlineStr"/>
      <c r="AE394" s="80" t="n"/>
      <c r="BB394" s="305" t="inlineStr">
        <is>
          <t>КИ</t>
        </is>
      </c>
      <c r="BL394" s="80">
        <f>IFERROR(W394*I394/H394,"0")</f>
        <v/>
      </c>
      <c r="BM394" s="80">
        <f>IFERROR(X394*I394/H394,"0")</f>
        <v/>
      </c>
      <c r="BN394" s="80">
        <f>IFERROR(1/J394*(W394/H394),"0")</f>
        <v/>
      </c>
      <c r="BO394" s="80">
        <f>IFERROR(1/J394*(X394/H394),"0")</f>
        <v/>
      </c>
    </row>
    <row r="395" ht="27" customHeight="1">
      <c r="A395" s="64" t="inlineStr">
        <is>
          <t>SU002538</t>
        </is>
      </c>
      <c r="B395" s="64" t="inlineStr">
        <is>
          <t>P004343</t>
        </is>
      </c>
      <c r="C395" s="37" t="n">
        <v>4301031330</v>
      </c>
      <c r="D395" s="401" t="n">
        <v>4607091384338</v>
      </c>
      <c r="E395" s="791" t="n"/>
      <c r="F395" s="825" t="n">
        <v>0.35</v>
      </c>
      <c r="G395" s="38" t="n">
        <v>6</v>
      </c>
      <c r="H395" s="825" t="n">
        <v>2.1</v>
      </c>
      <c r="I395" s="825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9" t="n"/>
      <c r="N395" s="38" t="n">
        <v>50</v>
      </c>
      <c r="O395" s="1058" t="inlineStr">
        <is>
          <t>В/к колбасы «Салями Филейбургская зернистая» срез Филейбургская Фикс.вес 0,35 фиброуз «Баварушка»</t>
        </is>
      </c>
      <c r="P395" s="827" t="n"/>
      <c r="Q395" s="827" t="n"/>
      <c r="R395" s="827" t="n"/>
      <c r="S395" s="791" t="n"/>
      <c r="T395" s="40" t="inlineStr"/>
      <c r="U395" s="40" t="inlineStr"/>
      <c r="V395" s="41" t="inlineStr">
        <is>
          <t>кг</t>
        </is>
      </c>
      <c r="W395" s="828" t="n">
        <v>0</v>
      </c>
      <c r="X395" s="829">
        <f>IFERROR(IF(W395="",0,CEILING((W395/$H395),1)*$H395),"")</f>
        <v/>
      </c>
      <c r="Y395" s="42">
        <f>IFERROR(IF(X395=0,"",ROUNDUP(X395/H395,0)*0.00502),"")</f>
        <v/>
      </c>
      <c r="Z395" s="69" t="inlineStr"/>
      <c r="AA395" s="70" t="inlineStr"/>
      <c r="AE395" s="80" t="n"/>
      <c r="BB395" s="306" t="inlineStr">
        <is>
          <t>КИ</t>
        </is>
      </c>
      <c r="BL395" s="80">
        <f>IFERROR(W395*I395/H395,"0")</f>
        <v/>
      </c>
      <c r="BM395" s="80">
        <f>IFERROR(X395*I395/H395,"0")</f>
        <v/>
      </c>
      <c r="BN395" s="80">
        <f>IFERROR(1/J395*(W395/H395),"0")</f>
        <v/>
      </c>
      <c r="BO395" s="80">
        <f>IFERROR(1/J395*(X395/H395),"0")</f>
        <v/>
      </c>
    </row>
    <row r="396" ht="37.5" customHeight="1">
      <c r="A396" s="64" t="inlineStr">
        <is>
          <t>SU003079</t>
        </is>
      </c>
      <c r="B396" s="64" t="inlineStr">
        <is>
          <t>P004354</t>
        </is>
      </c>
      <c r="C396" s="37" t="n">
        <v>4301031336</v>
      </c>
      <c r="D396" s="401" t="n">
        <v>4680115883154</v>
      </c>
      <c r="E396" s="791" t="n"/>
      <c r="F396" s="825" t="n">
        <v>0.28</v>
      </c>
      <c r="G396" s="38" t="n">
        <v>6</v>
      </c>
      <c r="H396" s="825" t="n">
        <v>1.68</v>
      </c>
      <c r="I396" s="825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9" t="n"/>
      <c r="N396" s="38" t="n">
        <v>50</v>
      </c>
      <c r="O396" s="1059" t="inlineStr">
        <is>
          <t>В/к колбасы «Сервелат Филейбургский с ароматными пряностями» срез Фикс.вес 0,28 фиброуз ТМ «Баварушка»</t>
        </is>
      </c>
      <c r="P396" s="827" t="n"/>
      <c r="Q396" s="827" t="n"/>
      <c r="R396" s="827" t="n"/>
      <c r="S396" s="791" t="n"/>
      <c r="T396" s="40" t="inlineStr"/>
      <c r="U396" s="40" t="inlineStr"/>
      <c r="V396" s="41" t="inlineStr">
        <is>
          <t>кг</t>
        </is>
      </c>
      <c r="W396" s="828" t="n">
        <v>0</v>
      </c>
      <c r="X396" s="829">
        <f>IFERROR(IF(W396="",0,CEILING((W396/$H396),1)*$H396),"")</f>
        <v/>
      </c>
      <c r="Y396" s="42">
        <f>IFERROR(IF(X396=0,"",ROUNDUP(X396/H396,0)*0.00502),"")</f>
        <v/>
      </c>
      <c r="Z396" s="69" t="inlineStr"/>
      <c r="AA396" s="70" t="inlineStr"/>
      <c r="AE396" s="80" t="n"/>
      <c r="BB396" s="307" t="inlineStr">
        <is>
          <t>КИ</t>
        </is>
      </c>
      <c r="BL396" s="80">
        <f>IFERROR(W396*I396/H396,"0")</f>
        <v/>
      </c>
      <c r="BM396" s="80">
        <f>IFERROR(X396*I396/H396,"0")</f>
        <v/>
      </c>
      <c r="BN396" s="80">
        <f>IFERROR(1/J396*(W396/H396),"0")</f>
        <v/>
      </c>
      <c r="BO396" s="80">
        <f>IFERROR(1/J396*(X396/H396),"0")</f>
        <v/>
      </c>
    </row>
    <row r="397" ht="37.5" customHeight="1">
      <c r="A397" s="64" t="inlineStr">
        <is>
          <t>SU003079</t>
        </is>
      </c>
      <c r="B397" s="64" t="inlineStr">
        <is>
          <t>P003643</t>
        </is>
      </c>
      <c r="C397" s="37" t="n">
        <v>4301031254</v>
      </c>
      <c r="D397" s="401" t="n">
        <v>4680115883154</v>
      </c>
      <c r="E397" s="791" t="n"/>
      <c r="F397" s="825" t="n">
        <v>0.28</v>
      </c>
      <c r="G397" s="38" t="n">
        <v>6</v>
      </c>
      <c r="H397" s="825" t="n">
        <v>1.68</v>
      </c>
      <c r="I397" s="825" t="n">
        <v>1.81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9" t="n"/>
      <c r="N397" s="38" t="n">
        <v>45</v>
      </c>
      <c r="O397" s="10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P397" s="827" t="n"/>
      <c r="Q397" s="827" t="n"/>
      <c r="R397" s="827" t="n"/>
      <c r="S397" s="791" t="n"/>
      <c r="T397" s="40" t="inlineStr"/>
      <c r="U397" s="40" t="inlineStr"/>
      <c r="V397" s="41" t="inlineStr">
        <is>
          <t>кг</t>
        </is>
      </c>
      <c r="W397" s="828" t="n">
        <v>0</v>
      </c>
      <c r="X397" s="829">
        <f>IFERROR(IF(W397="",0,CEILING((W397/$H397),1)*$H397),"")</f>
        <v/>
      </c>
      <c r="Y397" s="42">
        <f>IFERROR(IF(X397=0,"",ROUNDUP(X397/H397,0)*0.00502),"")</f>
        <v/>
      </c>
      <c r="Z397" s="69" t="inlineStr"/>
      <c r="AA397" s="70" t="inlineStr"/>
      <c r="AE397" s="80" t="n"/>
      <c r="BB397" s="308" t="inlineStr">
        <is>
          <t>КИ</t>
        </is>
      </c>
      <c r="BL397" s="80">
        <f>IFERROR(W397*I397/H397,"0")</f>
        <v/>
      </c>
      <c r="BM397" s="80">
        <f>IFERROR(X397*I397/H397,"0")</f>
        <v/>
      </c>
      <c r="BN397" s="80">
        <f>IFERROR(1/J397*(W397/H397),"0")</f>
        <v/>
      </c>
      <c r="BO397" s="80">
        <f>IFERROR(1/J397*(X397/H397),"0")</f>
        <v/>
      </c>
    </row>
    <row r="398" ht="37.5" customHeight="1">
      <c r="A398" s="64" t="inlineStr">
        <is>
          <t>SU002602</t>
        </is>
      </c>
      <c r="B398" s="64" t="inlineStr">
        <is>
          <t>P003132</t>
        </is>
      </c>
      <c r="C398" s="37" t="n">
        <v>4301031171</v>
      </c>
      <c r="D398" s="401" t="n">
        <v>4607091389524</v>
      </c>
      <c r="E398" s="791" t="n"/>
      <c r="F398" s="825" t="n">
        <v>0.35</v>
      </c>
      <c r="G398" s="38" t="n">
        <v>6</v>
      </c>
      <c r="H398" s="825" t="n">
        <v>2.1</v>
      </c>
      <c r="I398" s="825" t="n">
        <v>2.23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9" t="n"/>
      <c r="N398" s="38" t="n">
        <v>45</v>
      </c>
      <c r="O398" s="10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P398" s="827" t="n"/>
      <c r="Q398" s="827" t="n"/>
      <c r="R398" s="827" t="n"/>
      <c r="S398" s="791" t="n"/>
      <c r="T398" s="40" t="inlineStr"/>
      <c r="U398" s="40" t="inlineStr"/>
      <c r="V398" s="41" t="inlineStr">
        <is>
          <t>кг</t>
        </is>
      </c>
      <c r="W398" s="828" t="n">
        <v>42</v>
      </c>
      <c r="X398" s="829">
        <f>IFERROR(IF(W398="",0,CEILING((W398/$H398),1)*$H398),"")</f>
        <v/>
      </c>
      <c r="Y398" s="42">
        <f>IFERROR(IF(X398=0,"",ROUNDUP(X398/H398,0)*0.00502),"")</f>
        <v/>
      </c>
      <c r="Z398" s="69" t="inlineStr"/>
      <c r="AA398" s="70" t="inlineStr"/>
      <c r="AE398" s="80" t="n"/>
      <c r="BB398" s="309" t="inlineStr">
        <is>
          <t>КИ</t>
        </is>
      </c>
      <c r="BL398" s="80">
        <f>IFERROR(W398*I398/H398,"0")</f>
        <v/>
      </c>
      <c r="BM398" s="80">
        <f>IFERROR(X398*I398/H398,"0")</f>
        <v/>
      </c>
      <c r="BN398" s="80">
        <f>IFERROR(1/J398*(W398/H398),"0")</f>
        <v/>
      </c>
      <c r="BO398" s="80">
        <f>IFERROR(1/J398*(X398/H398),"0")</f>
        <v/>
      </c>
    </row>
    <row r="399" ht="37.5" customHeight="1">
      <c r="A399" s="64" t="inlineStr">
        <is>
          <t>SU002602</t>
        </is>
      </c>
      <c r="B399" s="64" t="inlineStr">
        <is>
          <t>P004344</t>
        </is>
      </c>
      <c r="C399" s="37" t="n">
        <v>4301031331</v>
      </c>
      <c r="D399" s="401" t="n">
        <v>4607091389524</v>
      </c>
      <c r="E399" s="791" t="n"/>
      <c r="F399" s="825" t="n">
        <v>0.35</v>
      </c>
      <c r="G399" s="38" t="n">
        <v>6</v>
      </c>
      <c r="H399" s="825" t="n">
        <v>2.1</v>
      </c>
      <c r="I399" s="825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9" t="n"/>
      <c r="N399" s="38" t="n">
        <v>50</v>
      </c>
      <c r="O399" s="1062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P399" s="827" t="n"/>
      <c r="Q399" s="827" t="n"/>
      <c r="R399" s="827" t="n"/>
      <c r="S399" s="791" t="n"/>
      <c r="T399" s="40" t="inlineStr"/>
      <c r="U399" s="40" t="inlineStr"/>
      <c r="V399" s="41" t="inlineStr">
        <is>
          <t>кг</t>
        </is>
      </c>
      <c r="W399" s="828" t="n">
        <v>0</v>
      </c>
      <c r="X399" s="829">
        <f>IFERROR(IF(W399="",0,CEILING((W399/$H399),1)*$H399),"")</f>
        <v/>
      </c>
      <c r="Y399" s="42">
        <f>IFERROR(IF(X399=0,"",ROUNDUP(X399/H399,0)*0.00502),"")</f>
        <v/>
      </c>
      <c r="Z399" s="69" t="inlineStr"/>
      <c r="AA399" s="70" t="inlineStr"/>
      <c r="AE399" s="80" t="n"/>
      <c r="BB399" s="310" t="inlineStr">
        <is>
          <t>КИ</t>
        </is>
      </c>
      <c r="BL399" s="80">
        <f>IFERROR(W399*I399/H399,"0")</f>
        <v/>
      </c>
      <c r="BM399" s="80">
        <f>IFERROR(X399*I399/H399,"0")</f>
        <v/>
      </c>
      <c r="BN399" s="80">
        <f>IFERROR(1/J399*(W399/H399),"0")</f>
        <v/>
      </c>
      <c r="BO399" s="80">
        <f>IFERROR(1/J399*(X399/H399),"0")</f>
        <v/>
      </c>
    </row>
    <row r="400" ht="27" customHeight="1">
      <c r="A400" s="64" t="inlineStr">
        <is>
          <t>SU003080</t>
        </is>
      </c>
      <c r="B400" s="64" t="inlineStr">
        <is>
          <t>P004355</t>
        </is>
      </c>
      <c r="C400" s="37" t="n">
        <v>4301031337</v>
      </c>
      <c r="D400" s="401" t="n">
        <v>4680115883161</v>
      </c>
      <c r="E400" s="791" t="n"/>
      <c r="F400" s="825" t="n">
        <v>0.28</v>
      </c>
      <c r="G400" s="38" t="n">
        <v>6</v>
      </c>
      <c r="H400" s="825" t="n">
        <v>1.68</v>
      </c>
      <c r="I400" s="825" t="n">
        <v>1.81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9" t="n"/>
      <c r="N400" s="38" t="n">
        <v>50</v>
      </c>
      <c r="O400" s="1063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P400" s="827" t="n"/>
      <c r="Q400" s="827" t="n"/>
      <c r="R400" s="827" t="n"/>
      <c r="S400" s="791" t="n"/>
      <c r="T400" s="40" t="inlineStr"/>
      <c r="U400" s="40" t="inlineStr"/>
      <c r="V400" s="41" t="inlineStr">
        <is>
          <t>кг</t>
        </is>
      </c>
      <c r="W400" s="828" t="n">
        <v>0</v>
      </c>
      <c r="X400" s="829">
        <f>IFERROR(IF(W400="",0,CEILING((W400/$H400),1)*$H400),"")</f>
        <v/>
      </c>
      <c r="Y400" s="42">
        <f>IFERROR(IF(X400=0,"",ROUNDUP(X400/H400,0)*0.00502),"")</f>
        <v/>
      </c>
      <c r="Z400" s="69" t="inlineStr"/>
      <c r="AA400" s="70" t="inlineStr"/>
      <c r="AE400" s="80" t="n"/>
      <c r="BB400" s="311" t="inlineStr">
        <is>
          <t>КИ</t>
        </is>
      </c>
      <c r="BL400" s="80">
        <f>IFERROR(W400*I400/H400,"0")</f>
        <v/>
      </c>
      <c r="BM400" s="80">
        <f>IFERROR(X400*I400/H400,"0")</f>
        <v/>
      </c>
      <c r="BN400" s="80">
        <f>IFERROR(1/J400*(W400/H400),"0")</f>
        <v/>
      </c>
      <c r="BO400" s="80">
        <f>IFERROR(1/J400*(X400/H400),"0")</f>
        <v/>
      </c>
    </row>
    <row r="401" ht="27" customHeight="1">
      <c r="A401" s="64" t="inlineStr">
        <is>
          <t>SU003080</t>
        </is>
      </c>
      <c r="B401" s="64" t="inlineStr">
        <is>
          <t>P003647</t>
        </is>
      </c>
      <c r="C401" s="37" t="n">
        <v>4301031258</v>
      </c>
      <c r="D401" s="401" t="n">
        <v>4680115883161</v>
      </c>
      <c r="E401" s="791" t="n"/>
      <c r="F401" s="825" t="n">
        <v>0.28</v>
      </c>
      <c r="G401" s="38" t="n">
        <v>6</v>
      </c>
      <c r="H401" s="825" t="n">
        <v>1.68</v>
      </c>
      <c r="I401" s="825" t="n">
        <v>1.81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9" t="n"/>
      <c r="N401" s="38" t="n">
        <v>45</v>
      </c>
      <c r="O401" s="106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P401" s="827" t="n"/>
      <c r="Q401" s="827" t="n"/>
      <c r="R401" s="827" t="n"/>
      <c r="S401" s="791" t="n"/>
      <c r="T401" s="40" t="inlineStr"/>
      <c r="U401" s="40" t="inlineStr"/>
      <c r="V401" s="41" t="inlineStr">
        <is>
          <t>кг</t>
        </is>
      </c>
      <c r="W401" s="828" t="n">
        <v>0</v>
      </c>
      <c r="X401" s="829">
        <f>IFERROR(IF(W401="",0,CEILING((W401/$H401),1)*$H401),"")</f>
        <v/>
      </c>
      <c r="Y401" s="42">
        <f>IFERROR(IF(X401=0,"",ROUNDUP(X401/H401,0)*0.00502),"")</f>
        <v/>
      </c>
      <c r="Z401" s="69" t="inlineStr"/>
      <c r="AA401" s="70" t="inlineStr"/>
      <c r="AE401" s="80" t="n"/>
      <c r="BB401" s="312" t="inlineStr">
        <is>
          <t>КИ</t>
        </is>
      </c>
      <c r="BL401" s="80">
        <f>IFERROR(W401*I401/H401,"0")</f>
        <v/>
      </c>
      <c r="BM401" s="80">
        <f>IFERROR(X401*I401/H401,"0")</f>
        <v/>
      </c>
      <c r="BN401" s="80">
        <f>IFERROR(1/J401*(W401/H401),"0")</f>
        <v/>
      </c>
      <c r="BO401" s="80">
        <f>IFERROR(1/J401*(X401/H401),"0")</f>
        <v/>
      </c>
    </row>
    <row r="402" ht="27" customHeight="1">
      <c r="A402" s="64" t="inlineStr">
        <is>
          <t>SU002603</t>
        </is>
      </c>
      <c r="B402" s="64" t="inlineStr">
        <is>
          <t>P004349</t>
        </is>
      </c>
      <c r="C402" s="37" t="n">
        <v>4301031332</v>
      </c>
      <c r="D402" s="401" t="n">
        <v>4607091384345</v>
      </c>
      <c r="E402" s="791" t="n"/>
      <c r="F402" s="825" t="n">
        <v>0.35</v>
      </c>
      <c r="G402" s="38" t="n">
        <v>6</v>
      </c>
      <c r="H402" s="825" t="n">
        <v>2.1</v>
      </c>
      <c r="I402" s="825" t="n">
        <v>2.23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9" t="n"/>
      <c r="N402" s="38" t="n">
        <v>50</v>
      </c>
      <c r="O402" s="1065" t="inlineStr">
        <is>
          <t>В/к колбасы Сервелат Филейбургский с копченой грудинкой срез Филейбургская Фикс.вес 0,35 фиброуз Баварушка</t>
        </is>
      </c>
      <c r="P402" s="827" t="n"/>
      <c r="Q402" s="827" t="n"/>
      <c r="R402" s="827" t="n"/>
      <c r="S402" s="791" t="n"/>
      <c r="T402" s="40" t="inlineStr"/>
      <c r="U402" s="40" t="inlineStr"/>
      <c r="V402" s="41" t="inlineStr">
        <is>
          <t>кг</t>
        </is>
      </c>
      <c r="W402" s="828" t="n">
        <v>0</v>
      </c>
      <c r="X402" s="829">
        <f>IFERROR(IF(W402="",0,CEILING((W402/$H402),1)*$H402),"")</f>
        <v/>
      </c>
      <c r="Y402" s="42">
        <f>IFERROR(IF(X402=0,"",ROUNDUP(X402/H402,0)*0.00502),"")</f>
        <v/>
      </c>
      <c r="Z402" s="69" t="inlineStr"/>
      <c r="AA402" s="70" t="inlineStr"/>
      <c r="AE402" s="80" t="n"/>
      <c r="BB402" s="313" t="inlineStr">
        <is>
          <t>КИ</t>
        </is>
      </c>
      <c r="BL402" s="80">
        <f>IFERROR(W402*I402/H402,"0")</f>
        <v/>
      </c>
      <c r="BM402" s="80">
        <f>IFERROR(X402*I402/H402,"0")</f>
        <v/>
      </c>
      <c r="BN402" s="80">
        <f>IFERROR(1/J402*(W402/H402),"0")</f>
        <v/>
      </c>
      <c r="BO402" s="80">
        <f>IFERROR(1/J402*(X402/H402),"0")</f>
        <v/>
      </c>
    </row>
    <row r="403" ht="27" customHeight="1">
      <c r="A403" s="64" t="inlineStr">
        <is>
          <t>SU003081</t>
        </is>
      </c>
      <c r="B403" s="64" t="inlineStr">
        <is>
          <t>P003645</t>
        </is>
      </c>
      <c r="C403" s="37" t="n">
        <v>4301031256</v>
      </c>
      <c r="D403" s="401" t="n">
        <v>4680115883178</v>
      </c>
      <c r="E403" s="791" t="n"/>
      <c r="F403" s="825" t="n">
        <v>0.28</v>
      </c>
      <c r="G403" s="38" t="n">
        <v>6</v>
      </c>
      <c r="H403" s="825" t="n">
        <v>1.68</v>
      </c>
      <c r="I403" s="825" t="n">
        <v>1.81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9" t="n"/>
      <c r="N403" s="38" t="n">
        <v>45</v>
      </c>
      <c r="O403" s="106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P403" s="827" t="n"/>
      <c r="Q403" s="827" t="n"/>
      <c r="R403" s="827" t="n"/>
      <c r="S403" s="791" t="n"/>
      <c r="T403" s="40" t="inlineStr"/>
      <c r="U403" s="40" t="inlineStr"/>
      <c r="V403" s="41" t="inlineStr">
        <is>
          <t>кг</t>
        </is>
      </c>
      <c r="W403" s="828" t="n">
        <v>0</v>
      </c>
      <c r="X403" s="829">
        <f>IFERROR(IF(W403="",0,CEILING((W403/$H403),1)*$H403),"")</f>
        <v/>
      </c>
      <c r="Y403" s="42">
        <f>IFERROR(IF(X403=0,"",ROUNDUP(X403/H403,0)*0.00502),"")</f>
        <v/>
      </c>
      <c r="Z403" s="69" t="inlineStr"/>
      <c r="AA403" s="70" t="inlineStr"/>
      <c r="AE403" s="80" t="n"/>
      <c r="BB403" s="314" t="inlineStr">
        <is>
          <t>КИ</t>
        </is>
      </c>
      <c r="BL403" s="80">
        <f>IFERROR(W403*I403/H403,"0")</f>
        <v/>
      </c>
      <c r="BM403" s="80">
        <f>IFERROR(X403*I403/H403,"0")</f>
        <v/>
      </c>
      <c r="BN403" s="80">
        <f>IFERROR(1/J403*(W403/H403),"0")</f>
        <v/>
      </c>
      <c r="BO403" s="80">
        <f>IFERROR(1/J403*(X403/H403),"0")</f>
        <v/>
      </c>
    </row>
    <row r="404" ht="27" customHeight="1">
      <c r="A404" s="64" t="inlineStr">
        <is>
          <t>SU002606</t>
        </is>
      </c>
      <c r="B404" s="64" t="inlineStr">
        <is>
          <t>P003134</t>
        </is>
      </c>
      <c r="C404" s="37" t="n">
        <v>4301031172</v>
      </c>
      <c r="D404" s="401" t="n">
        <v>4607091389531</v>
      </c>
      <c r="E404" s="791" t="n"/>
      <c r="F404" s="825" t="n">
        <v>0.35</v>
      </c>
      <c r="G404" s="38" t="n">
        <v>6</v>
      </c>
      <c r="H404" s="825" t="n">
        <v>2.1</v>
      </c>
      <c r="I404" s="825" t="n">
        <v>2.23</v>
      </c>
      <c r="J404" s="38" t="n">
        <v>234</v>
      </c>
      <c r="K404" s="38" t="inlineStr">
        <is>
          <t>18</t>
        </is>
      </c>
      <c r="L404" s="39" t="inlineStr">
        <is>
          <t>СК2</t>
        </is>
      </c>
      <c r="M404" s="39" t="n"/>
      <c r="N404" s="38" t="n">
        <v>45</v>
      </c>
      <c r="O404" s="106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P404" s="827" t="n"/>
      <c r="Q404" s="827" t="n"/>
      <c r="R404" s="827" t="n"/>
      <c r="S404" s="791" t="n"/>
      <c r="T404" s="40" t="inlineStr"/>
      <c r="U404" s="40" t="inlineStr"/>
      <c r="V404" s="41" t="inlineStr">
        <is>
          <t>кг</t>
        </is>
      </c>
      <c r="W404" s="828" t="n">
        <v>52.5</v>
      </c>
      <c r="X404" s="829">
        <f>IFERROR(IF(W404="",0,CEILING((W404/$H404),1)*$H404),"")</f>
        <v/>
      </c>
      <c r="Y404" s="42">
        <f>IFERROR(IF(X404=0,"",ROUNDUP(X404/H404,0)*0.00502),"")</f>
        <v/>
      </c>
      <c r="Z404" s="69" t="inlineStr"/>
      <c r="AA404" s="70" t="inlineStr"/>
      <c r="AE404" s="80" t="n"/>
      <c r="BB404" s="315" t="inlineStr">
        <is>
          <t>КИ</t>
        </is>
      </c>
      <c r="BL404" s="80">
        <f>IFERROR(W404*I404/H404,"0")</f>
        <v/>
      </c>
      <c r="BM404" s="80">
        <f>IFERROR(X404*I404/H404,"0")</f>
        <v/>
      </c>
      <c r="BN404" s="80">
        <f>IFERROR(1/J404*(W404/H404),"0")</f>
        <v/>
      </c>
      <c r="BO404" s="80">
        <f>IFERROR(1/J404*(X404/H404),"0")</f>
        <v/>
      </c>
    </row>
    <row r="405" ht="27" customHeight="1">
      <c r="A405" s="64" t="inlineStr">
        <is>
          <t>SU002606</t>
        </is>
      </c>
      <c r="B405" s="64" t="inlineStr">
        <is>
          <t>P004351</t>
        </is>
      </c>
      <c r="C405" s="37" t="n">
        <v>4301031333</v>
      </c>
      <c r="D405" s="401" t="n">
        <v>4607091389531</v>
      </c>
      <c r="E405" s="791" t="n"/>
      <c r="F405" s="825" t="n">
        <v>0.35</v>
      </c>
      <c r="G405" s="38" t="n">
        <v>6</v>
      </c>
      <c r="H405" s="825" t="n">
        <v>2.1</v>
      </c>
      <c r="I405" s="825" t="n">
        <v>2.23</v>
      </c>
      <c r="J405" s="38" t="n">
        <v>234</v>
      </c>
      <c r="K405" s="38" t="inlineStr">
        <is>
          <t>18</t>
        </is>
      </c>
      <c r="L405" s="39" t="inlineStr">
        <is>
          <t>СК2</t>
        </is>
      </c>
      <c r="M405" s="39" t="n"/>
      <c r="N405" s="38" t="n">
        <v>50</v>
      </c>
      <c r="O405" s="1068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P405" s="827" t="n"/>
      <c r="Q405" s="827" t="n"/>
      <c r="R405" s="827" t="n"/>
      <c r="S405" s="791" t="n"/>
      <c r="T405" s="40" t="inlineStr"/>
      <c r="U405" s="40" t="inlineStr"/>
      <c r="V405" s="41" t="inlineStr">
        <is>
          <t>кг</t>
        </is>
      </c>
      <c r="W405" s="828" t="n">
        <v>0</v>
      </c>
      <c r="X405" s="829">
        <f>IFERROR(IF(W405="",0,CEILING((W405/$H405),1)*$H405),"")</f>
        <v/>
      </c>
      <c r="Y405" s="42">
        <f>IFERROR(IF(X405=0,"",ROUNDUP(X405/H405,0)*0.00502),"")</f>
        <v/>
      </c>
      <c r="Z405" s="69" t="inlineStr"/>
      <c r="AA405" s="70" t="inlineStr"/>
      <c r="AE405" s="80" t="n"/>
      <c r="BB405" s="316" t="inlineStr">
        <is>
          <t>КИ</t>
        </is>
      </c>
      <c r="BL405" s="80">
        <f>IFERROR(W405*I405/H405,"0")</f>
        <v/>
      </c>
      <c r="BM405" s="80">
        <f>IFERROR(X405*I405/H405,"0")</f>
        <v/>
      </c>
      <c r="BN405" s="80">
        <f>IFERROR(1/J405*(W405/H405),"0")</f>
        <v/>
      </c>
      <c r="BO405" s="80">
        <f>IFERROR(1/J405*(X405/H405),"0")</f>
        <v/>
      </c>
    </row>
    <row r="406" ht="27" customHeight="1">
      <c r="A406" s="64" t="inlineStr">
        <is>
          <t>SU003082</t>
        </is>
      </c>
      <c r="B406" s="64" t="inlineStr">
        <is>
          <t>P004356</t>
        </is>
      </c>
      <c r="C406" s="37" t="n">
        <v>4301031338</v>
      </c>
      <c r="D406" s="401" t="n">
        <v>4680115883185</v>
      </c>
      <c r="E406" s="791" t="n"/>
      <c r="F406" s="825" t="n">
        <v>0.28</v>
      </c>
      <c r="G406" s="38" t="n">
        <v>6</v>
      </c>
      <c r="H406" s="825" t="n">
        <v>1.68</v>
      </c>
      <c r="I406" s="825" t="n">
        <v>1.81</v>
      </c>
      <c r="J406" s="38" t="n">
        <v>234</v>
      </c>
      <c r="K406" s="38" t="inlineStr">
        <is>
          <t>18</t>
        </is>
      </c>
      <c r="L406" s="39" t="inlineStr">
        <is>
          <t>СК2</t>
        </is>
      </c>
      <c r="M406" s="39" t="n"/>
      <c r="N406" s="38" t="n">
        <v>50</v>
      </c>
      <c r="O406" s="1069" t="inlineStr">
        <is>
          <t>В/к колбасы «Филейбургская с душистым чесноком» срез Фикс.вес 0,28 фиброуз в/у Баварушка</t>
        </is>
      </c>
      <c r="P406" s="827" t="n"/>
      <c r="Q406" s="827" t="n"/>
      <c r="R406" s="827" t="n"/>
      <c r="S406" s="791" t="n"/>
      <c r="T406" s="40" t="inlineStr"/>
      <c r="U406" s="40" t="inlineStr"/>
      <c r="V406" s="41" t="inlineStr">
        <is>
          <t>кг</t>
        </is>
      </c>
      <c r="W406" s="828" t="n">
        <v>0</v>
      </c>
      <c r="X406" s="829">
        <f>IFERROR(IF(W406="",0,CEILING((W406/$H406),1)*$H406),"")</f>
        <v/>
      </c>
      <c r="Y406" s="42">
        <f>IFERROR(IF(X406=0,"",ROUNDUP(X406/H406,0)*0.00502),"")</f>
        <v/>
      </c>
      <c r="Z406" s="69" t="inlineStr"/>
      <c r="AA406" s="70" t="inlineStr"/>
      <c r="AE406" s="80" t="n"/>
      <c r="BB406" s="317" t="inlineStr">
        <is>
          <t>КИ</t>
        </is>
      </c>
      <c r="BL406" s="80">
        <f>IFERROR(W406*I406/H406,"0")</f>
        <v/>
      </c>
      <c r="BM406" s="80">
        <f>IFERROR(X406*I406/H406,"0")</f>
        <v/>
      </c>
      <c r="BN406" s="80">
        <f>IFERROR(1/J406*(W406/H406),"0")</f>
        <v/>
      </c>
      <c r="BO406" s="80">
        <f>IFERROR(1/J406*(X406/H406),"0")</f>
        <v/>
      </c>
    </row>
    <row r="407" ht="27" customHeight="1">
      <c r="A407" s="64" t="inlineStr">
        <is>
          <t>SU003082</t>
        </is>
      </c>
      <c r="B407" s="64" t="inlineStr">
        <is>
          <t>P003644</t>
        </is>
      </c>
      <c r="C407" s="37" t="n">
        <v>4301031255</v>
      </c>
      <c r="D407" s="401" t="n">
        <v>4680115883185</v>
      </c>
      <c r="E407" s="791" t="n"/>
      <c r="F407" s="825" t="n">
        <v>0.28</v>
      </c>
      <c r="G407" s="38" t="n">
        <v>6</v>
      </c>
      <c r="H407" s="825" t="n">
        <v>1.68</v>
      </c>
      <c r="I407" s="825" t="n">
        <v>1.81</v>
      </c>
      <c r="J407" s="38" t="n">
        <v>234</v>
      </c>
      <c r="K407" s="38" t="inlineStr">
        <is>
          <t>18</t>
        </is>
      </c>
      <c r="L407" s="39" t="inlineStr">
        <is>
          <t>СК2</t>
        </is>
      </c>
      <c r="M407" s="39" t="n"/>
      <c r="N407" s="38" t="n">
        <v>45</v>
      </c>
      <c r="O407" s="1070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P407" s="827" t="n"/>
      <c r="Q407" s="827" t="n"/>
      <c r="R407" s="827" t="n"/>
      <c r="S407" s="791" t="n"/>
      <c r="T407" s="40" t="inlineStr"/>
      <c r="U407" s="40" t="inlineStr"/>
      <c r="V407" s="41" t="inlineStr">
        <is>
          <t>кг</t>
        </is>
      </c>
      <c r="W407" s="828" t="n">
        <v>0</v>
      </c>
      <c r="X407" s="829">
        <f>IFERROR(IF(W407="",0,CEILING((W407/$H407),1)*$H407),"")</f>
        <v/>
      </c>
      <c r="Y407" s="42">
        <f>IFERROR(IF(X407=0,"",ROUNDUP(X407/H407,0)*0.00502),"")</f>
        <v/>
      </c>
      <c r="Z407" s="69" t="inlineStr"/>
      <c r="AA407" s="70" t="inlineStr"/>
      <c r="AE407" s="80" t="n"/>
      <c r="BB407" s="318" t="inlineStr">
        <is>
          <t>КИ</t>
        </is>
      </c>
      <c r="BL407" s="80">
        <f>IFERROR(W407*I407/H407,"0")</f>
        <v/>
      </c>
      <c r="BM407" s="80">
        <f>IFERROR(X407*I407/H407,"0")</f>
        <v/>
      </c>
      <c r="BN407" s="80">
        <f>IFERROR(1/J407*(W407/H407),"0")</f>
        <v/>
      </c>
      <c r="BO407" s="80">
        <f>IFERROR(1/J407*(X407/H407),"0")</f>
        <v/>
      </c>
    </row>
    <row r="408">
      <c r="A408" s="408" t="n"/>
      <c r="B408" s="398" t="n"/>
      <c r="C408" s="398" t="n"/>
      <c r="D408" s="398" t="n"/>
      <c r="E408" s="398" t="n"/>
      <c r="F408" s="398" t="n"/>
      <c r="G408" s="398" t="n"/>
      <c r="H408" s="398" t="n"/>
      <c r="I408" s="398" t="n"/>
      <c r="J408" s="398" t="n"/>
      <c r="K408" s="398" t="n"/>
      <c r="L408" s="398" t="n"/>
      <c r="M408" s="398" t="n"/>
      <c r="N408" s="831" t="n"/>
      <c r="O408" s="832" t="inlineStr">
        <is>
          <t>Итого</t>
        </is>
      </c>
      <c r="P408" s="799" t="n"/>
      <c r="Q408" s="799" t="n"/>
      <c r="R408" s="799" t="n"/>
      <c r="S408" s="799" t="n"/>
      <c r="T408" s="799" t="n"/>
      <c r="U408" s="800" t="n"/>
      <c r="V408" s="43" t="inlineStr">
        <is>
          <t>кор</t>
        </is>
      </c>
      <c r="W408" s="833">
        <f>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/>
      </c>
      <c r="X408" s="833">
        <f>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/>
      </c>
      <c r="Y408" s="833">
        <f>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/>
      </c>
      <c r="Z408" s="834" t="n"/>
      <c r="AA408" s="834" t="n"/>
    </row>
    <row r="409">
      <c r="A409" s="398" t="n"/>
      <c r="B409" s="398" t="n"/>
      <c r="C409" s="398" t="n"/>
      <c r="D409" s="398" t="n"/>
      <c r="E409" s="398" t="n"/>
      <c r="F409" s="398" t="n"/>
      <c r="G409" s="398" t="n"/>
      <c r="H409" s="398" t="n"/>
      <c r="I409" s="398" t="n"/>
      <c r="J409" s="398" t="n"/>
      <c r="K409" s="398" t="n"/>
      <c r="L409" s="398" t="n"/>
      <c r="M409" s="398" t="n"/>
      <c r="N409" s="831" t="n"/>
      <c r="O409" s="832" t="inlineStr">
        <is>
          <t>Итого</t>
        </is>
      </c>
      <c r="P409" s="799" t="n"/>
      <c r="Q409" s="799" t="n"/>
      <c r="R409" s="799" t="n"/>
      <c r="S409" s="799" t="n"/>
      <c r="T409" s="799" t="n"/>
      <c r="U409" s="800" t="n"/>
      <c r="V409" s="43" t="inlineStr">
        <is>
          <t>кг</t>
        </is>
      </c>
      <c r="W409" s="833">
        <f>IFERROR(SUM(W385:W407),"0")</f>
        <v/>
      </c>
      <c r="X409" s="833">
        <f>IFERROR(SUM(X385:X407),"0")</f>
        <v/>
      </c>
      <c r="Y409" s="43" t="n"/>
      <c r="Z409" s="834" t="n"/>
      <c r="AA409" s="834" t="n"/>
    </row>
    <row r="410" ht="14.25" customHeight="1">
      <c r="A410" s="409" t="inlineStr">
        <is>
          <t>Сосиски</t>
        </is>
      </c>
      <c r="B410" s="398" t="n"/>
      <c r="C410" s="398" t="n"/>
      <c r="D410" s="398" t="n"/>
      <c r="E410" s="398" t="n"/>
      <c r="F410" s="398" t="n"/>
      <c r="G410" s="398" t="n"/>
      <c r="H410" s="398" t="n"/>
      <c r="I410" s="398" t="n"/>
      <c r="J410" s="398" t="n"/>
      <c r="K410" s="398" t="n"/>
      <c r="L410" s="398" t="n"/>
      <c r="M410" s="398" t="n"/>
      <c r="N410" s="398" t="n"/>
      <c r="O410" s="398" t="n"/>
      <c r="P410" s="398" t="n"/>
      <c r="Q410" s="398" t="n"/>
      <c r="R410" s="398" t="n"/>
      <c r="S410" s="398" t="n"/>
      <c r="T410" s="398" t="n"/>
      <c r="U410" s="398" t="n"/>
      <c r="V410" s="398" t="n"/>
      <c r="W410" s="398" t="n"/>
      <c r="X410" s="398" t="n"/>
      <c r="Y410" s="398" t="n"/>
      <c r="Z410" s="409" t="n"/>
      <c r="AA410" s="409" t="n"/>
    </row>
    <row r="411" ht="27" customHeight="1">
      <c r="A411" s="64" t="inlineStr">
        <is>
          <t>SU002557</t>
        </is>
      </c>
      <c r="B411" s="64" t="inlineStr">
        <is>
          <t>P003318</t>
        </is>
      </c>
      <c r="C411" s="37" t="n">
        <v>4301051431</v>
      </c>
      <c r="D411" s="401" t="n">
        <v>4607091389654</v>
      </c>
      <c r="E411" s="791" t="n"/>
      <c r="F411" s="825" t="n">
        <v>0.33</v>
      </c>
      <c r="G411" s="38" t="n">
        <v>6</v>
      </c>
      <c r="H411" s="825" t="n">
        <v>1.98</v>
      </c>
      <c r="I411" s="825" t="n">
        <v>2.258</v>
      </c>
      <c r="J411" s="38" t="n">
        <v>156</v>
      </c>
      <c r="K411" s="38" t="inlineStr">
        <is>
          <t>12</t>
        </is>
      </c>
      <c r="L411" s="39" t="inlineStr">
        <is>
          <t>СК3</t>
        </is>
      </c>
      <c r="M411" s="39" t="n"/>
      <c r="N411" s="38" t="n">
        <v>45</v>
      </c>
      <c r="O411" s="1071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P411" s="827" t="n"/>
      <c r="Q411" s="827" t="n"/>
      <c r="R411" s="827" t="n"/>
      <c r="S411" s="791" t="n"/>
      <c r="T411" s="40" t="inlineStr"/>
      <c r="U411" s="40" t="inlineStr"/>
      <c r="V411" s="41" t="inlineStr">
        <is>
          <t>кг</t>
        </is>
      </c>
      <c r="W411" s="828" t="n">
        <v>0</v>
      </c>
      <c r="X411" s="829">
        <f>IFERROR(IF(W411="",0,CEILING((W411/$H411),1)*$H411),"")</f>
        <v/>
      </c>
      <c r="Y411" s="42">
        <f>IFERROR(IF(X411=0,"",ROUNDUP(X411/H411,0)*0.00753),"")</f>
        <v/>
      </c>
      <c r="Z411" s="69" t="inlineStr"/>
      <c r="AA411" s="70" t="inlineStr"/>
      <c r="AE411" s="80" t="n"/>
      <c r="BB411" s="319" t="inlineStr">
        <is>
          <t>КИ</t>
        </is>
      </c>
      <c r="BL411" s="80">
        <f>IFERROR(W411*I411/H411,"0")</f>
        <v/>
      </c>
      <c r="BM411" s="80">
        <f>IFERROR(X411*I411/H411,"0")</f>
        <v/>
      </c>
      <c r="BN411" s="80">
        <f>IFERROR(1/J411*(W411/H411),"0")</f>
        <v/>
      </c>
      <c r="BO411" s="80">
        <f>IFERROR(1/J411*(X411/H411),"0")</f>
        <v/>
      </c>
    </row>
    <row r="412" ht="27" customHeight="1">
      <c r="A412" s="64" t="inlineStr">
        <is>
          <t>SU002285</t>
        </is>
      </c>
      <c r="B412" s="64" t="inlineStr">
        <is>
          <t>P002969</t>
        </is>
      </c>
      <c r="C412" s="37" t="n">
        <v>4301051284</v>
      </c>
      <c r="D412" s="401" t="n">
        <v>4607091384352</v>
      </c>
      <c r="E412" s="791" t="n"/>
      <c r="F412" s="825" t="n">
        <v>0.6</v>
      </c>
      <c r="G412" s="38" t="n">
        <v>4</v>
      </c>
      <c r="H412" s="825" t="n">
        <v>2.4</v>
      </c>
      <c r="I412" s="825" t="n">
        <v>2.646</v>
      </c>
      <c r="J412" s="38" t="n">
        <v>120</v>
      </c>
      <c r="K412" s="38" t="inlineStr">
        <is>
          <t>12</t>
        </is>
      </c>
      <c r="L412" s="39" t="inlineStr">
        <is>
          <t>СК3</t>
        </is>
      </c>
      <c r="M412" s="39" t="n"/>
      <c r="N412" s="38" t="n">
        <v>45</v>
      </c>
      <c r="O412" s="107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P412" s="827" t="n"/>
      <c r="Q412" s="827" t="n"/>
      <c r="R412" s="827" t="n"/>
      <c r="S412" s="791" t="n"/>
      <c r="T412" s="40" t="inlineStr"/>
      <c r="U412" s="40" t="inlineStr"/>
      <c r="V412" s="41" t="inlineStr">
        <is>
          <t>кг</t>
        </is>
      </c>
      <c r="W412" s="828" t="n">
        <v>0</v>
      </c>
      <c r="X412" s="829">
        <f>IFERROR(IF(W412="",0,CEILING((W412/$H412),1)*$H412),"")</f>
        <v/>
      </c>
      <c r="Y412" s="42">
        <f>IFERROR(IF(X412=0,"",ROUNDUP(X412/H412,0)*0.00937),"")</f>
        <v/>
      </c>
      <c r="Z412" s="69" t="inlineStr"/>
      <c r="AA412" s="70" t="inlineStr"/>
      <c r="AE412" s="80" t="n"/>
      <c r="BB412" s="320" t="inlineStr">
        <is>
          <t>КИ</t>
        </is>
      </c>
      <c r="BL412" s="80">
        <f>IFERROR(W412*I412/H412,"0")</f>
        <v/>
      </c>
      <c r="BM412" s="80">
        <f>IFERROR(X412*I412/H412,"0")</f>
        <v/>
      </c>
      <c r="BN412" s="80">
        <f>IFERROR(1/J412*(W412/H412),"0")</f>
        <v/>
      </c>
      <c r="BO412" s="80">
        <f>IFERROR(1/J412*(X412/H412),"0")</f>
        <v/>
      </c>
    </row>
    <row r="413">
      <c r="A413" s="408" t="n"/>
      <c r="B413" s="398" t="n"/>
      <c r="C413" s="398" t="n"/>
      <c r="D413" s="398" t="n"/>
      <c r="E413" s="398" t="n"/>
      <c r="F413" s="398" t="n"/>
      <c r="G413" s="398" t="n"/>
      <c r="H413" s="398" t="n"/>
      <c r="I413" s="398" t="n"/>
      <c r="J413" s="398" t="n"/>
      <c r="K413" s="398" t="n"/>
      <c r="L413" s="398" t="n"/>
      <c r="M413" s="398" t="n"/>
      <c r="N413" s="831" t="n"/>
      <c r="O413" s="832" t="inlineStr">
        <is>
          <t>Итого</t>
        </is>
      </c>
      <c r="P413" s="799" t="n"/>
      <c r="Q413" s="799" t="n"/>
      <c r="R413" s="799" t="n"/>
      <c r="S413" s="799" t="n"/>
      <c r="T413" s="799" t="n"/>
      <c r="U413" s="800" t="n"/>
      <c r="V413" s="43" t="inlineStr">
        <is>
          <t>кор</t>
        </is>
      </c>
      <c r="W413" s="833">
        <f>IFERROR(W411/H411,"0")+IFERROR(W412/H412,"0")</f>
        <v/>
      </c>
      <c r="X413" s="833">
        <f>IFERROR(X411/H411,"0")+IFERROR(X412/H412,"0")</f>
        <v/>
      </c>
      <c r="Y413" s="833">
        <f>IFERROR(IF(Y411="",0,Y411),"0")+IFERROR(IF(Y412="",0,Y412),"0")</f>
        <v/>
      </c>
      <c r="Z413" s="834" t="n"/>
      <c r="AA413" s="834" t="n"/>
    </row>
    <row r="414">
      <c r="A414" s="398" t="n"/>
      <c r="B414" s="398" t="n"/>
      <c r="C414" s="398" t="n"/>
      <c r="D414" s="398" t="n"/>
      <c r="E414" s="398" t="n"/>
      <c r="F414" s="398" t="n"/>
      <c r="G414" s="398" t="n"/>
      <c r="H414" s="398" t="n"/>
      <c r="I414" s="398" t="n"/>
      <c r="J414" s="398" t="n"/>
      <c r="K414" s="398" t="n"/>
      <c r="L414" s="398" t="n"/>
      <c r="M414" s="398" t="n"/>
      <c r="N414" s="831" t="n"/>
      <c r="O414" s="832" t="inlineStr">
        <is>
          <t>Итого</t>
        </is>
      </c>
      <c r="P414" s="799" t="n"/>
      <c r="Q414" s="799" t="n"/>
      <c r="R414" s="799" t="n"/>
      <c r="S414" s="799" t="n"/>
      <c r="T414" s="799" t="n"/>
      <c r="U414" s="800" t="n"/>
      <c r="V414" s="43" t="inlineStr">
        <is>
          <t>кг</t>
        </is>
      </c>
      <c r="W414" s="833">
        <f>IFERROR(SUM(W411:W412),"0")</f>
        <v/>
      </c>
      <c r="X414" s="833">
        <f>IFERROR(SUM(X411:X412),"0")</f>
        <v/>
      </c>
      <c r="Y414" s="43" t="n"/>
      <c r="Z414" s="834" t="n"/>
      <c r="AA414" s="834" t="n"/>
    </row>
    <row r="415" ht="14.25" customHeight="1">
      <c r="A415" s="409" t="inlineStr">
        <is>
          <t>Сырокопченые колбасы</t>
        </is>
      </c>
      <c r="B415" s="398" t="n"/>
      <c r="C415" s="398" t="n"/>
      <c r="D415" s="398" t="n"/>
      <c r="E415" s="398" t="n"/>
      <c r="F415" s="398" t="n"/>
      <c r="G415" s="398" t="n"/>
      <c r="H415" s="398" t="n"/>
      <c r="I415" s="398" t="n"/>
      <c r="J415" s="398" t="n"/>
      <c r="K415" s="398" t="n"/>
      <c r="L415" s="398" t="n"/>
      <c r="M415" s="398" t="n"/>
      <c r="N415" s="398" t="n"/>
      <c r="O415" s="398" t="n"/>
      <c r="P415" s="398" t="n"/>
      <c r="Q415" s="398" t="n"/>
      <c r="R415" s="398" t="n"/>
      <c r="S415" s="398" t="n"/>
      <c r="T415" s="398" t="n"/>
      <c r="U415" s="398" t="n"/>
      <c r="V415" s="398" t="n"/>
      <c r="W415" s="398" t="n"/>
      <c r="X415" s="398" t="n"/>
      <c r="Y415" s="398" t="n"/>
      <c r="Z415" s="409" t="n"/>
      <c r="AA415" s="409" t="n"/>
    </row>
    <row r="416" ht="27" customHeight="1">
      <c r="A416" s="64" t="inlineStr">
        <is>
          <t>SU003277</t>
        </is>
      </c>
      <c r="B416" s="64" t="inlineStr">
        <is>
          <t>P003775</t>
        </is>
      </c>
      <c r="C416" s="37" t="n">
        <v>4301032045</v>
      </c>
      <c r="D416" s="401" t="n">
        <v>4680115884335</v>
      </c>
      <c r="E416" s="791" t="n"/>
      <c r="F416" s="825" t="n">
        <v>0.06</v>
      </c>
      <c r="G416" s="38" t="n">
        <v>20</v>
      </c>
      <c r="H416" s="825" t="n">
        <v>1.2</v>
      </c>
      <c r="I416" s="825" t="n">
        <v>1.8</v>
      </c>
      <c r="J416" s="38" t="n">
        <v>200</v>
      </c>
      <c r="K416" s="38" t="inlineStr">
        <is>
          <t>10</t>
        </is>
      </c>
      <c r="L416" s="39" t="inlineStr">
        <is>
          <t>ДК</t>
        </is>
      </c>
      <c r="M416" s="39" t="n"/>
      <c r="N416" s="38" t="n">
        <v>60</v>
      </c>
      <c r="O416" s="1073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P416" s="827" t="n"/>
      <c r="Q416" s="827" t="n"/>
      <c r="R416" s="827" t="n"/>
      <c r="S416" s="791" t="n"/>
      <c r="T416" s="40" t="inlineStr"/>
      <c r="U416" s="40" t="inlineStr"/>
      <c r="V416" s="41" t="inlineStr">
        <is>
          <t>кг</t>
        </is>
      </c>
      <c r="W416" s="828" t="n">
        <v>6</v>
      </c>
      <c r="X416" s="829">
        <f>IFERROR(IF(W416="",0,CEILING((W416/$H416),1)*$H416),"")</f>
        <v/>
      </c>
      <c r="Y416" s="42">
        <f>IFERROR(IF(X416=0,"",ROUNDUP(X416/H416,0)*0.00627),"")</f>
        <v/>
      </c>
      <c r="Z416" s="69" t="inlineStr"/>
      <c r="AA416" s="70" t="inlineStr"/>
      <c r="AE416" s="80" t="n"/>
      <c r="BB416" s="321" t="inlineStr">
        <is>
          <t>КИ</t>
        </is>
      </c>
      <c r="BL416" s="80">
        <f>IFERROR(W416*I416/H416,"0")</f>
        <v/>
      </c>
      <c r="BM416" s="80">
        <f>IFERROR(X416*I416/H416,"0")</f>
        <v/>
      </c>
      <c r="BN416" s="80">
        <f>IFERROR(1/J416*(W416/H416),"0")</f>
        <v/>
      </c>
      <c r="BO416" s="80">
        <f>IFERROR(1/J416*(X416/H416),"0")</f>
        <v/>
      </c>
    </row>
    <row r="417" ht="27" customHeight="1">
      <c r="A417" s="64" t="inlineStr">
        <is>
          <t>SU003278</t>
        </is>
      </c>
      <c r="B417" s="64" t="inlineStr">
        <is>
          <t>P003777</t>
        </is>
      </c>
      <c r="C417" s="37" t="n">
        <v>4301032047</v>
      </c>
      <c r="D417" s="401" t="n">
        <v>4680115884342</v>
      </c>
      <c r="E417" s="791" t="n"/>
      <c r="F417" s="825" t="n">
        <v>0.06</v>
      </c>
      <c r="G417" s="38" t="n">
        <v>20</v>
      </c>
      <c r="H417" s="825" t="n">
        <v>1.2</v>
      </c>
      <c r="I417" s="825" t="n">
        <v>1.8</v>
      </c>
      <c r="J417" s="38" t="n">
        <v>200</v>
      </c>
      <c r="K417" s="38" t="inlineStr">
        <is>
          <t>10</t>
        </is>
      </c>
      <c r="L417" s="39" t="inlineStr">
        <is>
          <t>ДК</t>
        </is>
      </c>
      <c r="M417" s="39" t="n"/>
      <c r="N417" s="38" t="n">
        <v>60</v>
      </c>
      <c r="O417" s="1074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P417" s="827" t="n"/>
      <c r="Q417" s="827" t="n"/>
      <c r="R417" s="827" t="n"/>
      <c r="S417" s="791" t="n"/>
      <c r="T417" s="40" t="inlineStr"/>
      <c r="U417" s="40" t="inlineStr"/>
      <c r="V417" s="41" t="inlineStr">
        <is>
          <t>кг</t>
        </is>
      </c>
      <c r="W417" s="828" t="n">
        <v>9</v>
      </c>
      <c r="X417" s="829">
        <f>IFERROR(IF(W417="",0,CEILING((W417/$H417),1)*$H417),"")</f>
        <v/>
      </c>
      <c r="Y417" s="42">
        <f>IFERROR(IF(X417=0,"",ROUNDUP(X417/H417,0)*0.00627),"")</f>
        <v/>
      </c>
      <c r="Z417" s="69" t="inlineStr"/>
      <c r="AA417" s="70" t="inlineStr"/>
      <c r="AE417" s="80" t="n"/>
      <c r="BB417" s="322" t="inlineStr">
        <is>
          <t>КИ</t>
        </is>
      </c>
      <c r="BL417" s="80">
        <f>IFERROR(W417*I417/H417,"0")</f>
        <v/>
      </c>
      <c r="BM417" s="80">
        <f>IFERROR(X417*I417/H417,"0")</f>
        <v/>
      </c>
      <c r="BN417" s="80">
        <f>IFERROR(1/J417*(W417/H417),"0")</f>
        <v/>
      </c>
      <c r="BO417" s="80">
        <f>IFERROR(1/J417*(X417/H417),"0")</f>
        <v/>
      </c>
    </row>
    <row r="418" ht="27" customHeight="1">
      <c r="A418" s="64" t="inlineStr">
        <is>
          <t>SU003281</t>
        </is>
      </c>
      <c r="B418" s="64" t="inlineStr">
        <is>
          <t>P003774</t>
        </is>
      </c>
      <c r="C418" s="37" t="n">
        <v>4301170011</v>
      </c>
      <c r="D418" s="401" t="n">
        <v>4680115884113</v>
      </c>
      <c r="E418" s="791" t="n"/>
      <c r="F418" s="825" t="n">
        <v>0.11</v>
      </c>
      <c r="G418" s="38" t="n">
        <v>12</v>
      </c>
      <c r="H418" s="825" t="n">
        <v>1.32</v>
      </c>
      <c r="I418" s="825" t="n">
        <v>1.88</v>
      </c>
      <c r="J418" s="38" t="n">
        <v>200</v>
      </c>
      <c r="K418" s="38" t="inlineStr">
        <is>
          <t>10</t>
        </is>
      </c>
      <c r="L418" s="39" t="inlineStr">
        <is>
          <t>ДК</t>
        </is>
      </c>
      <c r="M418" s="39" t="n"/>
      <c r="N418" s="38" t="n">
        <v>150</v>
      </c>
      <c r="O418" s="1075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P418" s="827" t="n"/>
      <c r="Q418" s="827" t="n"/>
      <c r="R418" s="827" t="n"/>
      <c r="S418" s="791" t="n"/>
      <c r="T418" s="40" t="inlineStr"/>
      <c r="U418" s="40" t="inlineStr"/>
      <c r="V418" s="41" t="inlineStr">
        <is>
          <t>кг</t>
        </is>
      </c>
      <c r="W418" s="828" t="n">
        <v>0</v>
      </c>
      <c r="X418" s="829">
        <f>IFERROR(IF(W418="",0,CEILING((W418/$H418),1)*$H418),"")</f>
        <v/>
      </c>
      <c r="Y418" s="42">
        <f>IFERROR(IF(X418=0,"",ROUNDUP(X418/H418,0)*0.00627),"")</f>
        <v/>
      </c>
      <c r="Z418" s="69" t="inlineStr"/>
      <c r="AA418" s="70" t="inlineStr"/>
      <c r="AE418" s="80" t="n"/>
      <c r="BB418" s="323" t="inlineStr">
        <is>
          <t>КИ</t>
        </is>
      </c>
      <c r="BL418" s="80">
        <f>IFERROR(W418*I418/H418,"0")</f>
        <v/>
      </c>
      <c r="BM418" s="80">
        <f>IFERROR(X418*I418/H418,"0")</f>
        <v/>
      </c>
      <c r="BN418" s="80">
        <f>IFERROR(1/J418*(W418/H418),"0")</f>
        <v/>
      </c>
      <c r="BO418" s="80">
        <f>IFERROR(1/J418*(X418/H418),"0")</f>
        <v/>
      </c>
    </row>
    <row r="419">
      <c r="A419" s="408" t="n"/>
      <c r="B419" s="398" t="n"/>
      <c r="C419" s="398" t="n"/>
      <c r="D419" s="398" t="n"/>
      <c r="E419" s="398" t="n"/>
      <c r="F419" s="398" t="n"/>
      <c r="G419" s="398" t="n"/>
      <c r="H419" s="398" t="n"/>
      <c r="I419" s="398" t="n"/>
      <c r="J419" s="398" t="n"/>
      <c r="K419" s="398" t="n"/>
      <c r="L419" s="398" t="n"/>
      <c r="M419" s="398" t="n"/>
      <c r="N419" s="831" t="n"/>
      <c r="O419" s="832" t="inlineStr">
        <is>
          <t>Итого</t>
        </is>
      </c>
      <c r="P419" s="799" t="n"/>
      <c r="Q419" s="799" t="n"/>
      <c r="R419" s="799" t="n"/>
      <c r="S419" s="799" t="n"/>
      <c r="T419" s="799" t="n"/>
      <c r="U419" s="800" t="n"/>
      <c r="V419" s="43" t="inlineStr">
        <is>
          <t>кор</t>
        </is>
      </c>
      <c r="W419" s="833">
        <f>IFERROR(W416/H416,"0")+IFERROR(W417/H417,"0")+IFERROR(W418/H418,"0")</f>
        <v/>
      </c>
      <c r="X419" s="833">
        <f>IFERROR(X416/H416,"0")+IFERROR(X417/H417,"0")+IFERROR(X418/H418,"0")</f>
        <v/>
      </c>
      <c r="Y419" s="833">
        <f>IFERROR(IF(Y416="",0,Y416),"0")+IFERROR(IF(Y417="",0,Y417),"0")+IFERROR(IF(Y418="",0,Y418),"0")</f>
        <v/>
      </c>
      <c r="Z419" s="834" t="n"/>
      <c r="AA419" s="834" t="n"/>
    </row>
    <row r="420">
      <c r="A420" s="398" t="n"/>
      <c r="B420" s="398" t="n"/>
      <c r="C420" s="398" t="n"/>
      <c r="D420" s="398" t="n"/>
      <c r="E420" s="398" t="n"/>
      <c r="F420" s="398" t="n"/>
      <c r="G420" s="398" t="n"/>
      <c r="H420" s="398" t="n"/>
      <c r="I420" s="398" t="n"/>
      <c r="J420" s="398" t="n"/>
      <c r="K420" s="398" t="n"/>
      <c r="L420" s="398" t="n"/>
      <c r="M420" s="398" t="n"/>
      <c r="N420" s="831" t="n"/>
      <c r="O420" s="832" t="inlineStr">
        <is>
          <t>Итого</t>
        </is>
      </c>
      <c r="P420" s="799" t="n"/>
      <c r="Q420" s="799" t="n"/>
      <c r="R420" s="799" t="n"/>
      <c r="S420" s="799" t="n"/>
      <c r="T420" s="799" t="n"/>
      <c r="U420" s="800" t="n"/>
      <c r="V420" s="43" t="inlineStr">
        <is>
          <t>кг</t>
        </is>
      </c>
      <c r="W420" s="833">
        <f>IFERROR(SUM(W416:W418),"0")</f>
        <v/>
      </c>
      <c r="X420" s="833">
        <f>IFERROR(SUM(X416:X418),"0")</f>
        <v/>
      </c>
      <c r="Y420" s="43" t="n"/>
      <c r="Z420" s="834" t="n"/>
      <c r="AA420" s="834" t="n"/>
    </row>
    <row r="421" ht="16.5" customHeight="1">
      <c r="A421" s="439" t="inlineStr">
        <is>
          <t>Балыкбургская</t>
        </is>
      </c>
      <c r="B421" s="398" t="n"/>
      <c r="C421" s="398" t="n"/>
      <c r="D421" s="398" t="n"/>
      <c r="E421" s="398" t="n"/>
      <c r="F421" s="398" t="n"/>
      <c r="G421" s="398" t="n"/>
      <c r="H421" s="398" t="n"/>
      <c r="I421" s="398" t="n"/>
      <c r="J421" s="398" t="n"/>
      <c r="K421" s="398" t="n"/>
      <c r="L421" s="398" t="n"/>
      <c r="M421" s="398" t="n"/>
      <c r="N421" s="398" t="n"/>
      <c r="O421" s="398" t="n"/>
      <c r="P421" s="398" t="n"/>
      <c r="Q421" s="398" t="n"/>
      <c r="R421" s="398" t="n"/>
      <c r="S421" s="398" t="n"/>
      <c r="T421" s="398" t="n"/>
      <c r="U421" s="398" t="n"/>
      <c r="V421" s="398" t="n"/>
      <c r="W421" s="398" t="n"/>
      <c r="X421" s="398" t="n"/>
      <c r="Y421" s="398" t="n"/>
      <c r="Z421" s="439" t="n"/>
      <c r="AA421" s="439" t="n"/>
    </row>
    <row r="422" ht="14.25" customHeight="1">
      <c r="A422" s="409" t="inlineStr">
        <is>
          <t>Ветчины</t>
        </is>
      </c>
      <c r="B422" s="398" t="n"/>
      <c r="C422" s="398" t="n"/>
      <c r="D422" s="398" t="n"/>
      <c r="E422" s="398" t="n"/>
      <c r="F422" s="398" t="n"/>
      <c r="G422" s="398" t="n"/>
      <c r="H422" s="398" t="n"/>
      <c r="I422" s="398" t="n"/>
      <c r="J422" s="398" t="n"/>
      <c r="K422" s="398" t="n"/>
      <c r="L422" s="398" t="n"/>
      <c r="M422" s="398" t="n"/>
      <c r="N422" s="398" t="n"/>
      <c r="O422" s="398" t="n"/>
      <c r="P422" s="398" t="n"/>
      <c r="Q422" s="398" t="n"/>
      <c r="R422" s="398" t="n"/>
      <c r="S422" s="398" t="n"/>
      <c r="T422" s="398" t="n"/>
      <c r="U422" s="398" t="n"/>
      <c r="V422" s="398" t="n"/>
      <c r="W422" s="398" t="n"/>
      <c r="X422" s="398" t="n"/>
      <c r="Y422" s="398" t="n"/>
      <c r="Z422" s="409" t="n"/>
      <c r="AA422" s="409" t="n"/>
    </row>
    <row r="423" ht="27" customHeight="1">
      <c r="A423" s="64" t="inlineStr">
        <is>
          <t>SU002542</t>
        </is>
      </c>
      <c r="B423" s="64" t="inlineStr">
        <is>
          <t>P002847</t>
        </is>
      </c>
      <c r="C423" s="37" t="n">
        <v>4301020214</v>
      </c>
      <c r="D423" s="401" t="n">
        <v>4607091389388</v>
      </c>
      <c r="E423" s="791" t="n"/>
      <c r="F423" s="825" t="n">
        <v>1.3</v>
      </c>
      <c r="G423" s="38" t="n">
        <v>4</v>
      </c>
      <c r="H423" s="825" t="n">
        <v>5.2</v>
      </c>
      <c r="I423" s="825" t="n">
        <v>5.608</v>
      </c>
      <c r="J423" s="38" t="n">
        <v>104</v>
      </c>
      <c r="K423" s="38" t="inlineStr">
        <is>
          <t>8</t>
        </is>
      </c>
      <c r="L423" s="39" t="inlineStr">
        <is>
          <t>СК1</t>
        </is>
      </c>
      <c r="M423" s="39" t="n"/>
      <c r="N423" s="38" t="n">
        <v>35</v>
      </c>
      <c r="O423" s="10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P423" s="827" t="n"/>
      <c r="Q423" s="827" t="n"/>
      <c r="R423" s="827" t="n"/>
      <c r="S423" s="791" t="n"/>
      <c r="T423" s="40" t="inlineStr"/>
      <c r="U423" s="40" t="inlineStr"/>
      <c r="V423" s="41" t="inlineStr">
        <is>
          <t>кг</t>
        </is>
      </c>
      <c r="W423" s="828" t="n">
        <v>0</v>
      </c>
      <c r="X423" s="829">
        <f>IFERROR(IF(W423="",0,CEILING((W423/$H423),1)*$H423),"")</f>
        <v/>
      </c>
      <c r="Y423" s="42">
        <f>IFERROR(IF(X423=0,"",ROUNDUP(X423/H423,0)*0.01196),"")</f>
        <v/>
      </c>
      <c r="Z423" s="69" t="inlineStr"/>
      <c r="AA423" s="70" t="inlineStr"/>
      <c r="AE423" s="80" t="n"/>
      <c r="BB423" s="324" t="inlineStr">
        <is>
          <t>КИ</t>
        </is>
      </c>
      <c r="BL423" s="80">
        <f>IFERROR(W423*I423/H423,"0")</f>
        <v/>
      </c>
      <c r="BM423" s="80">
        <f>IFERROR(X423*I423/H423,"0")</f>
        <v/>
      </c>
      <c r="BN423" s="80">
        <f>IFERROR(1/J423*(W423/H423),"0")</f>
        <v/>
      </c>
      <c r="BO423" s="80">
        <f>IFERROR(1/J423*(X423/H423),"0")</f>
        <v/>
      </c>
    </row>
    <row r="424" ht="27" customHeight="1">
      <c r="A424" s="64" t="inlineStr">
        <is>
          <t>SU002319</t>
        </is>
      </c>
      <c r="B424" s="64" t="inlineStr">
        <is>
          <t>P004389</t>
        </is>
      </c>
      <c r="C424" s="37" t="n">
        <v>4301020315</v>
      </c>
      <c r="D424" s="401" t="n">
        <v>4607091389364</v>
      </c>
      <c r="E424" s="791" t="n"/>
      <c r="F424" s="825" t="n">
        <v>0.42</v>
      </c>
      <c r="G424" s="38" t="n">
        <v>6</v>
      </c>
      <c r="H424" s="825" t="n">
        <v>2.52</v>
      </c>
      <c r="I424" s="825" t="n">
        <v>2.75</v>
      </c>
      <c r="J424" s="38" t="n">
        <v>156</v>
      </c>
      <c r="K424" s="38" t="inlineStr">
        <is>
          <t>12</t>
        </is>
      </c>
      <c r="L424" s="39" t="inlineStr">
        <is>
          <t>СК2</t>
        </is>
      </c>
      <c r="M424" s="39" t="n"/>
      <c r="N424" s="38" t="n">
        <v>40</v>
      </c>
      <c r="O424" s="1077" t="inlineStr">
        <is>
          <t>Ветчины Балыкбургская срез Балыкбургская Фикс.вес 0,42 Фиброуз в/у Баварушка</t>
        </is>
      </c>
      <c r="P424" s="827" t="n"/>
      <c r="Q424" s="827" t="n"/>
      <c r="R424" s="827" t="n"/>
      <c r="S424" s="791" t="n"/>
      <c r="T424" s="40" t="inlineStr"/>
      <c r="U424" s="40" t="inlineStr"/>
      <c r="V424" s="41" t="inlineStr">
        <is>
          <t>кг</t>
        </is>
      </c>
      <c r="W424" s="828" t="n">
        <v>0</v>
      </c>
      <c r="X424" s="829">
        <f>IFERROR(IF(W424="",0,CEILING((W424/$H424),1)*$H424),"")</f>
        <v/>
      </c>
      <c r="Y424" s="42">
        <f>IFERROR(IF(X424=0,"",ROUNDUP(X424/H424,0)*0.00753),"")</f>
        <v/>
      </c>
      <c r="Z424" s="69" t="inlineStr"/>
      <c r="AA424" s="70" t="inlineStr"/>
      <c r="AE424" s="80" t="n"/>
      <c r="BB424" s="325" t="inlineStr">
        <is>
          <t>КИ</t>
        </is>
      </c>
      <c r="BL424" s="80">
        <f>IFERROR(W424*I424/H424,"0")</f>
        <v/>
      </c>
      <c r="BM424" s="80">
        <f>IFERROR(X424*I424/H424,"0")</f>
        <v/>
      </c>
      <c r="BN424" s="80">
        <f>IFERROR(1/J424*(W424/H424),"0")</f>
        <v/>
      </c>
      <c r="BO424" s="80">
        <f>IFERROR(1/J424*(X424/H424),"0")</f>
        <v/>
      </c>
    </row>
    <row r="425">
      <c r="A425" s="408" t="n"/>
      <c r="B425" s="398" t="n"/>
      <c r="C425" s="398" t="n"/>
      <c r="D425" s="398" t="n"/>
      <c r="E425" s="398" t="n"/>
      <c r="F425" s="398" t="n"/>
      <c r="G425" s="398" t="n"/>
      <c r="H425" s="398" t="n"/>
      <c r="I425" s="398" t="n"/>
      <c r="J425" s="398" t="n"/>
      <c r="K425" s="398" t="n"/>
      <c r="L425" s="398" t="n"/>
      <c r="M425" s="398" t="n"/>
      <c r="N425" s="831" t="n"/>
      <c r="O425" s="832" t="inlineStr">
        <is>
          <t>Итого</t>
        </is>
      </c>
      <c r="P425" s="799" t="n"/>
      <c r="Q425" s="799" t="n"/>
      <c r="R425" s="799" t="n"/>
      <c r="S425" s="799" t="n"/>
      <c r="T425" s="799" t="n"/>
      <c r="U425" s="800" t="n"/>
      <c r="V425" s="43" t="inlineStr">
        <is>
          <t>кор</t>
        </is>
      </c>
      <c r="W425" s="833">
        <f>IFERROR(W423/H423,"0")+IFERROR(W424/H424,"0")</f>
        <v/>
      </c>
      <c r="X425" s="833">
        <f>IFERROR(X423/H423,"0")+IFERROR(X424/H424,"0")</f>
        <v/>
      </c>
      <c r="Y425" s="833">
        <f>IFERROR(IF(Y423="",0,Y423),"0")+IFERROR(IF(Y424="",0,Y424),"0")</f>
        <v/>
      </c>
      <c r="Z425" s="834" t="n"/>
      <c r="AA425" s="834" t="n"/>
    </row>
    <row r="426">
      <c r="A426" s="398" t="n"/>
      <c r="B426" s="398" t="n"/>
      <c r="C426" s="398" t="n"/>
      <c r="D426" s="398" t="n"/>
      <c r="E426" s="398" t="n"/>
      <c r="F426" s="398" t="n"/>
      <c r="G426" s="398" t="n"/>
      <c r="H426" s="398" t="n"/>
      <c r="I426" s="398" t="n"/>
      <c r="J426" s="398" t="n"/>
      <c r="K426" s="398" t="n"/>
      <c r="L426" s="398" t="n"/>
      <c r="M426" s="398" t="n"/>
      <c r="N426" s="831" t="n"/>
      <c r="O426" s="832" t="inlineStr">
        <is>
          <t>Итого</t>
        </is>
      </c>
      <c r="P426" s="799" t="n"/>
      <c r="Q426" s="799" t="n"/>
      <c r="R426" s="799" t="n"/>
      <c r="S426" s="799" t="n"/>
      <c r="T426" s="799" t="n"/>
      <c r="U426" s="800" t="n"/>
      <c r="V426" s="43" t="inlineStr">
        <is>
          <t>кг</t>
        </is>
      </c>
      <c r="W426" s="833">
        <f>IFERROR(SUM(W423:W424),"0")</f>
        <v/>
      </c>
      <c r="X426" s="833">
        <f>IFERROR(SUM(X423:X424),"0")</f>
        <v/>
      </c>
      <c r="Y426" s="43" t="n"/>
      <c r="Z426" s="834" t="n"/>
      <c r="AA426" s="834" t="n"/>
    </row>
    <row r="427" ht="14.25" customHeight="1">
      <c r="A427" s="409" t="inlineStr">
        <is>
          <t>Копченые колбасы</t>
        </is>
      </c>
      <c r="B427" s="398" t="n"/>
      <c r="C427" s="398" t="n"/>
      <c r="D427" s="398" t="n"/>
      <c r="E427" s="398" t="n"/>
      <c r="F427" s="398" t="n"/>
      <c r="G427" s="398" t="n"/>
      <c r="H427" s="398" t="n"/>
      <c r="I427" s="398" t="n"/>
      <c r="J427" s="398" t="n"/>
      <c r="K427" s="398" t="n"/>
      <c r="L427" s="398" t="n"/>
      <c r="M427" s="398" t="n"/>
      <c r="N427" s="398" t="n"/>
      <c r="O427" s="398" t="n"/>
      <c r="P427" s="398" t="n"/>
      <c r="Q427" s="398" t="n"/>
      <c r="R427" s="398" t="n"/>
      <c r="S427" s="398" t="n"/>
      <c r="T427" s="398" t="n"/>
      <c r="U427" s="398" t="n"/>
      <c r="V427" s="398" t="n"/>
      <c r="W427" s="398" t="n"/>
      <c r="X427" s="398" t="n"/>
      <c r="Y427" s="398" t="n"/>
      <c r="Z427" s="409" t="n"/>
      <c r="AA427" s="409" t="n"/>
    </row>
    <row r="428" ht="27" customHeight="1">
      <c r="A428" s="64" t="inlineStr">
        <is>
          <t>SU002612</t>
        </is>
      </c>
      <c r="B428" s="64" t="inlineStr">
        <is>
          <t>P003140</t>
        </is>
      </c>
      <c r="C428" s="37" t="n">
        <v>4301031212</v>
      </c>
      <c r="D428" s="401" t="n">
        <v>4607091389739</v>
      </c>
      <c r="E428" s="791" t="n"/>
      <c r="F428" s="825" t="n">
        <v>0.7</v>
      </c>
      <c r="G428" s="38" t="n">
        <v>6</v>
      </c>
      <c r="H428" s="825" t="n">
        <v>4.2</v>
      </c>
      <c r="I428" s="825" t="n">
        <v>4.43</v>
      </c>
      <c r="J428" s="38" t="n">
        <v>156</v>
      </c>
      <c r="K428" s="38" t="inlineStr">
        <is>
          <t>12</t>
        </is>
      </c>
      <c r="L428" s="39" t="inlineStr">
        <is>
          <t>СК1</t>
        </is>
      </c>
      <c r="M428" s="39" t="n"/>
      <c r="N428" s="38" t="n">
        <v>45</v>
      </c>
      <c r="O428" s="10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P428" s="827" t="n"/>
      <c r="Q428" s="827" t="n"/>
      <c r="R428" s="827" t="n"/>
      <c r="S428" s="791" t="n"/>
      <c r="T428" s="40" t="inlineStr"/>
      <c r="U428" s="40" t="inlineStr"/>
      <c r="V428" s="41" t="inlineStr">
        <is>
          <t>кг</t>
        </is>
      </c>
      <c r="W428" s="828" t="n">
        <v>0</v>
      </c>
      <c r="X428" s="829">
        <f>IFERROR(IF(W428="",0,CEILING((W428/$H428),1)*$H428),"")</f>
        <v/>
      </c>
      <c r="Y428" s="42">
        <f>IFERROR(IF(X428=0,"",ROUNDUP(X428/H428,0)*0.00753),"")</f>
        <v/>
      </c>
      <c r="Z428" s="69" t="inlineStr"/>
      <c r="AA428" s="70" t="inlineStr"/>
      <c r="AE428" s="80" t="n"/>
      <c r="BB428" s="326" t="inlineStr">
        <is>
          <t>КИ</t>
        </is>
      </c>
      <c r="BL428" s="80">
        <f>IFERROR(W428*I428/H428,"0")</f>
        <v/>
      </c>
      <c r="BM428" s="80">
        <f>IFERROR(X428*I428/H428,"0")</f>
        <v/>
      </c>
      <c r="BN428" s="80">
        <f>IFERROR(1/J428*(W428/H428),"0")</f>
        <v/>
      </c>
      <c r="BO428" s="80">
        <f>IFERROR(1/J428*(X428/H428),"0")</f>
        <v/>
      </c>
    </row>
    <row r="429" ht="27" customHeight="1">
      <c r="A429" s="64" t="inlineStr">
        <is>
          <t>SU002612</t>
        </is>
      </c>
      <c r="B429" s="64" t="inlineStr">
        <is>
          <t>P004327</t>
        </is>
      </c>
      <c r="C429" s="37" t="n">
        <v>4301031324</v>
      </c>
      <c r="D429" s="401" t="n">
        <v>4607091389739</v>
      </c>
      <c r="E429" s="791" t="n"/>
      <c r="F429" s="825" t="n">
        <v>0.7</v>
      </c>
      <c r="G429" s="38" t="n">
        <v>6</v>
      </c>
      <c r="H429" s="825" t="n">
        <v>4.2</v>
      </c>
      <c r="I429" s="825" t="n">
        <v>4.43</v>
      </c>
      <c r="J429" s="38" t="n">
        <v>156</v>
      </c>
      <c r="K429" s="38" t="inlineStr">
        <is>
          <t>12</t>
        </is>
      </c>
      <c r="L429" s="39" t="inlineStr">
        <is>
          <t>СК2</t>
        </is>
      </c>
      <c r="M429" s="39" t="n"/>
      <c r="N429" s="38" t="n">
        <v>50</v>
      </c>
      <c r="O429" s="1079" t="inlineStr">
        <is>
          <t>Колбаса варено-копченая Балыкбургская с копченым балыком ТМ Баварушка фиброуз в/у вес СК</t>
        </is>
      </c>
      <c r="P429" s="827" t="n"/>
      <c r="Q429" s="827" t="n"/>
      <c r="R429" s="827" t="n"/>
      <c r="S429" s="791" t="n"/>
      <c r="T429" s="40" t="inlineStr"/>
      <c r="U429" s="40" t="inlineStr"/>
      <c r="V429" s="41" t="inlineStr">
        <is>
          <t>кг</t>
        </is>
      </c>
      <c r="W429" s="828" t="n">
        <v>60</v>
      </c>
      <c r="X429" s="829">
        <f>IFERROR(IF(W429="",0,CEILING((W429/$H429),1)*$H429),"")</f>
        <v/>
      </c>
      <c r="Y429" s="42">
        <f>IFERROR(IF(X429=0,"",ROUNDUP(X429/H429,0)*0.00753),"")</f>
        <v/>
      </c>
      <c r="Z429" s="69" t="inlineStr"/>
      <c r="AA429" s="70" t="inlineStr"/>
      <c r="AE429" s="80" t="n"/>
      <c r="BB429" s="327" t="inlineStr">
        <is>
          <t>КИ</t>
        </is>
      </c>
      <c r="BL429" s="80">
        <f>IFERROR(W429*I429/H429,"0")</f>
        <v/>
      </c>
      <c r="BM429" s="80">
        <f>IFERROR(X429*I429/H429,"0")</f>
        <v/>
      </c>
      <c r="BN429" s="80">
        <f>IFERROR(1/J429*(W429/H429),"0")</f>
        <v/>
      </c>
      <c r="BO429" s="80">
        <f>IFERROR(1/J429*(X429/H429),"0")</f>
        <v/>
      </c>
    </row>
    <row r="430" ht="27" customHeight="1">
      <c r="A430" s="64" t="inlineStr">
        <is>
          <t>SU002545</t>
        </is>
      </c>
      <c r="B430" s="64" t="inlineStr">
        <is>
          <t>P004516</t>
        </is>
      </c>
      <c r="C430" s="37" t="n">
        <v>4301031363</v>
      </c>
      <c r="D430" s="401" t="n">
        <v>4607091389425</v>
      </c>
      <c r="E430" s="791" t="n"/>
      <c r="F430" s="825" t="n">
        <v>0.35</v>
      </c>
      <c r="G430" s="38" t="n">
        <v>6</v>
      </c>
      <c r="H430" s="825" t="n">
        <v>2.1</v>
      </c>
      <c r="I430" s="825" t="n">
        <v>2.23</v>
      </c>
      <c r="J430" s="38" t="n">
        <v>234</v>
      </c>
      <c r="K430" s="38" t="inlineStr">
        <is>
          <t>18</t>
        </is>
      </c>
      <c r="L430" s="39" t="inlineStr">
        <is>
          <t>СК2</t>
        </is>
      </c>
      <c r="M430" s="39" t="n"/>
      <c r="N430" s="38" t="n">
        <v>50</v>
      </c>
      <c r="O430" s="1080" t="inlineStr">
        <is>
          <t>В/к колбасы «Балыкбургская рубленая» Фикс.вес 0,35 фиброуз в/у срез ТМ «Баварушка»</t>
        </is>
      </c>
      <c r="P430" s="827" t="n"/>
      <c r="Q430" s="827" t="n"/>
      <c r="R430" s="827" t="n"/>
      <c r="S430" s="791" t="n"/>
      <c r="T430" s="40" t="inlineStr"/>
      <c r="U430" s="40" t="inlineStr"/>
      <c r="V430" s="41" t="inlineStr">
        <is>
          <t>кг</t>
        </is>
      </c>
      <c r="W430" s="828" t="n">
        <v>0</v>
      </c>
      <c r="X430" s="829">
        <f>IFERROR(IF(W430="",0,CEILING((W430/$H430),1)*$H430),"")</f>
        <v/>
      </c>
      <c r="Y430" s="42">
        <f>IFERROR(IF(X430=0,"",ROUNDUP(X430/H430,0)*0.00502),"")</f>
        <v/>
      </c>
      <c r="Z430" s="69" t="inlineStr"/>
      <c r="AA430" s="70" t="inlineStr"/>
      <c r="AE430" s="80" t="n"/>
      <c r="BB430" s="328" t="inlineStr">
        <is>
          <t>КИ</t>
        </is>
      </c>
      <c r="BL430" s="80">
        <f>IFERROR(W430*I430/H430,"0")</f>
        <v/>
      </c>
      <c r="BM430" s="80">
        <f>IFERROR(X430*I430/H430,"0")</f>
        <v/>
      </c>
      <c r="BN430" s="80">
        <f>IFERROR(1/J430*(W430/H430),"0")</f>
        <v/>
      </c>
      <c r="BO430" s="80">
        <f>IFERROR(1/J430*(X430/H430),"0")</f>
        <v/>
      </c>
    </row>
    <row r="431" ht="27" customHeight="1">
      <c r="A431" s="64" t="inlineStr">
        <is>
          <t>SU002917</t>
        </is>
      </c>
      <c r="B431" s="64" t="inlineStr">
        <is>
          <t>P003343</t>
        </is>
      </c>
      <c r="C431" s="37" t="n">
        <v>4301031215</v>
      </c>
      <c r="D431" s="401" t="n">
        <v>4680115882911</v>
      </c>
      <c r="E431" s="791" t="n"/>
      <c r="F431" s="825" t="n">
        <v>0.4</v>
      </c>
      <c r="G431" s="38" t="n">
        <v>6</v>
      </c>
      <c r="H431" s="825" t="n">
        <v>2.4</v>
      </c>
      <c r="I431" s="825" t="n">
        <v>2.53</v>
      </c>
      <c r="J431" s="38" t="n">
        <v>234</v>
      </c>
      <c r="K431" s="38" t="inlineStr">
        <is>
          <t>18</t>
        </is>
      </c>
      <c r="L431" s="39" t="inlineStr">
        <is>
          <t>СК2</t>
        </is>
      </c>
      <c r="M431" s="39" t="n"/>
      <c r="N431" s="38" t="n">
        <v>40</v>
      </c>
      <c r="O431" s="1081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P431" s="827" t="n"/>
      <c r="Q431" s="827" t="n"/>
      <c r="R431" s="827" t="n"/>
      <c r="S431" s="791" t="n"/>
      <c r="T431" s="40" t="inlineStr"/>
      <c r="U431" s="40" t="inlineStr"/>
      <c r="V431" s="41" t="inlineStr">
        <is>
          <t>кг</t>
        </is>
      </c>
      <c r="W431" s="828" t="n">
        <v>0</v>
      </c>
      <c r="X431" s="829">
        <f>IFERROR(IF(W431="",0,CEILING((W431/$H431),1)*$H431),"")</f>
        <v/>
      </c>
      <c r="Y431" s="42">
        <f>IFERROR(IF(X431=0,"",ROUNDUP(X431/H431,0)*0.00502),"")</f>
        <v/>
      </c>
      <c r="Z431" s="69" t="inlineStr"/>
      <c r="AA431" s="70" t="inlineStr"/>
      <c r="AE431" s="80" t="n"/>
      <c r="BB431" s="329" t="inlineStr">
        <is>
          <t>КИ</t>
        </is>
      </c>
      <c r="BL431" s="80">
        <f>IFERROR(W431*I431/H431,"0")</f>
        <v/>
      </c>
      <c r="BM431" s="80">
        <f>IFERROR(X431*I431/H431,"0")</f>
        <v/>
      </c>
      <c r="BN431" s="80">
        <f>IFERROR(1/J431*(W431/H431),"0")</f>
        <v/>
      </c>
      <c r="BO431" s="80">
        <f>IFERROR(1/J431*(X431/H431),"0")</f>
        <v/>
      </c>
    </row>
    <row r="432" ht="27" customHeight="1">
      <c r="A432" s="64" t="inlineStr">
        <is>
          <t>SU002726</t>
        </is>
      </c>
      <c r="B432" s="64" t="inlineStr">
        <is>
          <t>P003095</t>
        </is>
      </c>
      <c r="C432" s="37" t="n">
        <v>4301031167</v>
      </c>
      <c r="D432" s="401" t="n">
        <v>4680115880771</v>
      </c>
      <c r="E432" s="791" t="n"/>
      <c r="F432" s="825" t="n">
        <v>0.28</v>
      </c>
      <c r="G432" s="38" t="n">
        <v>6</v>
      </c>
      <c r="H432" s="825" t="n">
        <v>1.68</v>
      </c>
      <c r="I432" s="825" t="n">
        <v>1.81</v>
      </c>
      <c r="J432" s="38" t="n">
        <v>234</v>
      </c>
      <c r="K432" s="38" t="inlineStr">
        <is>
          <t>18</t>
        </is>
      </c>
      <c r="L432" s="39" t="inlineStr">
        <is>
          <t>СК2</t>
        </is>
      </c>
      <c r="M432" s="39" t="n"/>
      <c r="N432" s="38" t="n">
        <v>45</v>
      </c>
      <c r="O432" s="10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P432" s="827" t="n"/>
      <c r="Q432" s="827" t="n"/>
      <c r="R432" s="827" t="n"/>
      <c r="S432" s="791" t="n"/>
      <c r="T432" s="40" t="inlineStr"/>
      <c r="U432" s="40" t="inlineStr"/>
      <c r="V432" s="41" t="inlineStr">
        <is>
          <t>кг</t>
        </is>
      </c>
      <c r="W432" s="828" t="n">
        <v>0</v>
      </c>
      <c r="X432" s="829">
        <f>IFERROR(IF(W432="",0,CEILING((W432/$H432),1)*$H432),"")</f>
        <v/>
      </c>
      <c r="Y432" s="42">
        <f>IFERROR(IF(X432=0,"",ROUNDUP(X432/H432,0)*0.00502),"")</f>
        <v/>
      </c>
      <c r="Z432" s="69" t="inlineStr"/>
      <c r="AA432" s="70" t="inlineStr"/>
      <c r="AE432" s="80" t="n"/>
      <c r="BB432" s="330" t="inlineStr">
        <is>
          <t>КИ</t>
        </is>
      </c>
      <c r="BL432" s="80">
        <f>IFERROR(W432*I432/H432,"0")</f>
        <v/>
      </c>
      <c r="BM432" s="80">
        <f>IFERROR(X432*I432/H432,"0")</f>
        <v/>
      </c>
      <c r="BN432" s="80">
        <f>IFERROR(1/J432*(W432/H432),"0")</f>
        <v/>
      </c>
      <c r="BO432" s="80">
        <f>IFERROR(1/J432*(X432/H432),"0")</f>
        <v/>
      </c>
    </row>
    <row r="433" ht="27" customHeight="1">
      <c r="A433" s="64" t="inlineStr">
        <is>
          <t>SU002726</t>
        </is>
      </c>
      <c r="B433" s="64" t="inlineStr">
        <is>
          <t>P004352</t>
        </is>
      </c>
      <c r="C433" s="37" t="n">
        <v>4301031334</v>
      </c>
      <c r="D433" s="401" t="n">
        <v>4680115880771</v>
      </c>
      <c r="E433" s="791" t="n"/>
      <c r="F433" s="825" t="n">
        <v>0.28</v>
      </c>
      <c r="G433" s="38" t="n">
        <v>6</v>
      </c>
      <c r="H433" s="825" t="n">
        <v>1.68</v>
      </c>
      <c r="I433" s="825" t="n">
        <v>1.81</v>
      </c>
      <c r="J433" s="38" t="n">
        <v>234</v>
      </c>
      <c r="K433" s="38" t="inlineStr">
        <is>
          <t>18</t>
        </is>
      </c>
      <c r="L433" s="39" t="inlineStr">
        <is>
          <t>СК2</t>
        </is>
      </c>
      <c r="M433" s="39" t="n"/>
      <c r="N433" s="38" t="n">
        <v>50</v>
      </c>
      <c r="O433" s="1083" t="inlineStr">
        <is>
          <t>В/к колбасы Балыкбургская с копченым балыком срез Балыкбургская Фикс.вес 0,28 фиброуз в/у Баварушка</t>
        </is>
      </c>
      <c r="P433" s="827" t="n"/>
      <c r="Q433" s="827" t="n"/>
      <c r="R433" s="827" t="n"/>
      <c r="S433" s="791" t="n"/>
      <c r="T433" s="40" t="inlineStr"/>
      <c r="U433" s="40" t="inlineStr"/>
      <c r="V433" s="41" t="inlineStr">
        <is>
          <t>кг</t>
        </is>
      </c>
      <c r="W433" s="828" t="n">
        <v>0</v>
      </c>
      <c r="X433" s="829">
        <f>IFERROR(IF(W433="",0,CEILING((W433/$H433),1)*$H433),"")</f>
        <v/>
      </c>
      <c r="Y433" s="42">
        <f>IFERROR(IF(X433=0,"",ROUNDUP(X433/H433,0)*0.00502),"")</f>
        <v/>
      </c>
      <c r="Z433" s="69" t="inlineStr"/>
      <c r="AA433" s="70" t="inlineStr"/>
      <c r="AE433" s="80" t="n"/>
      <c r="BB433" s="331" t="inlineStr">
        <is>
          <t>КИ</t>
        </is>
      </c>
      <c r="BL433" s="80">
        <f>IFERROR(W433*I433/H433,"0")</f>
        <v/>
      </c>
      <c r="BM433" s="80">
        <f>IFERROR(X433*I433/H433,"0")</f>
        <v/>
      </c>
      <c r="BN433" s="80">
        <f>IFERROR(1/J433*(W433/H433),"0")</f>
        <v/>
      </c>
      <c r="BO433" s="80">
        <f>IFERROR(1/J433*(X433/H433),"0")</f>
        <v/>
      </c>
    </row>
    <row r="434" ht="27" customHeight="1">
      <c r="A434" s="64" t="inlineStr">
        <is>
          <t>SU002604</t>
        </is>
      </c>
      <c r="B434" s="64" t="inlineStr">
        <is>
          <t>P003135</t>
        </is>
      </c>
      <c r="C434" s="37" t="n">
        <v>4301031173</v>
      </c>
      <c r="D434" s="401" t="n">
        <v>4607091389500</v>
      </c>
      <c r="E434" s="791" t="n"/>
      <c r="F434" s="825" t="n">
        <v>0.35</v>
      </c>
      <c r="G434" s="38" t="n">
        <v>6</v>
      </c>
      <c r="H434" s="825" t="n">
        <v>2.1</v>
      </c>
      <c r="I434" s="825" t="n">
        <v>2.23</v>
      </c>
      <c r="J434" s="38" t="n">
        <v>234</v>
      </c>
      <c r="K434" s="38" t="inlineStr">
        <is>
          <t>18</t>
        </is>
      </c>
      <c r="L434" s="39" t="inlineStr">
        <is>
          <t>СК2</t>
        </is>
      </c>
      <c r="M434" s="39" t="n"/>
      <c r="N434" s="38" t="n">
        <v>45</v>
      </c>
      <c r="O434" s="108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P434" s="827" t="n"/>
      <c r="Q434" s="827" t="n"/>
      <c r="R434" s="827" t="n"/>
      <c r="S434" s="791" t="n"/>
      <c r="T434" s="40" t="inlineStr"/>
      <c r="U434" s="40" t="inlineStr"/>
      <c r="V434" s="41" t="inlineStr">
        <is>
          <t>кг</t>
        </is>
      </c>
      <c r="W434" s="828" t="n">
        <v>17.5</v>
      </c>
      <c r="X434" s="829">
        <f>IFERROR(IF(W434="",0,CEILING((W434/$H434),1)*$H434),"")</f>
        <v/>
      </c>
      <c r="Y434" s="42">
        <f>IFERROR(IF(X434=0,"",ROUNDUP(X434/H434,0)*0.00502),"")</f>
        <v/>
      </c>
      <c r="Z434" s="69" t="inlineStr"/>
      <c r="AA434" s="70" t="inlineStr"/>
      <c r="AE434" s="80" t="n"/>
      <c r="BB434" s="332" t="inlineStr">
        <is>
          <t>КИ</t>
        </is>
      </c>
      <c r="BL434" s="80">
        <f>IFERROR(W434*I434/H434,"0")</f>
        <v/>
      </c>
      <c r="BM434" s="80">
        <f>IFERROR(X434*I434/H434,"0")</f>
        <v/>
      </c>
      <c r="BN434" s="80">
        <f>IFERROR(1/J434*(W434/H434),"0")</f>
        <v/>
      </c>
      <c r="BO434" s="80">
        <f>IFERROR(1/J434*(X434/H434),"0")</f>
        <v/>
      </c>
    </row>
    <row r="435" ht="27" customHeight="1">
      <c r="A435" s="64" t="inlineStr">
        <is>
          <t>SU002604</t>
        </is>
      </c>
      <c r="B435" s="64" t="inlineStr">
        <is>
          <t>P004339</t>
        </is>
      </c>
      <c r="C435" s="37" t="n">
        <v>4301031327</v>
      </c>
      <c r="D435" s="401" t="n">
        <v>4607091389500</v>
      </c>
      <c r="E435" s="791" t="n"/>
      <c r="F435" s="825" t="n">
        <v>0.35</v>
      </c>
      <c r="G435" s="38" t="n">
        <v>6</v>
      </c>
      <c r="H435" s="825" t="n">
        <v>2.1</v>
      </c>
      <c r="I435" s="825" t="n">
        <v>2.23</v>
      </c>
      <c r="J435" s="38" t="n">
        <v>234</v>
      </c>
      <c r="K435" s="38" t="inlineStr">
        <is>
          <t>18</t>
        </is>
      </c>
      <c r="L435" s="39" t="inlineStr">
        <is>
          <t>СК2</t>
        </is>
      </c>
      <c r="M435" s="39" t="n"/>
      <c r="N435" s="38" t="n">
        <v>50</v>
      </c>
      <c r="O435" s="1085" t="inlineStr">
        <is>
          <t>В/к колбасы Балыкбургская с копченым балыком срез Балыкбургская Фикс.вес 0,35 фиброуз в/у Баварушка</t>
        </is>
      </c>
      <c r="P435" s="827" t="n"/>
      <c r="Q435" s="827" t="n"/>
      <c r="R435" s="827" t="n"/>
      <c r="S435" s="791" t="n"/>
      <c r="T435" s="40" t="inlineStr"/>
      <c r="U435" s="40" t="inlineStr"/>
      <c r="V435" s="41" t="inlineStr">
        <is>
          <t>кг</t>
        </is>
      </c>
      <c r="W435" s="828" t="n">
        <v>0</v>
      </c>
      <c r="X435" s="829">
        <f>IFERROR(IF(W435="",0,CEILING((W435/$H435),1)*$H435),"")</f>
        <v/>
      </c>
      <c r="Y435" s="42">
        <f>IFERROR(IF(X435=0,"",ROUNDUP(X435/H435,0)*0.00502),"")</f>
        <v/>
      </c>
      <c r="Z435" s="69" t="inlineStr"/>
      <c r="AA435" s="70" t="inlineStr"/>
      <c r="AE435" s="80" t="n"/>
      <c r="BB435" s="333" t="inlineStr">
        <is>
          <t>КИ</t>
        </is>
      </c>
      <c r="BL435" s="80">
        <f>IFERROR(W435*I435/H435,"0")</f>
        <v/>
      </c>
      <c r="BM435" s="80">
        <f>IFERROR(X435*I435/H435,"0")</f>
        <v/>
      </c>
      <c r="BN435" s="80">
        <f>IFERROR(1/J435*(W435/H435),"0")</f>
        <v/>
      </c>
      <c r="BO435" s="80">
        <f>IFERROR(1/J435*(X435/H435),"0")</f>
        <v/>
      </c>
    </row>
    <row r="436">
      <c r="A436" s="408" t="n"/>
      <c r="B436" s="398" t="n"/>
      <c r="C436" s="398" t="n"/>
      <c r="D436" s="398" t="n"/>
      <c r="E436" s="398" t="n"/>
      <c r="F436" s="398" t="n"/>
      <c r="G436" s="398" t="n"/>
      <c r="H436" s="398" t="n"/>
      <c r="I436" s="398" t="n"/>
      <c r="J436" s="398" t="n"/>
      <c r="K436" s="398" t="n"/>
      <c r="L436" s="398" t="n"/>
      <c r="M436" s="398" t="n"/>
      <c r="N436" s="831" t="n"/>
      <c r="O436" s="832" t="inlineStr">
        <is>
          <t>Итого</t>
        </is>
      </c>
      <c r="P436" s="799" t="n"/>
      <c r="Q436" s="799" t="n"/>
      <c r="R436" s="799" t="n"/>
      <c r="S436" s="799" t="n"/>
      <c r="T436" s="799" t="n"/>
      <c r="U436" s="800" t="n"/>
      <c r="V436" s="43" t="inlineStr">
        <is>
          <t>кор</t>
        </is>
      </c>
      <c r="W436" s="833">
        <f>IFERROR(W428/H428,"0")+IFERROR(W429/H429,"0")+IFERROR(W430/H430,"0")+IFERROR(W431/H431,"0")+IFERROR(W432/H432,"0")+IFERROR(W433/H433,"0")+IFERROR(W434/H434,"0")+IFERROR(W435/H435,"0")</f>
        <v/>
      </c>
      <c r="X436" s="833">
        <f>IFERROR(X428/H428,"0")+IFERROR(X429/H429,"0")+IFERROR(X430/H430,"0")+IFERROR(X431/H431,"0")+IFERROR(X432/H432,"0")+IFERROR(X433/H433,"0")+IFERROR(X434/H434,"0")+IFERROR(X435/H435,"0")</f>
        <v/>
      </c>
      <c r="Y436" s="833">
        <f>IFERROR(IF(Y428="",0,Y428),"0")+IFERROR(IF(Y429="",0,Y429),"0")+IFERROR(IF(Y430="",0,Y430),"0")+IFERROR(IF(Y431="",0,Y431),"0")+IFERROR(IF(Y432="",0,Y432),"0")+IFERROR(IF(Y433="",0,Y433),"0")+IFERROR(IF(Y434="",0,Y434),"0")+IFERROR(IF(Y435="",0,Y435),"0")</f>
        <v/>
      </c>
      <c r="Z436" s="834" t="n"/>
      <c r="AA436" s="834" t="n"/>
    </row>
    <row r="437">
      <c r="A437" s="398" t="n"/>
      <c r="B437" s="398" t="n"/>
      <c r="C437" s="398" t="n"/>
      <c r="D437" s="398" t="n"/>
      <c r="E437" s="398" t="n"/>
      <c r="F437" s="398" t="n"/>
      <c r="G437" s="398" t="n"/>
      <c r="H437" s="398" t="n"/>
      <c r="I437" s="398" t="n"/>
      <c r="J437" s="398" t="n"/>
      <c r="K437" s="398" t="n"/>
      <c r="L437" s="398" t="n"/>
      <c r="M437" s="398" t="n"/>
      <c r="N437" s="831" t="n"/>
      <c r="O437" s="832" t="inlineStr">
        <is>
          <t>Итого</t>
        </is>
      </c>
      <c r="P437" s="799" t="n"/>
      <c r="Q437" s="799" t="n"/>
      <c r="R437" s="799" t="n"/>
      <c r="S437" s="799" t="n"/>
      <c r="T437" s="799" t="n"/>
      <c r="U437" s="800" t="n"/>
      <c r="V437" s="43" t="inlineStr">
        <is>
          <t>кг</t>
        </is>
      </c>
      <c r="W437" s="833">
        <f>IFERROR(SUM(W428:W435),"0")</f>
        <v/>
      </c>
      <c r="X437" s="833">
        <f>IFERROR(SUM(X428:X435),"0")</f>
        <v/>
      </c>
      <c r="Y437" s="43" t="n"/>
      <c r="Z437" s="834" t="n"/>
      <c r="AA437" s="834" t="n"/>
    </row>
    <row r="438" ht="14.25" customHeight="1">
      <c r="A438" s="409" t="inlineStr">
        <is>
          <t>Сырокопченые колбасы</t>
        </is>
      </c>
      <c r="B438" s="398" t="n"/>
      <c r="C438" s="398" t="n"/>
      <c r="D438" s="398" t="n"/>
      <c r="E438" s="398" t="n"/>
      <c r="F438" s="398" t="n"/>
      <c r="G438" s="398" t="n"/>
      <c r="H438" s="398" t="n"/>
      <c r="I438" s="398" t="n"/>
      <c r="J438" s="398" t="n"/>
      <c r="K438" s="398" t="n"/>
      <c r="L438" s="398" t="n"/>
      <c r="M438" s="398" t="n"/>
      <c r="N438" s="398" t="n"/>
      <c r="O438" s="398" t="n"/>
      <c r="P438" s="398" t="n"/>
      <c r="Q438" s="398" t="n"/>
      <c r="R438" s="398" t="n"/>
      <c r="S438" s="398" t="n"/>
      <c r="T438" s="398" t="n"/>
      <c r="U438" s="398" t="n"/>
      <c r="V438" s="398" t="n"/>
      <c r="W438" s="398" t="n"/>
      <c r="X438" s="398" t="n"/>
      <c r="Y438" s="398" t="n"/>
      <c r="Z438" s="409" t="n"/>
      <c r="AA438" s="409" t="n"/>
    </row>
    <row r="439" ht="27" customHeight="1">
      <c r="A439" s="64" t="inlineStr">
        <is>
          <t>SU003280</t>
        </is>
      </c>
      <c r="B439" s="64" t="inlineStr">
        <is>
          <t>P003776</t>
        </is>
      </c>
      <c r="C439" s="37" t="n">
        <v>4301032046</v>
      </c>
      <c r="D439" s="401" t="n">
        <v>4680115884359</v>
      </c>
      <c r="E439" s="791" t="n"/>
      <c r="F439" s="825" t="n">
        <v>0.06</v>
      </c>
      <c r="G439" s="38" t="n">
        <v>20</v>
      </c>
      <c r="H439" s="825" t="n">
        <v>1.2</v>
      </c>
      <c r="I439" s="825" t="n">
        <v>1.8</v>
      </c>
      <c r="J439" s="38" t="n">
        <v>200</v>
      </c>
      <c r="K439" s="38" t="inlineStr">
        <is>
          <t>10</t>
        </is>
      </c>
      <c r="L439" s="39" t="inlineStr">
        <is>
          <t>ДК</t>
        </is>
      </c>
      <c r="M439" s="39" t="n"/>
      <c r="N439" s="38" t="n">
        <v>60</v>
      </c>
      <c r="O439" s="1086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P439" s="827" t="n"/>
      <c r="Q439" s="827" t="n"/>
      <c r="R439" s="827" t="n"/>
      <c r="S439" s="791" t="n"/>
      <c r="T439" s="40" t="inlineStr"/>
      <c r="U439" s="40" t="inlineStr"/>
      <c r="V439" s="41" t="inlineStr">
        <is>
          <t>кг</t>
        </is>
      </c>
      <c r="W439" s="828" t="n">
        <v>3</v>
      </c>
      <c r="X439" s="829">
        <f>IFERROR(IF(W439="",0,CEILING((W439/$H439),1)*$H439),"")</f>
        <v/>
      </c>
      <c r="Y439" s="42">
        <f>IFERROR(IF(X439=0,"",ROUNDUP(X439/H439,0)*0.00627),"")</f>
        <v/>
      </c>
      <c r="Z439" s="69" t="inlineStr"/>
      <c r="AA439" s="70" t="inlineStr"/>
      <c r="AE439" s="80" t="n"/>
      <c r="BB439" s="334" t="inlineStr">
        <is>
          <t>КИ</t>
        </is>
      </c>
      <c r="BL439" s="80">
        <f>IFERROR(W439*I439/H439,"0")</f>
        <v/>
      </c>
      <c r="BM439" s="80">
        <f>IFERROR(X439*I439/H439,"0")</f>
        <v/>
      </c>
      <c r="BN439" s="80">
        <f>IFERROR(1/J439*(W439/H439),"0")</f>
        <v/>
      </c>
      <c r="BO439" s="80">
        <f>IFERROR(1/J439*(X439/H439),"0")</f>
        <v/>
      </c>
    </row>
    <row r="440" ht="27" customHeight="1">
      <c r="A440" s="64" t="inlineStr">
        <is>
          <t>SU003315</t>
        </is>
      </c>
      <c r="B440" s="64" t="inlineStr">
        <is>
          <t>P004036</t>
        </is>
      </c>
      <c r="C440" s="37" t="n">
        <v>4301040358</v>
      </c>
      <c r="D440" s="401" t="n">
        <v>4680115884571</v>
      </c>
      <c r="E440" s="791" t="n"/>
      <c r="F440" s="825" t="n">
        <v>0.1</v>
      </c>
      <c r="G440" s="38" t="n">
        <v>20</v>
      </c>
      <c r="H440" s="825" t="n">
        <v>2</v>
      </c>
      <c r="I440" s="825" t="n">
        <v>2.6</v>
      </c>
      <c r="J440" s="38" t="n">
        <v>200</v>
      </c>
      <c r="K440" s="38" t="inlineStr">
        <is>
          <t>10</t>
        </is>
      </c>
      <c r="L440" s="39" t="inlineStr">
        <is>
          <t>ДК</t>
        </is>
      </c>
      <c r="M440" s="39" t="n"/>
      <c r="N440" s="38" t="n">
        <v>60</v>
      </c>
      <c r="O440" s="1087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/>
      </c>
      <c r="P440" s="827" t="n"/>
      <c r="Q440" s="827" t="n"/>
      <c r="R440" s="827" t="n"/>
      <c r="S440" s="791" t="n"/>
      <c r="T440" s="40" t="inlineStr"/>
      <c r="U440" s="40" t="inlineStr"/>
      <c r="V440" s="41" t="inlineStr">
        <is>
          <t>кг</t>
        </is>
      </c>
      <c r="W440" s="828" t="n">
        <v>0</v>
      </c>
      <c r="X440" s="829">
        <f>IFERROR(IF(W440="",0,CEILING((W440/$H440),1)*$H440),"")</f>
        <v/>
      </c>
      <c r="Y440" s="42">
        <f>IFERROR(IF(X440=0,"",ROUNDUP(X440/H440,0)*0.00627),"")</f>
        <v/>
      </c>
      <c r="Z440" s="69" t="inlineStr"/>
      <c r="AA440" s="70" t="inlineStr"/>
      <c r="AE440" s="80" t="n"/>
      <c r="BB440" s="335" t="inlineStr">
        <is>
          <t>КИ</t>
        </is>
      </c>
      <c r="BL440" s="80">
        <f>IFERROR(W440*I440/H440,"0")</f>
        <v/>
      </c>
      <c r="BM440" s="80">
        <f>IFERROR(X440*I440/H440,"0")</f>
        <v/>
      </c>
      <c r="BN440" s="80">
        <f>IFERROR(1/J440*(W440/H440),"0")</f>
        <v/>
      </c>
      <c r="BO440" s="80">
        <f>IFERROR(1/J440*(X440/H440),"0")</f>
        <v/>
      </c>
    </row>
    <row r="441">
      <c r="A441" s="408" t="n"/>
      <c r="B441" s="398" t="n"/>
      <c r="C441" s="398" t="n"/>
      <c r="D441" s="398" t="n"/>
      <c r="E441" s="398" t="n"/>
      <c r="F441" s="398" t="n"/>
      <c r="G441" s="398" t="n"/>
      <c r="H441" s="398" t="n"/>
      <c r="I441" s="398" t="n"/>
      <c r="J441" s="398" t="n"/>
      <c r="K441" s="398" t="n"/>
      <c r="L441" s="398" t="n"/>
      <c r="M441" s="398" t="n"/>
      <c r="N441" s="831" t="n"/>
      <c r="O441" s="832" t="inlineStr">
        <is>
          <t>Итого</t>
        </is>
      </c>
      <c r="P441" s="799" t="n"/>
      <c r="Q441" s="799" t="n"/>
      <c r="R441" s="799" t="n"/>
      <c r="S441" s="799" t="n"/>
      <c r="T441" s="799" t="n"/>
      <c r="U441" s="800" t="n"/>
      <c r="V441" s="43" t="inlineStr">
        <is>
          <t>кор</t>
        </is>
      </c>
      <c r="W441" s="833">
        <f>IFERROR(W439/H439,"0")+IFERROR(W440/H440,"0")</f>
        <v/>
      </c>
      <c r="X441" s="833">
        <f>IFERROR(X439/H439,"0")+IFERROR(X440/H440,"0")</f>
        <v/>
      </c>
      <c r="Y441" s="833">
        <f>IFERROR(IF(Y439="",0,Y439),"0")+IFERROR(IF(Y440="",0,Y440),"0")</f>
        <v/>
      </c>
      <c r="Z441" s="834" t="n"/>
      <c r="AA441" s="834" t="n"/>
    </row>
    <row r="442">
      <c r="A442" s="398" t="n"/>
      <c r="B442" s="398" t="n"/>
      <c r="C442" s="398" t="n"/>
      <c r="D442" s="398" t="n"/>
      <c r="E442" s="398" t="n"/>
      <c r="F442" s="398" t="n"/>
      <c r="G442" s="398" t="n"/>
      <c r="H442" s="398" t="n"/>
      <c r="I442" s="398" t="n"/>
      <c r="J442" s="398" t="n"/>
      <c r="K442" s="398" t="n"/>
      <c r="L442" s="398" t="n"/>
      <c r="M442" s="398" t="n"/>
      <c r="N442" s="831" t="n"/>
      <c r="O442" s="832" t="inlineStr">
        <is>
          <t>Итого</t>
        </is>
      </c>
      <c r="P442" s="799" t="n"/>
      <c r="Q442" s="799" t="n"/>
      <c r="R442" s="799" t="n"/>
      <c r="S442" s="799" t="n"/>
      <c r="T442" s="799" t="n"/>
      <c r="U442" s="800" t="n"/>
      <c r="V442" s="43" t="inlineStr">
        <is>
          <t>кг</t>
        </is>
      </c>
      <c r="W442" s="833">
        <f>IFERROR(SUM(W439:W440),"0")</f>
        <v/>
      </c>
      <c r="X442" s="833">
        <f>IFERROR(SUM(X439:X440),"0")</f>
        <v/>
      </c>
      <c r="Y442" s="43" t="n"/>
      <c r="Z442" s="834" t="n"/>
      <c r="AA442" s="834" t="n"/>
    </row>
    <row r="443" ht="14.25" customHeight="1">
      <c r="A443" s="409" t="inlineStr">
        <is>
          <t>Сыровяленые колбасы</t>
        </is>
      </c>
      <c r="B443" s="398" t="n"/>
      <c r="C443" s="398" t="n"/>
      <c r="D443" s="398" t="n"/>
      <c r="E443" s="398" t="n"/>
      <c r="F443" s="398" t="n"/>
      <c r="G443" s="398" t="n"/>
      <c r="H443" s="398" t="n"/>
      <c r="I443" s="398" t="n"/>
      <c r="J443" s="398" t="n"/>
      <c r="K443" s="398" t="n"/>
      <c r="L443" s="398" t="n"/>
      <c r="M443" s="398" t="n"/>
      <c r="N443" s="398" t="n"/>
      <c r="O443" s="398" t="n"/>
      <c r="P443" s="398" t="n"/>
      <c r="Q443" s="398" t="n"/>
      <c r="R443" s="398" t="n"/>
      <c r="S443" s="398" t="n"/>
      <c r="T443" s="398" t="n"/>
      <c r="U443" s="398" t="n"/>
      <c r="V443" s="398" t="n"/>
      <c r="W443" s="398" t="n"/>
      <c r="X443" s="398" t="n"/>
      <c r="Y443" s="398" t="n"/>
      <c r="Z443" s="409" t="n"/>
      <c r="AA443" s="409" t="n"/>
    </row>
    <row r="444" ht="27" customHeight="1">
      <c r="A444" s="64" t="inlineStr">
        <is>
          <t>SU003279</t>
        </is>
      </c>
      <c r="B444" s="64" t="inlineStr">
        <is>
          <t>P003773</t>
        </is>
      </c>
      <c r="C444" s="37" t="n">
        <v>4301170010</v>
      </c>
      <c r="D444" s="401" t="n">
        <v>4680115884090</v>
      </c>
      <c r="E444" s="791" t="n"/>
      <c r="F444" s="825" t="n">
        <v>0.11</v>
      </c>
      <c r="G444" s="38" t="n">
        <v>12</v>
      </c>
      <c r="H444" s="825" t="n">
        <v>1.32</v>
      </c>
      <c r="I444" s="825" t="n">
        <v>1.88</v>
      </c>
      <c r="J444" s="38" t="n">
        <v>200</v>
      </c>
      <c r="K444" s="38" t="inlineStr">
        <is>
          <t>10</t>
        </is>
      </c>
      <c r="L444" s="39" t="inlineStr">
        <is>
          <t>ДК</t>
        </is>
      </c>
      <c r="M444" s="39" t="n"/>
      <c r="N444" s="38" t="n">
        <v>150</v>
      </c>
      <c r="O444" s="1088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P444" s="827" t="n"/>
      <c r="Q444" s="827" t="n"/>
      <c r="R444" s="827" t="n"/>
      <c r="S444" s="791" t="n"/>
      <c r="T444" s="40" t="inlineStr"/>
      <c r="U444" s="40" t="inlineStr"/>
      <c r="V444" s="41" t="inlineStr">
        <is>
          <t>кг</t>
        </is>
      </c>
      <c r="W444" s="828" t="n">
        <v>5.5</v>
      </c>
      <c r="X444" s="829">
        <f>IFERROR(IF(W444="",0,CEILING((W444/$H444),1)*$H444),"")</f>
        <v/>
      </c>
      <c r="Y444" s="42">
        <f>IFERROR(IF(X444=0,"",ROUNDUP(X444/H444,0)*0.00627),"")</f>
        <v/>
      </c>
      <c r="Z444" s="69" t="inlineStr"/>
      <c r="AA444" s="70" t="inlineStr"/>
      <c r="AE444" s="80" t="n"/>
      <c r="BB444" s="336" t="inlineStr">
        <is>
          <t>КИ</t>
        </is>
      </c>
      <c r="BL444" s="80">
        <f>IFERROR(W444*I444/H444,"0")</f>
        <v/>
      </c>
      <c r="BM444" s="80">
        <f>IFERROR(X444*I444/H444,"0")</f>
        <v/>
      </c>
      <c r="BN444" s="80">
        <f>IFERROR(1/J444*(W444/H444),"0")</f>
        <v/>
      </c>
      <c r="BO444" s="80">
        <f>IFERROR(1/J444*(X444/H444),"0")</f>
        <v/>
      </c>
    </row>
    <row r="445">
      <c r="A445" s="408" t="n"/>
      <c r="B445" s="398" t="n"/>
      <c r="C445" s="398" t="n"/>
      <c r="D445" s="398" t="n"/>
      <c r="E445" s="398" t="n"/>
      <c r="F445" s="398" t="n"/>
      <c r="G445" s="398" t="n"/>
      <c r="H445" s="398" t="n"/>
      <c r="I445" s="398" t="n"/>
      <c r="J445" s="398" t="n"/>
      <c r="K445" s="398" t="n"/>
      <c r="L445" s="398" t="n"/>
      <c r="M445" s="398" t="n"/>
      <c r="N445" s="831" t="n"/>
      <c r="O445" s="832" t="inlineStr">
        <is>
          <t>Итого</t>
        </is>
      </c>
      <c r="P445" s="799" t="n"/>
      <c r="Q445" s="799" t="n"/>
      <c r="R445" s="799" t="n"/>
      <c r="S445" s="799" t="n"/>
      <c r="T445" s="799" t="n"/>
      <c r="U445" s="800" t="n"/>
      <c r="V445" s="43" t="inlineStr">
        <is>
          <t>кор</t>
        </is>
      </c>
      <c r="W445" s="833">
        <f>IFERROR(W444/H444,"0")</f>
        <v/>
      </c>
      <c r="X445" s="833">
        <f>IFERROR(X444/H444,"0")</f>
        <v/>
      </c>
      <c r="Y445" s="833">
        <f>IFERROR(IF(Y444="",0,Y444),"0")</f>
        <v/>
      </c>
      <c r="Z445" s="834" t="n"/>
      <c r="AA445" s="834" t="n"/>
    </row>
    <row r="446">
      <c r="A446" s="398" t="n"/>
      <c r="B446" s="398" t="n"/>
      <c r="C446" s="398" t="n"/>
      <c r="D446" s="398" t="n"/>
      <c r="E446" s="398" t="n"/>
      <c r="F446" s="398" t="n"/>
      <c r="G446" s="398" t="n"/>
      <c r="H446" s="398" t="n"/>
      <c r="I446" s="398" t="n"/>
      <c r="J446" s="398" t="n"/>
      <c r="K446" s="398" t="n"/>
      <c r="L446" s="398" t="n"/>
      <c r="M446" s="398" t="n"/>
      <c r="N446" s="831" t="n"/>
      <c r="O446" s="832" t="inlineStr">
        <is>
          <t>Итого</t>
        </is>
      </c>
      <c r="P446" s="799" t="n"/>
      <c r="Q446" s="799" t="n"/>
      <c r="R446" s="799" t="n"/>
      <c r="S446" s="799" t="n"/>
      <c r="T446" s="799" t="n"/>
      <c r="U446" s="800" t="n"/>
      <c r="V446" s="43" t="inlineStr">
        <is>
          <t>кг</t>
        </is>
      </c>
      <c r="W446" s="833">
        <f>IFERROR(SUM(W444:W444),"0")</f>
        <v/>
      </c>
      <c r="X446" s="833">
        <f>IFERROR(SUM(X444:X444),"0")</f>
        <v/>
      </c>
      <c r="Y446" s="43" t="n"/>
      <c r="Z446" s="834" t="n"/>
      <c r="AA446" s="834" t="n"/>
    </row>
    <row r="447" ht="14.25" customHeight="1">
      <c r="A447" s="409" t="inlineStr">
        <is>
          <t>Деликатесы с/к</t>
        </is>
      </c>
      <c r="B447" s="398" t="n"/>
      <c r="C447" s="398" t="n"/>
      <c r="D447" s="398" t="n"/>
      <c r="E447" s="398" t="n"/>
      <c r="F447" s="398" t="n"/>
      <c r="G447" s="398" t="n"/>
      <c r="H447" s="398" t="n"/>
      <c r="I447" s="398" t="n"/>
      <c r="J447" s="398" t="n"/>
      <c r="K447" s="398" t="n"/>
      <c r="L447" s="398" t="n"/>
      <c r="M447" s="398" t="n"/>
      <c r="N447" s="398" t="n"/>
      <c r="O447" s="398" t="n"/>
      <c r="P447" s="398" t="n"/>
      <c r="Q447" s="398" t="n"/>
      <c r="R447" s="398" t="n"/>
      <c r="S447" s="398" t="n"/>
      <c r="T447" s="398" t="n"/>
      <c r="U447" s="398" t="n"/>
      <c r="V447" s="398" t="n"/>
      <c r="W447" s="398" t="n"/>
      <c r="X447" s="398" t="n"/>
      <c r="Y447" s="398" t="n"/>
      <c r="Z447" s="409" t="n"/>
      <c r="AA447" s="409" t="n"/>
    </row>
    <row r="448" ht="27" customHeight="1">
      <c r="A448" s="64" t="inlineStr">
        <is>
          <t>SU003314</t>
        </is>
      </c>
      <c r="B448" s="64" t="inlineStr">
        <is>
          <t>P004035</t>
        </is>
      </c>
      <c r="C448" s="37" t="n">
        <v>4301040357</v>
      </c>
      <c r="D448" s="401" t="n">
        <v>4680115884564</v>
      </c>
      <c r="E448" s="791" t="n"/>
      <c r="F448" s="825" t="n">
        <v>0.15</v>
      </c>
      <c r="G448" s="38" t="n">
        <v>20</v>
      </c>
      <c r="H448" s="825" t="n">
        <v>3</v>
      </c>
      <c r="I448" s="825" t="n">
        <v>3.6</v>
      </c>
      <c r="J448" s="38" t="n">
        <v>200</v>
      </c>
      <c r="K448" s="38" t="inlineStr">
        <is>
          <t>10</t>
        </is>
      </c>
      <c r="L448" s="39" t="inlineStr">
        <is>
          <t>ДК</t>
        </is>
      </c>
      <c r="M448" s="39" t="n"/>
      <c r="N448" s="38" t="n">
        <v>60</v>
      </c>
      <c r="O448" s="1089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/>
      </c>
      <c r="P448" s="827" t="n"/>
      <c r="Q448" s="827" t="n"/>
      <c r="R448" s="827" t="n"/>
      <c r="S448" s="791" t="n"/>
      <c r="T448" s="40" t="inlineStr"/>
      <c r="U448" s="40" t="inlineStr"/>
      <c r="V448" s="41" t="inlineStr">
        <is>
          <t>кг</t>
        </is>
      </c>
      <c r="W448" s="828" t="n">
        <v>0</v>
      </c>
      <c r="X448" s="829">
        <f>IFERROR(IF(W448="",0,CEILING((W448/$H448),1)*$H448),"")</f>
        <v/>
      </c>
      <c r="Y448" s="42">
        <f>IFERROR(IF(X448=0,"",ROUNDUP(X448/H448,0)*0.00627),"")</f>
        <v/>
      </c>
      <c r="Z448" s="69" t="inlineStr"/>
      <c r="AA448" s="70" t="inlineStr"/>
      <c r="AE448" s="80" t="n"/>
      <c r="BB448" s="337" t="inlineStr">
        <is>
          <t>КИ</t>
        </is>
      </c>
      <c r="BL448" s="80">
        <f>IFERROR(W448*I448/H448,"0")</f>
        <v/>
      </c>
      <c r="BM448" s="80">
        <f>IFERROR(X448*I448/H448,"0")</f>
        <v/>
      </c>
      <c r="BN448" s="80">
        <f>IFERROR(1/J448*(W448/H448),"0")</f>
        <v/>
      </c>
      <c r="BO448" s="80">
        <f>IFERROR(1/J448*(X448/H448),"0")</f>
        <v/>
      </c>
    </row>
    <row r="449">
      <c r="A449" s="408" t="n"/>
      <c r="B449" s="398" t="n"/>
      <c r="C449" s="398" t="n"/>
      <c r="D449" s="398" t="n"/>
      <c r="E449" s="398" t="n"/>
      <c r="F449" s="398" t="n"/>
      <c r="G449" s="398" t="n"/>
      <c r="H449" s="398" t="n"/>
      <c r="I449" s="398" t="n"/>
      <c r="J449" s="398" t="n"/>
      <c r="K449" s="398" t="n"/>
      <c r="L449" s="398" t="n"/>
      <c r="M449" s="398" t="n"/>
      <c r="N449" s="831" t="n"/>
      <c r="O449" s="832" t="inlineStr">
        <is>
          <t>Итого</t>
        </is>
      </c>
      <c r="P449" s="799" t="n"/>
      <c r="Q449" s="799" t="n"/>
      <c r="R449" s="799" t="n"/>
      <c r="S449" s="799" t="n"/>
      <c r="T449" s="799" t="n"/>
      <c r="U449" s="800" t="n"/>
      <c r="V449" s="43" t="inlineStr">
        <is>
          <t>кор</t>
        </is>
      </c>
      <c r="W449" s="833">
        <f>IFERROR(W448/H448,"0")</f>
        <v/>
      </c>
      <c r="X449" s="833">
        <f>IFERROR(X448/H448,"0")</f>
        <v/>
      </c>
      <c r="Y449" s="833">
        <f>IFERROR(IF(Y448="",0,Y448),"0")</f>
        <v/>
      </c>
      <c r="Z449" s="834" t="n"/>
      <c r="AA449" s="834" t="n"/>
    </row>
    <row r="450">
      <c r="A450" s="398" t="n"/>
      <c r="B450" s="398" t="n"/>
      <c r="C450" s="398" t="n"/>
      <c r="D450" s="398" t="n"/>
      <c r="E450" s="398" t="n"/>
      <c r="F450" s="398" t="n"/>
      <c r="G450" s="398" t="n"/>
      <c r="H450" s="398" t="n"/>
      <c r="I450" s="398" t="n"/>
      <c r="J450" s="398" t="n"/>
      <c r="K450" s="398" t="n"/>
      <c r="L450" s="398" t="n"/>
      <c r="M450" s="398" t="n"/>
      <c r="N450" s="831" t="n"/>
      <c r="O450" s="832" t="inlineStr">
        <is>
          <t>Итого</t>
        </is>
      </c>
      <c r="P450" s="799" t="n"/>
      <c r="Q450" s="799" t="n"/>
      <c r="R450" s="799" t="n"/>
      <c r="S450" s="799" t="n"/>
      <c r="T450" s="799" t="n"/>
      <c r="U450" s="800" t="n"/>
      <c r="V450" s="43" t="inlineStr">
        <is>
          <t>кг</t>
        </is>
      </c>
      <c r="W450" s="833">
        <f>IFERROR(SUM(W448:W448),"0")</f>
        <v/>
      </c>
      <c r="X450" s="833">
        <f>IFERROR(SUM(X448:X448),"0")</f>
        <v/>
      </c>
      <c r="Y450" s="43" t="n"/>
      <c r="Z450" s="834" t="n"/>
      <c r="AA450" s="834" t="n"/>
    </row>
    <row r="451" ht="16.5" customHeight="1">
      <c r="A451" s="439" t="inlineStr">
        <is>
          <t>Краковюрст</t>
        </is>
      </c>
      <c r="B451" s="398" t="n"/>
      <c r="C451" s="398" t="n"/>
      <c r="D451" s="398" t="n"/>
      <c r="E451" s="398" t="n"/>
      <c r="F451" s="398" t="n"/>
      <c r="G451" s="398" t="n"/>
      <c r="H451" s="398" t="n"/>
      <c r="I451" s="398" t="n"/>
      <c r="J451" s="398" t="n"/>
      <c r="K451" s="398" t="n"/>
      <c r="L451" s="398" t="n"/>
      <c r="M451" s="398" t="n"/>
      <c r="N451" s="398" t="n"/>
      <c r="O451" s="398" t="n"/>
      <c r="P451" s="398" t="n"/>
      <c r="Q451" s="398" t="n"/>
      <c r="R451" s="398" t="n"/>
      <c r="S451" s="398" t="n"/>
      <c r="T451" s="398" t="n"/>
      <c r="U451" s="398" t="n"/>
      <c r="V451" s="398" t="n"/>
      <c r="W451" s="398" t="n"/>
      <c r="X451" s="398" t="n"/>
      <c r="Y451" s="398" t="n"/>
      <c r="Z451" s="439" t="n"/>
      <c r="AA451" s="439" t="n"/>
    </row>
    <row r="452" ht="14.25" customHeight="1">
      <c r="A452" s="409" t="inlineStr">
        <is>
          <t>Копченые колбасы</t>
        </is>
      </c>
      <c r="B452" s="398" t="n"/>
      <c r="C452" s="398" t="n"/>
      <c r="D452" s="398" t="n"/>
      <c r="E452" s="398" t="n"/>
      <c r="F452" s="398" t="n"/>
      <c r="G452" s="398" t="n"/>
      <c r="H452" s="398" t="n"/>
      <c r="I452" s="398" t="n"/>
      <c r="J452" s="398" t="n"/>
      <c r="K452" s="398" t="n"/>
      <c r="L452" s="398" t="n"/>
      <c r="M452" s="398" t="n"/>
      <c r="N452" s="398" t="n"/>
      <c r="O452" s="398" t="n"/>
      <c r="P452" s="398" t="n"/>
      <c r="Q452" s="398" t="n"/>
      <c r="R452" s="398" t="n"/>
      <c r="S452" s="398" t="n"/>
      <c r="T452" s="398" t="n"/>
      <c r="U452" s="398" t="n"/>
      <c r="V452" s="398" t="n"/>
      <c r="W452" s="398" t="n"/>
      <c r="X452" s="398" t="n"/>
      <c r="Y452" s="398" t="n"/>
      <c r="Z452" s="409" t="n"/>
      <c r="AA452" s="409" t="n"/>
    </row>
    <row r="453" ht="27" customHeight="1">
      <c r="A453" s="64" t="inlineStr">
        <is>
          <t>SU003345</t>
        </is>
      </c>
      <c r="B453" s="64" t="inlineStr">
        <is>
          <t>P004143</t>
        </is>
      </c>
      <c r="C453" s="37" t="n">
        <v>4301031294</v>
      </c>
      <c r="D453" s="401" t="n">
        <v>4680115885189</v>
      </c>
      <c r="E453" s="791" t="n"/>
      <c r="F453" s="825" t="n">
        <v>0.2</v>
      </c>
      <c r="G453" s="38" t="n">
        <v>6</v>
      </c>
      <c r="H453" s="825" t="n">
        <v>1.2</v>
      </c>
      <c r="I453" s="825" t="n">
        <v>1.372</v>
      </c>
      <c r="J453" s="38" t="n">
        <v>234</v>
      </c>
      <c r="K453" s="38" t="inlineStr">
        <is>
          <t>18</t>
        </is>
      </c>
      <c r="L453" s="39" t="inlineStr">
        <is>
          <t>СК2</t>
        </is>
      </c>
      <c r="M453" s="39" t="n"/>
      <c r="N453" s="38" t="n">
        <v>40</v>
      </c>
      <c r="O453" s="1090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P453" s="827" t="n"/>
      <c r="Q453" s="827" t="n"/>
      <c r="R453" s="827" t="n"/>
      <c r="S453" s="791" t="n"/>
      <c r="T453" s="40" t="inlineStr"/>
      <c r="U453" s="40" t="inlineStr"/>
      <c r="V453" s="41" t="inlineStr">
        <is>
          <t>кг</t>
        </is>
      </c>
      <c r="W453" s="828" t="n">
        <v>8</v>
      </c>
      <c r="X453" s="829">
        <f>IFERROR(IF(W453="",0,CEILING((W453/$H453),1)*$H453),"")</f>
        <v/>
      </c>
      <c r="Y453" s="42">
        <f>IFERROR(IF(X453=0,"",ROUNDUP(X453/H453,0)*0.00502),"")</f>
        <v/>
      </c>
      <c r="Z453" s="69" t="inlineStr"/>
      <c r="AA453" s="70" t="inlineStr"/>
      <c r="AE453" s="80" t="n"/>
      <c r="BB453" s="338" t="inlineStr">
        <is>
          <t>КИ</t>
        </is>
      </c>
      <c r="BL453" s="80">
        <f>IFERROR(W453*I453/H453,"0")</f>
        <v/>
      </c>
      <c r="BM453" s="80">
        <f>IFERROR(X453*I453/H453,"0")</f>
        <v/>
      </c>
      <c r="BN453" s="80">
        <f>IFERROR(1/J453*(W453/H453),"0")</f>
        <v/>
      </c>
      <c r="BO453" s="80">
        <f>IFERROR(1/J453*(X453/H453),"0")</f>
        <v/>
      </c>
    </row>
    <row r="454" ht="27" customHeight="1">
      <c r="A454" s="64" t="inlineStr">
        <is>
          <t>SU003344</t>
        </is>
      </c>
      <c r="B454" s="64" t="inlineStr">
        <is>
          <t>P004142</t>
        </is>
      </c>
      <c r="C454" s="37" t="n">
        <v>4301031293</v>
      </c>
      <c r="D454" s="401" t="n">
        <v>4680115885172</v>
      </c>
      <c r="E454" s="791" t="n"/>
      <c r="F454" s="825" t="n">
        <v>0.2</v>
      </c>
      <c r="G454" s="38" t="n">
        <v>6</v>
      </c>
      <c r="H454" s="825" t="n">
        <v>1.2</v>
      </c>
      <c r="I454" s="825" t="n">
        <v>1.3</v>
      </c>
      <c r="J454" s="38" t="n">
        <v>234</v>
      </c>
      <c r="K454" s="38" t="inlineStr">
        <is>
          <t>18</t>
        </is>
      </c>
      <c r="L454" s="39" t="inlineStr">
        <is>
          <t>СК2</t>
        </is>
      </c>
      <c r="M454" s="39" t="n"/>
      <c r="N454" s="38" t="n">
        <v>40</v>
      </c>
      <c r="O454" s="1091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P454" s="827" t="n"/>
      <c r="Q454" s="827" t="n"/>
      <c r="R454" s="827" t="n"/>
      <c r="S454" s="791" t="n"/>
      <c r="T454" s="40" t="inlineStr"/>
      <c r="U454" s="40" t="inlineStr"/>
      <c r="V454" s="41" t="inlineStr">
        <is>
          <t>кг</t>
        </is>
      </c>
      <c r="W454" s="828" t="n">
        <v>8</v>
      </c>
      <c r="X454" s="829">
        <f>IFERROR(IF(W454="",0,CEILING((W454/$H454),1)*$H454),"")</f>
        <v/>
      </c>
      <c r="Y454" s="42">
        <f>IFERROR(IF(X454=0,"",ROUNDUP(X454/H454,0)*0.00502),"")</f>
        <v/>
      </c>
      <c r="Z454" s="69" t="inlineStr"/>
      <c r="AA454" s="70" t="inlineStr"/>
      <c r="AE454" s="80" t="n"/>
      <c r="BB454" s="339" t="inlineStr">
        <is>
          <t>КИ</t>
        </is>
      </c>
      <c r="BL454" s="80">
        <f>IFERROR(W454*I454/H454,"0")</f>
        <v/>
      </c>
      <c r="BM454" s="80">
        <f>IFERROR(X454*I454/H454,"0")</f>
        <v/>
      </c>
      <c r="BN454" s="80">
        <f>IFERROR(1/J454*(W454/H454),"0")</f>
        <v/>
      </c>
      <c r="BO454" s="80">
        <f>IFERROR(1/J454*(X454/H454),"0")</f>
        <v/>
      </c>
    </row>
    <row r="455" ht="27" customHeight="1">
      <c r="A455" s="64" t="inlineStr">
        <is>
          <t>SU003342</t>
        </is>
      </c>
      <c r="B455" s="64" t="inlineStr">
        <is>
          <t>P004140</t>
        </is>
      </c>
      <c r="C455" s="37" t="n">
        <v>4301031291</v>
      </c>
      <c r="D455" s="401" t="n">
        <v>4680115885110</v>
      </c>
      <c r="E455" s="791" t="n"/>
      <c r="F455" s="825" t="n">
        <v>0.2</v>
      </c>
      <c r="G455" s="38" t="n">
        <v>6</v>
      </c>
      <c r="H455" s="825" t="n">
        <v>1.2</v>
      </c>
      <c r="I455" s="825" t="n">
        <v>2.02</v>
      </c>
      <c r="J455" s="38" t="n">
        <v>234</v>
      </c>
      <c r="K455" s="38" t="inlineStr">
        <is>
          <t>18</t>
        </is>
      </c>
      <c r="L455" s="39" t="inlineStr">
        <is>
          <t>СК2</t>
        </is>
      </c>
      <c r="M455" s="39" t="n"/>
      <c r="N455" s="38" t="n">
        <v>35</v>
      </c>
      <c r="O455" s="1092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P455" s="827" t="n"/>
      <c r="Q455" s="827" t="n"/>
      <c r="R455" s="827" t="n"/>
      <c r="S455" s="791" t="n"/>
      <c r="T455" s="40" t="inlineStr"/>
      <c r="U455" s="40" t="inlineStr"/>
      <c r="V455" s="41" t="inlineStr">
        <is>
          <t>кг</t>
        </is>
      </c>
      <c r="W455" s="828" t="n">
        <v>16</v>
      </c>
      <c r="X455" s="829">
        <f>IFERROR(IF(W455="",0,CEILING((W455/$H455),1)*$H455),"")</f>
        <v/>
      </c>
      <c r="Y455" s="42">
        <f>IFERROR(IF(X455=0,"",ROUNDUP(X455/H455,0)*0.00502),"")</f>
        <v/>
      </c>
      <c r="Z455" s="69" t="inlineStr"/>
      <c r="AA455" s="70" t="inlineStr"/>
      <c r="AE455" s="80" t="n"/>
      <c r="BB455" s="340" t="inlineStr">
        <is>
          <t>КИ</t>
        </is>
      </c>
      <c r="BL455" s="80">
        <f>IFERROR(W455*I455/H455,"0")</f>
        <v/>
      </c>
      <c r="BM455" s="80">
        <f>IFERROR(X455*I455/H455,"0")</f>
        <v/>
      </c>
      <c r="BN455" s="80">
        <f>IFERROR(1/J455*(W455/H455),"0")</f>
        <v/>
      </c>
      <c r="BO455" s="80">
        <f>IFERROR(1/J455*(X455/H455),"0")</f>
        <v/>
      </c>
    </row>
    <row r="456">
      <c r="A456" s="408" t="n"/>
      <c r="B456" s="398" t="n"/>
      <c r="C456" s="398" t="n"/>
      <c r="D456" s="398" t="n"/>
      <c r="E456" s="398" t="n"/>
      <c r="F456" s="398" t="n"/>
      <c r="G456" s="398" t="n"/>
      <c r="H456" s="398" t="n"/>
      <c r="I456" s="398" t="n"/>
      <c r="J456" s="398" t="n"/>
      <c r="K456" s="398" t="n"/>
      <c r="L456" s="398" t="n"/>
      <c r="M456" s="398" t="n"/>
      <c r="N456" s="831" t="n"/>
      <c r="O456" s="832" t="inlineStr">
        <is>
          <t>Итого</t>
        </is>
      </c>
      <c r="P456" s="799" t="n"/>
      <c r="Q456" s="799" t="n"/>
      <c r="R456" s="799" t="n"/>
      <c r="S456" s="799" t="n"/>
      <c r="T456" s="799" t="n"/>
      <c r="U456" s="800" t="n"/>
      <c r="V456" s="43" t="inlineStr">
        <is>
          <t>кор</t>
        </is>
      </c>
      <c r="W456" s="833">
        <f>IFERROR(W453/H453,"0")+IFERROR(W454/H454,"0")+IFERROR(W455/H455,"0")</f>
        <v/>
      </c>
      <c r="X456" s="833">
        <f>IFERROR(X453/H453,"0")+IFERROR(X454/H454,"0")+IFERROR(X455/H455,"0")</f>
        <v/>
      </c>
      <c r="Y456" s="833">
        <f>IFERROR(IF(Y453="",0,Y453),"0")+IFERROR(IF(Y454="",0,Y454),"0")+IFERROR(IF(Y455="",0,Y455),"0")</f>
        <v/>
      </c>
      <c r="Z456" s="834" t="n"/>
      <c r="AA456" s="834" t="n"/>
    </row>
    <row r="457">
      <c r="A457" s="398" t="n"/>
      <c r="B457" s="398" t="n"/>
      <c r="C457" s="398" t="n"/>
      <c r="D457" s="398" t="n"/>
      <c r="E457" s="398" t="n"/>
      <c r="F457" s="398" t="n"/>
      <c r="G457" s="398" t="n"/>
      <c r="H457" s="398" t="n"/>
      <c r="I457" s="398" t="n"/>
      <c r="J457" s="398" t="n"/>
      <c r="K457" s="398" t="n"/>
      <c r="L457" s="398" t="n"/>
      <c r="M457" s="398" t="n"/>
      <c r="N457" s="831" t="n"/>
      <c r="O457" s="832" t="inlineStr">
        <is>
          <t>Итого</t>
        </is>
      </c>
      <c r="P457" s="799" t="n"/>
      <c r="Q457" s="799" t="n"/>
      <c r="R457" s="799" t="n"/>
      <c r="S457" s="799" t="n"/>
      <c r="T457" s="799" t="n"/>
      <c r="U457" s="800" t="n"/>
      <c r="V457" s="43" t="inlineStr">
        <is>
          <t>кг</t>
        </is>
      </c>
      <c r="W457" s="833">
        <f>IFERROR(SUM(W453:W455),"0")</f>
        <v/>
      </c>
      <c r="X457" s="833">
        <f>IFERROR(SUM(X453:X455),"0")</f>
        <v/>
      </c>
      <c r="Y457" s="43" t="n"/>
      <c r="Z457" s="834" t="n"/>
      <c r="AA457" s="834" t="n"/>
    </row>
    <row r="458" ht="16.5" customHeight="1">
      <c r="A458" s="439" t="inlineStr">
        <is>
          <t>Бюргерсы</t>
        </is>
      </c>
      <c r="B458" s="398" t="n"/>
      <c r="C458" s="398" t="n"/>
      <c r="D458" s="398" t="n"/>
      <c r="E458" s="398" t="n"/>
      <c r="F458" s="398" t="n"/>
      <c r="G458" s="398" t="n"/>
      <c r="H458" s="398" t="n"/>
      <c r="I458" s="398" t="n"/>
      <c r="J458" s="398" t="n"/>
      <c r="K458" s="398" t="n"/>
      <c r="L458" s="398" t="n"/>
      <c r="M458" s="398" t="n"/>
      <c r="N458" s="398" t="n"/>
      <c r="O458" s="398" t="n"/>
      <c r="P458" s="398" t="n"/>
      <c r="Q458" s="398" t="n"/>
      <c r="R458" s="398" t="n"/>
      <c r="S458" s="398" t="n"/>
      <c r="T458" s="398" t="n"/>
      <c r="U458" s="398" t="n"/>
      <c r="V458" s="398" t="n"/>
      <c r="W458" s="398" t="n"/>
      <c r="X458" s="398" t="n"/>
      <c r="Y458" s="398" t="n"/>
      <c r="Z458" s="439" t="n"/>
      <c r="AA458" s="439" t="n"/>
    </row>
    <row r="459" ht="14.25" customHeight="1">
      <c r="A459" s="409" t="inlineStr">
        <is>
          <t>Копченые колбасы</t>
        </is>
      </c>
      <c r="B459" s="398" t="n"/>
      <c r="C459" s="398" t="n"/>
      <c r="D459" s="398" t="n"/>
      <c r="E459" s="398" t="n"/>
      <c r="F459" s="398" t="n"/>
      <c r="G459" s="398" t="n"/>
      <c r="H459" s="398" t="n"/>
      <c r="I459" s="398" t="n"/>
      <c r="J459" s="398" t="n"/>
      <c r="K459" s="398" t="n"/>
      <c r="L459" s="398" t="n"/>
      <c r="M459" s="398" t="n"/>
      <c r="N459" s="398" t="n"/>
      <c r="O459" s="398" t="n"/>
      <c r="P459" s="398" t="n"/>
      <c r="Q459" s="398" t="n"/>
      <c r="R459" s="398" t="n"/>
      <c r="S459" s="398" t="n"/>
      <c r="T459" s="398" t="n"/>
      <c r="U459" s="398" t="n"/>
      <c r="V459" s="398" t="n"/>
      <c r="W459" s="398" t="n"/>
      <c r="X459" s="398" t="n"/>
      <c r="Y459" s="398" t="n"/>
      <c r="Z459" s="409" t="n"/>
      <c r="AA459" s="409" t="n"/>
    </row>
    <row r="460" ht="27" customHeight="1">
      <c r="A460" s="64" t="inlineStr">
        <is>
          <t>SU003614</t>
        </is>
      </c>
      <c r="B460" s="64" t="inlineStr">
        <is>
          <t>P004536</t>
        </is>
      </c>
      <c r="C460" s="37" t="n">
        <v>4301031365</v>
      </c>
      <c r="D460" s="401" t="n">
        <v>4680115885738</v>
      </c>
      <c r="E460" s="791" t="n"/>
      <c r="F460" s="825" t="n">
        <v>1</v>
      </c>
      <c r="G460" s="38" t="n">
        <v>4</v>
      </c>
      <c r="H460" s="825" t="n">
        <v>4</v>
      </c>
      <c r="I460" s="825" t="n">
        <v>4.36</v>
      </c>
      <c r="J460" s="38" t="n">
        <v>104</v>
      </c>
      <c r="K460" s="38" t="inlineStr">
        <is>
          <t>8</t>
        </is>
      </c>
      <c r="L460" s="39" t="inlineStr">
        <is>
          <t>СК2</t>
        </is>
      </c>
      <c r="M460" s="39" t="n"/>
      <c r="N460" s="38" t="n">
        <v>40</v>
      </c>
      <c r="O460" s="1093" t="inlineStr">
        <is>
          <t>П/к колбасы «Колбаски Бюргерсы с сыром» Весовой н/о ТМ «Баварушка»</t>
        </is>
      </c>
      <c r="P460" s="827" t="n"/>
      <c r="Q460" s="827" t="n"/>
      <c r="R460" s="827" t="n"/>
      <c r="S460" s="791" t="n"/>
      <c r="T460" s="40" t="inlineStr"/>
      <c r="U460" s="40" t="inlineStr"/>
      <c r="V460" s="41" t="inlineStr">
        <is>
          <t>кг</t>
        </is>
      </c>
      <c r="W460" s="828" t="n">
        <v>0</v>
      </c>
      <c r="X460" s="829">
        <f>IFERROR(IF(W460="",0,CEILING((W460/$H460),1)*$H460),"")</f>
        <v/>
      </c>
      <c r="Y460" s="42">
        <f>IFERROR(IF(X460=0,"",ROUNDUP(X460/H460,0)*0.01196),"")</f>
        <v/>
      </c>
      <c r="Z460" s="69" t="inlineStr"/>
      <c r="AA460" s="70" t="inlineStr"/>
      <c r="AE460" s="80" t="n"/>
      <c r="BB460" s="341" t="inlineStr">
        <is>
          <t>КИ</t>
        </is>
      </c>
      <c r="BL460" s="80">
        <f>IFERROR(W460*I460/H460,"0")</f>
        <v/>
      </c>
      <c r="BM460" s="80">
        <f>IFERROR(X460*I460/H460,"0")</f>
        <v/>
      </c>
      <c r="BN460" s="80">
        <f>IFERROR(1/J460*(W460/H460),"0")</f>
        <v/>
      </c>
      <c r="BO460" s="80">
        <f>IFERROR(1/J460*(X460/H460),"0")</f>
        <v/>
      </c>
    </row>
    <row r="461" ht="27" customHeight="1">
      <c r="A461" s="64" t="inlineStr">
        <is>
          <t>SU003132</t>
        </is>
      </c>
      <c r="B461" s="64" t="inlineStr">
        <is>
          <t>P003718</t>
        </is>
      </c>
      <c r="C461" s="37" t="n">
        <v>4301031261</v>
      </c>
      <c r="D461" s="401" t="n">
        <v>4680115885103</v>
      </c>
      <c r="E461" s="791" t="n"/>
      <c r="F461" s="825" t="n">
        <v>0.27</v>
      </c>
      <c r="G461" s="38" t="n">
        <v>6</v>
      </c>
      <c r="H461" s="825" t="n">
        <v>1.62</v>
      </c>
      <c r="I461" s="825" t="n">
        <v>1.82</v>
      </c>
      <c r="J461" s="38" t="n">
        <v>156</v>
      </c>
      <c r="K461" s="38" t="inlineStr">
        <is>
          <t>12</t>
        </is>
      </c>
      <c r="L461" s="39" t="inlineStr">
        <is>
          <t>СК2</t>
        </is>
      </c>
      <c r="M461" s="39" t="n"/>
      <c r="N461" s="38" t="n">
        <v>40</v>
      </c>
      <c r="O461" s="1094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P461" s="827" t="n"/>
      <c r="Q461" s="827" t="n"/>
      <c r="R461" s="827" t="n"/>
      <c r="S461" s="791" t="n"/>
      <c r="T461" s="40" t="inlineStr"/>
      <c r="U461" s="40" t="inlineStr"/>
      <c r="V461" s="41" t="inlineStr">
        <is>
          <t>кг</t>
        </is>
      </c>
      <c r="W461" s="828" t="n">
        <v>0</v>
      </c>
      <c r="X461" s="829">
        <f>IFERROR(IF(W461="",0,CEILING((W461/$H461),1)*$H461),"")</f>
        <v/>
      </c>
      <c r="Y461" s="42">
        <f>IFERROR(IF(X461=0,"",ROUNDUP(X461/H461,0)*0.00753),"")</f>
        <v/>
      </c>
      <c r="Z461" s="69" t="inlineStr"/>
      <c r="AA461" s="70" t="inlineStr"/>
      <c r="AE461" s="80" t="n"/>
      <c r="BB461" s="342" t="inlineStr">
        <is>
          <t>КИ</t>
        </is>
      </c>
      <c r="BL461" s="80">
        <f>IFERROR(W461*I461/H461,"0")</f>
        <v/>
      </c>
      <c r="BM461" s="80">
        <f>IFERROR(X461*I461/H461,"0")</f>
        <v/>
      </c>
      <c r="BN461" s="80">
        <f>IFERROR(1/J461*(W461/H461),"0")</f>
        <v/>
      </c>
      <c r="BO461" s="80">
        <f>IFERROR(1/J461*(X461/H461),"0")</f>
        <v/>
      </c>
    </row>
    <row r="462">
      <c r="A462" s="408" t="n"/>
      <c r="B462" s="398" t="n"/>
      <c r="C462" s="398" t="n"/>
      <c r="D462" s="398" t="n"/>
      <c r="E462" s="398" t="n"/>
      <c r="F462" s="398" t="n"/>
      <c r="G462" s="398" t="n"/>
      <c r="H462" s="398" t="n"/>
      <c r="I462" s="398" t="n"/>
      <c r="J462" s="398" t="n"/>
      <c r="K462" s="398" t="n"/>
      <c r="L462" s="398" t="n"/>
      <c r="M462" s="398" t="n"/>
      <c r="N462" s="831" t="n"/>
      <c r="O462" s="832" t="inlineStr">
        <is>
          <t>Итого</t>
        </is>
      </c>
      <c r="P462" s="799" t="n"/>
      <c r="Q462" s="799" t="n"/>
      <c r="R462" s="799" t="n"/>
      <c r="S462" s="799" t="n"/>
      <c r="T462" s="799" t="n"/>
      <c r="U462" s="800" t="n"/>
      <c r="V462" s="43" t="inlineStr">
        <is>
          <t>кор</t>
        </is>
      </c>
      <c r="W462" s="833">
        <f>IFERROR(W460/H460,"0")+IFERROR(W461/H461,"0")</f>
        <v/>
      </c>
      <c r="X462" s="833">
        <f>IFERROR(X460/H460,"0")+IFERROR(X461/H461,"0")</f>
        <v/>
      </c>
      <c r="Y462" s="833">
        <f>IFERROR(IF(Y460="",0,Y460),"0")+IFERROR(IF(Y461="",0,Y461),"0")</f>
        <v/>
      </c>
      <c r="Z462" s="834" t="n"/>
      <c r="AA462" s="834" t="n"/>
    </row>
    <row r="463">
      <c r="A463" s="398" t="n"/>
      <c r="B463" s="398" t="n"/>
      <c r="C463" s="398" t="n"/>
      <c r="D463" s="398" t="n"/>
      <c r="E463" s="398" t="n"/>
      <c r="F463" s="398" t="n"/>
      <c r="G463" s="398" t="n"/>
      <c r="H463" s="398" t="n"/>
      <c r="I463" s="398" t="n"/>
      <c r="J463" s="398" t="n"/>
      <c r="K463" s="398" t="n"/>
      <c r="L463" s="398" t="n"/>
      <c r="M463" s="398" t="n"/>
      <c r="N463" s="831" t="n"/>
      <c r="O463" s="832" t="inlineStr">
        <is>
          <t>Итого</t>
        </is>
      </c>
      <c r="P463" s="799" t="n"/>
      <c r="Q463" s="799" t="n"/>
      <c r="R463" s="799" t="n"/>
      <c r="S463" s="799" t="n"/>
      <c r="T463" s="799" t="n"/>
      <c r="U463" s="800" t="n"/>
      <c r="V463" s="43" t="inlineStr">
        <is>
          <t>кг</t>
        </is>
      </c>
      <c r="W463" s="833">
        <f>IFERROR(SUM(W460:W461),"0")</f>
        <v/>
      </c>
      <c r="X463" s="833">
        <f>IFERROR(SUM(X460:X461),"0")</f>
        <v/>
      </c>
      <c r="Y463" s="43" t="n"/>
      <c r="Z463" s="834" t="n"/>
      <c r="AA463" s="834" t="n"/>
    </row>
    <row r="464" ht="14.25" customHeight="1">
      <c r="A464" s="409" t="inlineStr">
        <is>
          <t>Сардельки</t>
        </is>
      </c>
      <c r="B464" s="398" t="n"/>
      <c r="C464" s="398" t="n"/>
      <c r="D464" s="398" t="n"/>
      <c r="E464" s="398" t="n"/>
      <c r="F464" s="398" t="n"/>
      <c r="G464" s="398" t="n"/>
      <c r="H464" s="398" t="n"/>
      <c r="I464" s="398" t="n"/>
      <c r="J464" s="398" t="n"/>
      <c r="K464" s="398" t="n"/>
      <c r="L464" s="398" t="n"/>
      <c r="M464" s="398" t="n"/>
      <c r="N464" s="398" t="n"/>
      <c r="O464" s="398" t="n"/>
      <c r="P464" s="398" t="n"/>
      <c r="Q464" s="398" t="n"/>
      <c r="R464" s="398" t="n"/>
      <c r="S464" s="398" t="n"/>
      <c r="T464" s="398" t="n"/>
      <c r="U464" s="398" t="n"/>
      <c r="V464" s="398" t="n"/>
      <c r="W464" s="398" t="n"/>
      <c r="X464" s="398" t="n"/>
      <c r="Y464" s="398" t="n"/>
      <c r="Z464" s="409" t="n"/>
      <c r="AA464" s="409" t="n"/>
    </row>
    <row r="465" ht="27" customHeight="1">
      <c r="A465" s="64" t="inlineStr">
        <is>
          <t>SU002437</t>
        </is>
      </c>
      <c r="B465" s="64" t="inlineStr">
        <is>
          <t>P004446</t>
        </is>
      </c>
      <c r="C465" s="37" t="n">
        <v>4301060412</v>
      </c>
      <c r="D465" s="401" t="n">
        <v>4680115885509</v>
      </c>
      <c r="E465" s="791" t="n"/>
      <c r="F465" s="825" t="n">
        <v>0.27</v>
      </c>
      <c r="G465" s="38" t="n">
        <v>6</v>
      </c>
      <c r="H465" s="825" t="n">
        <v>1.62</v>
      </c>
      <c r="I465" s="825" t="n">
        <v>1.886</v>
      </c>
      <c r="J465" s="38" t="n">
        <v>156</v>
      </c>
      <c r="K465" s="38" t="inlineStr">
        <is>
          <t>12</t>
        </is>
      </c>
      <c r="L465" s="39" t="inlineStr">
        <is>
          <t>СК2</t>
        </is>
      </c>
      <c r="M465" s="39" t="n"/>
      <c r="N465" s="38" t="n">
        <v>35</v>
      </c>
      <c r="O465" s="1095" t="inlineStr">
        <is>
          <t>Сардельки «Шпикачки Бюргерсы с натуральным шпиком» ф/в 0,27 н/о ТМ «Баварушка»</t>
        </is>
      </c>
      <c r="P465" s="827" t="n"/>
      <c r="Q465" s="827" t="n"/>
      <c r="R465" s="827" t="n"/>
      <c r="S465" s="791" t="n"/>
      <c r="T465" s="40" t="inlineStr"/>
      <c r="U465" s="40" t="inlineStr"/>
      <c r="V465" s="41" t="inlineStr">
        <is>
          <t>кг</t>
        </is>
      </c>
      <c r="W465" s="828" t="n">
        <v>0</v>
      </c>
      <c r="X465" s="829">
        <f>IFERROR(IF(W465="",0,CEILING((W465/$H465),1)*$H465),"")</f>
        <v/>
      </c>
      <c r="Y465" s="42">
        <f>IFERROR(IF(X465=0,"",ROUNDUP(X465/H465,0)*0.00753),"")</f>
        <v/>
      </c>
      <c r="Z465" s="69" t="inlineStr"/>
      <c r="AA465" s="70" t="inlineStr"/>
      <c r="AE465" s="80" t="n"/>
      <c r="BB465" s="343" t="inlineStr">
        <is>
          <t>КИ</t>
        </is>
      </c>
      <c r="BL465" s="80">
        <f>IFERROR(W465*I465/H465,"0")</f>
        <v/>
      </c>
      <c r="BM465" s="80">
        <f>IFERROR(X465*I465/H465,"0")</f>
        <v/>
      </c>
      <c r="BN465" s="80">
        <f>IFERROR(1/J465*(W465/H465),"0")</f>
        <v/>
      </c>
      <c r="BO465" s="80">
        <f>IFERROR(1/J465*(X465/H465),"0")</f>
        <v/>
      </c>
    </row>
    <row r="466">
      <c r="A466" s="408" t="n"/>
      <c r="B466" s="398" t="n"/>
      <c r="C466" s="398" t="n"/>
      <c r="D466" s="398" t="n"/>
      <c r="E466" s="398" t="n"/>
      <c r="F466" s="398" t="n"/>
      <c r="G466" s="398" t="n"/>
      <c r="H466" s="398" t="n"/>
      <c r="I466" s="398" t="n"/>
      <c r="J466" s="398" t="n"/>
      <c r="K466" s="398" t="n"/>
      <c r="L466" s="398" t="n"/>
      <c r="M466" s="398" t="n"/>
      <c r="N466" s="831" t="n"/>
      <c r="O466" s="832" t="inlineStr">
        <is>
          <t>Итого</t>
        </is>
      </c>
      <c r="P466" s="799" t="n"/>
      <c r="Q466" s="799" t="n"/>
      <c r="R466" s="799" t="n"/>
      <c r="S466" s="799" t="n"/>
      <c r="T466" s="799" t="n"/>
      <c r="U466" s="800" t="n"/>
      <c r="V466" s="43" t="inlineStr">
        <is>
          <t>кор</t>
        </is>
      </c>
      <c r="W466" s="833">
        <f>IFERROR(W465/H465,"0")</f>
        <v/>
      </c>
      <c r="X466" s="833">
        <f>IFERROR(X465/H465,"0")</f>
        <v/>
      </c>
      <c r="Y466" s="833">
        <f>IFERROR(IF(Y465="",0,Y465),"0")</f>
        <v/>
      </c>
      <c r="Z466" s="834" t="n"/>
      <c r="AA466" s="834" t="n"/>
    </row>
    <row r="467">
      <c r="A467" s="398" t="n"/>
      <c r="B467" s="398" t="n"/>
      <c r="C467" s="398" t="n"/>
      <c r="D467" s="398" t="n"/>
      <c r="E467" s="398" t="n"/>
      <c r="F467" s="398" t="n"/>
      <c r="G467" s="398" t="n"/>
      <c r="H467" s="398" t="n"/>
      <c r="I467" s="398" t="n"/>
      <c r="J467" s="398" t="n"/>
      <c r="K467" s="398" t="n"/>
      <c r="L467" s="398" t="n"/>
      <c r="M467" s="398" t="n"/>
      <c r="N467" s="831" t="n"/>
      <c r="O467" s="832" t="inlineStr">
        <is>
          <t>Итого</t>
        </is>
      </c>
      <c r="P467" s="799" t="n"/>
      <c r="Q467" s="799" t="n"/>
      <c r="R467" s="799" t="n"/>
      <c r="S467" s="799" t="n"/>
      <c r="T467" s="799" t="n"/>
      <c r="U467" s="800" t="n"/>
      <c r="V467" s="43" t="inlineStr">
        <is>
          <t>кг</t>
        </is>
      </c>
      <c r="W467" s="833">
        <f>IFERROR(SUM(W465:W465),"0")</f>
        <v/>
      </c>
      <c r="X467" s="833">
        <f>IFERROR(SUM(X465:X465),"0")</f>
        <v/>
      </c>
      <c r="Y467" s="43" t="n"/>
      <c r="Z467" s="834" t="n"/>
      <c r="AA467" s="834" t="n"/>
    </row>
    <row r="468" ht="27.75" customHeight="1">
      <c r="A468" s="438" t="inlineStr">
        <is>
          <t>Дугушка</t>
        </is>
      </c>
      <c r="B468" s="824" t="n"/>
      <c r="C468" s="824" t="n"/>
      <c r="D468" s="824" t="n"/>
      <c r="E468" s="824" t="n"/>
      <c r="F468" s="824" t="n"/>
      <c r="G468" s="824" t="n"/>
      <c r="H468" s="824" t="n"/>
      <c r="I468" s="824" t="n"/>
      <c r="J468" s="824" t="n"/>
      <c r="K468" s="824" t="n"/>
      <c r="L468" s="824" t="n"/>
      <c r="M468" s="824" t="n"/>
      <c r="N468" s="824" t="n"/>
      <c r="O468" s="824" t="n"/>
      <c r="P468" s="824" t="n"/>
      <c r="Q468" s="824" t="n"/>
      <c r="R468" s="824" t="n"/>
      <c r="S468" s="824" t="n"/>
      <c r="T468" s="824" t="n"/>
      <c r="U468" s="824" t="n"/>
      <c r="V468" s="824" t="n"/>
      <c r="W468" s="824" t="n"/>
      <c r="X468" s="824" t="n"/>
      <c r="Y468" s="824" t="n"/>
      <c r="Z468" s="55" t="n"/>
      <c r="AA468" s="55" t="n"/>
    </row>
    <row r="469" ht="16.5" customHeight="1">
      <c r="A469" s="439" t="inlineStr">
        <is>
          <t>Дугушка</t>
        </is>
      </c>
      <c r="B469" s="398" t="n"/>
      <c r="C469" s="398" t="n"/>
      <c r="D469" s="398" t="n"/>
      <c r="E469" s="398" t="n"/>
      <c r="F469" s="398" t="n"/>
      <c r="G469" s="398" t="n"/>
      <c r="H469" s="398" t="n"/>
      <c r="I469" s="398" t="n"/>
      <c r="J469" s="398" t="n"/>
      <c r="K469" s="398" t="n"/>
      <c r="L469" s="398" t="n"/>
      <c r="M469" s="398" t="n"/>
      <c r="N469" s="398" t="n"/>
      <c r="O469" s="398" t="n"/>
      <c r="P469" s="398" t="n"/>
      <c r="Q469" s="398" t="n"/>
      <c r="R469" s="398" t="n"/>
      <c r="S469" s="398" t="n"/>
      <c r="T469" s="398" t="n"/>
      <c r="U469" s="398" t="n"/>
      <c r="V469" s="398" t="n"/>
      <c r="W469" s="398" t="n"/>
      <c r="X469" s="398" t="n"/>
      <c r="Y469" s="398" t="n"/>
      <c r="Z469" s="439" t="n"/>
      <c r="AA469" s="439" t="n"/>
    </row>
    <row r="470" ht="14.25" customHeight="1">
      <c r="A470" s="409" t="inlineStr">
        <is>
          <t>Вареные колбасы</t>
        </is>
      </c>
      <c r="B470" s="398" t="n"/>
      <c r="C470" s="398" t="n"/>
      <c r="D470" s="398" t="n"/>
      <c r="E470" s="398" t="n"/>
      <c r="F470" s="398" t="n"/>
      <c r="G470" s="398" t="n"/>
      <c r="H470" s="398" t="n"/>
      <c r="I470" s="398" t="n"/>
      <c r="J470" s="398" t="n"/>
      <c r="K470" s="398" t="n"/>
      <c r="L470" s="398" t="n"/>
      <c r="M470" s="398" t="n"/>
      <c r="N470" s="398" t="n"/>
      <c r="O470" s="398" t="n"/>
      <c r="P470" s="398" t="n"/>
      <c r="Q470" s="398" t="n"/>
      <c r="R470" s="398" t="n"/>
      <c r="S470" s="398" t="n"/>
      <c r="T470" s="398" t="n"/>
      <c r="U470" s="398" t="n"/>
      <c r="V470" s="398" t="n"/>
      <c r="W470" s="398" t="n"/>
      <c r="X470" s="398" t="n"/>
      <c r="Y470" s="398" t="n"/>
      <c r="Z470" s="409" t="n"/>
      <c r="AA470" s="409" t="n"/>
    </row>
    <row r="471" ht="27" customHeight="1">
      <c r="A471" s="64" t="inlineStr">
        <is>
          <t>SU002011</t>
        </is>
      </c>
      <c r="B471" s="64" t="inlineStr">
        <is>
          <t>P004028</t>
        </is>
      </c>
      <c r="C471" s="37" t="n">
        <v>4301011795</v>
      </c>
      <c r="D471" s="401" t="n">
        <v>4607091389067</v>
      </c>
      <c r="E471" s="791" t="n"/>
      <c r="F471" s="825" t="n">
        <v>0.88</v>
      </c>
      <c r="G471" s="38" t="n">
        <v>6</v>
      </c>
      <c r="H471" s="825" t="n">
        <v>5.28</v>
      </c>
      <c r="I471" s="825" t="n">
        <v>5.64</v>
      </c>
      <c r="J471" s="38" t="n">
        <v>104</v>
      </c>
      <c r="K471" s="38" t="inlineStr">
        <is>
          <t>8</t>
        </is>
      </c>
      <c r="L471" s="39" t="inlineStr">
        <is>
          <t>СК1</t>
        </is>
      </c>
      <c r="M471" s="39" t="n"/>
      <c r="N471" s="38" t="n">
        <v>60</v>
      </c>
      <c r="O471" s="1096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P471" s="827" t="n"/>
      <c r="Q471" s="827" t="n"/>
      <c r="R471" s="827" t="n"/>
      <c r="S471" s="791" t="n"/>
      <c r="T471" s="40" t="inlineStr"/>
      <c r="U471" s="40" t="inlineStr"/>
      <c r="V471" s="41" t="inlineStr">
        <is>
          <t>кг</t>
        </is>
      </c>
      <c r="W471" s="828" t="n">
        <v>80</v>
      </c>
      <c r="X471" s="829">
        <f>IFERROR(IF(W471="",0,CEILING((W471/$H471),1)*$H471),"")</f>
        <v/>
      </c>
      <c r="Y471" s="42">
        <f>IFERROR(IF(X471=0,"",ROUNDUP(X471/H471,0)*0.01196),"")</f>
        <v/>
      </c>
      <c r="Z471" s="69" t="inlineStr"/>
      <c r="AA471" s="70" t="inlineStr"/>
      <c r="AE471" s="80" t="n"/>
      <c r="BB471" s="344" t="inlineStr">
        <is>
          <t>КИ</t>
        </is>
      </c>
      <c r="BL471" s="80">
        <f>IFERROR(W471*I471/H471,"0")</f>
        <v/>
      </c>
      <c r="BM471" s="80">
        <f>IFERROR(X471*I471/H471,"0")</f>
        <v/>
      </c>
      <c r="BN471" s="80">
        <f>IFERROR(1/J471*(W471/H471),"0")</f>
        <v/>
      </c>
      <c r="BO471" s="80">
        <f>IFERROR(1/J471*(X471/H471),"0")</f>
        <v/>
      </c>
    </row>
    <row r="472" ht="27" customHeight="1">
      <c r="A472" s="64" t="inlineStr">
        <is>
          <t>SU002634</t>
        </is>
      </c>
      <c r="B472" s="64" t="inlineStr">
        <is>
          <t>P002989</t>
        </is>
      </c>
      <c r="C472" s="37" t="n">
        <v>4301011376</v>
      </c>
      <c r="D472" s="401" t="n">
        <v>4680115885226</v>
      </c>
      <c r="E472" s="791" t="n"/>
      <c r="F472" s="825" t="n">
        <v>0.85</v>
      </c>
      <c r="G472" s="38" t="n">
        <v>6</v>
      </c>
      <c r="H472" s="825" t="n">
        <v>5.1</v>
      </c>
      <c r="I472" s="825" t="n">
        <v>5.46</v>
      </c>
      <c r="J472" s="38" t="n">
        <v>104</v>
      </c>
      <c r="K472" s="38" t="inlineStr">
        <is>
          <t>8</t>
        </is>
      </c>
      <c r="L472" s="39" t="inlineStr">
        <is>
          <t>СК3</t>
        </is>
      </c>
      <c r="M472" s="39" t="n"/>
      <c r="N472" s="38" t="n">
        <v>60</v>
      </c>
      <c r="O472" s="1097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P472" s="827" t="n"/>
      <c r="Q472" s="827" t="n"/>
      <c r="R472" s="827" t="n"/>
      <c r="S472" s="791" t="n"/>
      <c r="T472" s="40" t="inlineStr"/>
      <c r="U472" s="40" t="inlineStr"/>
      <c r="V472" s="41" t="inlineStr">
        <is>
          <t>кг</t>
        </is>
      </c>
      <c r="W472" s="828" t="n">
        <v>150</v>
      </c>
      <c r="X472" s="829">
        <f>IFERROR(IF(W472="",0,CEILING((W472/$H472),1)*$H472),"")</f>
        <v/>
      </c>
      <c r="Y472" s="42">
        <f>IFERROR(IF(X472=0,"",ROUNDUP(X472/H472,0)*0.01196),"")</f>
        <v/>
      </c>
      <c r="Z472" s="69" t="inlineStr"/>
      <c r="AA472" s="70" t="inlineStr"/>
      <c r="AE472" s="80" t="n"/>
      <c r="BB472" s="345" t="inlineStr">
        <is>
          <t>КИ</t>
        </is>
      </c>
      <c r="BL472" s="80">
        <f>IFERROR(W472*I472/H472,"0")</f>
        <v/>
      </c>
      <c r="BM472" s="80">
        <f>IFERROR(X472*I472/H472,"0")</f>
        <v/>
      </c>
      <c r="BN472" s="80">
        <f>IFERROR(1/J472*(W472/H472),"0")</f>
        <v/>
      </c>
      <c r="BO472" s="80">
        <f>IFERROR(1/J472*(X472/H472),"0")</f>
        <v/>
      </c>
    </row>
    <row r="473" ht="27" customHeight="1">
      <c r="A473" s="64" t="inlineStr">
        <is>
          <t>SU002094</t>
        </is>
      </c>
      <c r="B473" s="64" t="inlineStr">
        <is>
          <t>P004044</t>
        </is>
      </c>
      <c r="C473" s="37" t="n">
        <v>4301011779</v>
      </c>
      <c r="D473" s="401" t="n">
        <v>4607091383522</v>
      </c>
      <c r="E473" s="791" t="n"/>
      <c r="F473" s="825" t="n">
        <v>0.88</v>
      </c>
      <c r="G473" s="38" t="n">
        <v>6</v>
      </c>
      <c r="H473" s="825" t="n">
        <v>5.28</v>
      </c>
      <c r="I473" s="825" t="n">
        <v>5.64</v>
      </c>
      <c r="J473" s="38" t="n">
        <v>104</v>
      </c>
      <c r="K473" s="38" t="inlineStr">
        <is>
          <t>8</t>
        </is>
      </c>
      <c r="L473" s="39" t="inlineStr">
        <is>
          <t>СК1</t>
        </is>
      </c>
      <c r="M473" s="39" t="n"/>
      <c r="N473" s="38" t="n">
        <v>60</v>
      </c>
      <c r="O473" s="1098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/>
      </c>
      <c r="P473" s="827" t="n"/>
      <c r="Q473" s="827" t="n"/>
      <c r="R473" s="827" t="n"/>
      <c r="S473" s="791" t="n"/>
      <c r="T473" s="40" t="inlineStr"/>
      <c r="U473" s="40" t="inlineStr"/>
      <c r="V473" s="41" t="inlineStr">
        <is>
          <t>кг</t>
        </is>
      </c>
      <c r="W473" s="828" t="n">
        <v>0</v>
      </c>
      <c r="X473" s="829">
        <f>IFERROR(IF(W473="",0,CEILING((W473/$H473),1)*$H473),"")</f>
        <v/>
      </c>
      <c r="Y473" s="42">
        <f>IFERROR(IF(X473=0,"",ROUNDUP(X473/H473,0)*0.01196),"")</f>
        <v/>
      </c>
      <c r="Z473" s="69" t="inlineStr"/>
      <c r="AA473" s="70" t="inlineStr"/>
      <c r="AE473" s="80" t="n"/>
      <c r="BB473" s="346" t="inlineStr">
        <is>
          <t>КИ</t>
        </is>
      </c>
      <c r="BL473" s="80">
        <f>IFERROR(W473*I473/H473,"0")</f>
        <v/>
      </c>
      <c r="BM473" s="80">
        <f>IFERROR(X473*I473/H473,"0")</f>
        <v/>
      </c>
      <c r="BN473" s="80">
        <f>IFERROR(1/J473*(W473/H473),"0")</f>
        <v/>
      </c>
      <c r="BO473" s="80">
        <f>IFERROR(1/J473*(X473/H473),"0")</f>
        <v/>
      </c>
    </row>
    <row r="474" ht="27" customHeight="1">
      <c r="A474" s="64" t="inlineStr">
        <is>
          <t>SU002182</t>
        </is>
      </c>
      <c r="B474" s="64" t="inlineStr">
        <is>
          <t>P004406</t>
        </is>
      </c>
      <c r="C474" s="37" t="n">
        <v>4301011961</v>
      </c>
      <c r="D474" s="401" t="n">
        <v>4680115885271</v>
      </c>
      <c r="E474" s="791" t="n"/>
      <c r="F474" s="825" t="n">
        <v>0.88</v>
      </c>
      <c r="G474" s="38" t="n">
        <v>6</v>
      </c>
      <c r="H474" s="825" t="n">
        <v>5.28</v>
      </c>
      <c r="I474" s="825" t="n">
        <v>5.64</v>
      </c>
      <c r="J474" s="38" t="n">
        <v>104</v>
      </c>
      <c r="K474" s="38" t="inlineStr">
        <is>
          <t>8</t>
        </is>
      </c>
      <c r="L474" s="39" t="inlineStr">
        <is>
          <t>СК1</t>
        </is>
      </c>
      <c r="M474" s="39" t="n"/>
      <c r="N474" s="38" t="n">
        <v>60</v>
      </c>
      <c r="O474" s="1099" t="inlineStr">
        <is>
          <t>Вареные колбасы «Дугушка со шпиком» Весовой Вектор ТМ «Дугушка»</t>
        </is>
      </c>
      <c r="P474" s="827" t="n"/>
      <c r="Q474" s="827" t="n"/>
      <c r="R474" s="827" t="n"/>
      <c r="S474" s="791" t="n"/>
      <c r="T474" s="40" t="inlineStr"/>
      <c r="U474" s="40" t="inlineStr"/>
      <c r="V474" s="41" t="inlineStr">
        <is>
          <t>кг</t>
        </is>
      </c>
      <c r="W474" s="828" t="n">
        <v>0</v>
      </c>
      <c r="X474" s="829">
        <f>IFERROR(IF(W474="",0,CEILING((W474/$H474),1)*$H474),"")</f>
        <v/>
      </c>
      <c r="Y474" s="42">
        <f>IFERROR(IF(X474=0,"",ROUNDUP(X474/H474,0)*0.01196),"")</f>
        <v/>
      </c>
      <c r="Z474" s="69" t="inlineStr"/>
      <c r="AA474" s="70" t="inlineStr"/>
      <c r="AE474" s="80" t="n"/>
      <c r="BB474" s="347" t="inlineStr">
        <is>
          <t>КИ</t>
        </is>
      </c>
      <c r="BL474" s="80">
        <f>IFERROR(W474*I474/H474,"0")</f>
        <v/>
      </c>
      <c r="BM474" s="80">
        <f>IFERROR(X474*I474/H474,"0")</f>
        <v/>
      </c>
      <c r="BN474" s="80">
        <f>IFERROR(1/J474*(W474/H474),"0")</f>
        <v/>
      </c>
      <c r="BO474" s="80">
        <f>IFERROR(1/J474*(X474/H474),"0")</f>
        <v/>
      </c>
    </row>
    <row r="475" ht="16.5" customHeight="1">
      <c r="A475" s="64" t="inlineStr">
        <is>
          <t>SU002998</t>
        </is>
      </c>
      <c r="B475" s="64" t="inlineStr">
        <is>
          <t>P004033</t>
        </is>
      </c>
      <c r="C475" s="37" t="n">
        <v>4301011774</v>
      </c>
      <c r="D475" s="401" t="n">
        <v>4680115884502</v>
      </c>
      <c r="E475" s="791" t="n"/>
      <c r="F475" s="825" t="n">
        <v>0.88</v>
      </c>
      <c r="G475" s="38" t="n">
        <v>6</v>
      </c>
      <c r="H475" s="825" t="n">
        <v>5.28</v>
      </c>
      <c r="I475" s="825" t="n">
        <v>5.64</v>
      </c>
      <c r="J475" s="38" t="n">
        <v>104</v>
      </c>
      <c r="K475" s="38" t="inlineStr">
        <is>
          <t>8</t>
        </is>
      </c>
      <c r="L475" s="39" t="inlineStr">
        <is>
          <t>СК1</t>
        </is>
      </c>
      <c r="M475" s="39" t="n"/>
      <c r="N475" s="38" t="n">
        <v>60</v>
      </c>
      <c r="O475" s="1100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P475" s="827" t="n"/>
      <c r="Q475" s="827" t="n"/>
      <c r="R475" s="827" t="n"/>
      <c r="S475" s="791" t="n"/>
      <c r="T475" s="40" t="inlineStr"/>
      <c r="U475" s="40" t="inlineStr"/>
      <c r="V475" s="41" t="inlineStr">
        <is>
          <t>кг</t>
        </is>
      </c>
      <c r="W475" s="828" t="n">
        <v>0</v>
      </c>
      <c r="X475" s="829">
        <f>IFERROR(IF(W475="",0,CEILING((W475/$H475),1)*$H475),"")</f>
        <v/>
      </c>
      <c r="Y475" s="42">
        <f>IFERROR(IF(X475=0,"",ROUNDUP(X475/H475,0)*0.01196),"")</f>
        <v/>
      </c>
      <c r="Z475" s="69" t="inlineStr"/>
      <c r="AA475" s="70" t="inlineStr"/>
      <c r="AE475" s="80" t="n"/>
      <c r="BB475" s="348" t="inlineStr">
        <is>
          <t>КИ</t>
        </is>
      </c>
      <c r="BL475" s="80">
        <f>IFERROR(W475*I475/H475,"0")</f>
        <v/>
      </c>
      <c r="BM475" s="80">
        <f>IFERROR(X475*I475/H475,"0")</f>
        <v/>
      </c>
      <c r="BN475" s="80">
        <f>IFERROR(1/J475*(W475/H475),"0")</f>
        <v/>
      </c>
      <c r="BO475" s="80">
        <f>IFERROR(1/J475*(X475/H475),"0")</f>
        <v/>
      </c>
    </row>
    <row r="476" ht="27" customHeight="1">
      <c r="A476" s="64" t="inlineStr">
        <is>
          <t>SU002010</t>
        </is>
      </c>
      <c r="B476" s="64" t="inlineStr">
        <is>
          <t>P004030</t>
        </is>
      </c>
      <c r="C476" s="37" t="n">
        <v>4301011771</v>
      </c>
      <c r="D476" s="401" t="n">
        <v>4607091389104</v>
      </c>
      <c r="E476" s="791" t="n"/>
      <c r="F476" s="825" t="n">
        <v>0.88</v>
      </c>
      <c r="G476" s="38" t="n">
        <v>6</v>
      </c>
      <c r="H476" s="825" t="n">
        <v>5.28</v>
      </c>
      <c r="I476" s="825" t="n">
        <v>5.64</v>
      </c>
      <c r="J476" s="38" t="n">
        <v>104</v>
      </c>
      <c r="K476" s="38" t="inlineStr">
        <is>
          <t>8</t>
        </is>
      </c>
      <c r="L476" s="39" t="inlineStr">
        <is>
          <t>СК1</t>
        </is>
      </c>
      <c r="M476" s="39" t="n"/>
      <c r="N476" s="38" t="n">
        <v>60</v>
      </c>
      <c r="O476" s="1101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P476" s="827" t="n"/>
      <c r="Q476" s="827" t="n"/>
      <c r="R476" s="827" t="n"/>
      <c r="S476" s="791" t="n"/>
      <c r="T476" s="40" t="inlineStr"/>
      <c r="U476" s="40" t="inlineStr"/>
      <c r="V476" s="41" t="inlineStr">
        <is>
          <t>кг</t>
        </is>
      </c>
      <c r="W476" s="828" t="n">
        <v>150</v>
      </c>
      <c r="X476" s="829">
        <f>IFERROR(IF(W476="",0,CEILING((W476/$H476),1)*$H476),"")</f>
        <v/>
      </c>
      <c r="Y476" s="42">
        <f>IFERROR(IF(X476=0,"",ROUNDUP(X476/H476,0)*0.01196),"")</f>
        <v/>
      </c>
      <c r="Z476" s="69" t="inlineStr"/>
      <c r="AA476" s="70" t="inlineStr"/>
      <c r="AE476" s="80" t="n"/>
      <c r="BB476" s="349" t="inlineStr">
        <is>
          <t>КИ</t>
        </is>
      </c>
      <c r="BL476" s="80">
        <f>IFERROR(W476*I476/H476,"0")</f>
        <v/>
      </c>
      <c r="BM476" s="80">
        <f>IFERROR(X476*I476/H476,"0")</f>
        <v/>
      </c>
      <c r="BN476" s="80">
        <f>IFERROR(1/J476*(W476/H476),"0")</f>
        <v/>
      </c>
      <c r="BO476" s="80">
        <f>IFERROR(1/J476*(X476/H476),"0")</f>
        <v/>
      </c>
    </row>
    <row r="477" ht="16.5" customHeight="1">
      <c r="A477" s="64" t="inlineStr">
        <is>
          <t>SU002999</t>
        </is>
      </c>
      <c r="B477" s="64" t="inlineStr">
        <is>
          <t>P004045</t>
        </is>
      </c>
      <c r="C477" s="37" t="n">
        <v>4301011799</v>
      </c>
      <c r="D477" s="401" t="n">
        <v>4680115884519</v>
      </c>
      <c r="E477" s="791" t="n"/>
      <c r="F477" s="825" t="n">
        <v>0.88</v>
      </c>
      <c r="G477" s="38" t="n">
        <v>6</v>
      </c>
      <c r="H477" s="825" t="n">
        <v>5.28</v>
      </c>
      <c r="I477" s="825" t="n">
        <v>5.64</v>
      </c>
      <c r="J477" s="38" t="n">
        <v>104</v>
      </c>
      <c r="K477" s="38" t="inlineStr">
        <is>
          <t>8</t>
        </is>
      </c>
      <c r="L477" s="39" t="inlineStr">
        <is>
          <t>СК3</t>
        </is>
      </c>
      <c r="M477" s="39" t="n"/>
      <c r="N477" s="38" t="n">
        <v>60</v>
      </c>
      <c r="O477" s="1102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P477" s="827" t="n"/>
      <c r="Q477" s="827" t="n"/>
      <c r="R477" s="827" t="n"/>
      <c r="S477" s="791" t="n"/>
      <c r="T477" s="40" t="inlineStr"/>
      <c r="U477" s="40" t="inlineStr"/>
      <c r="V477" s="41" t="inlineStr">
        <is>
          <t>кг</t>
        </is>
      </c>
      <c r="W477" s="828" t="n">
        <v>0</v>
      </c>
      <c r="X477" s="829">
        <f>IFERROR(IF(W477="",0,CEILING((W477/$H477),1)*$H477),"")</f>
        <v/>
      </c>
      <c r="Y477" s="42">
        <f>IFERROR(IF(X477=0,"",ROUNDUP(X477/H477,0)*0.01196),"")</f>
        <v/>
      </c>
      <c r="Z477" s="69" t="inlineStr"/>
      <c r="AA477" s="70" t="inlineStr"/>
      <c r="AE477" s="80" t="n"/>
      <c r="BB477" s="350" t="inlineStr">
        <is>
          <t>КИ</t>
        </is>
      </c>
      <c r="BL477" s="80">
        <f>IFERROR(W477*I477/H477,"0")</f>
        <v/>
      </c>
      <c r="BM477" s="80">
        <f>IFERROR(X477*I477/H477,"0")</f>
        <v/>
      </c>
      <c r="BN477" s="80">
        <f>IFERROR(1/J477*(W477/H477),"0")</f>
        <v/>
      </c>
      <c r="BO477" s="80">
        <f>IFERROR(1/J477*(X477/H477),"0")</f>
        <v/>
      </c>
    </row>
    <row r="478" ht="27" customHeight="1">
      <c r="A478" s="64" t="inlineStr">
        <is>
          <t>SU002632</t>
        </is>
      </c>
      <c r="B478" s="64" t="inlineStr">
        <is>
          <t>P004043</t>
        </is>
      </c>
      <c r="C478" s="37" t="n">
        <v>4301011778</v>
      </c>
      <c r="D478" s="401" t="n">
        <v>4680115880603</v>
      </c>
      <c r="E478" s="791" t="n"/>
      <c r="F478" s="825" t="n">
        <v>0.6</v>
      </c>
      <c r="G478" s="38" t="n">
        <v>6</v>
      </c>
      <c r="H478" s="825" t="n">
        <v>3.6</v>
      </c>
      <c r="I478" s="825" t="n">
        <v>3.84</v>
      </c>
      <c r="J478" s="38" t="n">
        <v>120</v>
      </c>
      <c r="K478" s="38" t="inlineStr">
        <is>
          <t>12</t>
        </is>
      </c>
      <c r="L478" s="39" t="inlineStr">
        <is>
          <t>СК1</t>
        </is>
      </c>
      <c r="M478" s="39" t="n"/>
      <c r="N478" s="38" t="n">
        <v>60</v>
      </c>
      <c r="O478" s="1103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P478" s="827" t="n"/>
      <c r="Q478" s="827" t="n"/>
      <c r="R478" s="827" t="n"/>
      <c r="S478" s="791" t="n"/>
      <c r="T478" s="40" t="inlineStr"/>
      <c r="U478" s="40" t="inlineStr"/>
      <c r="V478" s="41" t="inlineStr">
        <is>
          <t>кг</t>
        </is>
      </c>
      <c r="W478" s="828" t="n">
        <v>84</v>
      </c>
      <c r="X478" s="829">
        <f>IFERROR(IF(W478="",0,CEILING((W478/$H478),1)*$H478),"")</f>
        <v/>
      </c>
      <c r="Y478" s="42">
        <f>IFERROR(IF(X478=0,"",ROUNDUP(X478/H478,0)*0.00937),"")</f>
        <v/>
      </c>
      <c r="Z478" s="69" t="inlineStr"/>
      <c r="AA478" s="70" t="inlineStr"/>
      <c r="AE478" s="80" t="n"/>
      <c r="BB478" s="351" t="inlineStr">
        <is>
          <t>КИ</t>
        </is>
      </c>
      <c r="BL478" s="80">
        <f>IFERROR(W478*I478/H478,"0")</f>
        <v/>
      </c>
      <c r="BM478" s="80">
        <f>IFERROR(X478*I478/H478,"0")</f>
        <v/>
      </c>
      <c r="BN478" s="80">
        <f>IFERROR(1/J478*(W478/H478),"0")</f>
        <v/>
      </c>
      <c r="BO478" s="80">
        <f>IFERROR(1/J478*(X478/H478),"0")</f>
        <v/>
      </c>
    </row>
    <row r="479" ht="27" customHeight="1">
      <c r="A479" s="64" t="inlineStr">
        <is>
          <t>SU002635</t>
        </is>
      </c>
      <c r="B479" s="64" t="inlineStr">
        <is>
          <t>P004403</t>
        </is>
      </c>
      <c r="C479" s="37" t="n">
        <v>4301011959</v>
      </c>
      <c r="D479" s="401" t="n">
        <v>4680115882782</v>
      </c>
      <c r="E479" s="791" t="n"/>
      <c r="F479" s="825" t="n">
        <v>0.6</v>
      </c>
      <c r="G479" s="38" t="n">
        <v>6</v>
      </c>
      <c r="H479" s="825" t="n">
        <v>3.6</v>
      </c>
      <c r="I479" s="825" t="n">
        <v>3.84</v>
      </c>
      <c r="J479" s="38" t="n">
        <v>120</v>
      </c>
      <c r="K479" s="38" t="inlineStr">
        <is>
          <t>12</t>
        </is>
      </c>
      <c r="L479" s="39" t="inlineStr">
        <is>
          <t>СК1</t>
        </is>
      </c>
      <c r="M479" s="39" t="n"/>
      <c r="N479" s="38" t="n">
        <v>60</v>
      </c>
      <c r="O479" s="1104" t="inlineStr">
        <is>
          <t>Вареные колбасы «Дугушка со шпиком» Фикс.вес 0,6 П/а ТМ «Дугушка»</t>
        </is>
      </c>
      <c r="P479" s="827" t="n"/>
      <c r="Q479" s="827" t="n"/>
      <c r="R479" s="827" t="n"/>
      <c r="S479" s="791" t="n"/>
      <c r="T479" s="40" t="inlineStr"/>
      <c r="U479" s="40" t="inlineStr"/>
      <c r="V479" s="41" t="inlineStr">
        <is>
          <t>кг</t>
        </is>
      </c>
      <c r="W479" s="828" t="n">
        <v>0</v>
      </c>
      <c r="X479" s="829">
        <f>IFERROR(IF(W479="",0,CEILING((W479/$H479),1)*$H479),"")</f>
        <v/>
      </c>
      <c r="Y479" s="42">
        <f>IFERROR(IF(X479=0,"",ROUNDUP(X479/H479,0)*0.00937),"")</f>
        <v/>
      </c>
      <c r="Z479" s="69" t="inlineStr"/>
      <c r="AA479" s="70" t="inlineStr"/>
      <c r="AE479" s="80" t="n"/>
      <c r="BB479" s="352" t="inlineStr">
        <is>
          <t>КИ</t>
        </is>
      </c>
      <c r="BL479" s="80">
        <f>IFERROR(W479*I479/H479,"0")</f>
        <v/>
      </c>
      <c r="BM479" s="80">
        <f>IFERROR(X479*I479/H479,"0")</f>
        <v/>
      </c>
      <c r="BN479" s="80">
        <f>IFERROR(1/J479*(W479/H479),"0")</f>
        <v/>
      </c>
      <c r="BO479" s="80">
        <f>IFERROR(1/J479*(X479/H479),"0")</f>
        <v/>
      </c>
    </row>
    <row r="480" ht="27" customHeight="1">
      <c r="A480" s="64" t="inlineStr">
        <is>
          <t>SU002020</t>
        </is>
      </c>
      <c r="B480" s="64" t="inlineStr">
        <is>
          <t>P002308</t>
        </is>
      </c>
      <c r="C480" s="37" t="n">
        <v>4301011190</v>
      </c>
      <c r="D480" s="401" t="n">
        <v>4607091389098</v>
      </c>
      <c r="E480" s="791" t="n"/>
      <c r="F480" s="825" t="n">
        <v>0.4</v>
      </c>
      <c r="G480" s="38" t="n">
        <v>6</v>
      </c>
      <c r="H480" s="825" t="n">
        <v>2.4</v>
      </c>
      <c r="I480" s="825" t="n">
        <v>2.6</v>
      </c>
      <c r="J480" s="38" t="n">
        <v>156</v>
      </c>
      <c r="K480" s="38" t="inlineStr">
        <is>
          <t>12</t>
        </is>
      </c>
      <c r="L480" s="39" t="inlineStr">
        <is>
          <t>СК3</t>
        </is>
      </c>
      <c r="M480" s="39" t="n"/>
      <c r="N480" s="38" t="n">
        <v>50</v>
      </c>
      <c r="O480" s="110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P480" s="827" t="n"/>
      <c r="Q480" s="827" t="n"/>
      <c r="R480" s="827" t="n"/>
      <c r="S480" s="791" t="n"/>
      <c r="T480" s="40" t="inlineStr"/>
      <c r="U480" s="40" t="inlineStr"/>
      <c r="V480" s="41" t="inlineStr">
        <is>
          <t>кг</t>
        </is>
      </c>
      <c r="W480" s="828" t="n">
        <v>0</v>
      </c>
      <c r="X480" s="829">
        <f>IFERROR(IF(W480="",0,CEILING((W480/$H480),1)*$H480),"")</f>
        <v/>
      </c>
      <c r="Y480" s="42">
        <f>IFERROR(IF(X480=0,"",ROUNDUP(X480/H480,0)*0.00753),"")</f>
        <v/>
      </c>
      <c r="Z480" s="69" t="inlineStr"/>
      <c r="AA480" s="70" t="inlineStr"/>
      <c r="AE480" s="80" t="n"/>
      <c r="BB480" s="353" t="inlineStr">
        <is>
          <t>КИ</t>
        </is>
      </c>
      <c r="BL480" s="80">
        <f>IFERROR(W480*I480/H480,"0")</f>
        <v/>
      </c>
      <c r="BM480" s="80">
        <f>IFERROR(X480*I480/H480,"0")</f>
        <v/>
      </c>
      <c r="BN480" s="80">
        <f>IFERROR(1/J480*(W480/H480),"0")</f>
        <v/>
      </c>
      <c r="BO480" s="80">
        <f>IFERROR(1/J480*(X480/H480),"0")</f>
        <v/>
      </c>
    </row>
    <row r="481" ht="27" customHeight="1">
      <c r="A481" s="64" t="inlineStr">
        <is>
          <t>SU002631</t>
        </is>
      </c>
      <c r="B481" s="64" t="inlineStr">
        <is>
          <t>P004048</t>
        </is>
      </c>
      <c r="C481" s="37" t="n">
        <v>4301011784</v>
      </c>
      <c r="D481" s="401" t="n">
        <v>4607091389982</v>
      </c>
      <c r="E481" s="791" t="n"/>
      <c r="F481" s="825" t="n">
        <v>0.6</v>
      </c>
      <c r="G481" s="38" t="n">
        <v>6</v>
      </c>
      <c r="H481" s="825" t="n">
        <v>3.6</v>
      </c>
      <c r="I481" s="825" t="n">
        <v>3.84</v>
      </c>
      <c r="J481" s="38" t="n">
        <v>120</v>
      </c>
      <c r="K481" s="38" t="inlineStr">
        <is>
          <t>12</t>
        </is>
      </c>
      <c r="L481" s="39" t="inlineStr">
        <is>
          <t>СК1</t>
        </is>
      </c>
      <c r="M481" s="39" t="n"/>
      <c r="N481" s="38" t="n">
        <v>60</v>
      </c>
      <c r="O481" s="1106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P481" s="827" t="n"/>
      <c r="Q481" s="827" t="n"/>
      <c r="R481" s="827" t="n"/>
      <c r="S481" s="791" t="n"/>
      <c r="T481" s="40" t="inlineStr"/>
      <c r="U481" s="40" t="inlineStr"/>
      <c r="V481" s="41" t="inlineStr">
        <is>
          <t>кг</t>
        </is>
      </c>
      <c r="W481" s="828" t="n">
        <v>108</v>
      </c>
      <c r="X481" s="829">
        <f>IFERROR(IF(W481="",0,CEILING((W481/$H481),1)*$H481),"")</f>
        <v/>
      </c>
      <c r="Y481" s="42">
        <f>IFERROR(IF(X481=0,"",ROUNDUP(X481/H481,0)*0.00937),"")</f>
        <v/>
      </c>
      <c r="Z481" s="69" t="inlineStr"/>
      <c r="AA481" s="70" t="inlineStr"/>
      <c r="AE481" s="80" t="n"/>
      <c r="BB481" s="354" t="inlineStr">
        <is>
          <t>КИ</t>
        </is>
      </c>
      <c r="BL481" s="80">
        <f>IFERROR(W481*I481/H481,"0")</f>
        <v/>
      </c>
      <c r="BM481" s="80">
        <f>IFERROR(X481*I481/H481,"0")</f>
        <v/>
      </c>
      <c r="BN481" s="80">
        <f>IFERROR(1/J481*(W481/H481),"0")</f>
        <v/>
      </c>
      <c r="BO481" s="80">
        <f>IFERROR(1/J481*(X481/H481),"0")</f>
        <v/>
      </c>
    </row>
    <row r="482">
      <c r="A482" s="408" t="n"/>
      <c r="B482" s="398" t="n"/>
      <c r="C482" s="398" t="n"/>
      <c r="D482" s="398" t="n"/>
      <c r="E482" s="398" t="n"/>
      <c r="F482" s="398" t="n"/>
      <c r="G482" s="398" t="n"/>
      <c r="H482" s="398" t="n"/>
      <c r="I482" s="398" t="n"/>
      <c r="J482" s="398" t="n"/>
      <c r="K482" s="398" t="n"/>
      <c r="L482" s="398" t="n"/>
      <c r="M482" s="398" t="n"/>
      <c r="N482" s="831" t="n"/>
      <c r="O482" s="832" t="inlineStr">
        <is>
          <t>Итого</t>
        </is>
      </c>
      <c r="P482" s="799" t="n"/>
      <c r="Q482" s="799" t="n"/>
      <c r="R482" s="799" t="n"/>
      <c r="S482" s="799" t="n"/>
      <c r="T482" s="799" t="n"/>
      <c r="U482" s="800" t="n"/>
      <c r="V482" s="43" t="inlineStr">
        <is>
          <t>кор</t>
        </is>
      </c>
      <c r="W482" s="833">
        <f>IFERROR(W471/H471,"0")+IFERROR(W472/H472,"0")+IFERROR(W473/H473,"0")+IFERROR(W474/H474,"0")+IFERROR(W475/H475,"0")+IFERROR(W476/H476,"0")+IFERROR(W477/H477,"0")+IFERROR(W478/H478,"0")+IFERROR(W479/H479,"0")+IFERROR(W480/H480,"0")+IFERROR(W481/H481,"0")</f>
        <v/>
      </c>
      <c r="X482" s="833">
        <f>IFERROR(X471/H471,"0")+IFERROR(X472/H472,"0")+IFERROR(X473/H473,"0")+IFERROR(X474/H474,"0")+IFERROR(X475/H475,"0")+IFERROR(X476/H476,"0")+IFERROR(X477/H477,"0")+IFERROR(X478/H478,"0")+IFERROR(X479/H479,"0")+IFERROR(X480/H480,"0")+IFERROR(X481/H481,"0")</f>
        <v/>
      </c>
      <c r="Y482" s="833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/>
      </c>
      <c r="Z482" s="834" t="n"/>
      <c r="AA482" s="834" t="n"/>
    </row>
    <row r="483">
      <c r="A483" s="398" t="n"/>
      <c r="B483" s="398" t="n"/>
      <c r="C483" s="398" t="n"/>
      <c r="D483" s="398" t="n"/>
      <c r="E483" s="398" t="n"/>
      <c r="F483" s="398" t="n"/>
      <c r="G483" s="398" t="n"/>
      <c r="H483" s="398" t="n"/>
      <c r="I483" s="398" t="n"/>
      <c r="J483" s="398" t="n"/>
      <c r="K483" s="398" t="n"/>
      <c r="L483" s="398" t="n"/>
      <c r="M483" s="398" t="n"/>
      <c r="N483" s="831" t="n"/>
      <c r="O483" s="832" t="inlineStr">
        <is>
          <t>Итого</t>
        </is>
      </c>
      <c r="P483" s="799" t="n"/>
      <c r="Q483" s="799" t="n"/>
      <c r="R483" s="799" t="n"/>
      <c r="S483" s="799" t="n"/>
      <c r="T483" s="799" t="n"/>
      <c r="U483" s="800" t="n"/>
      <c r="V483" s="43" t="inlineStr">
        <is>
          <t>кг</t>
        </is>
      </c>
      <c r="W483" s="833">
        <f>IFERROR(SUM(W471:W481),"0")</f>
        <v/>
      </c>
      <c r="X483" s="833">
        <f>IFERROR(SUM(X471:X481),"0")</f>
        <v/>
      </c>
      <c r="Y483" s="43" t="n"/>
      <c r="Z483" s="834" t="n"/>
      <c r="AA483" s="834" t="n"/>
    </row>
    <row r="484" ht="14.25" customHeight="1">
      <c r="A484" s="409" t="inlineStr">
        <is>
          <t>Ветчины</t>
        </is>
      </c>
      <c r="B484" s="398" t="n"/>
      <c r="C484" s="398" t="n"/>
      <c r="D484" s="398" t="n"/>
      <c r="E484" s="398" t="n"/>
      <c r="F484" s="398" t="n"/>
      <c r="G484" s="398" t="n"/>
      <c r="H484" s="398" t="n"/>
      <c r="I484" s="398" t="n"/>
      <c r="J484" s="398" t="n"/>
      <c r="K484" s="398" t="n"/>
      <c r="L484" s="398" t="n"/>
      <c r="M484" s="398" t="n"/>
      <c r="N484" s="398" t="n"/>
      <c r="O484" s="398" t="n"/>
      <c r="P484" s="398" t="n"/>
      <c r="Q484" s="398" t="n"/>
      <c r="R484" s="398" t="n"/>
      <c r="S484" s="398" t="n"/>
      <c r="T484" s="398" t="n"/>
      <c r="U484" s="398" t="n"/>
      <c r="V484" s="398" t="n"/>
      <c r="W484" s="398" t="n"/>
      <c r="X484" s="398" t="n"/>
      <c r="Y484" s="398" t="n"/>
      <c r="Z484" s="409" t="n"/>
      <c r="AA484" s="409" t="n"/>
    </row>
    <row r="485" ht="16.5" customHeight="1">
      <c r="A485" s="64" t="inlineStr">
        <is>
          <t>SU002035</t>
        </is>
      </c>
      <c r="B485" s="64" t="inlineStr">
        <is>
          <t>P003146</t>
        </is>
      </c>
      <c r="C485" s="37" t="n">
        <v>4301020222</v>
      </c>
      <c r="D485" s="401" t="n">
        <v>4607091388930</v>
      </c>
      <c r="E485" s="791" t="n"/>
      <c r="F485" s="825" t="n">
        <v>0.88</v>
      </c>
      <c r="G485" s="38" t="n">
        <v>6</v>
      </c>
      <c r="H485" s="825" t="n">
        <v>5.28</v>
      </c>
      <c r="I485" s="825" t="n">
        <v>5.64</v>
      </c>
      <c r="J485" s="38" t="n">
        <v>104</v>
      </c>
      <c r="K485" s="38" t="inlineStr">
        <is>
          <t>8</t>
        </is>
      </c>
      <c r="L485" s="39" t="inlineStr">
        <is>
          <t>СК1</t>
        </is>
      </c>
      <c r="M485" s="39" t="n"/>
      <c r="N485" s="38" t="n">
        <v>55</v>
      </c>
      <c r="O485" s="1107">
        <f>HYPERLINK("https://abi.ru/products/Охлажденные/Дугушка/Дугушка/Ветчины/P003146/","Ветчины Дугушка Дугушка Вес б/о Дугушка")</f>
        <v/>
      </c>
      <c r="P485" s="827" t="n"/>
      <c r="Q485" s="827" t="n"/>
      <c r="R485" s="827" t="n"/>
      <c r="S485" s="791" t="n"/>
      <c r="T485" s="40" t="inlineStr"/>
      <c r="U485" s="40" t="inlineStr"/>
      <c r="V485" s="41" t="inlineStr">
        <is>
          <t>кг</t>
        </is>
      </c>
      <c r="W485" s="828" t="n">
        <v>100</v>
      </c>
      <c r="X485" s="829">
        <f>IFERROR(IF(W485="",0,CEILING((W485/$H485),1)*$H485),"")</f>
        <v/>
      </c>
      <c r="Y485" s="42">
        <f>IFERROR(IF(X485=0,"",ROUNDUP(X485/H485,0)*0.01196),"")</f>
        <v/>
      </c>
      <c r="Z485" s="69" t="inlineStr"/>
      <c r="AA485" s="70" t="inlineStr"/>
      <c r="AE485" s="80" t="n"/>
      <c r="BB485" s="355" t="inlineStr">
        <is>
          <t>КИ</t>
        </is>
      </c>
      <c r="BL485" s="80">
        <f>IFERROR(W485*I485/H485,"0")</f>
        <v/>
      </c>
      <c r="BM485" s="80">
        <f>IFERROR(X485*I485/H485,"0")</f>
        <v/>
      </c>
      <c r="BN485" s="80">
        <f>IFERROR(1/J485*(W485/H485),"0")</f>
        <v/>
      </c>
      <c r="BO485" s="80">
        <f>IFERROR(1/J485*(X485/H485),"0")</f>
        <v/>
      </c>
    </row>
    <row r="486" ht="16.5" customHeight="1">
      <c r="A486" s="64" t="inlineStr">
        <is>
          <t>SU002643</t>
        </is>
      </c>
      <c r="B486" s="64" t="inlineStr">
        <is>
          <t>P002993</t>
        </is>
      </c>
      <c r="C486" s="37" t="n">
        <v>4301020206</v>
      </c>
      <c r="D486" s="401" t="n">
        <v>4680115880054</v>
      </c>
      <c r="E486" s="791" t="n"/>
      <c r="F486" s="825" t="n">
        <v>0.6</v>
      </c>
      <c r="G486" s="38" t="n">
        <v>6</v>
      </c>
      <c r="H486" s="825" t="n">
        <v>3.6</v>
      </c>
      <c r="I486" s="825" t="n">
        <v>3.84</v>
      </c>
      <c r="J486" s="38" t="n">
        <v>120</v>
      </c>
      <c r="K486" s="38" t="inlineStr">
        <is>
          <t>12</t>
        </is>
      </c>
      <c r="L486" s="39" t="inlineStr">
        <is>
          <t>СК1</t>
        </is>
      </c>
      <c r="M486" s="39" t="n"/>
      <c r="N486" s="38" t="n">
        <v>55</v>
      </c>
      <c r="O486" s="1108">
        <f>HYPERLINK("https://abi.ru/products/Охлажденные/Дугушка/Дугушка/Ветчины/P002993/","Ветчины «Дугушка» Фикс.вес 0,6 П/а ТМ «Дугушка»")</f>
        <v/>
      </c>
      <c r="P486" s="827" t="n"/>
      <c r="Q486" s="827" t="n"/>
      <c r="R486" s="827" t="n"/>
      <c r="S486" s="791" t="n"/>
      <c r="T486" s="40" t="inlineStr"/>
      <c r="U486" s="40" t="inlineStr"/>
      <c r="V486" s="41" t="inlineStr">
        <is>
          <t>кг</t>
        </is>
      </c>
      <c r="W486" s="828" t="n">
        <v>0</v>
      </c>
      <c r="X486" s="829">
        <f>IFERROR(IF(W486="",0,CEILING((W486/$H486),1)*$H486),"")</f>
        <v/>
      </c>
      <c r="Y486" s="42">
        <f>IFERROR(IF(X486=0,"",ROUNDUP(X486/H486,0)*0.00937),"")</f>
        <v/>
      </c>
      <c r="Z486" s="69" t="inlineStr"/>
      <c r="AA486" s="70" t="inlineStr"/>
      <c r="AE486" s="80" t="n"/>
      <c r="BB486" s="356" t="inlineStr">
        <is>
          <t>КИ</t>
        </is>
      </c>
      <c r="BL486" s="80">
        <f>IFERROR(W486*I486/H486,"0")</f>
        <v/>
      </c>
      <c r="BM486" s="80">
        <f>IFERROR(X486*I486/H486,"0")</f>
        <v/>
      </c>
      <c r="BN486" s="80">
        <f>IFERROR(1/J486*(W486/H486),"0")</f>
        <v/>
      </c>
      <c r="BO486" s="80">
        <f>IFERROR(1/J486*(X486/H486),"0")</f>
        <v/>
      </c>
    </row>
    <row r="487">
      <c r="A487" s="408" t="n"/>
      <c r="B487" s="398" t="n"/>
      <c r="C487" s="398" t="n"/>
      <c r="D487" s="398" t="n"/>
      <c r="E487" s="398" t="n"/>
      <c r="F487" s="398" t="n"/>
      <c r="G487" s="398" t="n"/>
      <c r="H487" s="398" t="n"/>
      <c r="I487" s="398" t="n"/>
      <c r="J487" s="398" t="n"/>
      <c r="K487" s="398" t="n"/>
      <c r="L487" s="398" t="n"/>
      <c r="M487" s="398" t="n"/>
      <c r="N487" s="831" t="n"/>
      <c r="O487" s="832" t="inlineStr">
        <is>
          <t>Итого</t>
        </is>
      </c>
      <c r="P487" s="799" t="n"/>
      <c r="Q487" s="799" t="n"/>
      <c r="R487" s="799" t="n"/>
      <c r="S487" s="799" t="n"/>
      <c r="T487" s="799" t="n"/>
      <c r="U487" s="800" t="n"/>
      <c r="V487" s="43" t="inlineStr">
        <is>
          <t>кор</t>
        </is>
      </c>
      <c r="W487" s="833">
        <f>IFERROR(W485/H485,"0")+IFERROR(W486/H486,"0")</f>
        <v/>
      </c>
      <c r="X487" s="833">
        <f>IFERROR(X485/H485,"0")+IFERROR(X486/H486,"0")</f>
        <v/>
      </c>
      <c r="Y487" s="833">
        <f>IFERROR(IF(Y485="",0,Y485),"0")+IFERROR(IF(Y486="",0,Y486),"0")</f>
        <v/>
      </c>
      <c r="Z487" s="834" t="n"/>
      <c r="AA487" s="834" t="n"/>
    </row>
    <row r="488">
      <c r="A488" s="398" t="n"/>
      <c r="B488" s="398" t="n"/>
      <c r="C488" s="398" t="n"/>
      <c r="D488" s="398" t="n"/>
      <c r="E488" s="398" t="n"/>
      <c r="F488" s="398" t="n"/>
      <c r="G488" s="398" t="n"/>
      <c r="H488" s="398" t="n"/>
      <c r="I488" s="398" t="n"/>
      <c r="J488" s="398" t="n"/>
      <c r="K488" s="398" t="n"/>
      <c r="L488" s="398" t="n"/>
      <c r="M488" s="398" t="n"/>
      <c r="N488" s="831" t="n"/>
      <c r="O488" s="832" t="inlineStr">
        <is>
          <t>Итого</t>
        </is>
      </c>
      <c r="P488" s="799" t="n"/>
      <c r="Q488" s="799" t="n"/>
      <c r="R488" s="799" t="n"/>
      <c r="S488" s="799" t="n"/>
      <c r="T488" s="799" t="n"/>
      <c r="U488" s="800" t="n"/>
      <c r="V488" s="43" t="inlineStr">
        <is>
          <t>кг</t>
        </is>
      </c>
      <c r="W488" s="833">
        <f>IFERROR(SUM(W485:W486),"0")</f>
        <v/>
      </c>
      <c r="X488" s="833">
        <f>IFERROR(SUM(X485:X486),"0")</f>
        <v/>
      </c>
      <c r="Y488" s="43" t="n"/>
      <c r="Z488" s="834" t="n"/>
      <c r="AA488" s="834" t="n"/>
    </row>
    <row r="489" ht="14.25" customHeight="1">
      <c r="A489" s="409" t="inlineStr">
        <is>
          <t>Копченые колбасы</t>
        </is>
      </c>
      <c r="B489" s="398" t="n"/>
      <c r="C489" s="398" t="n"/>
      <c r="D489" s="398" t="n"/>
      <c r="E489" s="398" t="n"/>
      <c r="F489" s="398" t="n"/>
      <c r="G489" s="398" t="n"/>
      <c r="H489" s="398" t="n"/>
      <c r="I489" s="398" t="n"/>
      <c r="J489" s="398" t="n"/>
      <c r="K489" s="398" t="n"/>
      <c r="L489" s="398" t="n"/>
      <c r="M489" s="398" t="n"/>
      <c r="N489" s="398" t="n"/>
      <c r="O489" s="398" t="n"/>
      <c r="P489" s="398" t="n"/>
      <c r="Q489" s="398" t="n"/>
      <c r="R489" s="398" t="n"/>
      <c r="S489" s="398" t="n"/>
      <c r="T489" s="398" t="n"/>
      <c r="U489" s="398" t="n"/>
      <c r="V489" s="398" t="n"/>
      <c r="W489" s="398" t="n"/>
      <c r="X489" s="398" t="n"/>
      <c r="Y489" s="398" t="n"/>
      <c r="Z489" s="409" t="n"/>
      <c r="AA489" s="409" t="n"/>
    </row>
    <row r="490" ht="27" customHeight="1">
      <c r="A490" s="64" t="inlineStr">
        <is>
          <t>SU002150</t>
        </is>
      </c>
      <c r="B490" s="64" t="inlineStr">
        <is>
          <t>P003636</t>
        </is>
      </c>
      <c r="C490" s="37" t="n">
        <v>4301031252</v>
      </c>
      <c r="D490" s="401" t="n">
        <v>4680115883116</v>
      </c>
      <c r="E490" s="791" t="n"/>
      <c r="F490" s="825" t="n">
        <v>0.88</v>
      </c>
      <c r="G490" s="38" t="n">
        <v>6</v>
      </c>
      <c r="H490" s="825" t="n">
        <v>5.28</v>
      </c>
      <c r="I490" s="825" t="n">
        <v>5.64</v>
      </c>
      <c r="J490" s="38" t="n">
        <v>104</v>
      </c>
      <c r="K490" s="38" t="inlineStr">
        <is>
          <t>8</t>
        </is>
      </c>
      <c r="L490" s="39" t="inlineStr">
        <is>
          <t>СК1</t>
        </is>
      </c>
      <c r="M490" s="39" t="n"/>
      <c r="N490" s="38" t="n">
        <v>60</v>
      </c>
      <c r="O490" s="110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P490" s="827" t="n"/>
      <c r="Q490" s="827" t="n"/>
      <c r="R490" s="827" t="n"/>
      <c r="S490" s="791" t="n"/>
      <c r="T490" s="40" t="inlineStr"/>
      <c r="U490" s="40" t="inlineStr"/>
      <c r="V490" s="41" t="inlineStr">
        <is>
          <t>кг</t>
        </is>
      </c>
      <c r="W490" s="828" t="n">
        <v>80</v>
      </c>
      <c r="X490" s="829">
        <f>IFERROR(IF(W490="",0,CEILING((W490/$H490),1)*$H490),"")</f>
        <v/>
      </c>
      <c r="Y490" s="42">
        <f>IFERROR(IF(X490=0,"",ROUNDUP(X490/H490,0)*0.01196),"")</f>
        <v/>
      </c>
      <c r="Z490" s="69" t="inlineStr"/>
      <c r="AA490" s="70" t="inlineStr"/>
      <c r="AE490" s="80" t="n"/>
      <c r="BB490" s="357" t="inlineStr">
        <is>
          <t>КИ</t>
        </is>
      </c>
      <c r="BL490" s="80">
        <f>IFERROR(W490*I490/H490,"0")</f>
        <v/>
      </c>
      <c r="BM490" s="80">
        <f>IFERROR(X490*I490/H490,"0")</f>
        <v/>
      </c>
      <c r="BN490" s="80">
        <f>IFERROR(1/J490*(W490/H490),"0")</f>
        <v/>
      </c>
      <c r="BO490" s="80">
        <f>IFERROR(1/J490*(X490/H490),"0")</f>
        <v/>
      </c>
    </row>
    <row r="491" ht="27" customHeight="1">
      <c r="A491" s="64" t="inlineStr">
        <is>
          <t>SU002158</t>
        </is>
      </c>
      <c r="B491" s="64" t="inlineStr">
        <is>
          <t>P003632</t>
        </is>
      </c>
      <c r="C491" s="37" t="n">
        <v>4301031248</v>
      </c>
      <c r="D491" s="401" t="n">
        <v>4680115883093</v>
      </c>
      <c r="E491" s="791" t="n"/>
      <c r="F491" s="825" t="n">
        <v>0.88</v>
      </c>
      <c r="G491" s="38" t="n">
        <v>6</v>
      </c>
      <c r="H491" s="825" t="n">
        <v>5.28</v>
      </c>
      <c r="I491" s="825" t="n">
        <v>5.64</v>
      </c>
      <c r="J491" s="38" t="n">
        <v>104</v>
      </c>
      <c r="K491" s="38" t="inlineStr">
        <is>
          <t>8</t>
        </is>
      </c>
      <c r="L491" s="39" t="inlineStr">
        <is>
          <t>СК2</t>
        </is>
      </c>
      <c r="M491" s="39" t="n"/>
      <c r="N491" s="38" t="n">
        <v>60</v>
      </c>
      <c r="O491" s="111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P491" s="827" t="n"/>
      <c r="Q491" s="827" t="n"/>
      <c r="R491" s="827" t="n"/>
      <c r="S491" s="791" t="n"/>
      <c r="T491" s="40" t="inlineStr"/>
      <c r="U491" s="40" t="inlineStr"/>
      <c r="V491" s="41" t="inlineStr">
        <is>
          <t>кг</t>
        </is>
      </c>
      <c r="W491" s="828" t="n">
        <v>30</v>
      </c>
      <c r="X491" s="829">
        <f>IFERROR(IF(W491="",0,CEILING((W491/$H491),1)*$H491),"")</f>
        <v/>
      </c>
      <c r="Y491" s="42">
        <f>IFERROR(IF(X491=0,"",ROUNDUP(X491/H491,0)*0.01196),"")</f>
        <v/>
      </c>
      <c r="Z491" s="69" t="inlineStr"/>
      <c r="AA491" s="70" t="inlineStr"/>
      <c r="AE491" s="80" t="n"/>
      <c r="BB491" s="358" t="inlineStr">
        <is>
          <t>КИ</t>
        </is>
      </c>
      <c r="BL491" s="80">
        <f>IFERROR(W491*I491/H491,"0")</f>
        <v/>
      </c>
      <c r="BM491" s="80">
        <f>IFERROR(X491*I491/H491,"0")</f>
        <v/>
      </c>
      <c r="BN491" s="80">
        <f>IFERROR(1/J491*(W491/H491),"0")</f>
        <v/>
      </c>
      <c r="BO491" s="80">
        <f>IFERROR(1/J491*(X491/H491),"0")</f>
        <v/>
      </c>
    </row>
    <row r="492" ht="27" customHeight="1">
      <c r="A492" s="64" t="inlineStr">
        <is>
          <t>SU002151</t>
        </is>
      </c>
      <c r="B492" s="64" t="inlineStr">
        <is>
          <t>P003634</t>
        </is>
      </c>
      <c r="C492" s="37" t="n">
        <v>4301031250</v>
      </c>
      <c r="D492" s="401" t="n">
        <v>4680115883109</v>
      </c>
      <c r="E492" s="791" t="n"/>
      <c r="F492" s="825" t="n">
        <v>0.88</v>
      </c>
      <c r="G492" s="38" t="n">
        <v>6</v>
      </c>
      <c r="H492" s="825" t="n">
        <v>5.28</v>
      </c>
      <c r="I492" s="825" t="n">
        <v>5.64</v>
      </c>
      <c r="J492" s="38" t="n">
        <v>104</v>
      </c>
      <c r="K492" s="38" t="inlineStr">
        <is>
          <t>8</t>
        </is>
      </c>
      <c r="L492" s="39" t="inlineStr">
        <is>
          <t>СК2</t>
        </is>
      </c>
      <c r="M492" s="39" t="n"/>
      <c r="N492" s="38" t="n">
        <v>60</v>
      </c>
      <c r="O492" s="111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P492" s="827" t="n"/>
      <c r="Q492" s="827" t="n"/>
      <c r="R492" s="827" t="n"/>
      <c r="S492" s="791" t="n"/>
      <c r="T492" s="40" t="inlineStr"/>
      <c r="U492" s="40" t="inlineStr"/>
      <c r="V492" s="41" t="inlineStr">
        <is>
          <t>кг</t>
        </is>
      </c>
      <c r="W492" s="828" t="n">
        <v>130</v>
      </c>
      <c r="X492" s="829">
        <f>IFERROR(IF(W492="",0,CEILING((W492/$H492),1)*$H492),"")</f>
        <v/>
      </c>
      <c r="Y492" s="42">
        <f>IFERROR(IF(X492=0,"",ROUNDUP(X492/H492,0)*0.01196),"")</f>
        <v/>
      </c>
      <c r="Z492" s="69" t="inlineStr"/>
      <c r="AA492" s="70" t="inlineStr"/>
      <c r="AE492" s="80" t="n"/>
      <c r="BB492" s="359" t="inlineStr">
        <is>
          <t>КИ</t>
        </is>
      </c>
      <c r="BL492" s="80">
        <f>IFERROR(W492*I492/H492,"0")</f>
        <v/>
      </c>
      <c r="BM492" s="80">
        <f>IFERROR(X492*I492/H492,"0")</f>
        <v/>
      </c>
      <c r="BN492" s="80">
        <f>IFERROR(1/J492*(W492/H492),"0")</f>
        <v/>
      </c>
      <c r="BO492" s="80">
        <f>IFERROR(1/J492*(X492/H492),"0")</f>
        <v/>
      </c>
    </row>
    <row r="493" ht="27" customHeight="1">
      <c r="A493" s="64" t="inlineStr">
        <is>
          <t>SU002916</t>
        </is>
      </c>
      <c r="B493" s="64" t="inlineStr">
        <is>
          <t>P003633</t>
        </is>
      </c>
      <c r="C493" s="37" t="n">
        <v>4301031249</v>
      </c>
      <c r="D493" s="401" t="n">
        <v>4680115882072</v>
      </c>
      <c r="E493" s="791" t="n"/>
      <c r="F493" s="825" t="n">
        <v>0.6</v>
      </c>
      <c r="G493" s="38" t="n">
        <v>6</v>
      </c>
      <c r="H493" s="825" t="n">
        <v>3.6</v>
      </c>
      <c r="I493" s="825" t="n">
        <v>3.84</v>
      </c>
      <c r="J493" s="38" t="n">
        <v>120</v>
      </c>
      <c r="K493" s="38" t="inlineStr">
        <is>
          <t>12</t>
        </is>
      </c>
      <c r="L493" s="39" t="inlineStr">
        <is>
          <t>СК1</t>
        </is>
      </c>
      <c r="M493" s="39" t="n"/>
      <c r="N493" s="38" t="n">
        <v>60</v>
      </c>
      <c r="O493" s="1112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P493" s="827" t="n"/>
      <c r="Q493" s="827" t="n"/>
      <c r="R493" s="827" t="n"/>
      <c r="S493" s="791" t="n"/>
      <c r="T493" s="40" t="inlineStr"/>
      <c r="U493" s="40" t="inlineStr"/>
      <c r="V493" s="41" t="inlineStr">
        <is>
          <t>кг</t>
        </is>
      </c>
      <c r="W493" s="828" t="n">
        <v>30</v>
      </c>
      <c r="X493" s="829">
        <f>IFERROR(IF(W493="",0,CEILING((W493/$H493),1)*$H493),"")</f>
        <v/>
      </c>
      <c r="Y493" s="42">
        <f>IFERROR(IF(X493=0,"",ROUNDUP(X493/H493,0)*0.00937),"")</f>
        <v/>
      </c>
      <c r="Z493" s="69" t="inlineStr"/>
      <c r="AA493" s="70" t="inlineStr"/>
      <c r="AE493" s="80" t="n"/>
      <c r="BB493" s="360" t="inlineStr">
        <is>
          <t>КИ</t>
        </is>
      </c>
      <c r="BL493" s="80">
        <f>IFERROR(W493*I493/H493,"0")</f>
        <v/>
      </c>
      <c r="BM493" s="80">
        <f>IFERROR(X493*I493/H493,"0")</f>
        <v/>
      </c>
      <c r="BN493" s="80">
        <f>IFERROR(1/J493*(W493/H493),"0")</f>
        <v/>
      </c>
      <c r="BO493" s="80">
        <f>IFERROR(1/J493*(X493/H493),"0")</f>
        <v/>
      </c>
    </row>
    <row r="494" ht="27" customHeight="1">
      <c r="A494" s="64" t="inlineStr">
        <is>
          <t>SU002919</t>
        </is>
      </c>
      <c r="B494" s="64" t="inlineStr">
        <is>
          <t>P003635</t>
        </is>
      </c>
      <c r="C494" s="37" t="n">
        <v>4301031251</v>
      </c>
      <c r="D494" s="401" t="n">
        <v>4680115882102</v>
      </c>
      <c r="E494" s="791" t="n"/>
      <c r="F494" s="825" t="n">
        <v>0.6</v>
      </c>
      <c r="G494" s="38" t="n">
        <v>6</v>
      </c>
      <c r="H494" s="825" t="n">
        <v>3.6</v>
      </c>
      <c r="I494" s="825" t="n">
        <v>3.81</v>
      </c>
      <c r="J494" s="38" t="n">
        <v>120</v>
      </c>
      <c r="K494" s="38" t="inlineStr">
        <is>
          <t>12</t>
        </is>
      </c>
      <c r="L494" s="39" t="inlineStr">
        <is>
          <t>СК2</t>
        </is>
      </c>
      <c r="M494" s="39" t="n"/>
      <c r="N494" s="38" t="n">
        <v>60</v>
      </c>
      <c r="O494" s="1113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P494" s="827" t="n"/>
      <c r="Q494" s="827" t="n"/>
      <c r="R494" s="827" t="n"/>
      <c r="S494" s="791" t="n"/>
      <c r="T494" s="40" t="inlineStr"/>
      <c r="U494" s="40" t="inlineStr"/>
      <c r="V494" s="41" t="inlineStr">
        <is>
          <t>кг</t>
        </is>
      </c>
      <c r="W494" s="828" t="n">
        <v>18</v>
      </c>
      <c r="X494" s="829">
        <f>IFERROR(IF(W494="",0,CEILING((W494/$H494),1)*$H494),"")</f>
        <v/>
      </c>
      <c r="Y494" s="42">
        <f>IFERROR(IF(X494=0,"",ROUNDUP(X494/H494,0)*0.00937),"")</f>
        <v/>
      </c>
      <c r="Z494" s="69" t="inlineStr"/>
      <c r="AA494" s="70" t="inlineStr"/>
      <c r="AE494" s="80" t="n"/>
      <c r="BB494" s="361" t="inlineStr">
        <is>
          <t>КИ</t>
        </is>
      </c>
      <c r="BL494" s="80">
        <f>IFERROR(W494*I494/H494,"0")</f>
        <v/>
      </c>
      <c r="BM494" s="80">
        <f>IFERROR(X494*I494/H494,"0")</f>
        <v/>
      </c>
      <c r="BN494" s="80">
        <f>IFERROR(1/J494*(W494/H494),"0")</f>
        <v/>
      </c>
      <c r="BO494" s="80">
        <f>IFERROR(1/J494*(X494/H494),"0")</f>
        <v/>
      </c>
    </row>
    <row r="495" ht="27" customHeight="1">
      <c r="A495" s="64" t="inlineStr">
        <is>
          <t>SU002918</t>
        </is>
      </c>
      <c r="B495" s="64" t="inlineStr">
        <is>
          <t>P003637</t>
        </is>
      </c>
      <c r="C495" s="37" t="n">
        <v>4301031253</v>
      </c>
      <c r="D495" s="401" t="n">
        <v>4680115882096</v>
      </c>
      <c r="E495" s="791" t="n"/>
      <c r="F495" s="825" t="n">
        <v>0.6</v>
      </c>
      <c r="G495" s="38" t="n">
        <v>6</v>
      </c>
      <c r="H495" s="825" t="n">
        <v>3.6</v>
      </c>
      <c r="I495" s="825" t="n">
        <v>3.81</v>
      </c>
      <c r="J495" s="38" t="n">
        <v>120</v>
      </c>
      <c r="K495" s="38" t="inlineStr">
        <is>
          <t>12</t>
        </is>
      </c>
      <c r="L495" s="39" t="inlineStr">
        <is>
          <t>СК2</t>
        </is>
      </c>
      <c r="M495" s="39" t="n"/>
      <c r="N495" s="38" t="n">
        <v>60</v>
      </c>
      <c r="O495" s="1114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P495" s="827" t="n"/>
      <c r="Q495" s="827" t="n"/>
      <c r="R495" s="827" t="n"/>
      <c r="S495" s="791" t="n"/>
      <c r="T495" s="40" t="inlineStr"/>
      <c r="U495" s="40" t="inlineStr"/>
      <c r="V495" s="41" t="inlineStr">
        <is>
          <t>кг</t>
        </is>
      </c>
      <c r="W495" s="828" t="n">
        <v>66</v>
      </c>
      <c r="X495" s="829">
        <f>IFERROR(IF(W495="",0,CEILING((W495/$H495),1)*$H495),"")</f>
        <v/>
      </c>
      <c r="Y495" s="42">
        <f>IFERROR(IF(X495=0,"",ROUNDUP(X495/H495,0)*0.00937),"")</f>
        <v/>
      </c>
      <c r="Z495" s="69" t="inlineStr"/>
      <c r="AA495" s="70" t="inlineStr"/>
      <c r="AE495" s="80" t="n"/>
      <c r="BB495" s="362" t="inlineStr">
        <is>
          <t>КИ</t>
        </is>
      </c>
      <c r="BL495" s="80">
        <f>IFERROR(W495*I495/H495,"0")</f>
        <v/>
      </c>
      <c r="BM495" s="80">
        <f>IFERROR(X495*I495/H495,"0")</f>
        <v/>
      </c>
      <c r="BN495" s="80">
        <f>IFERROR(1/J495*(W495/H495),"0")</f>
        <v/>
      </c>
      <c r="BO495" s="80">
        <f>IFERROR(1/J495*(X495/H495),"0")</f>
        <v/>
      </c>
    </row>
    <row r="496">
      <c r="A496" s="408" t="n"/>
      <c r="B496" s="398" t="n"/>
      <c r="C496" s="398" t="n"/>
      <c r="D496" s="398" t="n"/>
      <c r="E496" s="398" t="n"/>
      <c r="F496" s="398" t="n"/>
      <c r="G496" s="398" t="n"/>
      <c r="H496" s="398" t="n"/>
      <c r="I496" s="398" t="n"/>
      <c r="J496" s="398" t="n"/>
      <c r="K496" s="398" t="n"/>
      <c r="L496" s="398" t="n"/>
      <c r="M496" s="398" t="n"/>
      <c r="N496" s="831" t="n"/>
      <c r="O496" s="832" t="inlineStr">
        <is>
          <t>Итого</t>
        </is>
      </c>
      <c r="P496" s="799" t="n"/>
      <c r="Q496" s="799" t="n"/>
      <c r="R496" s="799" t="n"/>
      <c r="S496" s="799" t="n"/>
      <c r="T496" s="799" t="n"/>
      <c r="U496" s="800" t="n"/>
      <c r="V496" s="43" t="inlineStr">
        <is>
          <t>кор</t>
        </is>
      </c>
      <c r="W496" s="833">
        <f>IFERROR(W490/H490,"0")+IFERROR(W491/H491,"0")+IFERROR(W492/H492,"0")+IFERROR(W493/H493,"0")+IFERROR(W494/H494,"0")+IFERROR(W495/H495,"0")</f>
        <v/>
      </c>
      <c r="X496" s="833">
        <f>IFERROR(X490/H490,"0")+IFERROR(X491/H491,"0")+IFERROR(X492/H492,"0")+IFERROR(X493/H493,"0")+IFERROR(X494/H494,"0")+IFERROR(X495/H495,"0")</f>
        <v/>
      </c>
      <c r="Y496" s="833">
        <f>IFERROR(IF(Y490="",0,Y490),"0")+IFERROR(IF(Y491="",0,Y491),"0")+IFERROR(IF(Y492="",0,Y492),"0")+IFERROR(IF(Y493="",0,Y493),"0")+IFERROR(IF(Y494="",0,Y494),"0")+IFERROR(IF(Y495="",0,Y495),"0")</f>
        <v/>
      </c>
      <c r="Z496" s="834" t="n"/>
      <c r="AA496" s="834" t="n"/>
    </row>
    <row r="497">
      <c r="A497" s="398" t="n"/>
      <c r="B497" s="398" t="n"/>
      <c r="C497" s="398" t="n"/>
      <c r="D497" s="398" t="n"/>
      <c r="E497" s="398" t="n"/>
      <c r="F497" s="398" t="n"/>
      <c r="G497" s="398" t="n"/>
      <c r="H497" s="398" t="n"/>
      <c r="I497" s="398" t="n"/>
      <c r="J497" s="398" t="n"/>
      <c r="K497" s="398" t="n"/>
      <c r="L497" s="398" t="n"/>
      <c r="M497" s="398" t="n"/>
      <c r="N497" s="831" t="n"/>
      <c r="O497" s="832" t="inlineStr">
        <is>
          <t>Итого</t>
        </is>
      </c>
      <c r="P497" s="799" t="n"/>
      <c r="Q497" s="799" t="n"/>
      <c r="R497" s="799" t="n"/>
      <c r="S497" s="799" t="n"/>
      <c r="T497" s="799" t="n"/>
      <c r="U497" s="800" t="n"/>
      <c r="V497" s="43" t="inlineStr">
        <is>
          <t>кг</t>
        </is>
      </c>
      <c r="W497" s="833">
        <f>IFERROR(SUM(W490:W495),"0")</f>
        <v/>
      </c>
      <c r="X497" s="833">
        <f>IFERROR(SUM(X490:X495),"0")</f>
        <v/>
      </c>
      <c r="Y497" s="43" t="n"/>
      <c r="Z497" s="834" t="n"/>
      <c r="AA497" s="834" t="n"/>
    </row>
    <row r="498" ht="14.25" customHeight="1">
      <c r="A498" s="409" t="inlineStr">
        <is>
          <t>Сосиски</t>
        </is>
      </c>
      <c r="B498" s="398" t="n"/>
      <c r="C498" s="398" t="n"/>
      <c r="D498" s="398" t="n"/>
      <c r="E498" s="398" t="n"/>
      <c r="F498" s="398" t="n"/>
      <c r="G498" s="398" t="n"/>
      <c r="H498" s="398" t="n"/>
      <c r="I498" s="398" t="n"/>
      <c r="J498" s="398" t="n"/>
      <c r="K498" s="398" t="n"/>
      <c r="L498" s="398" t="n"/>
      <c r="M498" s="398" t="n"/>
      <c r="N498" s="398" t="n"/>
      <c r="O498" s="398" t="n"/>
      <c r="P498" s="398" t="n"/>
      <c r="Q498" s="398" t="n"/>
      <c r="R498" s="398" t="n"/>
      <c r="S498" s="398" t="n"/>
      <c r="T498" s="398" t="n"/>
      <c r="U498" s="398" t="n"/>
      <c r="V498" s="398" t="n"/>
      <c r="W498" s="398" t="n"/>
      <c r="X498" s="398" t="n"/>
      <c r="Y498" s="398" t="n"/>
      <c r="Z498" s="409" t="n"/>
      <c r="AA498" s="409" t="n"/>
    </row>
    <row r="499" ht="16.5" customHeight="1">
      <c r="A499" s="64" t="inlineStr">
        <is>
          <t>SU002218</t>
        </is>
      </c>
      <c r="B499" s="64" t="inlineStr">
        <is>
          <t>P002854</t>
        </is>
      </c>
      <c r="C499" s="37" t="n">
        <v>4301051230</v>
      </c>
      <c r="D499" s="401" t="n">
        <v>4607091383409</v>
      </c>
      <c r="E499" s="791" t="n"/>
      <c r="F499" s="825" t="n">
        <v>1.3</v>
      </c>
      <c r="G499" s="38" t="n">
        <v>6</v>
      </c>
      <c r="H499" s="825" t="n">
        <v>7.8</v>
      </c>
      <c r="I499" s="825" t="n">
        <v>8.346</v>
      </c>
      <c r="J499" s="38" t="n">
        <v>56</v>
      </c>
      <c r="K499" s="38" t="inlineStr">
        <is>
          <t>8</t>
        </is>
      </c>
      <c r="L499" s="39" t="inlineStr">
        <is>
          <t>СК2</t>
        </is>
      </c>
      <c r="M499" s="39" t="n"/>
      <c r="N499" s="38" t="n">
        <v>45</v>
      </c>
      <c r="O499" s="1115">
        <f>HYPERLINK("https://abi.ru/products/Охлажденные/Дугушка/Дугушка/Сосиски/P002854/","Сосиски Молочные Дугушки Дугушка Весовые П/а мгс Дугушка")</f>
        <v/>
      </c>
      <c r="P499" s="827" t="n"/>
      <c r="Q499" s="827" t="n"/>
      <c r="R499" s="827" t="n"/>
      <c r="S499" s="791" t="n"/>
      <c r="T499" s="40" t="inlineStr"/>
      <c r="U499" s="40" t="inlineStr"/>
      <c r="V499" s="41" t="inlineStr">
        <is>
          <t>кг</t>
        </is>
      </c>
      <c r="W499" s="828" t="n">
        <v>0</v>
      </c>
      <c r="X499" s="829">
        <f>IFERROR(IF(W499="",0,CEILING((W499/$H499),1)*$H499),"")</f>
        <v/>
      </c>
      <c r="Y499" s="42">
        <f>IFERROR(IF(X499=0,"",ROUNDUP(X499/H499,0)*0.02175),"")</f>
        <v/>
      </c>
      <c r="Z499" s="69" t="inlineStr"/>
      <c r="AA499" s="70" t="inlineStr"/>
      <c r="AE499" s="80" t="n"/>
      <c r="BB499" s="363" t="inlineStr">
        <is>
          <t>КИ</t>
        </is>
      </c>
      <c r="BL499" s="80">
        <f>IFERROR(W499*I499/H499,"0")</f>
        <v/>
      </c>
      <c r="BM499" s="80">
        <f>IFERROR(X499*I499/H499,"0")</f>
        <v/>
      </c>
      <c r="BN499" s="80">
        <f>IFERROR(1/J499*(W499/H499),"0")</f>
        <v/>
      </c>
      <c r="BO499" s="80">
        <f>IFERROR(1/J499*(X499/H499),"0")</f>
        <v/>
      </c>
    </row>
    <row r="500" ht="16.5" customHeight="1">
      <c r="A500" s="64" t="inlineStr">
        <is>
          <t>SU002219</t>
        </is>
      </c>
      <c r="B500" s="64" t="inlineStr">
        <is>
          <t>P002855</t>
        </is>
      </c>
      <c r="C500" s="37" t="n">
        <v>4301051231</v>
      </c>
      <c r="D500" s="401" t="n">
        <v>4607091383416</v>
      </c>
      <c r="E500" s="791" t="n"/>
      <c r="F500" s="825" t="n">
        <v>1.3</v>
      </c>
      <c r="G500" s="38" t="n">
        <v>6</v>
      </c>
      <c r="H500" s="825" t="n">
        <v>7.8</v>
      </c>
      <c r="I500" s="825" t="n">
        <v>8.346</v>
      </c>
      <c r="J500" s="38" t="n">
        <v>56</v>
      </c>
      <c r="K500" s="38" t="inlineStr">
        <is>
          <t>8</t>
        </is>
      </c>
      <c r="L500" s="39" t="inlineStr">
        <is>
          <t>СК2</t>
        </is>
      </c>
      <c r="M500" s="39" t="n"/>
      <c r="N500" s="38" t="n">
        <v>45</v>
      </c>
      <c r="O500" s="1116">
        <f>HYPERLINK("https://abi.ru/products/Охлажденные/Дугушка/Дугушка/Сосиски/P002855/","Сосиски Сливочные Дугушки Дугушка Весовые П/а мгс Дугушка")</f>
        <v/>
      </c>
      <c r="P500" s="827" t="n"/>
      <c r="Q500" s="827" t="n"/>
      <c r="R500" s="827" t="n"/>
      <c r="S500" s="791" t="n"/>
      <c r="T500" s="40" t="inlineStr"/>
      <c r="U500" s="40" t="inlineStr"/>
      <c r="V500" s="41" t="inlineStr">
        <is>
          <t>кг</t>
        </is>
      </c>
      <c r="W500" s="828" t="n">
        <v>0</v>
      </c>
      <c r="X500" s="829">
        <f>IFERROR(IF(W500="",0,CEILING((W500/$H500),1)*$H500),"")</f>
        <v/>
      </c>
      <c r="Y500" s="42">
        <f>IFERROR(IF(X500=0,"",ROUNDUP(X500/H500,0)*0.02175),"")</f>
        <v/>
      </c>
      <c r="Z500" s="69" t="inlineStr"/>
      <c r="AA500" s="70" t="inlineStr"/>
      <c r="AE500" s="80" t="n"/>
      <c r="BB500" s="364" t="inlineStr">
        <is>
          <t>КИ</t>
        </is>
      </c>
      <c r="BL500" s="80">
        <f>IFERROR(W500*I500/H500,"0")</f>
        <v/>
      </c>
      <c r="BM500" s="80">
        <f>IFERROR(X500*I500/H500,"0")</f>
        <v/>
      </c>
      <c r="BN500" s="80">
        <f>IFERROR(1/J500*(W500/H500),"0")</f>
        <v/>
      </c>
      <c r="BO500" s="80">
        <f>IFERROR(1/J500*(X500/H500),"0")</f>
        <v/>
      </c>
    </row>
    <row r="501" ht="27" customHeight="1">
      <c r="A501" s="64" t="inlineStr">
        <is>
          <t>SU002146</t>
        </is>
      </c>
      <c r="B501" s="64" t="inlineStr">
        <is>
          <t>P002319</t>
        </is>
      </c>
      <c r="C501" s="37" t="n">
        <v>4301051058</v>
      </c>
      <c r="D501" s="401" t="n">
        <v>4680115883536</v>
      </c>
      <c r="E501" s="791" t="n"/>
      <c r="F501" s="825" t="n">
        <v>0.3</v>
      </c>
      <c r="G501" s="38" t="n">
        <v>6</v>
      </c>
      <c r="H501" s="825" t="n">
        <v>1.8</v>
      </c>
      <c r="I501" s="825" t="n">
        <v>2.066</v>
      </c>
      <c r="J501" s="38" t="n">
        <v>156</v>
      </c>
      <c r="K501" s="38" t="inlineStr">
        <is>
          <t>12</t>
        </is>
      </c>
      <c r="L501" s="39" t="inlineStr">
        <is>
          <t>СК2</t>
        </is>
      </c>
      <c r="M501" s="39" t="n"/>
      <c r="N501" s="38" t="n">
        <v>45</v>
      </c>
      <c r="O501" s="1117">
        <f>HYPERLINK("https://abi.ru/products/Охлажденные/Дугушка/Дугушка/Сосиски/P002319/","Сосиски «Молочные Дугушки» ф/в 0,3 амицел ТМ «Дугушка»")</f>
        <v/>
      </c>
      <c r="P501" s="827" t="n"/>
      <c r="Q501" s="827" t="n"/>
      <c r="R501" s="827" t="n"/>
      <c r="S501" s="791" t="n"/>
      <c r="T501" s="40" t="inlineStr"/>
      <c r="U501" s="40" t="inlineStr"/>
      <c r="V501" s="41" t="inlineStr">
        <is>
          <t>кг</t>
        </is>
      </c>
      <c r="W501" s="828" t="n">
        <v>0</v>
      </c>
      <c r="X501" s="829">
        <f>IFERROR(IF(W501="",0,CEILING((W501/$H501),1)*$H501),"")</f>
        <v/>
      </c>
      <c r="Y501" s="42">
        <f>IFERROR(IF(X501=0,"",ROUNDUP(X501/H501,0)*0.00753),"")</f>
        <v/>
      </c>
      <c r="Z501" s="69" t="inlineStr"/>
      <c r="AA501" s="70" t="inlineStr"/>
      <c r="AE501" s="80" t="n"/>
      <c r="BB501" s="365" t="inlineStr">
        <is>
          <t>КИ</t>
        </is>
      </c>
      <c r="BL501" s="80">
        <f>IFERROR(W501*I501/H501,"0")</f>
        <v/>
      </c>
      <c r="BM501" s="80">
        <f>IFERROR(X501*I501/H501,"0")</f>
        <v/>
      </c>
      <c r="BN501" s="80">
        <f>IFERROR(1/J501*(W501/H501),"0")</f>
        <v/>
      </c>
      <c r="BO501" s="80">
        <f>IFERROR(1/J501*(X501/H501),"0")</f>
        <v/>
      </c>
    </row>
    <row r="502">
      <c r="A502" s="408" t="n"/>
      <c r="B502" s="398" t="n"/>
      <c r="C502" s="398" t="n"/>
      <c r="D502" s="398" t="n"/>
      <c r="E502" s="398" t="n"/>
      <c r="F502" s="398" t="n"/>
      <c r="G502" s="398" t="n"/>
      <c r="H502" s="398" t="n"/>
      <c r="I502" s="398" t="n"/>
      <c r="J502" s="398" t="n"/>
      <c r="K502" s="398" t="n"/>
      <c r="L502" s="398" t="n"/>
      <c r="M502" s="398" t="n"/>
      <c r="N502" s="831" t="n"/>
      <c r="O502" s="832" t="inlineStr">
        <is>
          <t>Итого</t>
        </is>
      </c>
      <c r="P502" s="799" t="n"/>
      <c r="Q502" s="799" t="n"/>
      <c r="R502" s="799" t="n"/>
      <c r="S502" s="799" t="n"/>
      <c r="T502" s="799" t="n"/>
      <c r="U502" s="800" t="n"/>
      <c r="V502" s="43" t="inlineStr">
        <is>
          <t>кор</t>
        </is>
      </c>
      <c r="W502" s="833">
        <f>IFERROR(W499/H499,"0")+IFERROR(W500/H500,"0")+IFERROR(W501/H501,"0")</f>
        <v/>
      </c>
      <c r="X502" s="833">
        <f>IFERROR(X499/H499,"0")+IFERROR(X500/H500,"0")+IFERROR(X501/H501,"0")</f>
        <v/>
      </c>
      <c r="Y502" s="833">
        <f>IFERROR(IF(Y499="",0,Y499),"0")+IFERROR(IF(Y500="",0,Y500),"0")+IFERROR(IF(Y501="",0,Y501),"0")</f>
        <v/>
      </c>
      <c r="Z502" s="834" t="n"/>
      <c r="AA502" s="834" t="n"/>
    </row>
    <row r="503">
      <c r="A503" s="398" t="n"/>
      <c r="B503" s="398" t="n"/>
      <c r="C503" s="398" t="n"/>
      <c r="D503" s="398" t="n"/>
      <c r="E503" s="398" t="n"/>
      <c r="F503" s="398" t="n"/>
      <c r="G503" s="398" t="n"/>
      <c r="H503" s="398" t="n"/>
      <c r="I503" s="398" t="n"/>
      <c r="J503" s="398" t="n"/>
      <c r="K503" s="398" t="n"/>
      <c r="L503" s="398" t="n"/>
      <c r="M503" s="398" t="n"/>
      <c r="N503" s="831" t="n"/>
      <c r="O503" s="832" t="inlineStr">
        <is>
          <t>Итого</t>
        </is>
      </c>
      <c r="P503" s="799" t="n"/>
      <c r="Q503" s="799" t="n"/>
      <c r="R503" s="799" t="n"/>
      <c r="S503" s="799" t="n"/>
      <c r="T503" s="799" t="n"/>
      <c r="U503" s="800" t="n"/>
      <c r="V503" s="43" t="inlineStr">
        <is>
          <t>кг</t>
        </is>
      </c>
      <c r="W503" s="833">
        <f>IFERROR(SUM(W499:W501),"0")</f>
        <v/>
      </c>
      <c r="X503" s="833">
        <f>IFERROR(SUM(X499:X501),"0")</f>
        <v/>
      </c>
      <c r="Y503" s="43" t="n"/>
      <c r="Z503" s="834" t="n"/>
      <c r="AA503" s="834" t="n"/>
    </row>
    <row r="504" ht="14.25" customHeight="1">
      <c r="A504" s="409" t="inlineStr">
        <is>
          <t>Сардельки</t>
        </is>
      </c>
      <c r="B504" s="398" t="n"/>
      <c r="C504" s="398" t="n"/>
      <c r="D504" s="398" t="n"/>
      <c r="E504" s="398" t="n"/>
      <c r="F504" s="398" t="n"/>
      <c r="G504" s="398" t="n"/>
      <c r="H504" s="398" t="n"/>
      <c r="I504" s="398" t="n"/>
      <c r="J504" s="398" t="n"/>
      <c r="K504" s="398" t="n"/>
      <c r="L504" s="398" t="n"/>
      <c r="M504" s="398" t="n"/>
      <c r="N504" s="398" t="n"/>
      <c r="O504" s="398" t="n"/>
      <c r="P504" s="398" t="n"/>
      <c r="Q504" s="398" t="n"/>
      <c r="R504" s="398" t="n"/>
      <c r="S504" s="398" t="n"/>
      <c r="T504" s="398" t="n"/>
      <c r="U504" s="398" t="n"/>
      <c r="V504" s="398" t="n"/>
      <c r="W504" s="398" t="n"/>
      <c r="X504" s="398" t="n"/>
      <c r="Y504" s="398" t="n"/>
      <c r="Z504" s="409" t="n"/>
      <c r="AA504" s="409" t="n"/>
    </row>
    <row r="505" ht="16.5" customHeight="1">
      <c r="A505" s="64" t="inlineStr">
        <is>
          <t>SU003136</t>
        </is>
      </c>
      <c r="B505" s="64" t="inlineStr">
        <is>
          <t>P003722</t>
        </is>
      </c>
      <c r="C505" s="37" t="n">
        <v>4301060363</v>
      </c>
      <c r="D505" s="401" t="n">
        <v>4680115885035</v>
      </c>
      <c r="E505" s="791" t="n"/>
      <c r="F505" s="825" t="n">
        <v>1</v>
      </c>
      <c r="G505" s="38" t="n">
        <v>4</v>
      </c>
      <c r="H505" s="825" t="n">
        <v>4</v>
      </c>
      <c r="I505" s="825" t="n">
        <v>4.416</v>
      </c>
      <c r="J505" s="38" t="n">
        <v>104</v>
      </c>
      <c r="K505" s="38" t="inlineStr">
        <is>
          <t>8</t>
        </is>
      </c>
      <c r="L505" s="39" t="inlineStr">
        <is>
          <t>СК2</t>
        </is>
      </c>
      <c r="M505" s="39" t="n"/>
      <c r="N505" s="38" t="n">
        <v>35</v>
      </c>
      <c r="O505" s="1118">
        <f>HYPERLINK("https://abi.ru/products/Охлажденные/Дугушка/Дугушка/Сардельки/P003722/","Сардельки «Дугушки» Весовой н/о ТМ «Дугушка»")</f>
        <v/>
      </c>
      <c r="P505" s="827" t="n"/>
      <c r="Q505" s="827" t="n"/>
      <c r="R505" s="827" t="n"/>
      <c r="S505" s="791" t="n"/>
      <c r="T505" s="40" t="inlineStr"/>
      <c r="U505" s="40" t="inlineStr"/>
      <c r="V505" s="41" t="inlineStr">
        <is>
          <t>кг</t>
        </is>
      </c>
      <c r="W505" s="828" t="n">
        <v>0</v>
      </c>
      <c r="X505" s="829">
        <f>IFERROR(IF(W505="",0,CEILING((W505/$H505),1)*$H505),"")</f>
        <v/>
      </c>
      <c r="Y505" s="42">
        <f>IFERROR(IF(X505=0,"",ROUNDUP(X505/H505,0)*0.01196),"")</f>
        <v/>
      </c>
      <c r="Z505" s="69" t="inlineStr"/>
      <c r="AA505" s="70" t="inlineStr"/>
      <c r="AE505" s="80" t="n"/>
      <c r="BB505" s="366" t="inlineStr">
        <is>
          <t>КИ</t>
        </is>
      </c>
      <c r="BL505" s="80">
        <f>IFERROR(W505*I505/H505,"0")</f>
        <v/>
      </c>
      <c r="BM505" s="80">
        <f>IFERROR(X505*I505/H505,"0")</f>
        <v/>
      </c>
      <c r="BN505" s="80">
        <f>IFERROR(1/J505*(W505/H505),"0")</f>
        <v/>
      </c>
      <c r="BO505" s="80">
        <f>IFERROR(1/J505*(X505/H505),"0")</f>
        <v/>
      </c>
    </row>
    <row r="506">
      <c r="A506" s="408" t="n"/>
      <c r="B506" s="398" t="n"/>
      <c r="C506" s="398" t="n"/>
      <c r="D506" s="398" t="n"/>
      <c r="E506" s="398" t="n"/>
      <c r="F506" s="398" t="n"/>
      <c r="G506" s="398" t="n"/>
      <c r="H506" s="398" t="n"/>
      <c r="I506" s="398" t="n"/>
      <c r="J506" s="398" t="n"/>
      <c r="K506" s="398" t="n"/>
      <c r="L506" s="398" t="n"/>
      <c r="M506" s="398" t="n"/>
      <c r="N506" s="831" t="n"/>
      <c r="O506" s="832" t="inlineStr">
        <is>
          <t>Итого</t>
        </is>
      </c>
      <c r="P506" s="799" t="n"/>
      <c r="Q506" s="799" t="n"/>
      <c r="R506" s="799" t="n"/>
      <c r="S506" s="799" t="n"/>
      <c r="T506" s="799" t="n"/>
      <c r="U506" s="800" t="n"/>
      <c r="V506" s="43" t="inlineStr">
        <is>
          <t>кор</t>
        </is>
      </c>
      <c r="W506" s="833">
        <f>IFERROR(W505/H505,"0")</f>
        <v/>
      </c>
      <c r="X506" s="833">
        <f>IFERROR(X505/H505,"0")</f>
        <v/>
      </c>
      <c r="Y506" s="833">
        <f>IFERROR(IF(Y505="",0,Y505),"0")</f>
        <v/>
      </c>
      <c r="Z506" s="834" t="n"/>
      <c r="AA506" s="834" t="n"/>
    </row>
    <row r="507">
      <c r="A507" s="398" t="n"/>
      <c r="B507" s="398" t="n"/>
      <c r="C507" s="398" t="n"/>
      <c r="D507" s="398" t="n"/>
      <c r="E507" s="398" t="n"/>
      <c r="F507" s="398" t="n"/>
      <c r="G507" s="398" t="n"/>
      <c r="H507" s="398" t="n"/>
      <c r="I507" s="398" t="n"/>
      <c r="J507" s="398" t="n"/>
      <c r="K507" s="398" t="n"/>
      <c r="L507" s="398" t="n"/>
      <c r="M507" s="398" t="n"/>
      <c r="N507" s="831" t="n"/>
      <c r="O507" s="832" t="inlineStr">
        <is>
          <t>Итого</t>
        </is>
      </c>
      <c r="P507" s="799" t="n"/>
      <c r="Q507" s="799" t="n"/>
      <c r="R507" s="799" t="n"/>
      <c r="S507" s="799" t="n"/>
      <c r="T507" s="799" t="n"/>
      <c r="U507" s="800" t="n"/>
      <c r="V507" s="43" t="inlineStr">
        <is>
          <t>кг</t>
        </is>
      </c>
      <c r="W507" s="833">
        <f>IFERROR(SUM(W505:W505),"0")</f>
        <v/>
      </c>
      <c r="X507" s="833">
        <f>IFERROR(SUM(X505:X505),"0")</f>
        <v/>
      </c>
      <c r="Y507" s="43" t="n"/>
      <c r="Z507" s="834" t="n"/>
      <c r="AA507" s="834" t="n"/>
    </row>
    <row r="508" ht="27.75" customHeight="1">
      <c r="A508" s="438" t="inlineStr">
        <is>
          <t>Зареченские продукты</t>
        </is>
      </c>
      <c r="B508" s="824" t="n"/>
      <c r="C508" s="824" t="n"/>
      <c r="D508" s="824" t="n"/>
      <c r="E508" s="824" t="n"/>
      <c r="F508" s="824" t="n"/>
      <c r="G508" s="824" t="n"/>
      <c r="H508" s="824" t="n"/>
      <c r="I508" s="824" t="n"/>
      <c r="J508" s="824" t="n"/>
      <c r="K508" s="824" t="n"/>
      <c r="L508" s="824" t="n"/>
      <c r="M508" s="824" t="n"/>
      <c r="N508" s="824" t="n"/>
      <c r="O508" s="824" t="n"/>
      <c r="P508" s="824" t="n"/>
      <c r="Q508" s="824" t="n"/>
      <c r="R508" s="824" t="n"/>
      <c r="S508" s="824" t="n"/>
      <c r="T508" s="824" t="n"/>
      <c r="U508" s="824" t="n"/>
      <c r="V508" s="824" t="n"/>
      <c r="W508" s="824" t="n"/>
      <c r="X508" s="824" t="n"/>
      <c r="Y508" s="824" t="n"/>
      <c r="Z508" s="55" t="n"/>
      <c r="AA508" s="55" t="n"/>
    </row>
    <row r="509" ht="16.5" customHeight="1">
      <c r="A509" s="439" t="inlineStr">
        <is>
          <t>Зареченские продукты</t>
        </is>
      </c>
      <c r="B509" s="398" t="n"/>
      <c r="C509" s="398" t="n"/>
      <c r="D509" s="398" t="n"/>
      <c r="E509" s="398" t="n"/>
      <c r="F509" s="398" t="n"/>
      <c r="G509" s="398" t="n"/>
      <c r="H509" s="398" t="n"/>
      <c r="I509" s="398" t="n"/>
      <c r="J509" s="398" t="n"/>
      <c r="K509" s="398" t="n"/>
      <c r="L509" s="398" t="n"/>
      <c r="M509" s="398" t="n"/>
      <c r="N509" s="398" t="n"/>
      <c r="O509" s="398" t="n"/>
      <c r="P509" s="398" t="n"/>
      <c r="Q509" s="398" t="n"/>
      <c r="R509" s="398" t="n"/>
      <c r="S509" s="398" t="n"/>
      <c r="T509" s="398" t="n"/>
      <c r="U509" s="398" t="n"/>
      <c r="V509" s="398" t="n"/>
      <c r="W509" s="398" t="n"/>
      <c r="X509" s="398" t="n"/>
      <c r="Y509" s="398" t="n"/>
      <c r="Z509" s="439" t="n"/>
      <c r="AA509" s="439" t="n"/>
    </row>
    <row r="510" ht="14.25" customHeight="1">
      <c r="A510" s="409" t="inlineStr">
        <is>
          <t>Вареные колбасы</t>
        </is>
      </c>
      <c r="B510" s="398" t="n"/>
      <c r="C510" s="398" t="n"/>
      <c r="D510" s="398" t="n"/>
      <c r="E510" s="398" t="n"/>
      <c r="F510" s="398" t="n"/>
      <c r="G510" s="398" t="n"/>
      <c r="H510" s="398" t="n"/>
      <c r="I510" s="398" t="n"/>
      <c r="J510" s="398" t="n"/>
      <c r="K510" s="398" t="n"/>
      <c r="L510" s="398" t="n"/>
      <c r="M510" s="398" t="n"/>
      <c r="N510" s="398" t="n"/>
      <c r="O510" s="398" t="n"/>
      <c r="P510" s="398" t="n"/>
      <c r="Q510" s="398" t="n"/>
      <c r="R510" s="398" t="n"/>
      <c r="S510" s="398" t="n"/>
      <c r="T510" s="398" t="n"/>
      <c r="U510" s="398" t="n"/>
      <c r="V510" s="398" t="n"/>
      <c r="W510" s="398" t="n"/>
      <c r="X510" s="398" t="n"/>
      <c r="Y510" s="398" t="n"/>
      <c r="Z510" s="409" t="n"/>
      <c r="AA510" s="409" t="n"/>
    </row>
    <row r="511" ht="27" customHeight="1">
      <c r="A511" s="64" t="inlineStr">
        <is>
          <t>SU003290</t>
        </is>
      </c>
      <c r="B511" s="64" t="inlineStr">
        <is>
          <t>P004000</t>
        </is>
      </c>
      <c r="C511" s="37" t="n">
        <v>4301011763</v>
      </c>
      <c r="D511" s="401" t="n">
        <v>4640242181011</v>
      </c>
      <c r="E511" s="791" t="n"/>
      <c r="F511" s="825" t="n">
        <v>1.35</v>
      </c>
      <c r="G511" s="38" t="n">
        <v>8</v>
      </c>
      <c r="H511" s="825" t="n">
        <v>10.8</v>
      </c>
      <c r="I511" s="825" t="n">
        <v>11.28</v>
      </c>
      <c r="J511" s="38" t="n">
        <v>56</v>
      </c>
      <c r="K511" s="38" t="inlineStr">
        <is>
          <t>8</t>
        </is>
      </c>
      <c r="L511" s="39" t="inlineStr">
        <is>
          <t>СК3</t>
        </is>
      </c>
      <c r="M511" s="39" t="n"/>
      <c r="N511" s="38" t="n">
        <v>55</v>
      </c>
      <c r="O511" s="1119" t="inlineStr">
        <is>
          <t>Вареные колбасы «Молочная» Весовой п/а ТМ «Зареченские»</t>
        </is>
      </c>
      <c r="P511" s="827" t="n"/>
      <c r="Q511" s="827" t="n"/>
      <c r="R511" s="827" t="n"/>
      <c r="S511" s="791" t="n"/>
      <c r="T511" s="40" t="inlineStr"/>
      <c r="U511" s="40" t="inlineStr"/>
      <c r="V511" s="41" t="inlineStr">
        <is>
          <t>кг</t>
        </is>
      </c>
      <c r="W511" s="828" t="n">
        <v>0</v>
      </c>
      <c r="X511" s="829">
        <f>IFERROR(IF(W511="",0,CEILING((W511/$H511),1)*$H511),"")</f>
        <v/>
      </c>
      <c r="Y511" s="42">
        <f>IFERROR(IF(X511=0,"",ROUNDUP(X511/H511,0)*0.02175),"")</f>
        <v/>
      </c>
      <c r="Z511" s="69" t="inlineStr"/>
      <c r="AA511" s="70" t="inlineStr"/>
      <c r="AE511" s="80" t="n"/>
      <c r="BB511" s="367" t="inlineStr">
        <is>
          <t>КИ</t>
        </is>
      </c>
      <c r="BL511" s="80">
        <f>IFERROR(W511*I511/H511,"0")</f>
        <v/>
      </c>
      <c r="BM511" s="80">
        <f>IFERROR(X511*I511/H511,"0")</f>
        <v/>
      </c>
      <c r="BN511" s="80">
        <f>IFERROR(1/J511*(W511/H511),"0")</f>
        <v/>
      </c>
      <c r="BO511" s="80">
        <f>IFERROR(1/J511*(X511/H511),"0")</f>
        <v/>
      </c>
    </row>
    <row r="512" ht="27" customHeight="1">
      <c r="A512" s="64" t="inlineStr">
        <is>
          <t>SU002963</t>
        </is>
      </c>
      <c r="B512" s="64" t="inlineStr">
        <is>
          <t>P004322</t>
        </is>
      </c>
      <c r="C512" s="37" t="n">
        <v>4301011951</v>
      </c>
      <c r="D512" s="401" t="n">
        <v>4640242180045</v>
      </c>
      <c r="E512" s="791" t="n"/>
      <c r="F512" s="825" t="n">
        <v>1.35</v>
      </c>
      <c r="G512" s="38" t="n">
        <v>8</v>
      </c>
      <c r="H512" s="825" t="n">
        <v>10.8</v>
      </c>
      <c r="I512" s="825" t="n">
        <v>11.28</v>
      </c>
      <c r="J512" s="38" t="n">
        <v>56</v>
      </c>
      <c r="K512" s="38" t="inlineStr">
        <is>
          <t>8</t>
        </is>
      </c>
      <c r="L512" s="39" t="inlineStr">
        <is>
          <t>СК1</t>
        </is>
      </c>
      <c r="M512" s="39" t="n"/>
      <c r="N512" s="38" t="n">
        <v>55</v>
      </c>
      <c r="O512" s="1120" t="inlineStr">
        <is>
          <t>Вареные колбасы «Молочная классическая» Весовой п/а ТМ «Зареченские» HR</t>
        </is>
      </c>
      <c r="P512" s="827" t="n"/>
      <c r="Q512" s="827" t="n"/>
      <c r="R512" s="827" t="n"/>
      <c r="S512" s="791" t="n"/>
      <c r="T512" s="40" t="inlineStr"/>
      <c r="U512" s="40" t="inlineStr"/>
      <c r="V512" s="41" t="inlineStr">
        <is>
          <t>кг</t>
        </is>
      </c>
      <c r="W512" s="828" t="n">
        <v>0</v>
      </c>
      <c r="X512" s="829">
        <f>IFERROR(IF(W512="",0,CEILING((W512/$H512),1)*$H512),"")</f>
        <v/>
      </c>
      <c r="Y512" s="42">
        <f>IFERROR(IF(X512=0,"",ROUNDUP(X512/H512,0)*0.02175),"")</f>
        <v/>
      </c>
      <c r="Z512" s="69" t="inlineStr"/>
      <c r="AA512" s="70" t="inlineStr"/>
      <c r="AE512" s="80" t="n"/>
      <c r="BB512" s="368" t="inlineStr">
        <is>
          <t>КИ</t>
        </is>
      </c>
      <c r="BL512" s="80">
        <f>IFERROR(W512*I512/H512,"0")</f>
        <v/>
      </c>
      <c r="BM512" s="80">
        <f>IFERROR(X512*I512/H512,"0")</f>
        <v/>
      </c>
      <c r="BN512" s="80">
        <f>IFERROR(1/J512*(W512/H512),"0")</f>
        <v/>
      </c>
      <c r="BO512" s="80">
        <f>IFERROR(1/J512*(X512/H512),"0")</f>
        <v/>
      </c>
    </row>
    <row r="513" ht="27" customHeight="1">
      <c r="A513" s="64" t="inlineStr">
        <is>
          <t>SU002807</t>
        </is>
      </c>
      <c r="B513" s="64" t="inlineStr">
        <is>
          <t>P003583</t>
        </is>
      </c>
      <c r="C513" s="37" t="n">
        <v>4301011585</v>
      </c>
      <c r="D513" s="401" t="n">
        <v>4640242180441</v>
      </c>
      <c r="E513" s="791" t="n"/>
      <c r="F513" s="825" t="n">
        <v>1.5</v>
      </c>
      <c r="G513" s="38" t="n">
        <v>8</v>
      </c>
      <c r="H513" s="825" t="n">
        <v>12</v>
      </c>
      <c r="I513" s="825" t="n">
        <v>12.48</v>
      </c>
      <c r="J513" s="38" t="n">
        <v>56</v>
      </c>
      <c r="K513" s="38" t="inlineStr">
        <is>
          <t>8</t>
        </is>
      </c>
      <c r="L513" s="39" t="inlineStr">
        <is>
          <t>СК1</t>
        </is>
      </c>
      <c r="M513" s="39" t="n"/>
      <c r="N513" s="38" t="n">
        <v>50</v>
      </c>
      <c r="O513" s="1121" t="inlineStr">
        <is>
          <t>Вареные колбасы «Муромская» Весовой п/а ТМ «Зареченские»</t>
        </is>
      </c>
      <c r="P513" s="827" t="n"/>
      <c r="Q513" s="827" t="n"/>
      <c r="R513" s="827" t="n"/>
      <c r="S513" s="791" t="n"/>
      <c r="T513" s="40" t="inlineStr"/>
      <c r="U513" s="40" t="inlineStr"/>
      <c r="V513" s="41" t="inlineStr">
        <is>
          <t>кг</t>
        </is>
      </c>
      <c r="W513" s="828" t="n">
        <v>0</v>
      </c>
      <c r="X513" s="829">
        <f>IFERROR(IF(W513="",0,CEILING((W513/$H513),1)*$H513),"")</f>
        <v/>
      </c>
      <c r="Y513" s="42">
        <f>IFERROR(IF(X513=0,"",ROUNDUP(X513/H513,0)*0.02175),"")</f>
        <v/>
      </c>
      <c r="Z513" s="69" t="inlineStr"/>
      <c r="AA513" s="70" t="inlineStr"/>
      <c r="AE513" s="80" t="n"/>
      <c r="BB513" s="369" t="inlineStr">
        <is>
          <t>КИ</t>
        </is>
      </c>
      <c r="BL513" s="80">
        <f>IFERROR(W513*I513/H513,"0")</f>
        <v/>
      </c>
      <c r="BM513" s="80">
        <f>IFERROR(X513*I513/H513,"0")</f>
        <v/>
      </c>
      <c r="BN513" s="80">
        <f>IFERROR(1/J513*(W513/H513),"0")</f>
        <v/>
      </c>
      <c r="BO513" s="80">
        <f>IFERROR(1/J513*(X513/H513),"0")</f>
        <v/>
      </c>
    </row>
    <row r="514" ht="27" customHeight="1">
      <c r="A514" s="64" t="inlineStr">
        <is>
          <t>SU003055</t>
        </is>
      </c>
      <c r="B514" s="64" t="inlineStr">
        <is>
          <t>P004323</t>
        </is>
      </c>
      <c r="C514" s="37" t="n">
        <v>4301011950</v>
      </c>
      <c r="D514" s="401" t="n">
        <v>4640242180601</v>
      </c>
      <c r="E514" s="791" t="n"/>
      <c r="F514" s="825" t="n">
        <v>1.35</v>
      </c>
      <c r="G514" s="38" t="n">
        <v>8</v>
      </c>
      <c r="H514" s="825" t="n">
        <v>10.8</v>
      </c>
      <c r="I514" s="825" t="n">
        <v>11.28</v>
      </c>
      <c r="J514" s="38" t="n">
        <v>56</v>
      </c>
      <c r="K514" s="38" t="inlineStr">
        <is>
          <t>8</t>
        </is>
      </c>
      <c r="L514" s="39" t="inlineStr">
        <is>
          <t>СК1</t>
        </is>
      </c>
      <c r="M514" s="39" t="n"/>
      <c r="N514" s="38" t="n">
        <v>55</v>
      </c>
      <c r="O514" s="1122" t="inlineStr">
        <is>
          <t>Вареные колбасы «Мясная со шпиком» Весовой п/а ТМ «Зареченские» HR</t>
        </is>
      </c>
      <c r="P514" s="827" t="n"/>
      <c r="Q514" s="827" t="n"/>
      <c r="R514" s="827" t="n"/>
      <c r="S514" s="791" t="n"/>
      <c r="T514" s="40" t="inlineStr"/>
      <c r="U514" s="40" t="inlineStr"/>
      <c r="V514" s="41" t="inlineStr">
        <is>
          <t>кг</t>
        </is>
      </c>
      <c r="W514" s="828" t="n">
        <v>0</v>
      </c>
      <c r="X514" s="829">
        <f>IFERROR(IF(W514="",0,CEILING((W514/$H514),1)*$H514),"")</f>
        <v/>
      </c>
      <c r="Y514" s="42">
        <f>IFERROR(IF(X514=0,"",ROUNDUP(X514/H514,0)*0.02175),"")</f>
        <v/>
      </c>
      <c r="Z514" s="69" t="inlineStr"/>
      <c r="AA514" s="70" t="inlineStr"/>
      <c r="AE514" s="80" t="n"/>
      <c r="BB514" s="370" t="inlineStr">
        <is>
          <t>КИ</t>
        </is>
      </c>
      <c r="BL514" s="80">
        <f>IFERROR(W514*I514/H514,"0")</f>
        <v/>
      </c>
      <c r="BM514" s="80">
        <f>IFERROR(X514*I514/H514,"0")</f>
        <v/>
      </c>
      <c r="BN514" s="80">
        <f>IFERROR(1/J514*(W514/H514),"0")</f>
        <v/>
      </c>
      <c r="BO514" s="80">
        <f>IFERROR(1/J514*(X514/H514),"0")</f>
        <v/>
      </c>
    </row>
    <row r="515" ht="27" customHeight="1">
      <c r="A515" s="64" t="inlineStr">
        <is>
          <t>SU002808</t>
        </is>
      </c>
      <c r="B515" s="64" t="inlineStr">
        <is>
          <t>P003582</t>
        </is>
      </c>
      <c r="C515" s="37" t="n">
        <v>4301011584</v>
      </c>
      <c r="D515" s="401" t="n">
        <v>4640242180564</v>
      </c>
      <c r="E515" s="791" t="n"/>
      <c r="F515" s="825" t="n">
        <v>1.5</v>
      </c>
      <c r="G515" s="38" t="n">
        <v>8</v>
      </c>
      <c r="H515" s="825" t="n">
        <v>12</v>
      </c>
      <c r="I515" s="825" t="n">
        <v>12.48</v>
      </c>
      <c r="J515" s="38" t="n">
        <v>56</v>
      </c>
      <c r="K515" s="38" t="inlineStr">
        <is>
          <t>8</t>
        </is>
      </c>
      <c r="L515" s="39" t="inlineStr">
        <is>
          <t>СК1</t>
        </is>
      </c>
      <c r="M515" s="39" t="n"/>
      <c r="N515" s="38" t="n">
        <v>50</v>
      </c>
      <c r="O515" s="1123" t="inlineStr">
        <is>
          <t>Вареные колбасы «Нежная» НТУ Весовые П/а ТМ «Зареченские»</t>
        </is>
      </c>
      <c r="P515" s="827" t="n"/>
      <c r="Q515" s="827" t="n"/>
      <c r="R515" s="827" t="n"/>
      <c r="S515" s="791" t="n"/>
      <c r="T515" s="40" t="inlineStr"/>
      <c r="U515" s="40" t="inlineStr"/>
      <c r="V515" s="41" t="inlineStr">
        <is>
          <t>кг</t>
        </is>
      </c>
      <c r="W515" s="828" t="n">
        <v>20</v>
      </c>
      <c r="X515" s="829">
        <f>IFERROR(IF(W515="",0,CEILING((W515/$H515),1)*$H515),"")</f>
        <v/>
      </c>
      <c r="Y515" s="42">
        <f>IFERROR(IF(X515=0,"",ROUNDUP(X515/H515,0)*0.02175),"")</f>
        <v/>
      </c>
      <c r="Z515" s="69" t="inlineStr"/>
      <c r="AA515" s="70" t="inlineStr"/>
      <c r="AE515" s="80" t="n"/>
      <c r="BB515" s="371" t="inlineStr">
        <is>
          <t>КИ</t>
        </is>
      </c>
      <c r="BL515" s="80">
        <f>IFERROR(W515*I515/H515,"0")</f>
        <v/>
      </c>
      <c r="BM515" s="80">
        <f>IFERROR(X515*I515/H515,"0")</f>
        <v/>
      </c>
      <c r="BN515" s="80">
        <f>IFERROR(1/J515*(W515/H515),"0")</f>
        <v/>
      </c>
      <c r="BO515" s="80">
        <f>IFERROR(1/J515*(X515/H515),"0")</f>
        <v/>
      </c>
    </row>
    <row r="516" ht="27" customHeight="1">
      <c r="A516" s="64" t="inlineStr">
        <is>
          <t>SU003289</t>
        </is>
      </c>
      <c r="B516" s="64" t="inlineStr">
        <is>
          <t>P003999</t>
        </is>
      </c>
      <c r="C516" s="37" t="n">
        <v>4301011762</v>
      </c>
      <c r="D516" s="401" t="n">
        <v>4640242180922</v>
      </c>
      <c r="E516" s="791" t="n"/>
      <c r="F516" s="825" t="n">
        <v>1.35</v>
      </c>
      <c r="G516" s="38" t="n">
        <v>8</v>
      </c>
      <c r="H516" s="825" t="n">
        <v>10.8</v>
      </c>
      <c r="I516" s="825" t="n">
        <v>11.28</v>
      </c>
      <c r="J516" s="38" t="n">
        <v>56</v>
      </c>
      <c r="K516" s="38" t="inlineStr">
        <is>
          <t>8</t>
        </is>
      </c>
      <c r="L516" s="39" t="inlineStr">
        <is>
          <t>СК1</t>
        </is>
      </c>
      <c r="M516" s="39" t="n"/>
      <c r="N516" s="38" t="n">
        <v>55</v>
      </c>
      <c r="O516" s="1124" t="inlineStr">
        <is>
          <t>Вареные колбасы «Нежная со шпиком» Весовой п/а ТМ «Зареченские»</t>
        </is>
      </c>
      <c r="P516" s="827" t="n"/>
      <c r="Q516" s="827" t="n"/>
      <c r="R516" s="827" t="n"/>
      <c r="S516" s="791" t="n"/>
      <c r="T516" s="40" t="inlineStr"/>
      <c r="U516" s="40" t="inlineStr"/>
      <c r="V516" s="41" t="inlineStr">
        <is>
          <t>кг</t>
        </is>
      </c>
      <c r="W516" s="828" t="n">
        <v>0</v>
      </c>
      <c r="X516" s="829">
        <f>IFERROR(IF(W516="",0,CEILING((W516/$H516),1)*$H516),"")</f>
        <v/>
      </c>
      <c r="Y516" s="42">
        <f>IFERROR(IF(X516=0,"",ROUNDUP(X516/H516,0)*0.02175),"")</f>
        <v/>
      </c>
      <c r="Z516" s="69" t="inlineStr"/>
      <c r="AA516" s="70" t="inlineStr"/>
      <c r="AE516" s="80" t="n"/>
      <c r="BB516" s="372" t="inlineStr">
        <is>
          <t>КИ</t>
        </is>
      </c>
      <c r="BL516" s="80">
        <f>IFERROR(W516*I516/H516,"0")</f>
        <v/>
      </c>
      <c r="BM516" s="80">
        <f>IFERROR(X516*I516/H516,"0")</f>
        <v/>
      </c>
      <c r="BN516" s="80">
        <f>IFERROR(1/J516*(W516/H516),"0")</f>
        <v/>
      </c>
      <c r="BO516" s="80">
        <f>IFERROR(1/J516*(X516/H516),"0")</f>
        <v/>
      </c>
    </row>
    <row r="517" ht="27" customHeight="1">
      <c r="A517" s="64" t="inlineStr">
        <is>
          <t>SU003296</t>
        </is>
      </c>
      <c r="B517" s="64" t="inlineStr">
        <is>
          <t>P004002</t>
        </is>
      </c>
      <c r="C517" s="37" t="n">
        <v>4301011764</v>
      </c>
      <c r="D517" s="401" t="n">
        <v>4640242181189</v>
      </c>
      <c r="E517" s="791" t="n"/>
      <c r="F517" s="825" t="n">
        <v>0.4</v>
      </c>
      <c r="G517" s="38" t="n">
        <v>10</v>
      </c>
      <c r="H517" s="825" t="n">
        <v>4</v>
      </c>
      <c r="I517" s="825" t="n">
        <v>4.24</v>
      </c>
      <c r="J517" s="38" t="n">
        <v>120</v>
      </c>
      <c r="K517" s="38" t="inlineStr">
        <is>
          <t>12</t>
        </is>
      </c>
      <c r="L517" s="39" t="inlineStr">
        <is>
          <t>СК3</t>
        </is>
      </c>
      <c r="M517" s="39" t="n"/>
      <c r="N517" s="38" t="n">
        <v>55</v>
      </c>
      <c r="O517" s="1125" t="inlineStr">
        <is>
          <t>Вареные колбасы «Молочная» Фикс.вес 0,4 п/а ТМ «Зареченские»</t>
        </is>
      </c>
      <c r="P517" s="827" t="n"/>
      <c r="Q517" s="827" t="n"/>
      <c r="R517" s="827" t="n"/>
      <c r="S517" s="791" t="n"/>
      <c r="T517" s="40" t="inlineStr"/>
      <c r="U517" s="40" t="inlineStr"/>
      <c r="V517" s="41" t="inlineStr">
        <is>
          <t>кг</t>
        </is>
      </c>
      <c r="W517" s="828" t="n">
        <v>0</v>
      </c>
      <c r="X517" s="829">
        <f>IFERROR(IF(W517="",0,CEILING((W517/$H517),1)*$H517),"")</f>
        <v/>
      </c>
      <c r="Y517" s="42">
        <f>IFERROR(IF(X517=0,"",ROUNDUP(X517/H517,0)*0.00937),"")</f>
        <v/>
      </c>
      <c r="Z517" s="69" t="inlineStr"/>
      <c r="AA517" s="70" t="inlineStr"/>
      <c r="AE517" s="80" t="n"/>
      <c r="BB517" s="373" t="inlineStr">
        <is>
          <t>КИ</t>
        </is>
      </c>
      <c r="BL517" s="80">
        <f>IFERROR(W517*I517/H517,"0")</f>
        <v/>
      </c>
      <c r="BM517" s="80">
        <f>IFERROR(X517*I517/H517,"0")</f>
        <v/>
      </c>
      <c r="BN517" s="80">
        <f>IFERROR(1/J517*(W517/H517),"0")</f>
        <v/>
      </c>
      <c r="BO517" s="80">
        <f>IFERROR(1/J517*(X517/H517),"0")</f>
        <v/>
      </c>
    </row>
    <row r="518" ht="27" customHeight="1">
      <c r="A518" s="64" t="inlineStr">
        <is>
          <t>SU002974</t>
        </is>
      </c>
      <c r="B518" s="64" t="inlineStr">
        <is>
          <t>P003426</t>
        </is>
      </c>
      <c r="C518" s="37" t="n">
        <v>4301011551</v>
      </c>
      <c r="D518" s="401" t="n">
        <v>4640242180038</v>
      </c>
      <c r="E518" s="791" t="n"/>
      <c r="F518" s="825" t="n">
        <v>0.4</v>
      </c>
      <c r="G518" s="38" t="n">
        <v>10</v>
      </c>
      <c r="H518" s="825" t="n">
        <v>4</v>
      </c>
      <c r="I518" s="825" t="n">
        <v>4.24</v>
      </c>
      <c r="J518" s="38" t="n">
        <v>120</v>
      </c>
      <c r="K518" s="38" t="inlineStr">
        <is>
          <t>12</t>
        </is>
      </c>
      <c r="L518" s="39" t="inlineStr">
        <is>
          <t>СК1</t>
        </is>
      </c>
      <c r="M518" s="39" t="n"/>
      <c r="N518" s="38" t="n">
        <v>50</v>
      </c>
      <c r="O518" s="1126" t="inlineStr">
        <is>
          <t>Вареные колбасы «Нежная» ф/в 0,4 п/а ТМ «Зареченские»</t>
        </is>
      </c>
      <c r="P518" s="827" t="n"/>
      <c r="Q518" s="827" t="n"/>
      <c r="R518" s="827" t="n"/>
      <c r="S518" s="791" t="n"/>
      <c r="T518" s="40" t="inlineStr"/>
      <c r="U518" s="40" t="inlineStr"/>
      <c r="V518" s="41" t="inlineStr">
        <is>
          <t>кг</t>
        </is>
      </c>
      <c r="W518" s="828" t="n">
        <v>0</v>
      </c>
      <c r="X518" s="829">
        <f>IFERROR(IF(W518="",0,CEILING((W518/$H518),1)*$H518),"")</f>
        <v/>
      </c>
      <c r="Y518" s="42">
        <f>IFERROR(IF(X518=0,"",ROUNDUP(X518/H518,0)*0.00937),"")</f>
        <v/>
      </c>
      <c r="Z518" s="69" t="inlineStr"/>
      <c r="AA518" s="70" t="inlineStr"/>
      <c r="AE518" s="80" t="n"/>
      <c r="BB518" s="374" t="inlineStr">
        <is>
          <t>КИ</t>
        </is>
      </c>
      <c r="BL518" s="80">
        <f>IFERROR(W518*I518/H518,"0")</f>
        <v/>
      </c>
      <c r="BM518" s="80">
        <f>IFERROR(X518*I518/H518,"0")</f>
        <v/>
      </c>
      <c r="BN518" s="80">
        <f>IFERROR(1/J518*(W518/H518),"0")</f>
        <v/>
      </c>
      <c r="BO518" s="80">
        <f>IFERROR(1/J518*(X518/H518),"0")</f>
        <v/>
      </c>
    </row>
    <row r="519" ht="27" customHeight="1">
      <c r="A519" s="64" t="inlineStr">
        <is>
          <t>SU003295</t>
        </is>
      </c>
      <c r="B519" s="64" t="inlineStr">
        <is>
          <t>P004004</t>
        </is>
      </c>
      <c r="C519" s="37" t="n">
        <v>4301011765</v>
      </c>
      <c r="D519" s="401" t="n">
        <v>4640242181172</v>
      </c>
      <c r="E519" s="791" t="n"/>
      <c r="F519" s="825" t="n">
        <v>0.4</v>
      </c>
      <c r="G519" s="38" t="n">
        <v>10</v>
      </c>
      <c r="H519" s="825" t="n">
        <v>4</v>
      </c>
      <c r="I519" s="825" t="n">
        <v>4.24</v>
      </c>
      <c r="J519" s="38" t="n">
        <v>120</v>
      </c>
      <c r="K519" s="38" t="inlineStr">
        <is>
          <t>12</t>
        </is>
      </c>
      <c r="L519" s="39" t="inlineStr">
        <is>
          <t>СК1</t>
        </is>
      </c>
      <c r="M519" s="39" t="n"/>
      <c r="N519" s="38" t="n">
        <v>55</v>
      </c>
      <c r="O519" s="1127" t="inlineStr">
        <is>
          <t>Вареные колбасы «Нежная со шпиком» Фикс.вес 0,4 п/а ТМ «Зареченские»</t>
        </is>
      </c>
      <c r="P519" s="827" t="n"/>
      <c r="Q519" s="827" t="n"/>
      <c r="R519" s="827" t="n"/>
      <c r="S519" s="791" t="n"/>
      <c r="T519" s="40" t="inlineStr"/>
      <c r="U519" s="40" t="inlineStr"/>
      <c r="V519" s="41" t="inlineStr">
        <is>
          <t>кг</t>
        </is>
      </c>
      <c r="W519" s="828" t="n">
        <v>0</v>
      </c>
      <c r="X519" s="829">
        <f>IFERROR(IF(W519="",0,CEILING((W519/$H519),1)*$H519),"")</f>
        <v/>
      </c>
      <c r="Y519" s="42">
        <f>IFERROR(IF(X519=0,"",ROUNDUP(X519/H519,0)*0.00937),"")</f>
        <v/>
      </c>
      <c r="Z519" s="69" t="inlineStr"/>
      <c r="AA519" s="70" t="inlineStr"/>
      <c r="AE519" s="80" t="n"/>
      <c r="BB519" s="375" t="inlineStr">
        <is>
          <t>КИ</t>
        </is>
      </c>
      <c r="BL519" s="80">
        <f>IFERROR(W519*I519/H519,"0")</f>
        <v/>
      </c>
      <c r="BM519" s="80">
        <f>IFERROR(X519*I519/H519,"0")</f>
        <v/>
      </c>
      <c r="BN519" s="80">
        <f>IFERROR(1/J519*(W519/H519),"0")</f>
        <v/>
      </c>
      <c r="BO519" s="80">
        <f>IFERROR(1/J519*(X519/H519),"0")</f>
        <v/>
      </c>
    </row>
    <row r="520">
      <c r="A520" s="408" t="n"/>
      <c r="B520" s="398" t="n"/>
      <c r="C520" s="398" t="n"/>
      <c r="D520" s="398" t="n"/>
      <c r="E520" s="398" t="n"/>
      <c r="F520" s="398" t="n"/>
      <c r="G520" s="398" t="n"/>
      <c r="H520" s="398" t="n"/>
      <c r="I520" s="398" t="n"/>
      <c r="J520" s="398" t="n"/>
      <c r="K520" s="398" t="n"/>
      <c r="L520" s="398" t="n"/>
      <c r="M520" s="398" t="n"/>
      <c r="N520" s="831" t="n"/>
      <c r="O520" s="832" t="inlineStr">
        <is>
          <t>Итого</t>
        </is>
      </c>
      <c r="P520" s="799" t="n"/>
      <c r="Q520" s="799" t="n"/>
      <c r="R520" s="799" t="n"/>
      <c r="S520" s="799" t="n"/>
      <c r="T520" s="799" t="n"/>
      <c r="U520" s="800" t="n"/>
      <c r="V520" s="43" t="inlineStr">
        <is>
          <t>кор</t>
        </is>
      </c>
      <c r="W520" s="833">
        <f>IFERROR(W511/H511,"0")+IFERROR(W512/H512,"0")+IFERROR(W513/H513,"0")+IFERROR(W514/H514,"0")+IFERROR(W515/H515,"0")+IFERROR(W516/H516,"0")+IFERROR(W517/H517,"0")+IFERROR(W518/H518,"0")+IFERROR(W519/H519,"0")</f>
        <v/>
      </c>
      <c r="X520" s="833">
        <f>IFERROR(X511/H511,"0")+IFERROR(X512/H512,"0")+IFERROR(X513/H513,"0")+IFERROR(X514/H514,"0")+IFERROR(X515/H515,"0")+IFERROR(X516/H516,"0")+IFERROR(X517/H517,"0")+IFERROR(X518/H518,"0")+IFERROR(X519/H519,"0")</f>
        <v/>
      </c>
      <c r="Y520" s="833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/>
      </c>
      <c r="Z520" s="834" t="n"/>
      <c r="AA520" s="834" t="n"/>
    </row>
    <row r="521">
      <c r="A521" s="398" t="n"/>
      <c r="B521" s="398" t="n"/>
      <c r="C521" s="398" t="n"/>
      <c r="D521" s="398" t="n"/>
      <c r="E521" s="398" t="n"/>
      <c r="F521" s="398" t="n"/>
      <c r="G521" s="398" t="n"/>
      <c r="H521" s="398" t="n"/>
      <c r="I521" s="398" t="n"/>
      <c r="J521" s="398" t="n"/>
      <c r="K521" s="398" t="n"/>
      <c r="L521" s="398" t="n"/>
      <c r="M521" s="398" t="n"/>
      <c r="N521" s="831" t="n"/>
      <c r="O521" s="832" t="inlineStr">
        <is>
          <t>Итого</t>
        </is>
      </c>
      <c r="P521" s="799" t="n"/>
      <c r="Q521" s="799" t="n"/>
      <c r="R521" s="799" t="n"/>
      <c r="S521" s="799" t="n"/>
      <c r="T521" s="799" t="n"/>
      <c r="U521" s="800" t="n"/>
      <c r="V521" s="43" t="inlineStr">
        <is>
          <t>кг</t>
        </is>
      </c>
      <c r="W521" s="833">
        <f>IFERROR(SUM(W511:W519),"0")</f>
        <v/>
      </c>
      <c r="X521" s="833">
        <f>IFERROR(SUM(X511:X519),"0")</f>
        <v/>
      </c>
      <c r="Y521" s="43" t="n"/>
      <c r="Z521" s="834" t="n"/>
      <c r="AA521" s="834" t="n"/>
    </row>
    <row r="522" ht="14.25" customHeight="1">
      <c r="A522" s="409" t="inlineStr">
        <is>
          <t>Ветчины</t>
        </is>
      </c>
      <c r="B522" s="398" t="n"/>
      <c r="C522" s="398" t="n"/>
      <c r="D522" s="398" t="n"/>
      <c r="E522" s="398" t="n"/>
      <c r="F522" s="398" t="n"/>
      <c r="G522" s="398" t="n"/>
      <c r="H522" s="398" t="n"/>
      <c r="I522" s="398" t="n"/>
      <c r="J522" s="398" t="n"/>
      <c r="K522" s="398" t="n"/>
      <c r="L522" s="398" t="n"/>
      <c r="M522" s="398" t="n"/>
      <c r="N522" s="398" t="n"/>
      <c r="O522" s="398" t="n"/>
      <c r="P522" s="398" t="n"/>
      <c r="Q522" s="398" t="n"/>
      <c r="R522" s="398" t="n"/>
      <c r="S522" s="398" t="n"/>
      <c r="T522" s="398" t="n"/>
      <c r="U522" s="398" t="n"/>
      <c r="V522" s="398" t="n"/>
      <c r="W522" s="398" t="n"/>
      <c r="X522" s="398" t="n"/>
      <c r="Y522" s="398" t="n"/>
      <c r="Z522" s="409" t="n"/>
      <c r="AA522" s="409" t="n"/>
    </row>
    <row r="523" ht="27" customHeight="1">
      <c r="A523" s="64" t="inlineStr">
        <is>
          <t>SU002811</t>
        </is>
      </c>
      <c r="B523" s="64" t="inlineStr">
        <is>
          <t>P003588</t>
        </is>
      </c>
      <c r="C523" s="37" t="n">
        <v>4301020260</v>
      </c>
      <c r="D523" s="401" t="n">
        <v>4640242180526</v>
      </c>
      <c r="E523" s="791" t="n"/>
      <c r="F523" s="825" t="n">
        <v>1.8</v>
      </c>
      <c r="G523" s="38" t="n">
        <v>6</v>
      </c>
      <c r="H523" s="825" t="n">
        <v>10.8</v>
      </c>
      <c r="I523" s="825" t="n">
        <v>11.28</v>
      </c>
      <c r="J523" s="38" t="n">
        <v>56</v>
      </c>
      <c r="K523" s="38" t="inlineStr">
        <is>
          <t>8</t>
        </is>
      </c>
      <c r="L523" s="39" t="inlineStr">
        <is>
          <t>СК1</t>
        </is>
      </c>
      <c r="M523" s="39" t="n"/>
      <c r="N523" s="38" t="n">
        <v>50</v>
      </c>
      <c r="O523" s="1128" t="inlineStr">
        <is>
          <t>Ветчины «Нежная» Весовой п/а ТМ «Зареченские» большой батон</t>
        </is>
      </c>
      <c r="P523" s="827" t="n"/>
      <c r="Q523" s="827" t="n"/>
      <c r="R523" s="827" t="n"/>
      <c r="S523" s="791" t="n"/>
      <c r="T523" s="40" t="inlineStr"/>
      <c r="U523" s="40" t="inlineStr"/>
      <c r="V523" s="41" t="inlineStr">
        <is>
          <t>кг</t>
        </is>
      </c>
      <c r="W523" s="828" t="n">
        <v>0</v>
      </c>
      <c r="X523" s="829">
        <f>IFERROR(IF(W523="",0,CEILING((W523/$H523),1)*$H523),"")</f>
        <v/>
      </c>
      <c r="Y523" s="42">
        <f>IFERROR(IF(X523=0,"",ROUNDUP(X523/H523,0)*0.02175),"")</f>
        <v/>
      </c>
      <c r="Z523" s="69" t="inlineStr"/>
      <c r="AA523" s="70" t="inlineStr"/>
      <c r="AE523" s="80" t="n"/>
      <c r="BB523" s="376" t="inlineStr">
        <is>
          <t>КИ</t>
        </is>
      </c>
      <c r="BL523" s="80">
        <f>IFERROR(W523*I523/H523,"0")</f>
        <v/>
      </c>
      <c r="BM523" s="80">
        <f>IFERROR(X523*I523/H523,"0")</f>
        <v/>
      </c>
      <c r="BN523" s="80">
        <f>IFERROR(1/J523*(W523/H523),"0")</f>
        <v/>
      </c>
      <c r="BO523" s="80">
        <f>IFERROR(1/J523*(X523/H523),"0")</f>
        <v/>
      </c>
    </row>
    <row r="524" ht="16.5" customHeight="1">
      <c r="A524" s="64" t="inlineStr">
        <is>
          <t>SU002806</t>
        </is>
      </c>
      <c r="B524" s="64" t="inlineStr">
        <is>
          <t>P003591</t>
        </is>
      </c>
      <c r="C524" s="37" t="n">
        <v>4301020269</v>
      </c>
      <c r="D524" s="401" t="n">
        <v>4640242180519</v>
      </c>
      <c r="E524" s="791" t="n"/>
      <c r="F524" s="825" t="n">
        <v>1.35</v>
      </c>
      <c r="G524" s="38" t="n">
        <v>8</v>
      </c>
      <c r="H524" s="825" t="n">
        <v>10.8</v>
      </c>
      <c r="I524" s="825" t="n">
        <v>11.28</v>
      </c>
      <c r="J524" s="38" t="n">
        <v>56</v>
      </c>
      <c r="K524" s="38" t="inlineStr">
        <is>
          <t>8</t>
        </is>
      </c>
      <c r="L524" s="39" t="inlineStr">
        <is>
          <t>СК3</t>
        </is>
      </c>
      <c r="M524" s="39" t="n"/>
      <c r="N524" s="38" t="n">
        <v>50</v>
      </c>
      <c r="O524" s="1129" t="inlineStr">
        <is>
          <t>Ветчины «Нежная» Весовой п/а ТМ «Зареченские»</t>
        </is>
      </c>
      <c r="P524" s="827" t="n"/>
      <c r="Q524" s="827" t="n"/>
      <c r="R524" s="827" t="n"/>
      <c r="S524" s="791" t="n"/>
      <c r="T524" s="40" t="inlineStr"/>
      <c r="U524" s="40" t="inlineStr"/>
      <c r="V524" s="41" t="inlineStr">
        <is>
          <t>кг</t>
        </is>
      </c>
      <c r="W524" s="828" t="n">
        <v>0</v>
      </c>
      <c r="X524" s="829">
        <f>IFERROR(IF(W524="",0,CEILING((W524/$H524),1)*$H524),"")</f>
        <v/>
      </c>
      <c r="Y524" s="42">
        <f>IFERROR(IF(X524=0,"",ROUNDUP(X524/H524,0)*0.02175),"")</f>
        <v/>
      </c>
      <c r="Z524" s="69" t="inlineStr"/>
      <c r="AA524" s="70" t="inlineStr"/>
      <c r="AE524" s="80" t="n"/>
      <c r="BB524" s="377" t="inlineStr">
        <is>
          <t>КИ</t>
        </is>
      </c>
      <c r="BL524" s="80">
        <f>IFERROR(W524*I524/H524,"0")</f>
        <v/>
      </c>
      <c r="BM524" s="80">
        <f>IFERROR(X524*I524/H524,"0")</f>
        <v/>
      </c>
      <c r="BN524" s="80">
        <f>IFERROR(1/J524*(W524/H524),"0")</f>
        <v/>
      </c>
      <c r="BO524" s="80">
        <f>IFERROR(1/J524*(X524/H524),"0")</f>
        <v/>
      </c>
    </row>
    <row r="525" ht="27" customHeight="1">
      <c r="A525" s="64" t="inlineStr">
        <is>
          <t>SU003398</t>
        </is>
      </c>
      <c r="B525" s="64" t="inlineStr">
        <is>
          <t>P004217</t>
        </is>
      </c>
      <c r="C525" s="37" t="n">
        <v>4301020309</v>
      </c>
      <c r="D525" s="401" t="n">
        <v>4640242180090</v>
      </c>
      <c r="E525" s="791" t="n"/>
      <c r="F525" s="825" t="n">
        <v>1.35</v>
      </c>
      <c r="G525" s="38" t="n">
        <v>8</v>
      </c>
      <c r="H525" s="825" t="n">
        <v>10.8</v>
      </c>
      <c r="I525" s="825" t="n">
        <v>11.28</v>
      </c>
      <c r="J525" s="38" t="n">
        <v>56</v>
      </c>
      <c r="K525" s="38" t="inlineStr">
        <is>
          <t>8</t>
        </is>
      </c>
      <c r="L525" s="39" t="inlineStr">
        <is>
          <t>СК1</t>
        </is>
      </c>
      <c r="M525" s="39" t="n"/>
      <c r="N525" s="38" t="n">
        <v>50</v>
      </c>
      <c r="O525" s="1130" t="inlineStr">
        <is>
          <t>Ветчины «Рубленая» Весовой п/а ТМ «Зареченские»</t>
        </is>
      </c>
      <c r="P525" s="827" t="n"/>
      <c r="Q525" s="827" t="n"/>
      <c r="R525" s="827" t="n"/>
      <c r="S525" s="791" t="n"/>
      <c r="T525" s="40" t="inlineStr"/>
      <c r="U525" s="40" t="inlineStr"/>
      <c r="V525" s="41" t="inlineStr">
        <is>
          <t>кг</t>
        </is>
      </c>
      <c r="W525" s="828" t="n">
        <v>0</v>
      </c>
      <c r="X525" s="829">
        <f>IFERROR(IF(W525="",0,CEILING((W525/$H525),1)*$H525),"")</f>
        <v/>
      </c>
      <c r="Y525" s="42">
        <f>IFERROR(IF(X525=0,"",ROUNDUP(X525/H525,0)*0.02175),"")</f>
        <v/>
      </c>
      <c r="Z525" s="69" t="inlineStr"/>
      <c r="AA525" s="70" t="inlineStr"/>
      <c r="AE525" s="80" t="n"/>
      <c r="BB525" s="378" t="inlineStr">
        <is>
          <t>КИ</t>
        </is>
      </c>
      <c r="BL525" s="80">
        <f>IFERROR(W525*I525/H525,"0")</f>
        <v/>
      </c>
      <c r="BM525" s="80">
        <f>IFERROR(X525*I525/H525,"0")</f>
        <v/>
      </c>
      <c r="BN525" s="80">
        <f>IFERROR(1/J525*(W525/H525),"0")</f>
        <v/>
      </c>
      <c r="BO525" s="80">
        <f>IFERROR(1/J525*(X525/H525),"0")</f>
        <v/>
      </c>
    </row>
    <row r="526" ht="27" customHeight="1">
      <c r="A526" s="64" t="inlineStr">
        <is>
          <t>SU002967</t>
        </is>
      </c>
      <c r="B526" s="64" t="inlineStr">
        <is>
          <t>P004317</t>
        </is>
      </c>
      <c r="C526" s="37" t="n">
        <v>4301020314</v>
      </c>
      <c r="D526" s="401" t="n">
        <v>4640242180090</v>
      </c>
      <c r="E526" s="791" t="n"/>
      <c r="F526" s="825" t="n">
        <v>1.35</v>
      </c>
      <c r="G526" s="38" t="n">
        <v>8</v>
      </c>
      <c r="H526" s="825" t="n">
        <v>10.8</v>
      </c>
      <c r="I526" s="825" t="n">
        <v>11.28</v>
      </c>
      <c r="J526" s="38" t="n">
        <v>56</v>
      </c>
      <c r="K526" s="38" t="inlineStr">
        <is>
          <t>8</t>
        </is>
      </c>
      <c r="L526" s="39" t="inlineStr">
        <is>
          <t>СК1</t>
        </is>
      </c>
      <c r="M526" s="39" t="n"/>
      <c r="N526" s="38" t="n">
        <v>50</v>
      </c>
      <c r="O526" s="1131" t="inlineStr">
        <is>
          <t>Ветчины «Рубленая» Весовой п/а ТМ «Зареченские» НТУ HR</t>
        </is>
      </c>
      <c r="P526" s="827" t="n"/>
      <c r="Q526" s="827" t="n"/>
      <c r="R526" s="827" t="n"/>
      <c r="S526" s="791" t="n"/>
      <c r="T526" s="40" t="inlineStr"/>
      <c r="U526" s="40" t="inlineStr"/>
      <c r="V526" s="41" t="inlineStr">
        <is>
          <t>кг</t>
        </is>
      </c>
      <c r="W526" s="828" t="n">
        <v>0</v>
      </c>
      <c r="X526" s="829">
        <f>IFERROR(IF(W526="",0,CEILING((W526/$H526),1)*$H526),"")</f>
        <v/>
      </c>
      <c r="Y526" s="42">
        <f>IFERROR(IF(X526=0,"",ROUNDUP(X526/H526,0)*0.02175),"")</f>
        <v/>
      </c>
      <c r="Z526" s="69" t="inlineStr"/>
      <c r="AA526" s="70" t="inlineStr"/>
      <c r="AE526" s="80" t="n"/>
      <c r="BB526" s="379" t="inlineStr">
        <is>
          <t>КИ</t>
        </is>
      </c>
      <c r="BL526" s="80">
        <f>IFERROR(W526*I526/H526,"0")</f>
        <v/>
      </c>
      <c r="BM526" s="80">
        <f>IFERROR(X526*I526/H526,"0")</f>
        <v/>
      </c>
      <c r="BN526" s="80">
        <f>IFERROR(1/J526*(W526/H526),"0")</f>
        <v/>
      </c>
      <c r="BO526" s="80">
        <f>IFERROR(1/J526*(X526/H526),"0")</f>
        <v/>
      </c>
    </row>
    <row r="527" ht="27" customHeight="1">
      <c r="A527" s="64" t="inlineStr">
        <is>
          <t>SU003298</t>
        </is>
      </c>
      <c r="B527" s="64" t="inlineStr">
        <is>
          <t>P004003</t>
        </is>
      </c>
      <c r="C527" s="37" t="n">
        <v>4301020295</v>
      </c>
      <c r="D527" s="401" t="n">
        <v>4640242181363</v>
      </c>
      <c r="E527" s="791" t="n"/>
      <c r="F527" s="825" t="n">
        <v>0.4</v>
      </c>
      <c r="G527" s="38" t="n">
        <v>10</v>
      </c>
      <c r="H527" s="825" t="n">
        <v>4</v>
      </c>
      <c r="I527" s="825" t="n">
        <v>4.24</v>
      </c>
      <c r="J527" s="38" t="n">
        <v>120</v>
      </c>
      <c r="K527" s="38" t="inlineStr">
        <is>
          <t>12</t>
        </is>
      </c>
      <c r="L527" s="39" t="inlineStr">
        <is>
          <t>СК1</t>
        </is>
      </c>
      <c r="M527" s="39" t="n"/>
      <c r="N527" s="38" t="n">
        <v>50</v>
      </c>
      <c r="O527" s="1132" t="inlineStr">
        <is>
          <t>Ветчины «Рубленая» Фикс.вес 0,4 п/а ТМ «Зареченские»</t>
        </is>
      </c>
      <c r="P527" s="827" t="n"/>
      <c r="Q527" s="827" t="n"/>
      <c r="R527" s="827" t="n"/>
      <c r="S527" s="791" t="n"/>
      <c r="T527" s="40" t="inlineStr"/>
      <c r="U527" s="40" t="inlineStr"/>
      <c r="V527" s="41" t="inlineStr">
        <is>
          <t>кг</t>
        </is>
      </c>
      <c r="W527" s="828" t="n">
        <v>0</v>
      </c>
      <c r="X527" s="829">
        <f>IFERROR(IF(W527="",0,CEILING((W527/$H527),1)*$H527),"")</f>
        <v/>
      </c>
      <c r="Y527" s="42">
        <f>IFERROR(IF(X527=0,"",ROUNDUP(X527/H527,0)*0.00937),"")</f>
        <v/>
      </c>
      <c r="Z527" s="69" t="inlineStr"/>
      <c r="AA527" s="70" t="inlineStr"/>
      <c r="AE527" s="80" t="n"/>
      <c r="BB527" s="380" t="inlineStr">
        <is>
          <t>КИ</t>
        </is>
      </c>
      <c r="BL527" s="80">
        <f>IFERROR(W527*I527/H527,"0")</f>
        <v/>
      </c>
      <c r="BM527" s="80">
        <f>IFERROR(X527*I527/H527,"0")</f>
        <v/>
      </c>
      <c r="BN527" s="80">
        <f>IFERROR(1/J527*(W527/H527),"0")</f>
        <v/>
      </c>
      <c r="BO527" s="80">
        <f>IFERROR(1/J527*(X527/H527),"0")</f>
        <v/>
      </c>
    </row>
    <row r="528">
      <c r="A528" s="408" t="n"/>
      <c r="B528" s="398" t="n"/>
      <c r="C528" s="398" t="n"/>
      <c r="D528" s="398" t="n"/>
      <c r="E528" s="398" t="n"/>
      <c r="F528" s="398" t="n"/>
      <c r="G528" s="398" t="n"/>
      <c r="H528" s="398" t="n"/>
      <c r="I528" s="398" t="n"/>
      <c r="J528" s="398" t="n"/>
      <c r="K528" s="398" t="n"/>
      <c r="L528" s="398" t="n"/>
      <c r="M528" s="398" t="n"/>
      <c r="N528" s="831" t="n"/>
      <c r="O528" s="832" t="inlineStr">
        <is>
          <t>Итого</t>
        </is>
      </c>
      <c r="P528" s="799" t="n"/>
      <c r="Q528" s="799" t="n"/>
      <c r="R528" s="799" t="n"/>
      <c r="S528" s="799" t="n"/>
      <c r="T528" s="799" t="n"/>
      <c r="U528" s="800" t="n"/>
      <c r="V528" s="43" t="inlineStr">
        <is>
          <t>кор</t>
        </is>
      </c>
      <c r="W528" s="833">
        <f>IFERROR(W523/H523,"0")+IFERROR(W524/H524,"0")+IFERROR(W525/H525,"0")+IFERROR(W526/H526,"0")+IFERROR(W527/H527,"0")</f>
        <v/>
      </c>
      <c r="X528" s="833">
        <f>IFERROR(X523/H523,"0")+IFERROR(X524/H524,"0")+IFERROR(X525/H525,"0")+IFERROR(X526/H526,"0")+IFERROR(X527/H527,"0")</f>
        <v/>
      </c>
      <c r="Y528" s="833">
        <f>IFERROR(IF(Y523="",0,Y523),"0")+IFERROR(IF(Y524="",0,Y524),"0")+IFERROR(IF(Y525="",0,Y525),"0")+IFERROR(IF(Y526="",0,Y526),"0")+IFERROR(IF(Y527="",0,Y527),"0")</f>
        <v/>
      </c>
      <c r="Z528" s="834" t="n"/>
      <c r="AA528" s="834" t="n"/>
    </row>
    <row r="529">
      <c r="A529" s="398" t="n"/>
      <c r="B529" s="398" t="n"/>
      <c r="C529" s="398" t="n"/>
      <c r="D529" s="398" t="n"/>
      <c r="E529" s="398" t="n"/>
      <c r="F529" s="398" t="n"/>
      <c r="G529" s="398" t="n"/>
      <c r="H529" s="398" t="n"/>
      <c r="I529" s="398" t="n"/>
      <c r="J529" s="398" t="n"/>
      <c r="K529" s="398" t="n"/>
      <c r="L529" s="398" t="n"/>
      <c r="M529" s="398" t="n"/>
      <c r="N529" s="831" t="n"/>
      <c r="O529" s="832" t="inlineStr">
        <is>
          <t>Итого</t>
        </is>
      </c>
      <c r="P529" s="799" t="n"/>
      <c r="Q529" s="799" t="n"/>
      <c r="R529" s="799" t="n"/>
      <c r="S529" s="799" t="n"/>
      <c r="T529" s="799" t="n"/>
      <c r="U529" s="800" t="n"/>
      <c r="V529" s="43" t="inlineStr">
        <is>
          <t>кг</t>
        </is>
      </c>
      <c r="W529" s="833">
        <f>IFERROR(SUM(W523:W527),"0")</f>
        <v/>
      </c>
      <c r="X529" s="833">
        <f>IFERROR(SUM(X523:X527),"0")</f>
        <v/>
      </c>
      <c r="Y529" s="43" t="n"/>
      <c r="Z529" s="834" t="n"/>
      <c r="AA529" s="834" t="n"/>
    </row>
    <row r="530" ht="14.25" customHeight="1">
      <c r="A530" s="409" t="inlineStr">
        <is>
          <t>Копченые колбасы</t>
        </is>
      </c>
      <c r="B530" s="398" t="n"/>
      <c r="C530" s="398" t="n"/>
      <c r="D530" s="398" t="n"/>
      <c r="E530" s="398" t="n"/>
      <c r="F530" s="398" t="n"/>
      <c r="G530" s="398" t="n"/>
      <c r="H530" s="398" t="n"/>
      <c r="I530" s="398" t="n"/>
      <c r="J530" s="398" t="n"/>
      <c r="K530" s="398" t="n"/>
      <c r="L530" s="398" t="n"/>
      <c r="M530" s="398" t="n"/>
      <c r="N530" s="398" t="n"/>
      <c r="O530" s="398" t="n"/>
      <c r="P530" s="398" t="n"/>
      <c r="Q530" s="398" t="n"/>
      <c r="R530" s="398" t="n"/>
      <c r="S530" s="398" t="n"/>
      <c r="T530" s="398" t="n"/>
      <c r="U530" s="398" t="n"/>
      <c r="V530" s="398" t="n"/>
      <c r="W530" s="398" t="n"/>
      <c r="X530" s="398" t="n"/>
      <c r="Y530" s="398" t="n"/>
      <c r="Z530" s="409" t="n"/>
      <c r="AA530" s="409" t="n"/>
    </row>
    <row r="531" ht="27" customHeight="1">
      <c r="A531" s="64" t="inlineStr">
        <is>
          <t>SU002805</t>
        </is>
      </c>
      <c r="B531" s="64" t="inlineStr">
        <is>
          <t>P003584</t>
        </is>
      </c>
      <c r="C531" s="37" t="n">
        <v>4301031280</v>
      </c>
      <c r="D531" s="401" t="n">
        <v>4640242180816</v>
      </c>
      <c r="E531" s="791" t="n"/>
      <c r="F531" s="825" t="n">
        <v>0.7</v>
      </c>
      <c r="G531" s="38" t="n">
        <v>6</v>
      </c>
      <c r="H531" s="825" t="n">
        <v>4.2</v>
      </c>
      <c r="I531" s="825" t="n">
        <v>4.46</v>
      </c>
      <c r="J531" s="38" t="n">
        <v>156</v>
      </c>
      <c r="K531" s="38" t="inlineStr">
        <is>
          <t>12</t>
        </is>
      </c>
      <c r="L531" s="39" t="inlineStr">
        <is>
          <t>СК2</t>
        </is>
      </c>
      <c r="M531" s="39" t="n"/>
      <c r="N531" s="38" t="n">
        <v>40</v>
      </c>
      <c r="O531" s="1133" t="inlineStr">
        <is>
          <t>Копченые колбасы «Сервелат Пражский» Весовой фиброуз ТМ «Зареченские»</t>
        </is>
      </c>
      <c r="P531" s="827" t="n"/>
      <c r="Q531" s="827" t="n"/>
      <c r="R531" s="827" t="n"/>
      <c r="S531" s="791" t="n"/>
      <c r="T531" s="40" t="inlineStr"/>
      <c r="U531" s="40" t="inlineStr"/>
      <c r="V531" s="41" t="inlineStr">
        <is>
          <t>кг</t>
        </is>
      </c>
      <c r="W531" s="828" t="n">
        <v>0</v>
      </c>
      <c r="X531" s="829">
        <f>IFERROR(IF(W531="",0,CEILING((W531/$H531),1)*$H531),"")</f>
        <v/>
      </c>
      <c r="Y531" s="42">
        <f>IFERROR(IF(X531=0,"",ROUNDUP(X531/H531,0)*0.00753),"")</f>
        <v/>
      </c>
      <c r="Z531" s="69" t="inlineStr"/>
      <c r="AA531" s="70" t="inlineStr"/>
      <c r="AE531" s="80" t="n"/>
      <c r="BB531" s="381" t="inlineStr">
        <is>
          <t>КИ</t>
        </is>
      </c>
      <c r="BL531" s="80">
        <f>IFERROR(W531*I531/H531,"0")</f>
        <v/>
      </c>
      <c r="BM531" s="80">
        <f>IFERROR(X531*I531/H531,"0")</f>
        <v/>
      </c>
      <c r="BN531" s="80">
        <f>IFERROR(1/J531*(W531/H531),"0")</f>
        <v/>
      </c>
      <c r="BO531" s="80">
        <f>IFERROR(1/J531*(X531/H531),"0")</f>
        <v/>
      </c>
    </row>
    <row r="532" ht="27" customHeight="1">
      <c r="A532" s="64" t="inlineStr">
        <is>
          <t>SU002809</t>
        </is>
      </c>
      <c r="B532" s="64" t="inlineStr">
        <is>
          <t>P003586</t>
        </is>
      </c>
      <c r="C532" s="37" t="n">
        <v>4301031244</v>
      </c>
      <c r="D532" s="401" t="n">
        <v>4640242180595</v>
      </c>
      <c r="E532" s="791" t="n"/>
      <c r="F532" s="825" t="n">
        <v>0.7</v>
      </c>
      <c r="G532" s="38" t="n">
        <v>6</v>
      </c>
      <c r="H532" s="825" t="n">
        <v>4.2</v>
      </c>
      <c r="I532" s="825" t="n">
        <v>4.46</v>
      </c>
      <c r="J532" s="38" t="n">
        <v>156</v>
      </c>
      <c r="K532" s="38" t="inlineStr">
        <is>
          <t>12</t>
        </is>
      </c>
      <c r="L532" s="39" t="inlineStr">
        <is>
          <t>СК2</t>
        </is>
      </c>
      <c r="M532" s="39" t="n"/>
      <c r="N532" s="38" t="n">
        <v>40</v>
      </c>
      <c r="O532" s="1134" t="inlineStr">
        <is>
          <t>В/к колбасы «Сервелат Рижский» НТУ Весовые Фиброуз в/у ТМ «Зареченские»</t>
        </is>
      </c>
      <c r="P532" s="827" t="n"/>
      <c r="Q532" s="827" t="n"/>
      <c r="R532" s="827" t="n"/>
      <c r="S532" s="791" t="n"/>
      <c r="T532" s="40" t="inlineStr"/>
      <c r="U532" s="40" t="inlineStr"/>
      <c r="V532" s="41" t="inlineStr">
        <is>
          <t>кг</t>
        </is>
      </c>
      <c r="W532" s="828" t="n">
        <v>0</v>
      </c>
      <c r="X532" s="829">
        <f>IFERROR(IF(W532="",0,CEILING((W532/$H532),1)*$H532),"")</f>
        <v/>
      </c>
      <c r="Y532" s="42">
        <f>IFERROR(IF(X532=0,"",ROUNDUP(X532/H532,0)*0.00753),"")</f>
        <v/>
      </c>
      <c r="Z532" s="69" t="inlineStr"/>
      <c r="AA532" s="70" t="inlineStr"/>
      <c r="AE532" s="80" t="n"/>
      <c r="BB532" s="382" t="inlineStr">
        <is>
          <t>КИ</t>
        </is>
      </c>
      <c r="BL532" s="80">
        <f>IFERROR(W532*I532/H532,"0")</f>
        <v/>
      </c>
      <c r="BM532" s="80">
        <f>IFERROR(X532*I532/H532,"0")</f>
        <v/>
      </c>
      <c r="BN532" s="80">
        <f>IFERROR(1/J532*(W532/H532),"0")</f>
        <v/>
      </c>
      <c r="BO532" s="80">
        <f>IFERROR(1/J532*(X532/H532),"0")</f>
        <v/>
      </c>
    </row>
    <row r="533" ht="27" customHeight="1">
      <c r="A533" s="64" t="inlineStr">
        <is>
          <t>SU002965</t>
        </is>
      </c>
      <c r="B533" s="64" t="inlineStr">
        <is>
          <t>P004318</t>
        </is>
      </c>
      <c r="C533" s="37" t="n">
        <v>4301031321</v>
      </c>
      <c r="D533" s="401" t="n">
        <v>4640242180076</v>
      </c>
      <c r="E533" s="791" t="n"/>
      <c r="F533" s="825" t="n">
        <v>0.7</v>
      </c>
      <c r="G533" s="38" t="n">
        <v>6</v>
      </c>
      <c r="H533" s="825" t="n">
        <v>4.2</v>
      </c>
      <c r="I533" s="825" t="n">
        <v>4.4</v>
      </c>
      <c r="J533" s="38" t="n">
        <v>156</v>
      </c>
      <c r="K533" s="38" t="inlineStr">
        <is>
          <t>12</t>
        </is>
      </c>
      <c r="L533" s="39" t="inlineStr">
        <is>
          <t>СК2</t>
        </is>
      </c>
      <c r="M533" s="39" t="n"/>
      <c r="N533" s="38" t="n">
        <v>40</v>
      </c>
      <c r="O533" s="1135" t="inlineStr">
        <is>
          <t>В/к колбасы «Сервелат Зернистый» Весовой фиброуз ТМ «Зареченские» HR</t>
        </is>
      </c>
      <c r="P533" s="827" t="n"/>
      <c r="Q533" s="827" t="n"/>
      <c r="R533" s="827" t="n"/>
      <c r="S533" s="791" t="n"/>
      <c r="T533" s="40" t="inlineStr"/>
      <c r="U533" s="40" t="inlineStr"/>
      <c r="V533" s="41" t="inlineStr">
        <is>
          <t>кг</t>
        </is>
      </c>
      <c r="W533" s="828" t="n">
        <v>0</v>
      </c>
      <c r="X533" s="829">
        <f>IFERROR(IF(W533="",0,CEILING((W533/$H533),1)*$H533),"")</f>
        <v/>
      </c>
      <c r="Y533" s="42">
        <f>IFERROR(IF(X533=0,"",ROUNDUP(X533/H533,0)*0.00753),"")</f>
        <v/>
      </c>
      <c r="Z533" s="69" t="inlineStr"/>
      <c r="AA533" s="70" t="inlineStr"/>
      <c r="AE533" s="80" t="n"/>
      <c r="BB533" s="383" t="inlineStr">
        <is>
          <t>КИ</t>
        </is>
      </c>
      <c r="BL533" s="80">
        <f>IFERROR(W533*I533/H533,"0")</f>
        <v/>
      </c>
      <c r="BM533" s="80">
        <f>IFERROR(X533*I533/H533,"0")</f>
        <v/>
      </c>
      <c r="BN533" s="80">
        <f>IFERROR(1/J533*(W533/H533),"0")</f>
        <v/>
      </c>
      <c r="BO533" s="80">
        <f>IFERROR(1/J533*(X533/H533),"0")</f>
        <v/>
      </c>
    </row>
    <row r="534" ht="27" customHeight="1">
      <c r="A534" s="64" t="inlineStr">
        <is>
          <t>SU002856</t>
        </is>
      </c>
      <c r="B534" s="64" t="inlineStr">
        <is>
          <t>P003257</t>
        </is>
      </c>
      <c r="C534" s="37" t="n">
        <v>4301031200</v>
      </c>
      <c r="D534" s="401" t="n">
        <v>4640242180489</v>
      </c>
      <c r="E534" s="791" t="n"/>
      <c r="F534" s="825" t="n">
        <v>0.28</v>
      </c>
      <c r="G534" s="38" t="n">
        <v>6</v>
      </c>
      <c r="H534" s="825" t="n">
        <v>1.68</v>
      </c>
      <c r="I534" s="825" t="n">
        <v>1.84</v>
      </c>
      <c r="J534" s="38" t="n">
        <v>234</v>
      </c>
      <c r="K534" s="38" t="inlineStr">
        <is>
          <t>18</t>
        </is>
      </c>
      <c r="L534" s="39" t="inlineStr">
        <is>
          <t>СК2</t>
        </is>
      </c>
      <c r="M534" s="39" t="n"/>
      <c r="N534" s="38" t="n">
        <v>40</v>
      </c>
      <c r="O534" s="1136" t="inlineStr">
        <is>
          <t>В/к колбасы «Сервелат Рижский» срез Фикс.вес 0,28 Фиброуз в/у ТМ «Зареченские»</t>
        </is>
      </c>
      <c r="P534" s="827" t="n"/>
      <c r="Q534" s="827" t="n"/>
      <c r="R534" s="827" t="n"/>
      <c r="S534" s="791" t="n"/>
      <c r="T534" s="40" t="inlineStr"/>
      <c r="U534" s="40" t="inlineStr"/>
      <c r="V534" s="41" t="inlineStr">
        <is>
          <t>кг</t>
        </is>
      </c>
      <c r="W534" s="828" t="n">
        <v>0</v>
      </c>
      <c r="X534" s="829">
        <f>IFERROR(IF(W534="",0,CEILING((W534/$H534),1)*$H534),"")</f>
        <v/>
      </c>
      <c r="Y534" s="42">
        <f>IFERROR(IF(X534=0,"",ROUNDUP(X534/H534,0)*0.00502),"")</f>
        <v/>
      </c>
      <c r="Z534" s="69" t="inlineStr"/>
      <c r="AA534" s="70" t="inlineStr"/>
      <c r="AE534" s="80" t="n"/>
      <c r="BB534" s="384" t="inlineStr">
        <is>
          <t>КИ</t>
        </is>
      </c>
      <c r="BL534" s="80">
        <f>IFERROR(W534*I534/H534,"0")</f>
        <v/>
      </c>
      <c r="BM534" s="80">
        <f>IFERROR(X534*I534/H534,"0")</f>
        <v/>
      </c>
      <c r="BN534" s="80">
        <f>IFERROR(1/J534*(W534/H534),"0")</f>
        <v/>
      </c>
      <c r="BO534" s="80">
        <f>IFERROR(1/J534*(X534/H534),"0")</f>
        <v/>
      </c>
    </row>
    <row r="535">
      <c r="A535" s="408" t="n"/>
      <c r="B535" s="398" t="n"/>
      <c r="C535" s="398" t="n"/>
      <c r="D535" s="398" t="n"/>
      <c r="E535" s="398" t="n"/>
      <c r="F535" s="398" t="n"/>
      <c r="G535" s="398" t="n"/>
      <c r="H535" s="398" t="n"/>
      <c r="I535" s="398" t="n"/>
      <c r="J535" s="398" t="n"/>
      <c r="K535" s="398" t="n"/>
      <c r="L535" s="398" t="n"/>
      <c r="M535" s="398" t="n"/>
      <c r="N535" s="831" t="n"/>
      <c r="O535" s="832" t="inlineStr">
        <is>
          <t>Итого</t>
        </is>
      </c>
      <c r="P535" s="799" t="n"/>
      <c r="Q535" s="799" t="n"/>
      <c r="R535" s="799" t="n"/>
      <c r="S535" s="799" t="n"/>
      <c r="T535" s="799" t="n"/>
      <c r="U535" s="800" t="n"/>
      <c r="V535" s="43" t="inlineStr">
        <is>
          <t>кор</t>
        </is>
      </c>
      <c r="W535" s="833">
        <f>IFERROR(W531/H531,"0")+IFERROR(W532/H532,"0")+IFERROR(W533/H533,"0")+IFERROR(W534/H534,"0")</f>
        <v/>
      </c>
      <c r="X535" s="833">
        <f>IFERROR(X531/H531,"0")+IFERROR(X532/H532,"0")+IFERROR(X533/H533,"0")+IFERROR(X534/H534,"0")</f>
        <v/>
      </c>
      <c r="Y535" s="833">
        <f>IFERROR(IF(Y531="",0,Y531),"0")+IFERROR(IF(Y532="",0,Y532),"0")+IFERROR(IF(Y533="",0,Y533),"0")+IFERROR(IF(Y534="",0,Y534),"0")</f>
        <v/>
      </c>
      <c r="Z535" s="834" t="n"/>
      <c r="AA535" s="834" t="n"/>
    </row>
    <row r="536">
      <c r="A536" s="398" t="n"/>
      <c r="B536" s="398" t="n"/>
      <c r="C536" s="398" t="n"/>
      <c r="D536" s="398" t="n"/>
      <c r="E536" s="398" t="n"/>
      <c r="F536" s="398" t="n"/>
      <c r="G536" s="398" t="n"/>
      <c r="H536" s="398" t="n"/>
      <c r="I536" s="398" t="n"/>
      <c r="J536" s="398" t="n"/>
      <c r="K536" s="398" t="n"/>
      <c r="L536" s="398" t="n"/>
      <c r="M536" s="398" t="n"/>
      <c r="N536" s="831" t="n"/>
      <c r="O536" s="832" t="inlineStr">
        <is>
          <t>Итого</t>
        </is>
      </c>
      <c r="P536" s="799" t="n"/>
      <c r="Q536" s="799" t="n"/>
      <c r="R536" s="799" t="n"/>
      <c r="S536" s="799" t="n"/>
      <c r="T536" s="799" t="n"/>
      <c r="U536" s="800" t="n"/>
      <c r="V536" s="43" t="inlineStr">
        <is>
          <t>кг</t>
        </is>
      </c>
      <c r="W536" s="833">
        <f>IFERROR(SUM(W531:W534),"0")</f>
        <v/>
      </c>
      <c r="X536" s="833">
        <f>IFERROR(SUM(X531:X534),"0")</f>
        <v/>
      </c>
      <c r="Y536" s="43" t="n"/>
      <c r="Z536" s="834" t="n"/>
      <c r="AA536" s="834" t="n"/>
    </row>
    <row r="537" ht="14.25" customHeight="1">
      <c r="A537" s="409" t="inlineStr">
        <is>
          <t>Сосиски</t>
        </is>
      </c>
      <c r="B537" s="398" t="n"/>
      <c r="C537" s="398" t="n"/>
      <c r="D537" s="398" t="n"/>
      <c r="E537" s="398" t="n"/>
      <c r="F537" s="398" t="n"/>
      <c r="G537" s="398" t="n"/>
      <c r="H537" s="398" t="n"/>
      <c r="I537" s="398" t="n"/>
      <c r="J537" s="398" t="n"/>
      <c r="K537" s="398" t="n"/>
      <c r="L537" s="398" t="n"/>
      <c r="M537" s="398" t="n"/>
      <c r="N537" s="398" t="n"/>
      <c r="O537" s="398" t="n"/>
      <c r="P537" s="398" t="n"/>
      <c r="Q537" s="398" t="n"/>
      <c r="R537" s="398" t="n"/>
      <c r="S537" s="398" t="n"/>
      <c r="T537" s="398" t="n"/>
      <c r="U537" s="398" t="n"/>
      <c r="V537" s="398" t="n"/>
      <c r="W537" s="398" t="n"/>
      <c r="X537" s="398" t="n"/>
      <c r="Y537" s="398" t="n"/>
      <c r="Z537" s="409" t="n"/>
      <c r="AA537" s="409" t="n"/>
    </row>
    <row r="538" ht="27" customHeight="1">
      <c r="A538" s="64" t="inlineStr">
        <is>
          <t>SU002655</t>
        </is>
      </c>
      <c r="B538" s="64" t="inlineStr">
        <is>
          <t>P004115</t>
        </is>
      </c>
      <c r="C538" s="37" t="n">
        <v>4301051746</v>
      </c>
      <c r="D538" s="401" t="n">
        <v>4640242180533</v>
      </c>
      <c r="E538" s="791" t="n"/>
      <c r="F538" s="825" t="n">
        <v>1.3</v>
      </c>
      <c r="G538" s="38" t="n">
        <v>6</v>
      </c>
      <c r="H538" s="825" t="n">
        <v>7.8</v>
      </c>
      <c r="I538" s="825" t="n">
        <v>8.364000000000001</v>
      </c>
      <c r="J538" s="38" t="n">
        <v>56</v>
      </c>
      <c r="K538" s="38" t="inlineStr">
        <is>
          <t>8</t>
        </is>
      </c>
      <c r="L538" s="39" t="inlineStr">
        <is>
          <t>СК3</t>
        </is>
      </c>
      <c r="M538" s="39" t="n"/>
      <c r="N538" s="38" t="n">
        <v>40</v>
      </c>
      <c r="O538" s="1137" t="inlineStr">
        <is>
          <t>Сосиски Датские Зареченские продукты Весовые П/а мгс Зареченские</t>
        </is>
      </c>
      <c r="P538" s="827" t="n"/>
      <c r="Q538" s="827" t="n"/>
      <c r="R538" s="827" t="n"/>
      <c r="S538" s="791" t="n"/>
      <c r="T538" s="40" t="inlineStr"/>
      <c r="U538" s="40" t="inlineStr"/>
      <c r="V538" s="41" t="inlineStr">
        <is>
          <t>кг</t>
        </is>
      </c>
      <c r="W538" s="828" t="n">
        <v>600</v>
      </c>
      <c r="X538" s="829">
        <f>IFERROR(IF(W538="",0,CEILING((W538/$H538),1)*$H538),"")</f>
        <v/>
      </c>
      <c r="Y538" s="42">
        <f>IFERROR(IF(X538=0,"",ROUNDUP(X538/H538,0)*0.02175),"")</f>
        <v/>
      </c>
      <c r="Z538" s="69" t="inlineStr"/>
      <c r="AA538" s="70" t="inlineStr"/>
      <c r="AE538" s="80" t="n"/>
      <c r="BB538" s="385" t="inlineStr">
        <is>
          <t>КИ</t>
        </is>
      </c>
      <c r="BL538" s="80">
        <f>IFERROR(W538*I538/H538,"0")</f>
        <v/>
      </c>
      <c r="BM538" s="80">
        <f>IFERROR(X538*I538/H538,"0")</f>
        <v/>
      </c>
      <c r="BN538" s="80">
        <f>IFERROR(1/J538*(W538/H538),"0")</f>
        <v/>
      </c>
      <c r="BO538" s="80">
        <f>IFERROR(1/J538*(X538/H538),"0")</f>
        <v/>
      </c>
    </row>
    <row r="539" ht="27" customHeight="1">
      <c r="A539" s="64" t="inlineStr">
        <is>
          <t>SU002968</t>
        </is>
      </c>
      <c r="B539" s="64" t="inlineStr">
        <is>
          <t>P004321</t>
        </is>
      </c>
      <c r="C539" s="37" t="n">
        <v>4301051780</v>
      </c>
      <c r="D539" s="401" t="n">
        <v>4640242180106</v>
      </c>
      <c r="E539" s="791" t="n"/>
      <c r="F539" s="825" t="n">
        <v>1.3</v>
      </c>
      <c r="G539" s="38" t="n">
        <v>6</v>
      </c>
      <c r="H539" s="825" t="n">
        <v>7.8</v>
      </c>
      <c r="I539" s="825" t="n">
        <v>8.279999999999999</v>
      </c>
      <c r="J539" s="38" t="n">
        <v>56</v>
      </c>
      <c r="K539" s="38" t="inlineStr">
        <is>
          <t>8</t>
        </is>
      </c>
      <c r="L539" s="39" t="inlineStr">
        <is>
          <t>СК2</t>
        </is>
      </c>
      <c r="M539" s="39" t="n"/>
      <c r="N539" s="38" t="n">
        <v>45</v>
      </c>
      <c r="O539" s="1138" t="inlineStr">
        <is>
          <t>Сосиски «Молочные классические» Весовой п/а ТМ «Зареченские» HR</t>
        </is>
      </c>
      <c r="P539" s="827" t="n"/>
      <c r="Q539" s="827" t="n"/>
      <c r="R539" s="827" t="n"/>
      <c r="S539" s="791" t="n"/>
      <c r="T539" s="40" t="inlineStr"/>
      <c r="U539" s="40" t="inlineStr"/>
      <c r="V539" s="41" t="inlineStr">
        <is>
          <t>кг</t>
        </is>
      </c>
      <c r="W539" s="828" t="n">
        <v>0</v>
      </c>
      <c r="X539" s="829">
        <f>IFERROR(IF(W539="",0,CEILING((W539/$H539),1)*$H539),"")</f>
        <v/>
      </c>
      <c r="Y539" s="42">
        <f>IFERROR(IF(X539=0,"",ROUNDUP(X539/H539,0)*0.02175),"")</f>
        <v/>
      </c>
      <c r="Z539" s="69" t="inlineStr"/>
      <c r="AA539" s="70" t="inlineStr"/>
      <c r="AE539" s="80" t="n"/>
      <c r="BB539" s="386" t="inlineStr">
        <is>
          <t>КИ</t>
        </is>
      </c>
      <c r="BL539" s="80">
        <f>IFERROR(W539*I539/H539,"0")</f>
        <v/>
      </c>
      <c r="BM539" s="80">
        <f>IFERROR(X539*I539/H539,"0")</f>
        <v/>
      </c>
      <c r="BN539" s="80">
        <f>IFERROR(1/J539*(W539/H539),"0")</f>
        <v/>
      </c>
      <c r="BO539" s="80">
        <f>IFERROR(1/J539*(X539/H539),"0")</f>
        <v/>
      </c>
    </row>
    <row r="540" ht="27" customHeight="1">
      <c r="A540" s="64" t="inlineStr">
        <is>
          <t>SU002803</t>
        </is>
      </c>
      <c r="B540" s="64" t="inlineStr">
        <is>
          <t>P003590</t>
        </is>
      </c>
      <c r="C540" s="37" t="n">
        <v>4301051510</v>
      </c>
      <c r="D540" s="401" t="n">
        <v>4640242180540</v>
      </c>
      <c r="E540" s="791" t="n"/>
      <c r="F540" s="825" t="n">
        <v>1.3</v>
      </c>
      <c r="G540" s="38" t="n">
        <v>6</v>
      </c>
      <c r="H540" s="825" t="n">
        <v>7.8</v>
      </c>
      <c r="I540" s="825" t="n">
        <v>8.364000000000001</v>
      </c>
      <c r="J540" s="38" t="n">
        <v>56</v>
      </c>
      <c r="K540" s="38" t="inlineStr">
        <is>
          <t>8</t>
        </is>
      </c>
      <c r="L540" s="39" t="inlineStr">
        <is>
          <t>СК2</t>
        </is>
      </c>
      <c r="M540" s="39" t="n"/>
      <c r="N540" s="38" t="n">
        <v>30</v>
      </c>
      <c r="O540" s="1139" t="inlineStr">
        <is>
          <t>Сосиски «Сочные» Весовой п/а ТМ «Зареченские»</t>
        </is>
      </c>
      <c r="P540" s="827" t="n"/>
      <c r="Q540" s="827" t="n"/>
      <c r="R540" s="827" t="n"/>
      <c r="S540" s="791" t="n"/>
      <c r="T540" s="40" t="inlineStr"/>
      <c r="U540" s="40" t="inlineStr"/>
      <c r="V540" s="41" t="inlineStr">
        <is>
          <t>кг</t>
        </is>
      </c>
      <c r="W540" s="828" t="n">
        <v>0</v>
      </c>
      <c r="X540" s="829">
        <f>IFERROR(IF(W540="",0,CEILING((W540/$H540),1)*$H540),"")</f>
        <v/>
      </c>
      <c r="Y540" s="42">
        <f>IFERROR(IF(X540=0,"",ROUNDUP(X540/H540,0)*0.02175),"")</f>
        <v/>
      </c>
      <c r="Z540" s="69" t="inlineStr"/>
      <c r="AA540" s="70" t="inlineStr"/>
      <c r="AE540" s="80" t="n"/>
      <c r="BB540" s="387" t="inlineStr">
        <is>
          <t>КИ</t>
        </is>
      </c>
      <c r="BL540" s="80">
        <f>IFERROR(W540*I540/H540,"0")</f>
        <v/>
      </c>
      <c r="BM540" s="80">
        <f>IFERROR(X540*I540/H540,"0")</f>
        <v/>
      </c>
      <c r="BN540" s="80">
        <f>IFERROR(1/J540*(W540/H540),"0")</f>
        <v/>
      </c>
      <c r="BO540" s="80">
        <f>IFERROR(1/J540*(X540/H540),"0")</f>
        <v/>
      </c>
    </row>
    <row r="541">
      <c r="A541" s="408" t="n"/>
      <c r="B541" s="398" t="n"/>
      <c r="C541" s="398" t="n"/>
      <c r="D541" s="398" t="n"/>
      <c r="E541" s="398" t="n"/>
      <c r="F541" s="398" t="n"/>
      <c r="G541" s="398" t="n"/>
      <c r="H541" s="398" t="n"/>
      <c r="I541" s="398" t="n"/>
      <c r="J541" s="398" t="n"/>
      <c r="K541" s="398" t="n"/>
      <c r="L541" s="398" t="n"/>
      <c r="M541" s="398" t="n"/>
      <c r="N541" s="831" t="n"/>
      <c r="O541" s="832" t="inlineStr">
        <is>
          <t>Итого</t>
        </is>
      </c>
      <c r="P541" s="799" t="n"/>
      <c r="Q541" s="799" t="n"/>
      <c r="R541" s="799" t="n"/>
      <c r="S541" s="799" t="n"/>
      <c r="T541" s="799" t="n"/>
      <c r="U541" s="800" t="n"/>
      <c r="V541" s="43" t="inlineStr">
        <is>
          <t>кор</t>
        </is>
      </c>
      <c r="W541" s="833">
        <f>IFERROR(W538/H538,"0")+IFERROR(W539/H539,"0")+IFERROR(W540/H540,"0")</f>
        <v/>
      </c>
      <c r="X541" s="833">
        <f>IFERROR(X538/H538,"0")+IFERROR(X539/H539,"0")+IFERROR(X540/H540,"0")</f>
        <v/>
      </c>
      <c r="Y541" s="833">
        <f>IFERROR(IF(Y538="",0,Y538),"0")+IFERROR(IF(Y539="",0,Y539),"0")+IFERROR(IF(Y540="",0,Y540),"0")</f>
        <v/>
      </c>
      <c r="Z541" s="834" t="n"/>
      <c r="AA541" s="834" t="n"/>
    </row>
    <row r="542">
      <c r="A542" s="398" t="n"/>
      <c r="B542" s="398" t="n"/>
      <c r="C542" s="398" t="n"/>
      <c r="D542" s="398" t="n"/>
      <c r="E542" s="398" t="n"/>
      <c r="F542" s="398" t="n"/>
      <c r="G542" s="398" t="n"/>
      <c r="H542" s="398" t="n"/>
      <c r="I542" s="398" t="n"/>
      <c r="J542" s="398" t="n"/>
      <c r="K542" s="398" t="n"/>
      <c r="L542" s="398" t="n"/>
      <c r="M542" s="398" t="n"/>
      <c r="N542" s="831" t="n"/>
      <c r="O542" s="832" t="inlineStr">
        <is>
          <t>Итого</t>
        </is>
      </c>
      <c r="P542" s="799" t="n"/>
      <c r="Q542" s="799" t="n"/>
      <c r="R542" s="799" t="n"/>
      <c r="S542" s="799" t="n"/>
      <c r="T542" s="799" t="n"/>
      <c r="U542" s="800" t="n"/>
      <c r="V542" s="43" t="inlineStr">
        <is>
          <t>кг</t>
        </is>
      </c>
      <c r="W542" s="833">
        <f>IFERROR(SUM(W538:W540),"0")</f>
        <v/>
      </c>
      <c r="X542" s="833">
        <f>IFERROR(SUM(X538:X540),"0")</f>
        <v/>
      </c>
      <c r="Y542" s="43" t="n"/>
      <c r="Z542" s="834" t="n"/>
      <c r="AA542" s="834" t="n"/>
    </row>
    <row r="543" ht="14.25" customHeight="1">
      <c r="A543" s="409" t="inlineStr">
        <is>
          <t>Сардельки</t>
        </is>
      </c>
      <c r="B543" s="398" t="n"/>
      <c r="C543" s="398" t="n"/>
      <c r="D543" s="398" t="n"/>
      <c r="E543" s="398" t="n"/>
      <c r="F543" s="398" t="n"/>
      <c r="G543" s="398" t="n"/>
      <c r="H543" s="398" t="n"/>
      <c r="I543" s="398" t="n"/>
      <c r="J543" s="398" t="n"/>
      <c r="K543" s="398" t="n"/>
      <c r="L543" s="398" t="n"/>
      <c r="M543" s="398" t="n"/>
      <c r="N543" s="398" t="n"/>
      <c r="O543" s="398" t="n"/>
      <c r="P543" s="398" t="n"/>
      <c r="Q543" s="398" t="n"/>
      <c r="R543" s="398" t="n"/>
      <c r="S543" s="398" t="n"/>
      <c r="T543" s="398" t="n"/>
      <c r="U543" s="398" t="n"/>
      <c r="V543" s="398" t="n"/>
      <c r="W543" s="398" t="n"/>
      <c r="X543" s="398" t="n"/>
      <c r="Y543" s="398" t="n"/>
      <c r="Z543" s="409" t="n"/>
      <c r="AA543" s="409" t="n"/>
    </row>
    <row r="544" ht="27" customHeight="1">
      <c r="A544" s="64" t="inlineStr">
        <is>
          <t>SU002970</t>
        </is>
      </c>
      <c r="B544" s="64" t="inlineStr">
        <is>
          <t>P004319</t>
        </is>
      </c>
      <c r="C544" s="37" t="n">
        <v>4301060408</v>
      </c>
      <c r="D544" s="401" t="n">
        <v>4640242180120</v>
      </c>
      <c r="E544" s="791" t="n"/>
      <c r="F544" s="825" t="n">
        <v>1.3</v>
      </c>
      <c r="G544" s="38" t="n">
        <v>6</v>
      </c>
      <c r="H544" s="825" t="n">
        <v>7.8</v>
      </c>
      <c r="I544" s="825" t="n">
        <v>8.279999999999999</v>
      </c>
      <c r="J544" s="38" t="n">
        <v>56</v>
      </c>
      <c r="K544" s="38" t="inlineStr">
        <is>
          <t>8</t>
        </is>
      </c>
      <c r="L544" s="39" t="inlineStr">
        <is>
          <t>СК2</t>
        </is>
      </c>
      <c r="M544" s="39" t="n"/>
      <c r="N544" s="38" t="n">
        <v>40</v>
      </c>
      <c r="O544" s="1140" t="inlineStr">
        <is>
          <t>Сардельки «Зареченские» Весовой NDX ТМ «Зареченские» HR</t>
        </is>
      </c>
      <c r="P544" s="827" t="n"/>
      <c r="Q544" s="827" t="n"/>
      <c r="R544" s="827" t="n"/>
      <c r="S544" s="791" t="n"/>
      <c r="T544" s="40" t="inlineStr"/>
      <c r="U544" s="40" t="inlineStr"/>
      <c r="V544" s="41" t="inlineStr">
        <is>
          <t>кг</t>
        </is>
      </c>
      <c r="W544" s="828" t="n">
        <v>0</v>
      </c>
      <c r="X544" s="829">
        <f>IFERROR(IF(W544="",0,CEILING((W544/$H544),1)*$H544),"")</f>
        <v/>
      </c>
      <c r="Y544" s="42">
        <f>IFERROR(IF(X544=0,"",ROUNDUP(X544/H544,0)*0.02175),"")</f>
        <v/>
      </c>
      <c r="Z544" s="69" t="inlineStr"/>
      <c r="AA544" s="70" t="inlineStr"/>
      <c r="AE544" s="80" t="n"/>
      <c r="BB544" s="388" t="inlineStr">
        <is>
          <t>КИ</t>
        </is>
      </c>
      <c r="BL544" s="80">
        <f>IFERROR(W544*I544/H544,"0")</f>
        <v/>
      </c>
      <c r="BM544" s="80">
        <f>IFERROR(X544*I544/H544,"0")</f>
        <v/>
      </c>
      <c r="BN544" s="80">
        <f>IFERROR(1/J544*(W544/H544),"0")</f>
        <v/>
      </c>
      <c r="BO544" s="80">
        <f>IFERROR(1/J544*(X544/H544),"0")</f>
        <v/>
      </c>
    </row>
    <row r="545" ht="27" customHeight="1">
      <c r="A545" s="64" t="inlineStr">
        <is>
          <t>SU002970</t>
        </is>
      </c>
      <c r="B545" s="64" t="inlineStr">
        <is>
          <t>P003422</t>
        </is>
      </c>
      <c r="C545" s="37" t="n">
        <v>4301060354</v>
      </c>
      <c r="D545" s="401" t="n">
        <v>4640242180120</v>
      </c>
      <c r="E545" s="791" t="n"/>
      <c r="F545" s="825" t="n">
        <v>1.3</v>
      </c>
      <c r="G545" s="38" t="n">
        <v>6</v>
      </c>
      <c r="H545" s="825" t="n">
        <v>7.8</v>
      </c>
      <c r="I545" s="825" t="n">
        <v>8.279999999999999</v>
      </c>
      <c r="J545" s="38" t="n">
        <v>56</v>
      </c>
      <c r="K545" s="38" t="inlineStr">
        <is>
          <t>8</t>
        </is>
      </c>
      <c r="L545" s="39" t="inlineStr">
        <is>
          <t>СК2</t>
        </is>
      </c>
      <c r="M545" s="39" t="n"/>
      <c r="N545" s="38" t="n">
        <v>40</v>
      </c>
      <c r="O545" s="1141" t="inlineStr">
        <is>
          <t>Сардельки Зареченские Весовой NDX ТМ Зареченские</t>
        </is>
      </c>
      <c r="P545" s="827" t="n"/>
      <c r="Q545" s="827" t="n"/>
      <c r="R545" s="827" t="n"/>
      <c r="S545" s="791" t="n"/>
      <c r="T545" s="40" t="inlineStr"/>
      <c r="U545" s="40" t="inlineStr"/>
      <c r="V545" s="41" t="inlineStr">
        <is>
          <t>кг</t>
        </is>
      </c>
      <c r="W545" s="828" t="n">
        <v>0</v>
      </c>
      <c r="X545" s="829">
        <f>IFERROR(IF(W545="",0,CEILING((W545/$H545),1)*$H545),"")</f>
        <v/>
      </c>
      <c r="Y545" s="42">
        <f>IFERROR(IF(X545=0,"",ROUNDUP(X545/H545,0)*0.02175),"")</f>
        <v/>
      </c>
      <c r="Z545" s="69" t="inlineStr"/>
      <c r="AA545" s="70" t="inlineStr"/>
      <c r="AE545" s="80" t="n"/>
      <c r="BB545" s="389" t="inlineStr">
        <is>
          <t>КИ</t>
        </is>
      </c>
      <c r="BL545" s="80">
        <f>IFERROR(W545*I545/H545,"0")</f>
        <v/>
      </c>
      <c r="BM545" s="80">
        <f>IFERROR(X545*I545/H545,"0")</f>
        <v/>
      </c>
      <c r="BN545" s="80">
        <f>IFERROR(1/J545*(W545/H545),"0")</f>
        <v/>
      </c>
      <c r="BO545" s="80">
        <f>IFERROR(1/J545*(X545/H545),"0")</f>
        <v/>
      </c>
    </row>
    <row r="546" ht="27" customHeight="1">
      <c r="A546" s="64" t="inlineStr">
        <is>
          <t>SU002971</t>
        </is>
      </c>
      <c r="B546" s="64" t="inlineStr">
        <is>
          <t>P004320</t>
        </is>
      </c>
      <c r="C546" s="37" t="n">
        <v>4301060407</v>
      </c>
      <c r="D546" s="401" t="n">
        <v>4640242180137</v>
      </c>
      <c r="E546" s="791" t="n"/>
      <c r="F546" s="825" t="n">
        <v>1.3</v>
      </c>
      <c r="G546" s="38" t="n">
        <v>6</v>
      </c>
      <c r="H546" s="825" t="n">
        <v>7.8</v>
      </c>
      <c r="I546" s="825" t="n">
        <v>8.279999999999999</v>
      </c>
      <c r="J546" s="38" t="n">
        <v>56</v>
      </c>
      <c r="K546" s="38" t="inlineStr">
        <is>
          <t>8</t>
        </is>
      </c>
      <c r="L546" s="39" t="inlineStr">
        <is>
          <t>СК2</t>
        </is>
      </c>
      <c r="M546" s="39" t="n"/>
      <c r="N546" s="38" t="n">
        <v>40</v>
      </c>
      <c r="O546" s="1142" t="inlineStr">
        <is>
          <t>Сардельки «Шпикачки Зареченские» Весовой NDX ТМ «Зареченские» HR</t>
        </is>
      </c>
      <c r="P546" s="827" t="n"/>
      <c r="Q546" s="827" t="n"/>
      <c r="R546" s="827" t="n"/>
      <c r="S546" s="791" t="n"/>
      <c r="T546" s="40" t="inlineStr"/>
      <c r="U546" s="40" t="inlineStr"/>
      <c r="V546" s="41" t="inlineStr">
        <is>
          <t>кг</t>
        </is>
      </c>
      <c r="W546" s="828" t="n">
        <v>0</v>
      </c>
      <c r="X546" s="829">
        <f>IFERROR(IF(W546="",0,CEILING((W546/$H546),1)*$H546),"")</f>
        <v/>
      </c>
      <c r="Y546" s="42">
        <f>IFERROR(IF(X546=0,"",ROUNDUP(X546/H546,0)*0.02175),"")</f>
        <v/>
      </c>
      <c r="Z546" s="69" t="inlineStr"/>
      <c r="AA546" s="70" t="inlineStr"/>
      <c r="AE546" s="80" t="n"/>
      <c r="BB546" s="390" t="inlineStr">
        <is>
          <t>КИ</t>
        </is>
      </c>
      <c r="BL546" s="80">
        <f>IFERROR(W546*I546/H546,"0")</f>
        <v/>
      </c>
      <c r="BM546" s="80">
        <f>IFERROR(X546*I546/H546,"0")</f>
        <v/>
      </c>
      <c r="BN546" s="80">
        <f>IFERROR(1/J546*(W546/H546),"0")</f>
        <v/>
      </c>
      <c r="BO546" s="80">
        <f>IFERROR(1/J546*(X546/H546),"0")</f>
        <v/>
      </c>
    </row>
    <row r="547" ht="27" customHeight="1">
      <c r="A547" s="64" t="inlineStr">
        <is>
          <t>SU002971</t>
        </is>
      </c>
      <c r="B547" s="64" t="inlineStr">
        <is>
          <t>P003425</t>
        </is>
      </c>
      <c r="C547" s="37" t="n">
        <v>4301060355</v>
      </c>
      <c r="D547" s="401" t="n">
        <v>4640242180137</v>
      </c>
      <c r="E547" s="791" t="n"/>
      <c r="F547" s="825" t="n">
        <v>1.3</v>
      </c>
      <c r="G547" s="38" t="n">
        <v>6</v>
      </c>
      <c r="H547" s="825" t="n">
        <v>7.8</v>
      </c>
      <c r="I547" s="825" t="n">
        <v>8.279999999999999</v>
      </c>
      <c r="J547" s="38" t="n">
        <v>56</v>
      </c>
      <c r="K547" s="38" t="inlineStr">
        <is>
          <t>8</t>
        </is>
      </c>
      <c r="L547" s="39" t="inlineStr">
        <is>
          <t>СК2</t>
        </is>
      </c>
      <c r="M547" s="39" t="n"/>
      <c r="N547" s="38" t="n">
        <v>40</v>
      </c>
      <c r="O547" s="1143" t="inlineStr">
        <is>
          <t>Сардельки Шпикачки Зареченские Весовой NDX ТМ Зареченские</t>
        </is>
      </c>
      <c r="P547" s="827" t="n"/>
      <c r="Q547" s="827" t="n"/>
      <c r="R547" s="827" t="n"/>
      <c r="S547" s="791" t="n"/>
      <c r="T547" s="40" t="inlineStr"/>
      <c r="U547" s="40" t="inlineStr"/>
      <c r="V547" s="41" t="inlineStr">
        <is>
          <t>кг</t>
        </is>
      </c>
      <c r="W547" s="828" t="n">
        <v>0</v>
      </c>
      <c r="X547" s="829">
        <f>IFERROR(IF(W547="",0,CEILING((W547/$H547),1)*$H547),"")</f>
        <v/>
      </c>
      <c r="Y547" s="42">
        <f>IFERROR(IF(X547=0,"",ROUNDUP(X547/H547,0)*0.02175),"")</f>
        <v/>
      </c>
      <c r="Z547" s="69" t="inlineStr"/>
      <c r="AA547" s="70" t="inlineStr"/>
      <c r="AE547" s="80" t="n"/>
      <c r="BB547" s="391" t="inlineStr">
        <is>
          <t>КИ</t>
        </is>
      </c>
      <c r="BL547" s="80">
        <f>IFERROR(W547*I547/H547,"0")</f>
        <v/>
      </c>
      <c r="BM547" s="80">
        <f>IFERROR(X547*I547/H547,"0")</f>
        <v/>
      </c>
      <c r="BN547" s="80">
        <f>IFERROR(1/J547*(W547/H547),"0")</f>
        <v/>
      </c>
      <c r="BO547" s="80">
        <f>IFERROR(1/J547*(X547/H547),"0")</f>
        <v/>
      </c>
    </row>
    <row r="548">
      <c r="A548" s="408" t="n"/>
      <c r="B548" s="398" t="n"/>
      <c r="C548" s="398" t="n"/>
      <c r="D548" s="398" t="n"/>
      <c r="E548" s="398" t="n"/>
      <c r="F548" s="398" t="n"/>
      <c r="G548" s="398" t="n"/>
      <c r="H548" s="398" t="n"/>
      <c r="I548" s="398" t="n"/>
      <c r="J548" s="398" t="n"/>
      <c r="K548" s="398" t="n"/>
      <c r="L548" s="398" t="n"/>
      <c r="M548" s="398" t="n"/>
      <c r="N548" s="831" t="n"/>
      <c r="O548" s="832" t="inlineStr">
        <is>
          <t>Итого</t>
        </is>
      </c>
      <c r="P548" s="799" t="n"/>
      <c r="Q548" s="799" t="n"/>
      <c r="R548" s="799" t="n"/>
      <c r="S548" s="799" t="n"/>
      <c r="T548" s="799" t="n"/>
      <c r="U548" s="800" t="n"/>
      <c r="V548" s="43" t="inlineStr">
        <is>
          <t>кор</t>
        </is>
      </c>
      <c r="W548" s="833">
        <f>IFERROR(W544/H544,"0")+IFERROR(W545/H545,"0")+IFERROR(W546/H546,"0")+IFERROR(W547/H547,"0")</f>
        <v/>
      </c>
      <c r="X548" s="833">
        <f>IFERROR(X544/H544,"0")+IFERROR(X545/H545,"0")+IFERROR(X546/H546,"0")+IFERROR(X547/H547,"0")</f>
        <v/>
      </c>
      <c r="Y548" s="833">
        <f>IFERROR(IF(Y544="",0,Y544),"0")+IFERROR(IF(Y545="",0,Y545),"0")+IFERROR(IF(Y546="",0,Y546),"0")+IFERROR(IF(Y547="",0,Y547),"0")</f>
        <v/>
      </c>
      <c r="Z548" s="834" t="n"/>
      <c r="AA548" s="834" t="n"/>
    </row>
    <row r="549">
      <c r="A549" s="398" t="n"/>
      <c r="B549" s="398" t="n"/>
      <c r="C549" s="398" t="n"/>
      <c r="D549" s="398" t="n"/>
      <c r="E549" s="398" t="n"/>
      <c r="F549" s="398" t="n"/>
      <c r="G549" s="398" t="n"/>
      <c r="H549" s="398" t="n"/>
      <c r="I549" s="398" t="n"/>
      <c r="J549" s="398" t="n"/>
      <c r="K549" s="398" t="n"/>
      <c r="L549" s="398" t="n"/>
      <c r="M549" s="398" t="n"/>
      <c r="N549" s="831" t="n"/>
      <c r="O549" s="832" t="inlineStr">
        <is>
          <t>Итого</t>
        </is>
      </c>
      <c r="P549" s="799" t="n"/>
      <c r="Q549" s="799" t="n"/>
      <c r="R549" s="799" t="n"/>
      <c r="S549" s="799" t="n"/>
      <c r="T549" s="799" t="n"/>
      <c r="U549" s="800" t="n"/>
      <c r="V549" s="43" t="inlineStr">
        <is>
          <t>кг</t>
        </is>
      </c>
      <c r="W549" s="833">
        <f>IFERROR(SUM(W544:W547),"0")</f>
        <v/>
      </c>
      <c r="X549" s="833">
        <f>IFERROR(SUM(X544:X547),"0")</f>
        <v/>
      </c>
      <c r="Y549" s="43" t="n"/>
      <c r="Z549" s="834" t="n"/>
      <c r="AA549" s="834" t="n"/>
    </row>
    <row r="550" ht="15" customHeight="1">
      <c r="A550" s="397" t="n"/>
      <c r="B550" s="398" t="n"/>
      <c r="C550" s="398" t="n"/>
      <c r="D550" s="398" t="n"/>
      <c r="E550" s="398" t="n"/>
      <c r="F550" s="398" t="n"/>
      <c r="G550" s="398" t="n"/>
      <c r="H550" s="398" t="n"/>
      <c r="I550" s="398" t="n"/>
      <c r="J550" s="398" t="n"/>
      <c r="K550" s="398" t="n"/>
      <c r="L550" s="398" t="n"/>
      <c r="M550" s="398" t="n"/>
      <c r="N550" s="788" t="n"/>
      <c r="O550" s="1144" t="inlineStr">
        <is>
          <t>ИТОГО НЕТТО</t>
        </is>
      </c>
      <c r="P550" s="782" t="n"/>
      <c r="Q550" s="782" t="n"/>
      <c r="R550" s="782" t="n"/>
      <c r="S550" s="782" t="n"/>
      <c r="T550" s="782" t="n"/>
      <c r="U550" s="783" t="n"/>
      <c r="V550" s="43" t="inlineStr">
        <is>
          <t>кг</t>
        </is>
      </c>
      <c r="W550" s="833">
        <f>IFERROR(W25+W37+W41+W45+W49+W56+W64+W89+W95+W105+W123+W131+W140+W149+W161+W167+W172+W183+W203+W211+W222+W227+W239+W251+W257+W267+W273+W279+W285+W296+W300+W305+W311+W315+W332+W338+W344+W349+W357+W363+W371+W376+W383+W409+W414+W420+W426+W437+W442+W446+W450+W457+W463+W467+W483+W488+W497+W503+W507+W521+W529+W536+W542+W549,"0")</f>
        <v/>
      </c>
      <c r="X550" s="833">
        <f>IFERROR(X25+X37+X41+X45+X49+X56+X64+X89+X95+X105+X123+X131+X140+X149+X161+X167+X172+X183+X203+X211+X222+X227+X239+X251+X257+X267+X273+X279+X285+X296+X300+X305+X311+X315+X332+X338+X344+X349+X357+X363+X371+X376+X383+X409+X414+X420+X426+X437+X442+X446+X450+X457+X463+X467+X483+X488+X497+X503+X507+X521+X529+X536+X542+X549,"0")</f>
        <v/>
      </c>
      <c r="Y550" s="43" t="n"/>
      <c r="Z550" s="834" t="n"/>
      <c r="AA550" s="834" t="n"/>
    </row>
    <row r="551">
      <c r="A551" s="398" t="n"/>
      <c r="B551" s="398" t="n"/>
      <c r="C551" s="398" t="n"/>
      <c r="D551" s="398" t="n"/>
      <c r="E551" s="398" t="n"/>
      <c r="F551" s="398" t="n"/>
      <c r="G551" s="398" t="n"/>
      <c r="H551" s="398" t="n"/>
      <c r="I551" s="398" t="n"/>
      <c r="J551" s="398" t="n"/>
      <c r="K551" s="398" t="n"/>
      <c r="L551" s="398" t="n"/>
      <c r="M551" s="398" t="n"/>
      <c r="N551" s="788" t="n"/>
      <c r="O551" s="1144" t="inlineStr">
        <is>
          <t>ИТОГО БРУТТО</t>
        </is>
      </c>
      <c r="P551" s="782" t="n"/>
      <c r="Q551" s="782" t="n"/>
      <c r="R551" s="782" t="n"/>
      <c r="S551" s="782" t="n"/>
      <c r="T551" s="782" t="n"/>
      <c r="U551" s="783" t="n"/>
      <c r="V551" s="43" t="inlineStr">
        <is>
          <t>кг</t>
        </is>
      </c>
      <c r="W551" s="833">
        <f>IFERROR(SUM(BL22:BL547),"0")</f>
        <v/>
      </c>
      <c r="X551" s="833">
        <f>IFERROR(SUM(BM22:BM547),"0")</f>
        <v/>
      </c>
      <c r="Y551" s="43" t="n"/>
      <c r="Z551" s="834" t="n"/>
      <c r="AA551" s="834" t="n"/>
    </row>
    <row r="552">
      <c r="A552" s="398" t="n"/>
      <c r="B552" s="398" t="n"/>
      <c r="C552" s="398" t="n"/>
      <c r="D552" s="398" t="n"/>
      <c r="E552" s="398" t="n"/>
      <c r="F552" s="398" t="n"/>
      <c r="G552" s="398" t="n"/>
      <c r="H552" s="398" t="n"/>
      <c r="I552" s="398" t="n"/>
      <c r="J552" s="398" t="n"/>
      <c r="K552" s="398" t="n"/>
      <c r="L552" s="398" t="n"/>
      <c r="M552" s="398" t="n"/>
      <c r="N552" s="788" t="n"/>
      <c r="O552" s="1144" t="inlineStr">
        <is>
          <t>Кол-во паллет</t>
        </is>
      </c>
      <c r="P552" s="782" t="n"/>
      <c r="Q552" s="782" t="n"/>
      <c r="R552" s="782" t="n"/>
      <c r="S552" s="782" t="n"/>
      <c r="T552" s="782" t="n"/>
      <c r="U552" s="783" t="n"/>
      <c r="V552" s="43" t="inlineStr">
        <is>
          <t>шт</t>
        </is>
      </c>
      <c r="W552" s="45">
        <f>ROUNDUP(SUM(BN22:BN547),0)</f>
        <v/>
      </c>
      <c r="X552" s="45">
        <f>ROUNDUP(SUM(BO22:BO547),0)</f>
        <v/>
      </c>
      <c r="Y552" s="43" t="n"/>
      <c r="Z552" s="834" t="n"/>
      <c r="AA552" s="834" t="n"/>
    </row>
    <row r="553">
      <c r="A553" s="398" t="n"/>
      <c r="B553" s="398" t="n"/>
      <c r="C553" s="398" t="n"/>
      <c r="D553" s="398" t="n"/>
      <c r="E553" s="398" t="n"/>
      <c r="F553" s="398" t="n"/>
      <c r="G553" s="398" t="n"/>
      <c r="H553" s="398" t="n"/>
      <c r="I553" s="398" t="n"/>
      <c r="J553" s="398" t="n"/>
      <c r="K553" s="398" t="n"/>
      <c r="L553" s="398" t="n"/>
      <c r="M553" s="398" t="n"/>
      <c r="N553" s="788" t="n"/>
      <c r="O553" s="1144" t="inlineStr">
        <is>
          <t>Вес брутто  с паллетами</t>
        </is>
      </c>
      <c r="P553" s="782" t="n"/>
      <c r="Q553" s="782" t="n"/>
      <c r="R553" s="782" t="n"/>
      <c r="S553" s="782" t="n"/>
      <c r="T553" s="782" t="n"/>
      <c r="U553" s="783" t="n"/>
      <c r="V553" s="43" t="inlineStr">
        <is>
          <t>кг</t>
        </is>
      </c>
      <c r="W553" s="833">
        <f>GrossWeightTotal+PalletQtyTotal*25</f>
        <v/>
      </c>
      <c r="X553" s="833">
        <f>GrossWeightTotalR+PalletQtyTotalR*25</f>
        <v/>
      </c>
      <c r="Y553" s="43" t="n"/>
      <c r="Z553" s="834" t="n"/>
      <c r="AA553" s="834" t="n"/>
    </row>
    <row r="554">
      <c r="A554" s="398" t="n"/>
      <c r="B554" s="398" t="n"/>
      <c r="C554" s="398" t="n"/>
      <c r="D554" s="398" t="n"/>
      <c r="E554" s="398" t="n"/>
      <c r="F554" s="398" t="n"/>
      <c r="G554" s="398" t="n"/>
      <c r="H554" s="398" t="n"/>
      <c r="I554" s="398" t="n"/>
      <c r="J554" s="398" t="n"/>
      <c r="K554" s="398" t="n"/>
      <c r="L554" s="398" t="n"/>
      <c r="M554" s="398" t="n"/>
      <c r="N554" s="788" t="n"/>
      <c r="O554" s="1144" t="inlineStr">
        <is>
          <t>Кол-во коробок</t>
        </is>
      </c>
      <c r="P554" s="782" t="n"/>
      <c r="Q554" s="782" t="n"/>
      <c r="R554" s="782" t="n"/>
      <c r="S554" s="782" t="n"/>
      <c r="T554" s="782" t="n"/>
      <c r="U554" s="783" t="n"/>
      <c r="V554" s="43" t="inlineStr">
        <is>
          <t>шт</t>
        </is>
      </c>
      <c r="W554" s="833">
        <f>IFERROR(W24+W36+W40+W44+W48+W55+W63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/>
      </c>
      <c r="X554" s="833">
        <f>IFERROR(X24+X36+X40+X44+X48+X55+X63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/>
      </c>
      <c r="Y554" s="43" t="n"/>
      <c r="Z554" s="834" t="n"/>
      <c r="AA554" s="834" t="n"/>
    </row>
    <row r="555" ht="14.25" customHeight="1">
      <c r="A555" s="398" t="n"/>
      <c r="B555" s="398" t="n"/>
      <c r="C555" s="398" t="n"/>
      <c r="D555" s="398" t="n"/>
      <c r="E555" s="398" t="n"/>
      <c r="F555" s="398" t="n"/>
      <c r="G555" s="398" t="n"/>
      <c r="H555" s="398" t="n"/>
      <c r="I555" s="398" t="n"/>
      <c r="J555" s="398" t="n"/>
      <c r="K555" s="398" t="n"/>
      <c r="L555" s="398" t="n"/>
      <c r="M555" s="398" t="n"/>
      <c r="N555" s="788" t="n"/>
      <c r="O555" s="1144" t="inlineStr">
        <is>
          <t>Объем заказа</t>
        </is>
      </c>
      <c r="P555" s="782" t="n"/>
      <c r="Q555" s="782" t="n"/>
      <c r="R555" s="782" t="n"/>
      <c r="S555" s="782" t="n"/>
      <c r="T555" s="782" t="n"/>
      <c r="U555" s="783" t="n"/>
      <c r="V555" s="46" t="inlineStr">
        <is>
          <t>м3</t>
        </is>
      </c>
      <c r="W555" s="43" t="n"/>
      <c r="X555" s="43" t="n"/>
      <c r="Y555" s="43">
        <f>IFERROR(Y24+Y36+Y40+Y44+Y48+Y55+Y63+Y88+Y94+Y104+Y122+Y130+Y139+Y148+Y160+Y166+Y171+Y182+Y202+Y210+Y221+Y226+Y238+Y250+Y256+Y266+Y272+Y278+Y284+Y295+Y299+Y304+Y310+Y314+Y331+Y337+Y343+Y348+Y356+Y362+Y370+Y375+Y382+Y408+Y413+Y419+Y425+Y436+Y441+Y445+Y449+Y456+Y462+Y466+Y482+Y487+Y496+Y502+Y506+Y520+Y528+Y535+Y541+Y548,"0")</f>
        <v/>
      </c>
      <c r="Z555" s="834" t="n"/>
      <c r="AA555" s="834" t="n"/>
    </row>
    <row r="556" ht="13.5" customHeight="1" thickBot="1"/>
    <row r="557" ht="27" customHeight="1" thickBot="1" thickTop="1">
      <c r="A557" s="47" t="inlineStr">
        <is>
          <t>ТОРГОВАЯ МАРКА</t>
        </is>
      </c>
      <c r="B557" s="392" t="inlineStr">
        <is>
          <t>Ядрена копоть</t>
        </is>
      </c>
      <c r="C557" s="392" t="inlineStr">
        <is>
          <t>Вязанка</t>
        </is>
      </c>
      <c r="D557" s="1145" t="n"/>
      <c r="E557" s="1145" t="n"/>
      <c r="F557" s="1146" t="n"/>
      <c r="G557" s="392" t="inlineStr">
        <is>
          <t>Стародворье</t>
        </is>
      </c>
      <c r="H557" s="1145" t="n"/>
      <c r="I557" s="1145" t="n"/>
      <c r="J557" s="1145" t="n"/>
      <c r="K557" s="1145" t="n"/>
      <c r="L557" s="1145" t="n"/>
      <c r="M557" s="1145" t="n"/>
      <c r="N557" s="1145" t="n"/>
      <c r="O557" s="1146" t="n"/>
      <c r="P557" s="392" t="inlineStr">
        <is>
          <t>Особый рецепт</t>
        </is>
      </c>
      <c r="Q557" s="1146" t="n"/>
      <c r="R557" s="392" t="inlineStr">
        <is>
          <t>Баварушка</t>
        </is>
      </c>
      <c r="S557" s="1145" t="n"/>
      <c r="T557" s="1145" t="n"/>
      <c r="U557" s="1146" t="n"/>
      <c r="V557" s="392" t="inlineStr">
        <is>
          <t>Дугушка</t>
        </is>
      </c>
      <c r="W557" s="392" t="inlineStr">
        <is>
          <t>Зареченские продукты</t>
        </is>
      </c>
      <c r="AA557" s="61" t="n"/>
      <c r="AD557" s="398" t="n"/>
    </row>
    <row r="558" ht="14.25" customHeight="1" thickTop="1">
      <c r="A558" s="399" t="inlineStr">
        <is>
          <t>СЕРИЯ</t>
        </is>
      </c>
      <c r="B558" s="392" t="inlineStr">
        <is>
          <t>Ядрена копоть</t>
        </is>
      </c>
      <c r="C558" s="392" t="inlineStr">
        <is>
          <t>Столичная</t>
        </is>
      </c>
      <c r="D558" s="392" t="inlineStr">
        <is>
          <t>Классическая</t>
        </is>
      </c>
      <c r="E558" s="392" t="inlineStr">
        <is>
          <t>Вязанка</t>
        </is>
      </c>
      <c r="F558" s="392" t="inlineStr">
        <is>
          <t>Сливушки</t>
        </is>
      </c>
      <c r="G558" s="392" t="inlineStr">
        <is>
          <t>Золоченная в печи</t>
        </is>
      </c>
      <c r="H558" s="392" t="inlineStr">
        <is>
          <t>Мясорубская</t>
        </is>
      </c>
      <c r="I558" s="392" t="inlineStr">
        <is>
          <t>Сочинка</t>
        </is>
      </c>
      <c r="J558" s="392" t="inlineStr">
        <is>
          <t>Филедворская</t>
        </is>
      </c>
      <c r="K558" s="392" t="inlineStr">
        <is>
          <t>Стародворская</t>
        </is>
      </c>
      <c r="L558" s="392" t="inlineStr">
        <is>
          <t>Бордо</t>
        </is>
      </c>
      <c r="M558" s="398" t="n"/>
      <c r="N558" s="392" t="inlineStr">
        <is>
          <t>Фирменная</t>
        </is>
      </c>
      <c r="O558" s="392" t="inlineStr">
        <is>
          <t>Бавария</t>
        </is>
      </c>
      <c r="P558" s="392" t="inlineStr">
        <is>
          <t>Особая</t>
        </is>
      </c>
      <c r="Q558" s="392" t="inlineStr">
        <is>
          <t>Особая Без свинины</t>
        </is>
      </c>
      <c r="R558" s="392" t="inlineStr">
        <is>
          <t>Филейбургская</t>
        </is>
      </c>
      <c r="S558" s="392" t="inlineStr">
        <is>
          <t>Балыкбургская</t>
        </is>
      </c>
      <c r="T558" s="392" t="inlineStr">
        <is>
          <t>Краковюрст</t>
        </is>
      </c>
      <c r="U558" s="392" t="inlineStr">
        <is>
          <t>Бюргерсы</t>
        </is>
      </c>
      <c r="V558" s="392" t="inlineStr">
        <is>
          <t>Дугушка</t>
        </is>
      </c>
      <c r="W558" s="392" t="inlineStr">
        <is>
          <t>Зареченские продукты</t>
        </is>
      </c>
      <c r="AA558" s="61" t="n"/>
      <c r="AD558" s="398" t="n"/>
    </row>
    <row r="559" ht="13.5" customHeight="1" thickBot="1">
      <c r="A559" s="1147" t="n"/>
      <c r="B559" s="1148" t="n"/>
      <c r="C559" s="1148" t="n"/>
      <c r="D559" s="1148" t="n"/>
      <c r="E559" s="1148" t="n"/>
      <c r="F559" s="1148" t="n"/>
      <c r="G559" s="1148" t="n"/>
      <c r="H559" s="1148" t="n"/>
      <c r="I559" s="1148" t="n"/>
      <c r="J559" s="1148" t="n"/>
      <c r="K559" s="1148" t="n"/>
      <c r="L559" s="1148" t="n"/>
      <c r="M559" s="398" t="n"/>
      <c r="N559" s="1148" t="n"/>
      <c r="O559" s="1148" t="n"/>
      <c r="P559" s="1148" t="n"/>
      <c r="Q559" s="1148" t="n"/>
      <c r="R559" s="1148" t="n"/>
      <c r="S559" s="1148" t="n"/>
      <c r="T559" s="1148" t="n"/>
      <c r="U559" s="1148" t="n"/>
      <c r="V559" s="1148" t="n"/>
      <c r="W559" s="1148" t="n"/>
      <c r="AA559" s="61" t="n"/>
      <c r="AD559" s="398" t="n"/>
    </row>
    <row r="560" ht="18" customHeight="1" thickBot="1" thickTop="1">
      <c r="A560" s="47" t="inlineStr">
        <is>
          <t>ИТОГО, кг</t>
        </is>
      </c>
      <c r="B560" s="53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/>
      </c>
      <c r="C560" s="53">
        <f>IFERROR(X53*1,"0")+IFERROR(X54*1,"0")</f>
        <v/>
      </c>
      <c r="D560" s="53">
        <f>IFERROR(X59*1,"0")+IFERROR(X60*1,"0")+IFERROR(X61*1,"0")+IFERROR(X62*1,"0")</f>
        <v/>
      </c>
      <c r="E560" s="53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/>
      </c>
      <c r="F560" s="53">
        <f>IFERROR(X134*1,"0")+IFERROR(X135*1,"0")+IFERROR(X136*1,"0")+IFERROR(X137*1,"0")+IFERROR(X138*1,"0")</f>
        <v/>
      </c>
      <c r="G560" s="53">
        <f>IFERROR(X144*1,"0")+IFERROR(X145*1,"0")+IFERROR(X146*1,"0")+IFERROR(X147*1,"0")</f>
        <v/>
      </c>
      <c r="H560" s="53">
        <f>IFERROR(X152*1,"0")+IFERROR(X153*1,"0")+IFERROR(X154*1,"0")+IFERROR(X155*1,"0")+IFERROR(X156*1,"0")+IFERROR(X157*1,"0")+IFERROR(X158*1,"0")+IFERROR(X159*1,"0")</f>
        <v/>
      </c>
      <c r="I560" s="53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/>
      </c>
      <c r="J560" s="53">
        <f>IFERROR(X214*1,"0")+IFERROR(X215*1,"0")+IFERROR(X216*1,"0")+IFERROR(X217*1,"0")+IFERROR(X218*1,"0")+IFERROR(X219*1,"0")+IFERROR(X220*1,"0")+IFERROR(X224*1,"0")+IFERROR(X225*1,"0")</f>
        <v/>
      </c>
      <c r="K560" s="53">
        <f>IFERROR(X230*1,"0")+IFERROR(X231*1,"0")+IFERROR(X232*1,"0")+IFERROR(X233*1,"0")+IFERROR(X234*1,"0")+IFERROR(X235*1,"0")+IFERROR(X236*1,"0")+IFERROR(X237*1,"0")</f>
        <v/>
      </c>
      <c r="L560" s="53">
        <f>IFERROR(X242*1,"0")+IFERROR(X243*1,"0")+IFERROR(X244*1,"0")+IFERROR(X245*1,"0")+IFERROR(X246*1,"0")+IFERROR(X247*1,"0")+IFERROR(X248*1,"0")+IFERROR(X249*1,"0")+IFERROR(X253*1,"0")+IFERROR(X254*1,"0")+IFERROR(X255*1,"0")+IFERROR(X259*1,"0")+IFERROR(X260*1,"0")+IFERROR(X261*1,"0")+IFERROR(X262*1,"0")+IFERROR(X263*1,"0")+IFERROR(X264*1,"0")+IFERROR(X265*1,"0")+IFERROR(X269*1,"0")+IFERROR(X270*1,"0")+IFERROR(X271*1,"0")+IFERROR(X275*1,"0")+IFERROR(X276*1,"0")+IFERROR(X277*1,"0")+IFERROR(X281*1,"0")+IFERROR(X282*1,"0")+IFERROR(X283*1,"0")</f>
        <v/>
      </c>
      <c r="M560" s="398" t="n"/>
      <c r="N560" s="53">
        <f>IFERROR(X288*1,"0")+IFERROR(X289*1,"0")+IFERROR(X290*1,"0")+IFERROR(X291*1,"0")+IFERROR(X292*1,"0")+IFERROR(X293*1,"0")+IFERROR(X294*1,"0")+IFERROR(X298*1,"0")</f>
        <v/>
      </c>
      <c r="O560" s="53">
        <f>IFERROR(X303*1,"0")+IFERROR(X307*1,"0")+IFERROR(X308*1,"0")+IFERROR(X309*1,"0")+IFERROR(X313*1,"0")</f>
        <v/>
      </c>
      <c r="P560" s="53">
        <f>IFERROR(X319*1,"0")+IFERROR(X320*1,"0")+IFERROR(X321*1,"0")+IFERROR(X322*1,"0")+IFERROR(X323*1,"0")+IFERROR(X324*1,"0")+IFERROR(X325*1,"0")+IFERROR(X326*1,"0")+IFERROR(X327*1,"0")+IFERROR(X328*1,"0")+IFERROR(X329*1,"0")+IFERROR(X330*1,"0")+IFERROR(X334*1,"0")+IFERROR(X335*1,"0")+IFERROR(X336*1,"0")+IFERROR(X340*1,"0")+IFERROR(X341*1,"0")+IFERROR(X342*1,"0")+IFERROR(X346*1,"0")+IFERROR(X347*1,"0")</f>
        <v/>
      </c>
      <c r="Q560" s="53">
        <f>IFERROR(X352*1,"0")+IFERROR(X353*1,"0")+IFERROR(X354*1,"0")+IFERROR(X355*1,"0")+IFERROR(X359*1,"0")+IFERROR(X360*1,"0")+IFERROR(X361*1,"0")+IFERROR(X365*1,"0")+IFERROR(X366*1,"0")+IFERROR(X367*1,"0")+IFERROR(X368*1,"0")+IFERROR(X369*1,"0")+IFERROR(X373*1,"0")+IFERROR(X374*1,"0")</f>
        <v/>
      </c>
      <c r="R560" s="53">
        <f>IFERROR(X380*1,"0")+IFERROR(X381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416*1,"0")+IFERROR(X417*1,"0")+IFERROR(X418*1,"0")</f>
        <v/>
      </c>
      <c r="S560" s="53">
        <f>IFERROR(X423*1,"0")+IFERROR(X424*1,"0")+IFERROR(X428*1,"0")+IFERROR(X429*1,"0")+IFERROR(X430*1,"0")+IFERROR(X431*1,"0")+IFERROR(X432*1,"0")+IFERROR(X433*1,"0")+IFERROR(X434*1,"0")+IFERROR(X435*1,"0")+IFERROR(X439*1,"0")+IFERROR(X440*1,"0")+IFERROR(X444*1,"0")+IFERROR(X448*1,"0")</f>
        <v/>
      </c>
      <c r="T560" s="53">
        <f>IFERROR(X453*1,"0")+IFERROR(X454*1,"0")+IFERROR(X455*1,"0")</f>
        <v/>
      </c>
      <c r="U560" s="53">
        <f>IFERROR(X460*1,"0")+IFERROR(X461*1,"0")+IFERROR(X465*1,"0")</f>
        <v/>
      </c>
      <c r="V560" s="53">
        <f>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/>
      </c>
      <c r="W560" s="53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538*1,"0")+IFERROR(X539*1,"0")+IFERROR(X540*1,"0")+IFERROR(X544*1,"0")+IFERROR(X545*1,"0")+IFERROR(X546*1,"0")+IFERROR(X547*1,"0")</f>
        <v/>
      </c>
      <c r="AA560" s="61" t="n"/>
      <c r="AD560" s="398" t="n"/>
    </row>
    <row r="56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gH5hjCRiDeBOTuJ/kuEsA==" formatRows="1" sort="0" spinCount="100000" hashValue="wiCV9V4ffZWDQdG3ZFwPtp0da0+lNFm13JFTe4HOlgvGw53YgUb6hxP5CYac4Y1t2FsNEHNN/PEM1Kmo94xqWw=="/>
  <autoFilter ref="B18:Y18">
    <filterColumn colId="2" hiddenButton="0" showButton="0"/>
    <filterColumn colId="13" hiddenButton="0" showButton="0"/>
    <filterColumn colId="14" hiddenButton="0" showButton="0"/>
    <filterColumn colId="15" hiddenButton="0" showButton="0"/>
    <filterColumn colId="16" hiddenButton="0" showButton="0"/>
  </autoFilter>
  <mergeCells count="1005">
    <mergeCell ref="D473:E473"/>
    <mergeCell ref="O224:S224"/>
    <mergeCell ref="D60:E60"/>
    <mergeCell ref="A204:Y204"/>
    <mergeCell ref="D187:E187"/>
    <mergeCell ref="O34:S34"/>
    <mergeCell ref="E558:E559"/>
    <mergeCell ref="O28:S28"/>
    <mergeCell ref="A55:N56"/>
    <mergeCell ref="D174:E174"/>
    <mergeCell ref="O270:S270"/>
    <mergeCell ref="O326:S326"/>
    <mergeCell ref="D423:E423"/>
    <mergeCell ref="D472:E472"/>
    <mergeCell ref="A489:Y489"/>
    <mergeCell ref="A141:Y141"/>
    <mergeCell ref="A377:Y377"/>
    <mergeCell ref="O136:S136"/>
    <mergeCell ref="O207:S207"/>
    <mergeCell ref="H9:I9"/>
    <mergeCell ref="O92:S92"/>
    <mergeCell ref="O30:S30"/>
    <mergeCell ref="O263:S263"/>
    <mergeCell ref="A333:Y333"/>
    <mergeCell ref="D281:E281"/>
    <mergeCell ref="O334:S334"/>
    <mergeCell ref="O434:S434"/>
    <mergeCell ref="O499:S499"/>
    <mergeCell ref="O505:S505"/>
    <mergeCell ref="P6:Q6"/>
    <mergeCell ref="O29:S29"/>
    <mergeCell ref="O200:S200"/>
    <mergeCell ref="O265:S265"/>
    <mergeCell ref="A436:N437"/>
    <mergeCell ref="D70:E70"/>
    <mergeCell ref="D263:E263"/>
    <mergeCell ref="O279:U279"/>
    <mergeCell ref="O450:U450"/>
    <mergeCell ref="D505:E505"/>
    <mergeCell ref="D499:E499"/>
    <mergeCell ref="O31:S31"/>
    <mergeCell ref="A202:N203"/>
    <mergeCell ref="O437:U437"/>
    <mergeCell ref="D486:E486"/>
    <mergeCell ref="D78:E78"/>
    <mergeCell ref="D134:E134"/>
    <mergeCell ref="O45:U45"/>
    <mergeCell ref="D205:E205"/>
    <mergeCell ref="B558:B559"/>
    <mergeCell ref="O210:U210"/>
    <mergeCell ref="O343:U343"/>
    <mergeCell ref="O217:S217"/>
    <mergeCell ref="A266:N267"/>
    <mergeCell ref="A502:N503"/>
    <mergeCell ref="O62:S62"/>
    <mergeCell ref="D71:E71"/>
    <mergeCell ref="D307:E307"/>
    <mergeCell ref="O154:S154"/>
    <mergeCell ref="O347:S347"/>
    <mergeCell ref="O541:U541"/>
    <mergeCell ref="O439:S439"/>
    <mergeCell ref="A90:Y90"/>
    <mergeCell ref="D98:E98"/>
    <mergeCell ref="D73:E73"/>
    <mergeCell ref="O91:S91"/>
    <mergeCell ref="O291:S291"/>
    <mergeCell ref="O85:S85"/>
    <mergeCell ref="O389:S389"/>
    <mergeCell ref="O454:S454"/>
    <mergeCell ref="O305:U305"/>
    <mergeCell ref="H5:L5"/>
    <mergeCell ref="O293:S293"/>
    <mergeCell ref="A415:Y415"/>
    <mergeCell ref="O220:S220"/>
    <mergeCell ref="O391:S391"/>
    <mergeCell ref="O385:S385"/>
    <mergeCell ref="O518:S518"/>
    <mergeCell ref="O332:U332"/>
    <mergeCell ref="O195:S195"/>
    <mergeCell ref="B17:B18"/>
    <mergeCell ref="O431:S431"/>
    <mergeCell ref="D479:E479"/>
    <mergeCell ref="A528:N529"/>
    <mergeCell ref="A449:N450"/>
    <mergeCell ref="O371:U371"/>
    <mergeCell ref="D494:E494"/>
    <mergeCell ref="D518:E518"/>
    <mergeCell ref="O215:S215"/>
    <mergeCell ref="O140:U140"/>
    <mergeCell ref="S6:T9"/>
    <mergeCell ref="D195:E195"/>
    <mergeCell ref="D189:E189"/>
    <mergeCell ref="O2:V3"/>
    <mergeCell ref="D360:E360"/>
    <mergeCell ref="O382:U382"/>
    <mergeCell ref="D431:E431"/>
    <mergeCell ref="D493:E493"/>
    <mergeCell ref="O425:U425"/>
    <mergeCell ref="A510:Y510"/>
    <mergeCell ref="O496:U496"/>
    <mergeCell ref="D474:E474"/>
    <mergeCell ref="A143:Y143"/>
    <mergeCell ref="O84:S84"/>
    <mergeCell ref="D126:E126"/>
    <mergeCell ref="O375:U375"/>
    <mergeCell ref="D197:E197"/>
    <mergeCell ref="D253:E253"/>
    <mergeCell ref="D53:E53"/>
    <mergeCell ref="O75:S75"/>
    <mergeCell ref="O271:S271"/>
    <mergeCell ref="D47:E47"/>
    <mergeCell ref="S558:S559"/>
    <mergeCell ref="D289:E289"/>
    <mergeCell ref="D411:E411"/>
    <mergeCell ref="U558:U559"/>
    <mergeCell ref="K558:K559"/>
    <mergeCell ref="W17:W18"/>
    <mergeCell ref="O80:S80"/>
    <mergeCell ref="O444:S444"/>
    <mergeCell ref="O365:S365"/>
    <mergeCell ref="O79:S79"/>
    <mergeCell ref="A65:Y65"/>
    <mergeCell ref="D110:E110"/>
    <mergeCell ref="O144:S144"/>
    <mergeCell ref="O81:S81"/>
    <mergeCell ref="D129:E129"/>
    <mergeCell ref="U10:V10"/>
    <mergeCell ref="O208:S208"/>
    <mergeCell ref="A378:Y378"/>
    <mergeCell ref="D365:E365"/>
    <mergeCell ref="D79:E79"/>
    <mergeCell ref="O295:U295"/>
    <mergeCell ref="O95:U95"/>
    <mergeCell ref="O366:S366"/>
    <mergeCell ref="O89:U89"/>
    <mergeCell ref="D144:E144"/>
    <mergeCell ref="A302:Y302"/>
    <mergeCell ref="R557:U557"/>
    <mergeCell ref="D429:E429"/>
    <mergeCell ref="O257:U257"/>
    <mergeCell ref="D81:E81"/>
    <mergeCell ref="O48:U48"/>
    <mergeCell ref="O155:S155"/>
    <mergeCell ref="D208:E208"/>
    <mergeCell ref="D366:E366"/>
    <mergeCell ref="O157:S157"/>
    <mergeCell ref="D406:E406"/>
    <mergeCell ref="O455:S455"/>
    <mergeCell ref="O17:S18"/>
    <mergeCell ref="O355:S355"/>
    <mergeCell ref="O526:S526"/>
    <mergeCell ref="O234:S234"/>
    <mergeCell ref="O99:S99"/>
    <mergeCell ref="A171:N172"/>
    <mergeCell ref="D214:E214"/>
    <mergeCell ref="O236:S236"/>
    <mergeCell ref="O432:S432"/>
    <mergeCell ref="O148:U148"/>
    <mergeCell ref="D259:E259"/>
    <mergeCell ref="O446:U446"/>
    <mergeCell ref="O250:U250"/>
    <mergeCell ref="D501:E501"/>
    <mergeCell ref="D28:E28"/>
    <mergeCell ref="D495:E495"/>
    <mergeCell ref="O166:U166"/>
    <mergeCell ref="D326:E326"/>
    <mergeCell ref="O535:U535"/>
    <mergeCell ref="D313:E313"/>
    <mergeCell ref="AB17:AD18"/>
    <mergeCell ref="D236:E236"/>
    <mergeCell ref="D117:E117"/>
    <mergeCell ref="D92:E92"/>
    <mergeCell ref="A166:N167"/>
    <mergeCell ref="D30:E30"/>
    <mergeCell ref="D432:E432"/>
    <mergeCell ref="D353:E353"/>
    <mergeCell ref="D524:E524"/>
    <mergeCell ref="O466:U466"/>
    <mergeCell ref="D67:E67"/>
    <mergeCell ref="D5:E5"/>
    <mergeCell ref="D303:E303"/>
    <mergeCell ref="A317:Y317"/>
    <mergeCell ref="D290:E290"/>
    <mergeCell ref="A50:Y50"/>
    <mergeCell ref="D361:E361"/>
    <mergeCell ref="D417:E417"/>
    <mergeCell ref="O506:U506"/>
    <mergeCell ref="O404:S404"/>
    <mergeCell ref="D69:E69"/>
    <mergeCell ref="A331:N332"/>
    <mergeCell ref="A384:Y384"/>
    <mergeCell ref="O323:S323"/>
    <mergeCell ref="O78:S78"/>
    <mergeCell ref="D354:E354"/>
    <mergeCell ref="O170:S170"/>
    <mergeCell ref="O53:S53"/>
    <mergeCell ref="A150:Y150"/>
    <mergeCell ref="O539:S539"/>
    <mergeCell ref="A508:Y508"/>
    <mergeCell ref="O145:S145"/>
    <mergeCell ref="O120:S120"/>
    <mergeCell ref="AE17:AE18"/>
    <mergeCell ref="O387:S387"/>
    <mergeCell ref="O381:S381"/>
    <mergeCell ref="D527:E527"/>
    <mergeCell ref="O353:S353"/>
    <mergeCell ref="L558:L559"/>
    <mergeCell ref="N558:N559"/>
    <mergeCell ref="O147:S147"/>
    <mergeCell ref="D145:E145"/>
    <mergeCell ref="O161:U161"/>
    <mergeCell ref="D387:E387"/>
    <mergeCell ref="D381:E381"/>
    <mergeCell ref="D514:E514"/>
    <mergeCell ref="D8:L8"/>
    <mergeCell ref="D308:E308"/>
    <mergeCell ref="O304:U304"/>
    <mergeCell ref="D87:E87"/>
    <mergeCell ref="D209:E209"/>
    <mergeCell ref="D147:E147"/>
    <mergeCell ref="D380:E380"/>
    <mergeCell ref="O285:U285"/>
    <mergeCell ref="A148:N149"/>
    <mergeCell ref="D245:E245"/>
    <mergeCell ref="O292:S292"/>
    <mergeCell ref="D516:E516"/>
    <mergeCell ref="A241:Y241"/>
    <mergeCell ref="D224:E224"/>
    <mergeCell ref="O71:S71"/>
    <mergeCell ref="A228:Y228"/>
    <mergeCell ref="O307:S307"/>
    <mergeCell ref="D1:F1"/>
    <mergeCell ref="O227:U227"/>
    <mergeCell ref="J17:J18"/>
    <mergeCell ref="O73:S73"/>
    <mergeCell ref="D82:E82"/>
    <mergeCell ref="L17:L18"/>
    <mergeCell ref="O100:S100"/>
    <mergeCell ref="O244:S244"/>
    <mergeCell ref="A286:Y286"/>
    <mergeCell ref="D511:E511"/>
    <mergeCell ref="O523:S523"/>
    <mergeCell ref="O237:S237"/>
    <mergeCell ref="D334:E334"/>
    <mergeCell ref="O115:S115"/>
    <mergeCell ref="A535:N536"/>
    <mergeCell ref="A163:Y163"/>
    <mergeCell ref="A223:Y223"/>
    <mergeCell ref="O473:S473"/>
    <mergeCell ref="O102:S102"/>
    <mergeCell ref="O400:S400"/>
    <mergeCell ref="O251:U251"/>
    <mergeCell ref="O289:S289"/>
    <mergeCell ref="D100:E100"/>
    <mergeCell ref="O487:U487"/>
    <mergeCell ref="O238:U238"/>
    <mergeCell ref="O68:S68"/>
    <mergeCell ref="O414:U414"/>
    <mergeCell ref="D523:E523"/>
    <mergeCell ref="O182:U182"/>
    <mergeCell ref="D31:E31"/>
    <mergeCell ref="O551:U551"/>
    <mergeCell ref="C557:F557"/>
    <mergeCell ref="D158:E158"/>
    <mergeCell ref="O176:S176"/>
    <mergeCell ref="D400:E400"/>
    <mergeCell ref="D329:E329"/>
    <mergeCell ref="A238:N239"/>
    <mergeCell ref="O97:S97"/>
    <mergeCell ref="D77:E77"/>
    <mergeCell ref="D108:E108"/>
    <mergeCell ref="D369:E369"/>
    <mergeCell ref="O191:S191"/>
    <mergeCell ref="O409:U409"/>
    <mergeCell ref="I17:I18"/>
    <mergeCell ref="O476:S476"/>
    <mergeCell ref="D135:E135"/>
    <mergeCell ref="O128:S128"/>
    <mergeCell ref="O255:S255"/>
    <mergeCell ref="G557:O557"/>
    <mergeCell ref="O242:S242"/>
    <mergeCell ref="D72:E72"/>
    <mergeCell ref="O478:S478"/>
    <mergeCell ref="A458:Y458"/>
    <mergeCell ref="O192:S192"/>
    <mergeCell ref="A452:Y452"/>
    <mergeCell ref="D235:E235"/>
    <mergeCell ref="O428:S428"/>
    <mergeCell ref="O15:S16"/>
    <mergeCell ref="O453:S453"/>
    <mergeCell ref="D255:E255"/>
    <mergeCell ref="O467:U467"/>
    <mergeCell ref="O219:S219"/>
    <mergeCell ref="A316:Y316"/>
    <mergeCell ref="A250:N251"/>
    <mergeCell ref="O517:S517"/>
    <mergeCell ref="A24:N25"/>
    <mergeCell ref="A408:N409"/>
    <mergeCell ref="A46:Y46"/>
    <mergeCell ref="D322:E322"/>
    <mergeCell ref="D260:E260"/>
    <mergeCell ref="D453:E453"/>
    <mergeCell ref="A6:C6"/>
    <mergeCell ref="D309:E309"/>
    <mergeCell ref="D113:E113"/>
    <mergeCell ref="D545:E545"/>
    <mergeCell ref="O519:S519"/>
    <mergeCell ref="O226:U226"/>
    <mergeCell ref="A26:Y26"/>
    <mergeCell ref="D324:E324"/>
    <mergeCell ref="O462:U462"/>
    <mergeCell ref="D517:E517"/>
    <mergeCell ref="D115:E115"/>
    <mergeCell ref="A487:N488"/>
    <mergeCell ref="D261:E261"/>
    <mergeCell ref="O308:S308"/>
    <mergeCell ref="D388:E388"/>
    <mergeCell ref="D448:E448"/>
    <mergeCell ref="O544:S544"/>
    <mergeCell ref="D546:E546"/>
    <mergeCell ref="O397:S397"/>
    <mergeCell ref="O245:S245"/>
    <mergeCell ref="O39:S39"/>
    <mergeCell ref="P9:Q9"/>
    <mergeCell ref="D390:E390"/>
    <mergeCell ref="O528:U528"/>
    <mergeCell ref="O402:S402"/>
    <mergeCell ref="A5:C5"/>
    <mergeCell ref="R558:R559"/>
    <mergeCell ref="O309:S309"/>
    <mergeCell ref="A173:Y173"/>
    <mergeCell ref="O103:S103"/>
    <mergeCell ref="A229:Y229"/>
    <mergeCell ref="O545:S545"/>
    <mergeCell ref="P11:Q11"/>
    <mergeCell ref="O230:S230"/>
    <mergeCell ref="O130:U130"/>
    <mergeCell ref="O290:S290"/>
    <mergeCell ref="O401:S401"/>
    <mergeCell ref="D179:E179"/>
    <mergeCell ref="O488:U488"/>
    <mergeCell ref="O40:U40"/>
    <mergeCell ref="O118:S118"/>
    <mergeCell ref="A44:N45"/>
    <mergeCell ref="A482:N483"/>
    <mergeCell ref="O416:S416"/>
    <mergeCell ref="A558:A559"/>
    <mergeCell ref="D402:E402"/>
    <mergeCell ref="A17:A18"/>
    <mergeCell ref="K17:K18"/>
    <mergeCell ref="O403:S403"/>
    <mergeCell ref="C17:C18"/>
    <mergeCell ref="D103:E103"/>
    <mergeCell ref="D230:E230"/>
    <mergeCell ref="A304:N305"/>
    <mergeCell ref="D401:E401"/>
    <mergeCell ref="A168:Y168"/>
    <mergeCell ref="A339:Y339"/>
    <mergeCell ref="D9:E9"/>
    <mergeCell ref="D180:E180"/>
    <mergeCell ref="D118:E118"/>
    <mergeCell ref="F9:G9"/>
    <mergeCell ref="A48:N49"/>
    <mergeCell ref="O256:U256"/>
    <mergeCell ref="O383:U383"/>
    <mergeCell ref="O554:U554"/>
    <mergeCell ref="D232:E232"/>
    <mergeCell ref="O348:U348"/>
    <mergeCell ref="D403:E403"/>
    <mergeCell ref="O419:U419"/>
    <mergeCell ref="O129:S129"/>
    <mergeCell ref="A364:Y364"/>
    <mergeCell ref="O23:S23"/>
    <mergeCell ref="O194:S194"/>
    <mergeCell ref="D169:E169"/>
    <mergeCell ref="A484:Y484"/>
    <mergeCell ref="O121:S121"/>
    <mergeCell ref="O492:S492"/>
    <mergeCell ref="O181:S181"/>
    <mergeCell ref="O479:S479"/>
    <mergeCell ref="A21:Y21"/>
    <mergeCell ref="D532:E532"/>
    <mergeCell ref="A57:Y57"/>
    <mergeCell ref="O87:S87"/>
    <mergeCell ref="O429:S429"/>
    <mergeCell ref="O494:S494"/>
    <mergeCell ref="D330:E330"/>
    <mergeCell ref="O272:U272"/>
    <mergeCell ref="O481:S481"/>
    <mergeCell ref="D492:E492"/>
    <mergeCell ref="O322:S322"/>
    <mergeCell ref="O260:S260"/>
    <mergeCell ref="O116:S116"/>
    <mergeCell ref="A96:Y96"/>
    <mergeCell ref="O235:S235"/>
    <mergeCell ref="O203:U203"/>
    <mergeCell ref="O445:U445"/>
    <mergeCell ref="A52:Y52"/>
    <mergeCell ref="D27:E27"/>
    <mergeCell ref="D325:E325"/>
    <mergeCell ref="D396:E396"/>
    <mergeCell ref="O267:U267"/>
    <mergeCell ref="A130:N131"/>
    <mergeCell ref="O93:S93"/>
    <mergeCell ref="D116:E116"/>
    <mergeCell ref="D352:E352"/>
    <mergeCell ref="D91:E91"/>
    <mergeCell ref="O113:S113"/>
    <mergeCell ref="O549:U549"/>
    <mergeCell ref="D156:E156"/>
    <mergeCell ref="D327:E327"/>
    <mergeCell ref="D398:E398"/>
    <mergeCell ref="O205:S205"/>
    <mergeCell ref="D454:E454"/>
    <mergeCell ref="D460:E460"/>
    <mergeCell ref="A504:Y504"/>
    <mergeCell ref="O336:S336"/>
    <mergeCell ref="O536:U536"/>
    <mergeCell ref="D416:E416"/>
    <mergeCell ref="D93:E93"/>
    <mergeCell ref="D264:E264"/>
    <mergeCell ref="D220:E220"/>
    <mergeCell ref="D391:E391"/>
    <mergeCell ref="A256:N257"/>
    <mergeCell ref="O188:S188"/>
    <mergeCell ref="O126:S126"/>
    <mergeCell ref="D157:E157"/>
    <mergeCell ref="D328:E328"/>
    <mergeCell ref="P12:Q12"/>
    <mergeCell ref="A410:Y410"/>
    <mergeCell ref="O169:S169"/>
    <mergeCell ref="O411:S411"/>
    <mergeCell ref="O538:S538"/>
    <mergeCell ref="O119:S119"/>
    <mergeCell ref="O183:U183"/>
    <mergeCell ref="A343:N344"/>
    <mergeCell ref="A548:N549"/>
    <mergeCell ref="O558:O559"/>
    <mergeCell ref="O540:S540"/>
    <mergeCell ref="D480:E480"/>
    <mergeCell ref="D109:E109"/>
    <mergeCell ref="Q558:Q559"/>
    <mergeCell ref="O356:U356"/>
    <mergeCell ref="O483:U483"/>
    <mergeCell ref="D538:E538"/>
    <mergeCell ref="A139:N140"/>
    <mergeCell ref="O64:U64"/>
    <mergeCell ref="D119:E119"/>
    <mergeCell ref="D190:E190"/>
    <mergeCell ref="A210:N211"/>
    <mergeCell ref="D246:E246"/>
    <mergeCell ref="A272:N273"/>
    <mergeCell ref="O406:S406"/>
    <mergeCell ref="O122:U122"/>
    <mergeCell ref="D111:E111"/>
    <mergeCell ref="D233:E233"/>
    <mergeCell ref="D282:E282"/>
    <mergeCell ref="O329:S329"/>
    <mergeCell ref="A356:N357"/>
    <mergeCell ref="O420:U420"/>
    <mergeCell ref="O500:S500"/>
    <mergeCell ref="O108:S108"/>
    <mergeCell ref="A445:N446"/>
    <mergeCell ref="O370:U370"/>
    <mergeCell ref="D444:E444"/>
    <mergeCell ref="D248:E248"/>
    <mergeCell ref="A122:N123"/>
    <mergeCell ref="D219:E219"/>
    <mergeCell ref="D275:E275"/>
    <mergeCell ref="O393:S393"/>
    <mergeCell ref="D340:E340"/>
    <mergeCell ref="D533:E533"/>
    <mergeCell ref="O485:S485"/>
    <mergeCell ref="O423:S423"/>
    <mergeCell ref="A258:Y258"/>
    <mergeCell ref="A58:Y58"/>
    <mergeCell ref="O32:S32"/>
    <mergeCell ref="O137:S137"/>
    <mergeCell ref="A63:N64"/>
    <mergeCell ref="D185:E185"/>
    <mergeCell ref="O197:S197"/>
    <mergeCell ref="O259:S259"/>
    <mergeCell ref="D277:E277"/>
    <mergeCell ref="O324:S324"/>
    <mergeCell ref="O330:S330"/>
    <mergeCell ref="A421:Y421"/>
    <mergeCell ref="O495:S495"/>
    <mergeCell ref="O501:S501"/>
    <mergeCell ref="O360:S360"/>
    <mergeCell ref="O211:U211"/>
    <mergeCell ref="O74:S74"/>
    <mergeCell ref="O338:U338"/>
    <mergeCell ref="O201:S201"/>
    <mergeCell ref="D43:E43"/>
    <mergeCell ref="O261:S261"/>
    <mergeCell ref="A358:Y358"/>
    <mergeCell ref="D485:E485"/>
    <mergeCell ref="A40:N41"/>
    <mergeCell ref="D137:E137"/>
    <mergeCell ref="O424:S424"/>
    <mergeCell ref="O27:S27"/>
    <mergeCell ref="A124:Y124"/>
    <mergeCell ref="A496:N497"/>
    <mergeCell ref="A422:Y422"/>
    <mergeCell ref="A94:N95"/>
    <mergeCell ref="D74:E74"/>
    <mergeCell ref="O41:U41"/>
    <mergeCell ref="D68:E68"/>
    <mergeCell ref="D201:E201"/>
    <mergeCell ref="D335:E335"/>
    <mergeCell ref="D188:E188"/>
    <mergeCell ref="D424:E424"/>
    <mergeCell ref="O550:U550"/>
    <mergeCell ref="O344:U344"/>
    <mergeCell ref="D399:E399"/>
    <mergeCell ref="A447:Y447"/>
    <mergeCell ref="D59:E59"/>
    <mergeCell ref="O386:S386"/>
    <mergeCell ref="O513:S513"/>
    <mergeCell ref="D178:E178"/>
    <mergeCell ref="A42:Y42"/>
    <mergeCell ref="A213:Y213"/>
    <mergeCell ref="A151:Y151"/>
    <mergeCell ref="O552:U552"/>
    <mergeCell ref="O352:S352"/>
    <mergeCell ref="O152:S152"/>
    <mergeCell ref="O254:S254"/>
    <mergeCell ref="A240:Y240"/>
    <mergeCell ref="O216:S216"/>
    <mergeCell ref="D7:L7"/>
    <mergeCell ref="O514:S514"/>
    <mergeCell ref="O477:S477"/>
    <mergeCell ref="A19:Y19"/>
    <mergeCell ref="O281:S281"/>
    <mergeCell ref="A160:N161"/>
    <mergeCell ref="D61:E61"/>
    <mergeCell ref="D254:E254"/>
    <mergeCell ref="O441:U441"/>
    <mergeCell ref="O497:U497"/>
    <mergeCell ref="D490:E490"/>
    <mergeCell ref="O22:S22"/>
    <mergeCell ref="O193:S193"/>
    <mergeCell ref="D346:E346"/>
    <mergeCell ref="O320:S320"/>
    <mergeCell ref="A295:N296"/>
    <mergeCell ref="A466:N467"/>
    <mergeCell ref="D477:E477"/>
    <mergeCell ref="O491:S491"/>
    <mergeCell ref="A142:Y142"/>
    <mergeCell ref="A382:N383"/>
    <mergeCell ref="D125:E125"/>
    <mergeCell ref="O36:U36"/>
    <mergeCell ref="O555:U555"/>
    <mergeCell ref="D112:E112"/>
    <mergeCell ref="O134:S134"/>
    <mergeCell ref="D283:E283"/>
    <mergeCell ref="D519:E519"/>
    <mergeCell ref="D62:E62"/>
    <mergeCell ref="O109:S109"/>
    <mergeCell ref="O47:S47"/>
    <mergeCell ref="P13:Q13"/>
    <mergeCell ref="D193:E193"/>
    <mergeCell ref="D127:E127"/>
    <mergeCell ref="O436:U436"/>
    <mergeCell ref="D491:E491"/>
    <mergeCell ref="D176:E176"/>
    <mergeCell ref="D347:E347"/>
    <mergeCell ref="D114:E114"/>
    <mergeCell ref="F558:F559"/>
    <mergeCell ref="D412:E412"/>
    <mergeCell ref="P558:P559"/>
    <mergeCell ref="O44:U44"/>
    <mergeCell ref="H558:H559"/>
    <mergeCell ref="J558:J559"/>
    <mergeCell ref="H1:P1"/>
    <mergeCell ref="A379:Y379"/>
    <mergeCell ref="O138:S138"/>
    <mergeCell ref="S5:T5"/>
    <mergeCell ref="O76:S76"/>
    <mergeCell ref="O202:U202"/>
    <mergeCell ref="U5:V5"/>
    <mergeCell ref="O209:S209"/>
    <mergeCell ref="A268:Y268"/>
    <mergeCell ref="O374:S374"/>
    <mergeCell ref="D476:E476"/>
    <mergeCell ref="O361:S361"/>
    <mergeCell ref="O165:S165"/>
    <mergeCell ref="A443:Y443"/>
    <mergeCell ref="O56:U56"/>
    <mergeCell ref="D138:E138"/>
    <mergeCell ref="D374:E374"/>
    <mergeCell ref="O77:S77"/>
    <mergeCell ref="P10:Q10"/>
    <mergeCell ref="O33:S33"/>
    <mergeCell ref="A375:N376"/>
    <mergeCell ref="O269:S269"/>
    <mergeCell ref="O440:S440"/>
    <mergeCell ref="O362:U362"/>
    <mergeCell ref="O278:U278"/>
    <mergeCell ref="D359:E359"/>
    <mergeCell ref="H17:H18"/>
    <mergeCell ref="O149:U149"/>
    <mergeCell ref="A278:N279"/>
    <mergeCell ref="D198:E198"/>
    <mergeCell ref="D465:E465"/>
    <mergeCell ref="D269:E269"/>
    <mergeCell ref="D440:E440"/>
    <mergeCell ref="A441:N442"/>
    <mergeCell ref="D75:E75"/>
    <mergeCell ref="O357:U357"/>
    <mergeCell ref="D206:E206"/>
    <mergeCell ref="A350:Y350"/>
    <mergeCell ref="O158:S158"/>
    <mergeCell ref="O449:U449"/>
    <mergeCell ref="O218:S218"/>
    <mergeCell ref="D298:E298"/>
    <mergeCell ref="D181:E181"/>
    <mergeCell ref="O516:S516"/>
    <mergeCell ref="O59:S59"/>
    <mergeCell ref="A287:Y287"/>
    <mergeCell ref="O482:U482"/>
    <mergeCell ref="O282:S282"/>
    <mergeCell ref="O524:S524"/>
    <mergeCell ref="P557:Q557"/>
    <mergeCell ref="O380:S380"/>
    <mergeCell ref="A427:Y427"/>
    <mergeCell ref="A498:Y498"/>
    <mergeCell ref="D39:E39"/>
    <mergeCell ref="O61:S61"/>
    <mergeCell ref="O232:S232"/>
    <mergeCell ref="A88:N89"/>
    <mergeCell ref="O296:U296"/>
    <mergeCell ref="O359:S359"/>
    <mergeCell ref="A345:Y345"/>
    <mergeCell ref="O153:S153"/>
    <mergeCell ref="AA17:AA18"/>
    <mergeCell ref="O346:S346"/>
    <mergeCell ref="O507:U507"/>
    <mergeCell ref="D418:E418"/>
    <mergeCell ref="D393:E393"/>
    <mergeCell ref="O273:U273"/>
    <mergeCell ref="O104:U104"/>
    <mergeCell ref="D153:E153"/>
    <mergeCell ref="A468:Y468"/>
    <mergeCell ref="D128:E128"/>
    <mergeCell ref="A456:N457"/>
    <mergeCell ref="D199:E199"/>
    <mergeCell ref="O337:U337"/>
    <mergeCell ref="O331:U331"/>
    <mergeCell ref="D186:E186"/>
    <mergeCell ref="D435:E435"/>
    <mergeCell ref="D217:E217"/>
    <mergeCell ref="O502:U502"/>
    <mergeCell ref="O471:S471"/>
    <mergeCell ref="A184:Y184"/>
    <mergeCell ref="A451:Y451"/>
    <mergeCell ref="O179:S179"/>
    <mergeCell ref="D428:E428"/>
    <mergeCell ref="D194:E194"/>
    <mergeCell ref="Z17:Z18"/>
    <mergeCell ref="A509:Y509"/>
    <mergeCell ref="O206:S206"/>
    <mergeCell ref="O448:S448"/>
    <mergeCell ref="G558:G559"/>
    <mergeCell ref="I558:I559"/>
    <mergeCell ref="U12:V12"/>
    <mergeCell ref="O276:S276"/>
    <mergeCell ref="O43:S43"/>
    <mergeCell ref="O214:S214"/>
    <mergeCell ref="D367:E367"/>
    <mergeCell ref="O512:S512"/>
    <mergeCell ref="O363:U363"/>
    <mergeCell ref="D146:E146"/>
    <mergeCell ref="D439:E439"/>
    <mergeCell ref="O284:U284"/>
    <mergeCell ref="O222:U222"/>
    <mergeCell ref="A182:N183"/>
    <mergeCell ref="O520:U520"/>
    <mergeCell ref="O63:U63"/>
    <mergeCell ref="D540:E540"/>
    <mergeCell ref="O172:U172"/>
    <mergeCell ref="D83:E83"/>
    <mergeCell ref="O221:U221"/>
    <mergeCell ref="D319:E319"/>
    <mergeCell ref="O457:U457"/>
    <mergeCell ref="D512:E512"/>
    <mergeCell ref="D368:E368"/>
    <mergeCell ref="A66:Y66"/>
    <mergeCell ref="O67:S67"/>
    <mergeCell ref="A221:N222"/>
    <mergeCell ref="D481:E481"/>
    <mergeCell ref="D85:E85"/>
    <mergeCell ref="D207:E207"/>
    <mergeCell ref="O159:S159"/>
    <mergeCell ref="O303:S303"/>
    <mergeCell ref="A351:Y351"/>
    <mergeCell ref="O521:U521"/>
    <mergeCell ref="A522:Y522"/>
    <mergeCell ref="O395:S395"/>
    <mergeCell ref="A301:Y301"/>
    <mergeCell ref="G17:G18"/>
    <mergeCell ref="O94:U94"/>
    <mergeCell ref="O367:S367"/>
    <mergeCell ref="A464:Y464"/>
    <mergeCell ref="O283:S283"/>
    <mergeCell ref="O532:S532"/>
    <mergeCell ref="O288:S288"/>
    <mergeCell ref="H10:L10"/>
    <mergeCell ref="D159:E159"/>
    <mergeCell ref="D80:E80"/>
    <mergeCell ref="O98:S98"/>
    <mergeCell ref="O298:S298"/>
    <mergeCell ref="O225:S225"/>
    <mergeCell ref="O396:S396"/>
    <mergeCell ref="O390:S390"/>
    <mergeCell ref="O527:S527"/>
    <mergeCell ref="O461:S461"/>
    <mergeCell ref="A104:N105"/>
    <mergeCell ref="O299:U299"/>
    <mergeCell ref="D288:E288"/>
    <mergeCell ref="A459:Y459"/>
    <mergeCell ref="O156:S156"/>
    <mergeCell ref="D136:E136"/>
    <mergeCell ref="O398:S398"/>
    <mergeCell ref="D434:E434"/>
    <mergeCell ref="O105:U105"/>
    <mergeCell ref="O376:U376"/>
    <mergeCell ref="D154:E154"/>
    <mergeCell ref="O314:U314"/>
    <mergeCell ref="D225:E225"/>
    <mergeCell ref="A299:N300"/>
    <mergeCell ref="A348:N349"/>
    <mergeCell ref="O373:S373"/>
    <mergeCell ref="A226:N227"/>
    <mergeCell ref="D461:E461"/>
    <mergeCell ref="D200:E200"/>
    <mergeCell ref="A462:N463"/>
    <mergeCell ref="O187:S187"/>
    <mergeCell ref="D292:E292"/>
    <mergeCell ref="D534:E534"/>
    <mergeCell ref="O174:S174"/>
    <mergeCell ref="O472:S472"/>
    <mergeCell ref="D525:E525"/>
    <mergeCell ref="A9:C9"/>
    <mergeCell ref="D373:E373"/>
    <mergeCell ref="D500:E500"/>
    <mergeCell ref="O171:U171"/>
    <mergeCell ref="O189:S189"/>
    <mergeCell ref="D294:E294"/>
    <mergeCell ref="A212:Y212"/>
    <mergeCell ref="O474:S474"/>
    <mergeCell ref="U6:V9"/>
    <mergeCell ref="D231:E231"/>
    <mergeCell ref="O82:S82"/>
    <mergeCell ref="O253:S253"/>
    <mergeCell ref="A550:N555"/>
    <mergeCell ref="A537:Y537"/>
    <mergeCell ref="O25:U25"/>
    <mergeCell ref="O463:U463"/>
    <mergeCell ref="D6:L6"/>
    <mergeCell ref="O342:S342"/>
    <mergeCell ref="A306:Y306"/>
    <mergeCell ref="O111:S111"/>
    <mergeCell ref="D389:E389"/>
    <mergeCell ref="O86:S86"/>
    <mergeCell ref="A425:N426"/>
    <mergeCell ref="A419:N420"/>
    <mergeCell ref="O515:S515"/>
    <mergeCell ref="D84:E84"/>
    <mergeCell ref="O300:U300"/>
    <mergeCell ref="D22:E22"/>
    <mergeCell ref="D155:E155"/>
    <mergeCell ref="D320:E320"/>
    <mergeCell ref="O529:U529"/>
    <mergeCell ref="D385:E385"/>
    <mergeCell ref="D86:E86"/>
    <mergeCell ref="A314:N315"/>
    <mergeCell ref="O175:S175"/>
    <mergeCell ref="O239:U239"/>
    <mergeCell ref="O246:S246"/>
    <mergeCell ref="D321:E321"/>
    <mergeCell ref="O368:S368"/>
    <mergeCell ref="O160:U160"/>
    <mergeCell ref="D215:E215"/>
    <mergeCell ref="O233:S233"/>
    <mergeCell ref="D386:E386"/>
    <mergeCell ref="O460:S460"/>
    <mergeCell ref="D513:E513"/>
    <mergeCell ref="A530:Y530"/>
    <mergeCell ref="O525:S525"/>
    <mergeCell ref="O531:S531"/>
    <mergeCell ref="M17:M18"/>
    <mergeCell ref="O177:S177"/>
    <mergeCell ref="O248:S248"/>
    <mergeCell ref="O475:S475"/>
    <mergeCell ref="A541:N542"/>
    <mergeCell ref="O164:S164"/>
    <mergeCell ref="O335:S335"/>
    <mergeCell ref="O533:S533"/>
    <mergeCell ref="A162:Y162"/>
    <mergeCell ref="O349:U349"/>
    <mergeCell ref="O70:S70"/>
    <mergeCell ref="D531:E531"/>
    <mergeCell ref="O399:S399"/>
    <mergeCell ref="D177:E177"/>
    <mergeCell ref="D33:E33"/>
    <mergeCell ref="O315:U315"/>
    <mergeCell ref="D164:E164"/>
    <mergeCell ref="O413:U413"/>
    <mergeCell ref="O243:S243"/>
    <mergeCell ref="D539:E539"/>
    <mergeCell ref="D35:E35"/>
    <mergeCell ref="A413:N414"/>
    <mergeCell ref="A543:Y543"/>
    <mergeCell ref="O180:S180"/>
    <mergeCell ref="D404:E404"/>
    <mergeCell ref="D526:E526"/>
    <mergeCell ref="O542:U542"/>
    <mergeCell ref="D10:E10"/>
    <mergeCell ref="O101:S101"/>
    <mergeCell ref="F10:G10"/>
    <mergeCell ref="O123:U123"/>
    <mergeCell ref="D34:E34"/>
    <mergeCell ref="O190:S190"/>
    <mergeCell ref="D243:E243"/>
    <mergeCell ref="D544:E544"/>
    <mergeCell ref="D99:E99"/>
    <mergeCell ref="O117:S117"/>
    <mergeCell ref="D270:E270"/>
    <mergeCell ref="O388:S388"/>
    <mergeCell ref="D397:E397"/>
    <mergeCell ref="O546:S546"/>
    <mergeCell ref="O480:S480"/>
    <mergeCell ref="A12:L12"/>
    <mergeCell ref="O328:S328"/>
    <mergeCell ref="O83:S83"/>
    <mergeCell ref="O325:S325"/>
    <mergeCell ref="O430:S430"/>
    <mergeCell ref="D101:E101"/>
    <mergeCell ref="O319:S319"/>
    <mergeCell ref="O490:S490"/>
    <mergeCell ref="O417:S417"/>
    <mergeCell ref="D76:E76"/>
    <mergeCell ref="F5:G5"/>
    <mergeCell ref="O294:S294"/>
    <mergeCell ref="O125:S125"/>
    <mergeCell ref="O392:S392"/>
    <mergeCell ref="A14:L14"/>
    <mergeCell ref="O112:S112"/>
    <mergeCell ref="O354:S354"/>
    <mergeCell ref="D455:E455"/>
    <mergeCell ref="D430:E430"/>
    <mergeCell ref="O127:S127"/>
    <mergeCell ref="D175:E175"/>
    <mergeCell ref="O394:S394"/>
    <mergeCell ref="O114:S114"/>
    <mergeCell ref="O310:U310"/>
    <mergeCell ref="O412:S412"/>
    <mergeCell ref="D392:E392"/>
    <mergeCell ref="O408:U408"/>
    <mergeCell ref="A362:N363"/>
    <mergeCell ref="O426:U426"/>
    <mergeCell ref="D165:E165"/>
    <mergeCell ref="D475:E475"/>
    <mergeCell ref="O493:S493"/>
    <mergeCell ref="D152:E152"/>
    <mergeCell ref="D323:E323"/>
    <mergeCell ref="D394:E394"/>
    <mergeCell ref="D29:E29"/>
    <mergeCell ref="O247:S247"/>
    <mergeCell ref="O167:U167"/>
    <mergeCell ref="D23:E23"/>
    <mergeCell ref="O185:S185"/>
    <mergeCell ref="D216:E216"/>
    <mergeCell ref="D265:E265"/>
    <mergeCell ref="A469:Y469"/>
    <mergeCell ref="O178:S178"/>
    <mergeCell ref="O249:S249"/>
    <mergeCell ref="A297:Y297"/>
    <mergeCell ref="O547:S547"/>
    <mergeCell ref="D218:E218"/>
    <mergeCell ref="D247:E247"/>
    <mergeCell ref="O534:S534"/>
    <mergeCell ref="O186:S186"/>
    <mergeCell ref="A312:Y312"/>
    <mergeCell ref="O313:S313"/>
    <mergeCell ref="A106:Y106"/>
    <mergeCell ref="A470:Y470"/>
    <mergeCell ref="O107:S107"/>
    <mergeCell ref="O405:S405"/>
    <mergeCell ref="O465:S465"/>
    <mergeCell ref="D249:E249"/>
    <mergeCell ref="D276:E276"/>
    <mergeCell ref="D547:E547"/>
    <mergeCell ref="D558:D559"/>
    <mergeCell ref="D170:E170"/>
    <mergeCell ref="D341:E341"/>
    <mergeCell ref="N17:N18"/>
    <mergeCell ref="O231:S231"/>
    <mergeCell ref="O131:U131"/>
    <mergeCell ref="F17:F18"/>
    <mergeCell ref="D120:E120"/>
    <mergeCell ref="D242:E242"/>
    <mergeCell ref="O407:S407"/>
    <mergeCell ref="D478:E478"/>
    <mergeCell ref="D107:E107"/>
    <mergeCell ref="D234:E234"/>
    <mergeCell ref="D405:E405"/>
    <mergeCell ref="O24:U24"/>
    <mergeCell ref="O69:S69"/>
    <mergeCell ref="D244:E244"/>
    <mergeCell ref="O456:U456"/>
    <mergeCell ref="O196:S196"/>
    <mergeCell ref="A506:N507"/>
    <mergeCell ref="D342:E342"/>
    <mergeCell ref="O327:S327"/>
    <mergeCell ref="D336:E336"/>
    <mergeCell ref="A310:N311"/>
    <mergeCell ref="D407:E407"/>
    <mergeCell ref="A337:N338"/>
    <mergeCell ref="A132:Y132"/>
    <mergeCell ref="A13:L13"/>
    <mergeCell ref="BB17:BB18"/>
    <mergeCell ref="D102:E102"/>
    <mergeCell ref="O198:S198"/>
    <mergeCell ref="O49:U49"/>
    <mergeCell ref="T17:U17"/>
    <mergeCell ref="O264:S264"/>
    <mergeCell ref="O369:S369"/>
    <mergeCell ref="O418:S418"/>
    <mergeCell ref="D196:E196"/>
    <mergeCell ref="W558:W559"/>
    <mergeCell ref="A15:L15"/>
    <mergeCell ref="O135:S135"/>
    <mergeCell ref="O262:S262"/>
    <mergeCell ref="O433:S433"/>
    <mergeCell ref="A36:N37"/>
    <mergeCell ref="A133:Y133"/>
    <mergeCell ref="O72:S72"/>
    <mergeCell ref="D54:E54"/>
    <mergeCell ref="P5:Q5"/>
    <mergeCell ref="J9:L9"/>
    <mergeCell ref="O199:S199"/>
    <mergeCell ref="A370:N371"/>
    <mergeCell ref="O435:S435"/>
    <mergeCell ref="O311:U311"/>
    <mergeCell ref="D271:E271"/>
    <mergeCell ref="D191:E191"/>
    <mergeCell ref="D262:E262"/>
    <mergeCell ref="D433:E433"/>
    <mergeCell ref="D237:E237"/>
    <mergeCell ref="O442:U442"/>
    <mergeCell ref="Q1:S1"/>
    <mergeCell ref="A20:Y20"/>
    <mergeCell ref="D291:E291"/>
    <mergeCell ref="A318:Y318"/>
    <mergeCell ref="A38:Y38"/>
    <mergeCell ref="O548:U548"/>
    <mergeCell ref="A280:Y280"/>
    <mergeCell ref="O37:U37"/>
    <mergeCell ref="A274:Y274"/>
    <mergeCell ref="Y17:Y18"/>
    <mergeCell ref="U11:V11"/>
    <mergeCell ref="A8:C8"/>
    <mergeCell ref="O275:S275"/>
    <mergeCell ref="P8:Q8"/>
    <mergeCell ref="D355:E355"/>
    <mergeCell ref="D293:E293"/>
    <mergeCell ref="O340:S340"/>
    <mergeCell ref="A372:Y372"/>
    <mergeCell ref="D32:E32"/>
    <mergeCell ref="O54:S54"/>
    <mergeCell ref="O321:S321"/>
    <mergeCell ref="O511:S511"/>
    <mergeCell ref="D97:E97"/>
    <mergeCell ref="O486:S486"/>
    <mergeCell ref="O146:S146"/>
    <mergeCell ref="D395:E395"/>
    <mergeCell ref="O35:S35"/>
    <mergeCell ref="O277:S277"/>
    <mergeCell ref="A10:C10"/>
    <mergeCell ref="A51:Y51"/>
    <mergeCell ref="O341:S341"/>
    <mergeCell ref="O266:U266"/>
    <mergeCell ref="O110:S110"/>
    <mergeCell ref="D121:E121"/>
    <mergeCell ref="O88:U88"/>
    <mergeCell ref="D192:E192"/>
    <mergeCell ref="A252:Y252"/>
    <mergeCell ref="O60:S60"/>
    <mergeCell ref="T558:T559"/>
    <mergeCell ref="V558:V559"/>
    <mergeCell ref="A284:N285"/>
    <mergeCell ref="D17:E18"/>
    <mergeCell ref="D515:E515"/>
    <mergeCell ref="D471:E471"/>
    <mergeCell ref="A520:N521"/>
    <mergeCell ref="O553:U553"/>
    <mergeCell ref="V17:V18"/>
    <mergeCell ref="X17:X18"/>
    <mergeCell ref="A438:Y438"/>
    <mergeCell ref="O139:U139"/>
    <mergeCell ref="O503:U503"/>
    <mergeCell ref="O55:U55"/>
    <mergeCell ref="C558:C559"/>
  </mergeCells>
  <conditionalFormatting sqref="A8:M8 A9:C10 H10:M10 J9:M9 O9:Q13">
    <cfRule type="expression" priority="13" dxfId="1" stopIfTrue="1">
      <formula>IF($U$5="самовывоз",1,0)</formula>
    </cfRule>
  </conditionalFormatting>
  <conditionalFormatting sqref="H9:I9">
    <cfRule type="expression" priority="6" dxfId="1" stopIfTrue="1">
      <formula>IF($U$5="самовывоз",1,0)</formula>
    </cfRule>
  </conditionalFormatting>
  <conditionalFormatting sqref="F9:G9">
    <cfRule type="expression" priority="5" dxfId="1" stopIfTrue="1">
      <formula>IF($U$5="самовывоз",1,0)</formula>
    </cfRule>
  </conditionalFormatting>
  <conditionalFormatting sqref="F10:G10">
    <cfRule type="expression" priority="4" dxfId="1" stopIfTrue="1">
      <formula>IF($U$5="самовывоз",1,0)</formula>
    </cfRule>
  </conditionalFormatting>
  <conditionalFormatting sqref="D9:E9">
    <cfRule type="expression" priority="3" dxfId="1" stopIfTrue="1">
      <formula>IF($U$5="самовывоз",1,0)</formula>
    </cfRule>
  </conditionalFormatting>
  <conditionalFormatting sqref="D10:E10">
    <cfRule type="expression" priority="2" dxfId="1" stopIfTrue="1">
      <formula>IF($U$5="самовывоз",1,0)</formula>
    </cfRule>
  </conditionalFormatting>
  <conditionalFormatting sqref="O5:Q6 O8:Q8">
    <cfRule type="expression" priority="1" dxfId="0" stopIfTrue="1">
      <formula>IF($U$5="доставка",1,0)</formula>
    </cfRule>
  </conditionalFormatting>
  <dataValidations xWindow="697" yWindow="616" count="17">
    <dataValidation sqref="P6:P7" showDropDown="0" showInputMessage="1" showErrorMessage="1" allowBlank="0" prompt="День недели загрузки. Считается сам."/>
    <dataValidation sqref="W16:AA16" showDropDown="0" showInputMessage="1" showErrorMessage="1" allowBlank="0" type="list">
      <formula1>"80-60,60-40,40-10,70-10"</formula1>
    </dataValidation>
    <dataValidation sqref="P5:Q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U6:U7" showDropDown="0" showInputMessage="1" showErrorMessage="1" allowBlank="0" prompt="Введите название вашей фирмы."/>
    <dataValidation sqref="U10" showDropDown="0" showInputMessage="1" showErrorMessage="1" allowBlank="0" prompt="Введите код клиента в системе Axapta"/>
    <dataValidation sqref="U11:V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U5:V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P8:Q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P10:Q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P9:Q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Y22:AA22" showDropDown="0" showInputMessage="1" showErrorMessage="1" allowBlank="0" error="укажите вес, кратный весу коробки" operator="equal"/>
    <dataValidation sqref="U12" showDropDown="0" showInputMessage="1" showErrorMessage="1" allowBlank="0" type="list">
      <formula1>DeliveryConditionsList</formula1>
    </dataValidation>
    <dataValidation sqref="D6:M6" showDropDown="0" showInputMessage="1" showErrorMessage="1" allowBlank="0" type="list">
      <formula1>DeliveryAdressList</formula1>
    </dataValidation>
    <dataValidation sqref="L8:M8" showDropDown="0" showInputMessage="1" showErrorMessage="1" allowBlank="0" type="list">
      <formula1>CHOOSE($D$7,UnloadAdressList)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ueP72WrjMymey5ukuhAOg==" formatRows="1" sort="0" spinCount="100000" hashValue="2ArGvD9iOgTEC+lDXCd0+j/CgT9Zea83RdvDr0eFFIhh37p2L2ibDd3Z+b/gJ1oLNUwn9daoMS43/zD7iVOxN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2024-07-12T09:29:18Z</dcterms:modified>
  <cp:lastModifiedBy>Admin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