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444088-D5B9-4978-873E-1DFF8CA1B9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Y207" i="1" s="1"/>
  <c r="BN206" i="1"/>
  <c r="BL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Y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BL22" i="1"/>
  <c r="W550" i="1" s="1"/>
  <c r="X22" i="1"/>
  <c r="X25" i="1" s="1"/>
  <c r="O22" i="1"/>
  <c r="H10" i="1"/>
  <c r="A9" i="1"/>
  <c r="F10" i="1" s="1"/>
  <c r="D7" i="1"/>
  <c r="P6" i="1"/>
  <c r="O2" i="1"/>
  <c r="BO164" i="1" l="1"/>
  <c r="BM164" i="1"/>
  <c r="Y164" i="1"/>
  <c r="BO194" i="1"/>
  <c r="BM194" i="1"/>
  <c r="Y194" i="1"/>
  <c r="BO196" i="1"/>
  <c r="BM196" i="1"/>
  <c r="Y196" i="1"/>
  <c r="BO198" i="1"/>
  <c r="BM198" i="1"/>
  <c r="Y198" i="1"/>
  <c r="BO206" i="1"/>
  <c r="BM206" i="1"/>
  <c r="Y206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Y29" i="1"/>
  <c r="BM29" i="1"/>
  <c r="Y32" i="1"/>
  <c r="BM32" i="1"/>
  <c r="Y33" i="1"/>
  <c r="BM33" i="1"/>
  <c r="E559" i="1"/>
  <c r="Y74" i="1"/>
  <c r="BM74" i="1"/>
  <c r="Y82" i="1"/>
  <c r="BM82" i="1"/>
  <c r="Y92" i="1"/>
  <c r="BM92" i="1"/>
  <c r="X104" i="1"/>
  <c r="Y102" i="1"/>
  <c r="BM102" i="1"/>
  <c r="X122" i="1"/>
  <c r="Y112" i="1"/>
  <c r="BM112" i="1"/>
  <c r="Y126" i="1"/>
  <c r="BM126" i="1"/>
  <c r="BO133" i="1"/>
  <c r="BM133" i="1"/>
  <c r="BO153" i="1"/>
  <c r="BM153" i="1"/>
  <c r="Y153" i="1"/>
  <c r="BO178" i="1"/>
  <c r="BM178" i="1"/>
  <c r="Y178" i="1"/>
  <c r="BO195" i="1"/>
  <c r="BM195" i="1"/>
  <c r="Y195" i="1"/>
  <c r="BO197" i="1"/>
  <c r="BM197" i="1"/>
  <c r="Y197" i="1"/>
  <c r="BO199" i="1"/>
  <c r="BM199" i="1"/>
  <c r="Y199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W551" i="1"/>
  <c r="W552" i="1" s="1"/>
  <c r="Y27" i="1"/>
  <c r="BM27" i="1"/>
  <c r="BO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Y128" i="1"/>
  <c r="BM128" i="1"/>
  <c r="Y135" i="1"/>
  <c r="BM135" i="1"/>
  <c r="Y143" i="1"/>
  <c r="Y148" i="1" s="1"/>
  <c r="BM143" i="1"/>
  <c r="BO143" i="1"/>
  <c r="Y144" i="1"/>
  <c r="BM144" i="1"/>
  <c r="Y145" i="1"/>
  <c r="BM145" i="1"/>
  <c r="Y146" i="1"/>
  <c r="BM146" i="1"/>
  <c r="Y147" i="1"/>
  <c r="BM147" i="1"/>
  <c r="X148" i="1"/>
  <c r="Y155" i="1"/>
  <c r="BM155" i="1"/>
  <c r="Y159" i="1"/>
  <c r="BM159" i="1"/>
  <c r="Y170" i="1"/>
  <c r="BM170" i="1"/>
  <c r="X182" i="1"/>
  <c r="Y176" i="1"/>
  <c r="BM176" i="1"/>
  <c r="Y180" i="1"/>
  <c r="BM180" i="1"/>
  <c r="Y192" i="1"/>
  <c r="BM192" i="1"/>
  <c r="BO207" i="1"/>
  <c r="BM207" i="1"/>
  <c r="BO208" i="1"/>
  <c r="BM208" i="1"/>
  <c r="Y208" i="1"/>
  <c r="BO217" i="1"/>
  <c r="BM217" i="1"/>
  <c r="Y217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H9" i="1"/>
  <c r="A10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X24" i="1"/>
  <c r="F9" i="1"/>
  <c r="J9" i="1"/>
  <c r="Y22" i="1"/>
  <c r="Y24" i="1" s="1"/>
  <c r="BM22" i="1"/>
  <c r="BO22" i="1"/>
  <c r="W553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Y277" i="1" s="1"/>
  <c r="BO275" i="1"/>
  <c r="BM275" i="1"/>
  <c r="Y275" i="1"/>
  <c r="BO346" i="1"/>
  <c r="BM346" i="1"/>
  <c r="Y346" i="1"/>
  <c r="X348" i="1"/>
  <c r="X353" i="1"/>
  <c r="BO350" i="1"/>
  <c r="BM350" i="1"/>
  <c r="Y350" i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384" i="1" l="1"/>
  <c r="Y347" i="1"/>
  <c r="Y295" i="1"/>
  <c r="Y415" i="1"/>
  <c r="Y352" i="1"/>
  <c r="Y261" i="1"/>
  <c r="Y93" i="1"/>
  <c r="Y222" i="1"/>
  <c r="Y129" i="1"/>
  <c r="Y121" i="1"/>
  <c r="Y103" i="1"/>
  <c r="Y36" i="1"/>
  <c r="X549" i="1"/>
  <c r="Y138" i="1"/>
  <c r="Y527" i="1"/>
  <c r="Y547" i="1"/>
  <c r="Y534" i="1"/>
  <c r="Y437" i="1"/>
  <c r="Y182" i="1"/>
  <c r="Y87" i="1"/>
  <c r="Y63" i="1"/>
  <c r="X551" i="1"/>
  <c r="Y372" i="1"/>
  <c r="Y283" i="1"/>
  <c r="Y239" i="1"/>
  <c r="Y201" i="1"/>
  <c r="Y519" i="1"/>
  <c r="Y495" i="1"/>
  <c r="Y481" i="1"/>
  <c r="Y410" i="1"/>
  <c r="Y336" i="1"/>
  <c r="X550" i="1"/>
  <c r="X552" i="1" s="1"/>
  <c r="X553" i="1"/>
  <c r="Y315" i="1"/>
  <c r="Y248" i="1"/>
  <c r="Y554" i="1" l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<sst xmlns="http://schemas.openxmlformats.org/spreadsheetml/2006/main" count="2424" uniqueCount="815">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</sst>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3" t="s">
        <v>0</v>
      </c>
      <c r="E1" s="399"/>
      <c r="F1" s="399"/>
      <c r="G1" s="12" t="s">
        <v>1</v>
      </c>
      <c r="H1" s="503" t="s">
        <v>2</v>
      </c>
      <c r="I1" s="399"/>
      <c r="J1" s="399"/>
      <c r="K1" s="399"/>
      <c r="L1" s="399"/>
      <c r="M1" s="399"/>
      <c r="N1" s="399"/>
      <c r="O1" s="399"/>
      <c r="P1" s="399"/>
      <c r="Q1" s="752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26" t="s">
        <v>8</v>
      </c>
      <c r="B5" s="527"/>
      <c r="C5" s="528"/>
      <c r="D5" s="417"/>
      <c r="E5" s="419"/>
      <c r="F5" s="727" t="s">
        <v>9</v>
      </c>
      <c r="G5" s="528"/>
      <c r="H5" s="417" t="s">
        <v>814</v>
      </c>
      <c r="I5" s="418"/>
      <c r="J5" s="418"/>
      <c r="K5" s="418"/>
      <c r="L5" s="419"/>
      <c r="M5" s="58"/>
      <c r="O5" s="24" t="s">
        <v>10</v>
      </c>
      <c r="P5" s="766">
        <v>45493</v>
      </c>
      <c r="Q5" s="541"/>
      <c r="S5" s="619" t="s">
        <v>11</v>
      </c>
      <c r="T5" s="442"/>
      <c r="U5" s="621" t="s">
        <v>12</v>
      </c>
      <c r="V5" s="541"/>
      <c r="AA5" s="51"/>
      <c r="AB5" s="51"/>
      <c r="AC5" s="51"/>
    </row>
    <row r="6" spans="1:30" s="376" customFormat="1" ht="24" customHeight="1" x14ac:dyDescent="0.2">
      <c r="A6" s="526" t="s">
        <v>13</v>
      </c>
      <c r="B6" s="527"/>
      <c r="C6" s="528"/>
      <c r="D6" s="679" t="s">
        <v>14</v>
      </c>
      <c r="E6" s="680"/>
      <c r="F6" s="680"/>
      <c r="G6" s="680"/>
      <c r="H6" s="680"/>
      <c r="I6" s="680"/>
      <c r="J6" s="680"/>
      <c r="K6" s="680"/>
      <c r="L6" s="541"/>
      <c r="M6" s="59"/>
      <c r="O6" s="24" t="s">
        <v>15</v>
      </c>
      <c r="P6" s="435" t="str">
        <f>IF(P5=0," ",CHOOSE(WEEKDAY(P5,2),"Понедельник","Вторник","Среда","Четверг","Пятница","Суббота","Воскресенье"))</f>
        <v>Суббота</v>
      </c>
      <c r="Q6" s="386"/>
      <c r="S6" s="441" t="s">
        <v>16</v>
      </c>
      <c r="T6" s="442"/>
      <c r="U6" s="672" t="s">
        <v>17</v>
      </c>
      <c r="V6" s="471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571"/>
      <c r="M7" s="60"/>
      <c r="O7" s="24"/>
      <c r="P7" s="42"/>
      <c r="Q7" s="42"/>
      <c r="S7" s="394"/>
      <c r="T7" s="442"/>
      <c r="U7" s="673"/>
      <c r="V7" s="674"/>
      <c r="AA7" s="51"/>
      <c r="AB7" s="51"/>
      <c r="AC7" s="51"/>
    </row>
    <row r="8" spans="1:30" s="376" customFormat="1" ht="25.5" customHeight="1" x14ac:dyDescent="0.2">
      <c r="A8" s="753" t="s">
        <v>18</v>
      </c>
      <c r="B8" s="402"/>
      <c r="C8" s="403"/>
      <c r="D8" s="431"/>
      <c r="E8" s="432"/>
      <c r="F8" s="432"/>
      <c r="G8" s="432"/>
      <c r="H8" s="432"/>
      <c r="I8" s="432"/>
      <c r="J8" s="432"/>
      <c r="K8" s="432"/>
      <c r="L8" s="433"/>
      <c r="M8" s="61"/>
      <c r="O8" s="24" t="s">
        <v>19</v>
      </c>
      <c r="P8" s="570">
        <v>0.54166666666666663</v>
      </c>
      <c r="Q8" s="571"/>
      <c r="S8" s="394"/>
      <c r="T8" s="442"/>
      <c r="U8" s="673"/>
      <c r="V8" s="674"/>
      <c r="AA8" s="51"/>
      <c r="AB8" s="51"/>
      <c r="AC8" s="51"/>
    </row>
    <row r="9" spans="1:30" s="376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47"/>
      <c r="E9" s="388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78"/>
      <c r="O9" s="26" t="s">
        <v>20</v>
      </c>
      <c r="P9" s="536"/>
      <c r="Q9" s="537"/>
      <c r="S9" s="394"/>
      <c r="T9" s="442"/>
      <c r="U9" s="675"/>
      <c r="V9" s="676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47"/>
      <c r="E10" s="388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51" t="str">
        <f>IFERROR(VLOOKUP($D$10,Proxy,2,FALSE),"")</f>
        <v/>
      </c>
      <c r="I10" s="394"/>
      <c r="J10" s="394"/>
      <c r="K10" s="394"/>
      <c r="L10" s="394"/>
      <c r="M10" s="375"/>
      <c r="O10" s="26" t="s">
        <v>21</v>
      </c>
      <c r="P10" s="659"/>
      <c r="Q10" s="660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1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04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570"/>
      <c r="Q12" s="571"/>
      <c r="R12" s="23"/>
      <c r="T12" s="24"/>
      <c r="U12" s="399"/>
      <c r="V12" s="394"/>
      <c r="AA12" s="51"/>
      <c r="AB12" s="51"/>
      <c r="AC12" s="51"/>
    </row>
    <row r="13" spans="1:30" s="376" customFormat="1" ht="23.25" customHeight="1" x14ac:dyDescent="0.2">
      <c r="A13" s="704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1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04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45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398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00"/>
      <c r="P16" s="400"/>
      <c r="Q16" s="400"/>
      <c r="R16" s="400"/>
      <c r="S16" s="4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6" t="s">
        <v>35</v>
      </c>
      <c r="B17" s="396" t="s">
        <v>36</v>
      </c>
      <c r="C17" s="546" t="s">
        <v>37</v>
      </c>
      <c r="D17" s="396" t="s">
        <v>38</v>
      </c>
      <c r="E17" s="449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448"/>
      <c r="Q17" s="448"/>
      <c r="R17" s="448"/>
      <c r="S17" s="449"/>
      <c r="T17" s="739" t="s">
        <v>49</v>
      </c>
      <c r="U17" s="528"/>
      <c r="V17" s="396" t="s">
        <v>50</v>
      </c>
      <c r="W17" s="396" t="s">
        <v>51</v>
      </c>
      <c r="X17" s="774" t="s">
        <v>52</v>
      </c>
      <c r="Y17" s="396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7"/>
      <c r="BB17" s="737" t="s">
        <v>57</v>
      </c>
    </row>
    <row r="18" spans="1:67" ht="14.25" customHeight="1" x14ac:dyDescent="0.2">
      <c r="A18" s="397"/>
      <c r="B18" s="397"/>
      <c r="C18" s="397"/>
      <c r="D18" s="450"/>
      <c r="E18" s="452"/>
      <c r="F18" s="397"/>
      <c r="G18" s="397"/>
      <c r="H18" s="397"/>
      <c r="I18" s="397"/>
      <c r="J18" s="397"/>
      <c r="K18" s="397"/>
      <c r="L18" s="397"/>
      <c r="M18" s="397"/>
      <c r="N18" s="397"/>
      <c r="O18" s="450"/>
      <c r="P18" s="451"/>
      <c r="Q18" s="451"/>
      <c r="R18" s="451"/>
      <c r="S18" s="452"/>
      <c r="T18" s="377" t="s">
        <v>58</v>
      </c>
      <c r="U18" s="377" t="s">
        <v>59</v>
      </c>
      <c r="V18" s="397"/>
      <c r="W18" s="397"/>
      <c r="X18" s="775"/>
      <c r="Y18" s="397"/>
      <c r="Z18" s="634"/>
      <c r="AA18" s="634"/>
      <c r="AB18" s="480"/>
      <c r="AC18" s="481"/>
      <c r="AD18" s="482"/>
      <c r="AE18" s="498"/>
      <c r="BB18" s="394"/>
    </row>
    <row r="19" spans="1:67" ht="27.75" hidden="1" customHeight="1" x14ac:dyDescent="0.2">
      <c r="A19" s="465" t="s">
        <v>60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8"/>
      <c r="AA19" s="48"/>
    </row>
    <row r="20" spans="1:67" ht="16.5" hidden="1" customHeight="1" x14ac:dyDescent="0.25">
      <c r="A20" s="42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4"/>
      <c r="AA20" s="374"/>
    </row>
    <row r="21" spans="1:67" ht="14.25" hidden="1" customHeight="1" x14ac:dyDescent="0.25">
      <c r="A21" s="438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01" t="s">
        <v>70</v>
      </c>
      <c r="P24" s="402"/>
      <c r="Q24" s="402"/>
      <c r="R24" s="402"/>
      <c r="S24" s="402"/>
      <c r="T24" s="402"/>
      <c r="U24" s="40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01" t="s">
        <v>70</v>
      </c>
      <c r="P25" s="402"/>
      <c r="Q25" s="402"/>
      <c r="R25" s="402"/>
      <c r="S25" s="402"/>
      <c r="T25" s="402"/>
      <c r="U25" s="40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38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01" t="s">
        <v>70</v>
      </c>
      <c r="P36" s="402"/>
      <c r="Q36" s="402"/>
      <c r="R36" s="402"/>
      <c r="S36" s="402"/>
      <c r="T36" s="402"/>
      <c r="U36" s="403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01" t="s">
        <v>70</v>
      </c>
      <c r="P37" s="402"/>
      <c r="Q37" s="402"/>
      <c r="R37" s="402"/>
      <c r="S37" s="402"/>
      <c r="T37" s="402"/>
      <c r="U37" s="403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438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01" t="s">
        <v>70</v>
      </c>
      <c r="P40" s="402"/>
      <c r="Q40" s="402"/>
      <c r="R40" s="402"/>
      <c r="S40" s="402"/>
      <c r="T40" s="402"/>
      <c r="U40" s="403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01" t="s">
        <v>70</v>
      </c>
      <c r="P41" s="402"/>
      <c r="Q41" s="402"/>
      <c r="R41" s="402"/>
      <c r="S41" s="402"/>
      <c r="T41" s="402"/>
      <c r="U41" s="403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38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01" t="s">
        <v>70</v>
      </c>
      <c r="P44" s="402"/>
      <c r="Q44" s="402"/>
      <c r="R44" s="402"/>
      <c r="S44" s="402"/>
      <c r="T44" s="402"/>
      <c r="U44" s="403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01" t="s">
        <v>70</v>
      </c>
      <c r="P45" s="402"/>
      <c r="Q45" s="402"/>
      <c r="R45" s="402"/>
      <c r="S45" s="402"/>
      <c r="T45" s="402"/>
      <c r="U45" s="403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38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01" t="s">
        <v>70</v>
      </c>
      <c r="P48" s="402"/>
      <c r="Q48" s="402"/>
      <c r="R48" s="402"/>
      <c r="S48" s="402"/>
      <c r="T48" s="402"/>
      <c r="U48" s="403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01" t="s">
        <v>70</v>
      </c>
      <c r="P49" s="402"/>
      <c r="Q49" s="402"/>
      <c r="R49" s="402"/>
      <c r="S49" s="402"/>
      <c r="T49" s="402"/>
      <c r="U49" s="403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5" t="s">
        <v>103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8"/>
      <c r="AA50" s="48"/>
    </row>
    <row r="51" spans="1:67" ht="16.5" hidden="1" customHeight="1" x14ac:dyDescent="0.25">
      <c r="A51" s="42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4"/>
      <c r="AA51" s="374"/>
    </row>
    <row r="52" spans="1:67" ht="14.25" hidden="1" customHeight="1" x14ac:dyDescent="0.25">
      <c r="A52" s="438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140</v>
      </c>
      <c r="X53" s="381">
        <f>IFERROR(IF(W53="",0,CEILING((W53/$H53),1)*$H53),"")</f>
        <v>140.4</v>
      </c>
      <c r="Y53" s="36">
        <f>IFERROR(IF(X53=0,"",ROUNDUP(X53/H53,0)*0.02175),"")</f>
        <v>0.28275</v>
      </c>
      <c r="Z53" s="56"/>
      <c r="AA53" s="57"/>
      <c r="AE53" s="64"/>
      <c r="BB53" s="79" t="s">
        <v>1</v>
      </c>
      <c r="BL53" s="64">
        <f>IFERROR(W53*I53/H53,"0")</f>
        <v>146.2222222222222</v>
      </c>
      <c r="BM53" s="64">
        <f>IFERROR(X53*I53/H53,"0")</f>
        <v>146.63999999999999</v>
      </c>
      <c r="BN53" s="64">
        <f>IFERROR(1/J53*(W53/H53),"0")</f>
        <v>0.23148148148148145</v>
      </c>
      <c r="BO53" s="64">
        <f>IFERROR(1/J53*(X53/H53),"0")</f>
        <v>0.23214285714285712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01" t="s">
        <v>70</v>
      </c>
      <c r="P55" s="402"/>
      <c r="Q55" s="402"/>
      <c r="R55" s="402"/>
      <c r="S55" s="402"/>
      <c r="T55" s="402"/>
      <c r="U55" s="403"/>
      <c r="V55" s="37" t="s">
        <v>71</v>
      </c>
      <c r="W55" s="382">
        <f>IFERROR(W53/H53,"0")+IFERROR(W54/H54,"0")</f>
        <v>12.962962962962962</v>
      </c>
      <c r="X55" s="382">
        <f>IFERROR(X53/H53,"0")+IFERROR(X54/H54,"0")</f>
        <v>13</v>
      </c>
      <c r="Y55" s="382">
        <f>IFERROR(IF(Y53="",0,Y53),"0")+IFERROR(IF(Y54="",0,Y54),"0")</f>
        <v>0.28275</v>
      </c>
      <c r="Z55" s="383"/>
      <c r="AA55" s="383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01" t="s">
        <v>70</v>
      </c>
      <c r="P56" s="402"/>
      <c r="Q56" s="402"/>
      <c r="R56" s="402"/>
      <c r="S56" s="402"/>
      <c r="T56" s="402"/>
      <c r="U56" s="403"/>
      <c r="V56" s="37" t="s">
        <v>66</v>
      </c>
      <c r="W56" s="382">
        <f>IFERROR(SUM(W53:W54),"0")</f>
        <v>140</v>
      </c>
      <c r="X56" s="382">
        <f>IFERROR(SUM(X53:X54),"0")</f>
        <v>140.4</v>
      </c>
      <c r="Y56" s="37"/>
      <c r="Z56" s="383"/>
      <c r="AA56" s="383"/>
    </row>
    <row r="57" spans="1:67" ht="16.5" hidden="1" customHeight="1" x14ac:dyDescent="0.25">
      <c r="A57" s="42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4"/>
      <c r="AA57" s="374"/>
    </row>
    <row r="58" spans="1:67" ht="14.25" hidden="1" customHeight="1" x14ac:dyDescent="0.25">
      <c r="A58" s="438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3"/>
      <c r="AA58" s="373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4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01" t="s">
        <v>70</v>
      </c>
      <c r="P63" s="402"/>
      <c r="Q63" s="402"/>
      <c r="R63" s="402"/>
      <c r="S63" s="402"/>
      <c r="T63" s="402"/>
      <c r="U63" s="403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01" t="s">
        <v>70</v>
      </c>
      <c r="P64" s="402"/>
      <c r="Q64" s="402"/>
      <c r="R64" s="402"/>
      <c r="S64" s="402"/>
      <c r="T64" s="402"/>
      <c r="U64" s="403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4"/>
      <c r="AA65" s="374"/>
    </row>
    <row r="66" spans="1:67" ht="14.25" hidden="1" customHeight="1" x14ac:dyDescent="0.25">
      <c r="A66" s="438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118</v>
      </c>
      <c r="X68" s="381">
        <f t="shared" si="6"/>
        <v>118.80000000000001</v>
      </c>
      <c r="Y68" s="36">
        <f t="shared" si="7"/>
        <v>0.23924999999999999</v>
      </c>
      <c r="Z68" s="56"/>
      <c r="AA68" s="57"/>
      <c r="AE68" s="64"/>
      <c r="BB68" s="86" t="s">
        <v>1</v>
      </c>
      <c r="BL68" s="64">
        <f t="shared" si="8"/>
        <v>123.24444444444444</v>
      </c>
      <c r="BM68" s="64">
        <f t="shared" si="9"/>
        <v>124.08</v>
      </c>
      <c r="BN68" s="64">
        <f t="shared" si="10"/>
        <v>0.19510582010582009</v>
      </c>
      <c r="BO68" s="64">
        <f t="shared" si="11"/>
        <v>0.19642857142857142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102</v>
      </c>
      <c r="X71" s="381">
        <f t="shared" si="6"/>
        <v>108</v>
      </c>
      <c r="Y71" s="36">
        <f t="shared" si="7"/>
        <v>0.21749999999999997</v>
      </c>
      <c r="Z71" s="56"/>
      <c r="AA71" s="57"/>
      <c r="AE71" s="64"/>
      <c r="BB71" s="89" t="s">
        <v>1</v>
      </c>
      <c r="BL71" s="64">
        <f t="shared" si="8"/>
        <v>106.53333333333332</v>
      </c>
      <c r="BM71" s="64">
        <f t="shared" si="9"/>
        <v>112.8</v>
      </c>
      <c r="BN71" s="64">
        <f t="shared" si="10"/>
        <v>0.16865079365079363</v>
      </c>
      <c r="BO71" s="64">
        <f t="shared" si="11"/>
        <v>0.17857142857142855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172</v>
      </c>
      <c r="X73" s="381">
        <f t="shared" si="6"/>
        <v>179.2</v>
      </c>
      <c r="Y73" s="36">
        <f t="shared" si="7"/>
        <v>0.34799999999999998</v>
      </c>
      <c r="Z73" s="56"/>
      <c r="AA73" s="57"/>
      <c r="AE73" s="64"/>
      <c r="BB73" s="91" t="s">
        <v>1</v>
      </c>
      <c r="BL73" s="64">
        <f t="shared" si="8"/>
        <v>179.37142857142859</v>
      </c>
      <c r="BM73" s="64">
        <f t="shared" si="9"/>
        <v>186.88000000000002</v>
      </c>
      <c r="BN73" s="64">
        <f t="shared" si="10"/>
        <v>0.27423469387755101</v>
      </c>
      <c r="BO73" s="64">
        <f t="shared" si="11"/>
        <v>0.2857142857142857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01" t="s">
        <v>70</v>
      </c>
      <c r="P87" s="402"/>
      <c r="Q87" s="402"/>
      <c r="R87" s="402"/>
      <c r="S87" s="402"/>
      <c r="T87" s="402"/>
      <c r="U87" s="403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35.727513227513228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37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0.80474999999999997</v>
      </c>
      <c r="Z87" s="383"/>
      <c r="AA87" s="383"/>
    </row>
    <row r="88" spans="1:67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01" t="s">
        <v>70</v>
      </c>
      <c r="P88" s="402"/>
      <c r="Q88" s="402"/>
      <c r="R88" s="402"/>
      <c r="S88" s="402"/>
      <c r="T88" s="402"/>
      <c r="U88" s="403"/>
      <c r="V88" s="37" t="s">
        <v>66</v>
      </c>
      <c r="W88" s="382">
        <f>IFERROR(SUM(W67:W86),"0")</f>
        <v>392</v>
      </c>
      <c r="X88" s="382">
        <f>IFERROR(SUM(X67:X86),"0")</f>
        <v>406</v>
      </c>
      <c r="Y88" s="37"/>
      <c r="Z88" s="383"/>
      <c r="AA88" s="383"/>
    </row>
    <row r="89" spans="1:67" ht="14.25" hidden="1" customHeight="1" x14ac:dyDescent="0.25">
      <c r="A89" s="438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73"/>
      <c r="AA89" s="373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01" t="s">
        <v>70</v>
      </c>
      <c r="P93" s="402"/>
      <c r="Q93" s="402"/>
      <c r="R93" s="402"/>
      <c r="S93" s="402"/>
      <c r="T93" s="402"/>
      <c r="U93" s="403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01" t="s">
        <v>70</v>
      </c>
      <c r="P94" s="402"/>
      <c r="Q94" s="402"/>
      <c r="R94" s="402"/>
      <c r="S94" s="402"/>
      <c r="T94" s="402"/>
      <c r="U94" s="403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438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01" t="s">
        <v>70</v>
      </c>
      <c r="P103" s="402"/>
      <c r="Q103" s="402"/>
      <c r="R103" s="402"/>
      <c r="S103" s="402"/>
      <c r="T103" s="402"/>
      <c r="U103" s="40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01" t="s">
        <v>70</v>
      </c>
      <c r="P104" s="402"/>
      <c r="Q104" s="402"/>
      <c r="R104" s="402"/>
      <c r="S104" s="402"/>
      <c r="T104" s="402"/>
      <c r="U104" s="40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38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147</v>
      </c>
      <c r="X107" s="381">
        <f t="shared" si="18"/>
        <v>151.20000000000002</v>
      </c>
      <c r="Y107" s="36">
        <f>IFERROR(IF(X107=0,"",ROUNDUP(X107/H107,0)*0.02175),"")</f>
        <v>0.39149999999999996</v>
      </c>
      <c r="Z107" s="56"/>
      <c r="AA107" s="57"/>
      <c r="AE107" s="64"/>
      <c r="BB107" s="116" t="s">
        <v>1</v>
      </c>
      <c r="BL107" s="64">
        <f t="shared" si="19"/>
        <v>156.87</v>
      </c>
      <c r="BM107" s="64">
        <f t="shared" si="20"/>
        <v>161.35200000000003</v>
      </c>
      <c r="BN107" s="64">
        <f t="shared" si="21"/>
        <v>0.3125</v>
      </c>
      <c r="BO107" s="64">
        <f t="shared" si="22"/>
        <v>0.3214285714285714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7</v>
      </c>
      <c r="X115" s="381">
        <f t="shared" si="18"/>
        <v>7.1999999999999993</v>
      </c>
      <c r="Y115" s="36">
        <f>IFERROR(IF(X115=0,"",ROUNDUP(X115/H115,0)*0.00502),"")</f>
        <v>3.0120000000000001E-2</v>
      </c>
      <c r="Z115" s="56"/>
      <c r="AA115" s="57"/>
      <c r="AE115" s="64"/>
      <c r="BB115" s="124" t="s">
        <v>1</v>
      </c>
      <c r="BL115" s="64">
        <f t="shared" si="19"/>
        <v>7.583333333333333</v>
      </c>
      <c r="BM115" s="64">
        <f t="shared" si="20"/>
        <v>7.8</v>
      </c>
      <c r="BN115" s="64">
        <f t="shared" si="21"/>
        <v>2.4928774928774933E-2</v>
      </c>
      <c r="BO115" s="64">
        <f t="shared" si="22"/>
        <v>2.5641025641025644E-2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9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5</v>
      </c>
      <c r="X116" s="381">
        <f t="shared" si="18"/>
        <v>5.4</v>
      </c>
      <c r="Y116" s="36">
        <f>IFERROR(IF(X116=0,"",ROUNDUP(X116/H116,0)*0.00753),"")</f>
        <v>2.2589999999999999E-2</v>
      </c>
      <c r="Z116" s="56"/>
      <c r="AA116" s="57"/>
      <c r="AE116" s="64"/>
      <c r="BB116" s="125" t="s">
        <v>1</v>
      </c>
      <c r="BL116" s="64">
        <f t="shared" si="19"/>
        <v>5.5555555555555554</v>
      </c>
      <c r="BM116" s="64">
        <f t="shared" si="20"/>
        <v>6</v>
      </c>
      <c r="BN116" s="64">
        <f t="shared" si="21"/>
        <v>1.7806267806267807E-2</v>
      </c>
      <c r="BO116" s="64">
        <f t="shared" si="22"/>
        <v>1.9230769230769232E-2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4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6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01" t="s">
        <v>70</v>
      </c>
      <c r="P121" s="402"/>
      <c r="Q121" s="402"/>
      <c r="R121" s="402"/>
      <c r="S121" s="402"/>
      <c r="T121" s="402"/>
      <c r="U121" s="403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26.111111111111114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27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0.44420999999999994</v>
      </c>
      <c r="Z121" s="383"/>
      <c r="AA121" s="383"/>
    </row>
    <row r="122" spans="1:67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01" t="s">
        <v>70</v>
      </c>
      <c r="P122" s="402"/>
      <c r="Q122" s="402"/>
      <c r="R122" s="402"/>
      <c r="S122" s="402"/>
      <c r="T122" s="402"/>
      <c r="U122" s="403"/>
      <c r="V122" s="37" t="s">
        <v>66</v>
      </c>
      <c r="W122" s="382">
        <f>IFERROR(SUM(W106:W120),"0")</f>
        <v>159</v>
      </c>
      <c r="X122" s="382">
        <f>IFERROR(SUM(X106:X120),"0")</f>
        <v>163.80000000000001</v>
      </c>
      <c r="Y122" s="37"/>
      <c r="Z122" s="383"/>
      <c r="AA122" s="383"/>
    </row>
    <row r="123" spans="1:67" ht="14.25" hidden="1" customHeight="1" x14ac:dyDescent="0.25">
      <c r="A123" s="438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117</v>
      </c>
      <c r="X124" s="381">
        <f>IFERROR(IF(W124="",0,CEILING((W124/$H124),1)*$H124),"")</f>
        <v>117.60000000000001</v>
      </c>
      <c r="Y124" s="36">
        <f>IFERROR(IF(X124=0,"",ROUNDUP(X124/H124,0)*0.02175),"")</f>
        <v>0.30449999999999999</v>
      </c>
      <c r="Z124" s="56"/>
      <c r="AA124" s="57"/>
      <c r="AE124" s="64"/>
      <c r="BB124" s="130" t="s">
        <v>1</v>
      </c>
      <c r="BL124" s="64">
        <f>IFERROR(W124*I124/H124,"0")</f>
        <v>124.85571428571428</v>
      </c>
      <c r="BM124" s="64">
        <f>IFERROR(X124*I124/H124,"0")</f>
        <v>125.49600000000001</v>
      </c>
      <c r="BN124" s="64">
        <f>IFERROR(1/J124*(W124/H124),"0")</f>
        <v>0.24872448979591835</v>
      </c>
      <c r="BO124" s="64">
        <f>IFERROR(1/J124*(X124/H124),"0")</f>
        <v>0.25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01" t="s">
        <v>70</v>
      </c>
      <c r="P129" s="402"/>
      <c r="Q129" s="402"/>
      <c r="R129" s="402"/>
      <c r="S129" s="402"/>
      <c r="T129" s="402"/>
      <c r="U129" s="403"/>
      <c r="V129" s="37" t="s">
        <v>71</v>
      </c>
      <c r="W129" s="382">
        <f>IFERROR(W124/H124,"0")+IFERROR(W125/H125,"0")+IFERROR(W126/H126,"0")+IFERROR(W127/H127,"0")+IFERROR(W128/H128,"0")</f>
        <v>13.928571428571429</v>
      </c>
      <c r="X129" s="382">
        <f>IFERROR(X124/H124,"0")+IFERROR(X125/H125,"0")+IFERROR(X126/H126,"0")+IFERROR(X127/H127,"0")+IFERROR(X128/H128,"0")</f>
        <v>14</v>
      </c>
      <c r="Y129" s="382">
        <f>IFERROR(IF(Y124="",0,Y124),"0")+IFERROR(IF(Y125="",0,Y125),"0")+IFERROR(IF(Y126="",0,Y126),"0")+IFERROR(IF(Y127="",0,Y127),"0")+IFERROR(IF(Y128="",0,Y128),"0")</f>
        <v>0.30449999999999999</v>
      </c>
      <c r="Z129" s="383"/>
      <c r="AA129" s="383"/>
    </row>
    <row r="130" spans="1:67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01" t="s">
        <v>70</v>
      </c>
      <c r="P130" s="402"/>
      <c r="Q130" s="402"/>
      <c r="R130" s="402"/>
      <c r="S130" s="402"/>
      <c r="T130" s="402"/>
      <c r="U130" s="403"/>
      <c r="V130" s="37" t="s">
        <v>66</v>
      </c>
      <c r="W130" s="382">
        <f>IFERROR(SUM(W124:W128),"0")</f>
        <v>117</v>
      </c>
      <c r="X130" s="382">
        <f>IFERROR(SUM(X124:X128),"0")</f>
        <v>117.60000000000001</v>
      </c>
      <c r="Y130" s="37"/>
      <c r="Z130" s="383"/>
      <c r="AA130" s="383"/>
    </row>
    <row r="131" spans="1:67" ht="16.5" hidden="1" customHeight="1" x14ac:dyDescent="0.25">
      <c r="A131" s="427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4"/>
      <c r="AA131" s="374"/>
    </row>
    <row r="132" spans="1:67" ht="14.25" hidden="1" customHeight="1" x14ac:dyDescent="0.25">
      <c r="A132" s="438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179</v>
      </c>
      <c r="X134" s="381">
        <f>IFERROR(IF(W134="",0,CEILING((W134/$H134),1)*$H134),"")</f>
        <v>184.8</v>
      </c>
      <c r="Y134" s="36">
        <f>IFERROR(IF(X134=0,"",ROUNDUP(X134/H134,0)*0.02175),"")</f>
        <v>0.47849999999999998</v>
      </c>
      <c r="Z134" s="56"/>
      <c r="AA134" s="57"/>
      <c r="AE134" s="64"/>
      <c r="BB134" s="136" t="s">
        <v>1</v>
      </c>
      <c r="BL134" s="64">
        <f>IFERROR(W134*I134/H134,"0")</f>
        <v>190.89071428571427</v>
      </c>
      <c r="BM134" s="64">
        <f>IFERROR(X134*I134/H134,"0")</f>
        <v>197.07600000000002</v>
      </c>
      <c r="BN134" s="64">
        <f>IFERROR(1/J134*(W134/H134),"0")</f>
        <v>0.38052721088435371</v>
      </c>
      <c r="BO134" s="64">
        <f>IFERROR(1/J134*(X134/H134),"0")</f>
        <v>0.39285714285714285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01" t="s">
        <v>70</v>
      </c>
      <c r="P138" s="402"/>
      <c r="Q138" s="402"/>
      <c r="R138" s="402"/>
      <c r="S138" s="402"/>
      <c r="T138" s="402"/>
      <c r="U138" s="403"/>
      <c r="V138" s="37" t="s">
        <v>71</v>
      </c>
      <c r="W138" s="382">
        <f>IFERROR(W133/H133,"0")+IFERROR(W134/H134,"0")+IFERROR(W135/H135,"0")+IFERROR(W136/H136,"0")+IFERROR(W137/H137,"0")</f>
        <v>21.30952380952381</v>
      </c>
      <c r="X138" s="382">
        <f>IFERROR(X133/H133,"0")+IFERROR(X134/H134,"0")+IFERROR(X135/H135,"0")+IFERROR(X136/H136,"0")+IFERROR(X137/H137,"0")</f>
        <v>22</v>
      </c>
      <c r="Y138" s="382">
        <f>IFERROR(IF(Y133="",0,Y133),"0")+IFERROR(IF(Y134="",0,Y134),"0")+IFERROR(IF(Y135="",0,Y135),"0")+IFERROR(IF(Y136="",0,Y136),"0")+IFERROR(IF(Y137="",0,Y137),"0")</f>
        <v>0.47849999999999998</v>
      </c>
      <c r="Z138" s="383"/>
      <c r="AA138" s="383"/>
    </row>
    <row r="139" spans="1:67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01" t="s">
        <v>70</v>
      </c>
      <c r="P139" s="402"/>
      <c r="Q139" s="402"/>
      <c r="R139" s="402"/>
      <c r="S139" s="402"/>
      <c r="T139" s="402"/>
      <c r="U139" s="403"/>
      <c r="V139" s="37" t="s">
        <v>66</v>
      </c>
      <c r="W139" s="382">
        <f>IFERROR(SUM(W133:W137),"0")</f>
        <v>179</v>
      </c>
      <c r="X139" s="382">
        <f>IFERROR(SUM(X133:X137),"0")</f>
        <v>184.8</v>
      </c>
      <c r="Y139" s="37"/>
      <c r="Z139" s="383"/>
      <c r="AA139" s="383"/>
    </row>
    <row r="140" spans="1:67" ht="27.75" hidden="1" customHeight="1" x14ac:dyDescent="0.2">
      <c r="A140" s="465" t="s">
        <v>233</v>
      </c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8"/>
      <c r="AA140" s="48"/>
    </row>
    <row r="141" spans="1:67" ht="16.5" hidden="1" customHeight="1" x14ac:dyDescent="0.25">
      <c r="A141" s="427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4"/>
      <c r="AA141" s="374"/>
    </row>
    <row r="142" spans="1:67" ht="14.25" hidden="1" customHeight="1" x14ac:dyDescent="0.25">
      <c r="A142" s="438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7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5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8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0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01" t="s">
        <v>70</v>
      </c>
      <c r="P148" s="402"/>
      <c r="Q148" s="402"/>
      <c r="R148" s="402"/>
      <c r="S148" s="402"/>
      <c r="T148" s="402"/>
      <c r="U148" s="403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5"/>
      <c r="O149" s="401" t="s">
        <v>70</v>
      </c>
      <c r="P149" s="402"/>
      <c r="Q149" s="402"/>
      <c r="R149" s="402"/>
      <c r="S149" s="402"/>
      <c r="T149" s="402"/>
      <c r="U149" s="403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7" t="s">
        <v>249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4"/>
      <c r="AA150" s="374"/>
    </row>
    <row r="151" spans="1:67" ht="14.25" hidden="1" customHeight="1" x14ac:dyDescent="0.25">
      <c r="A151" s="438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3"/>
      <c r="AA151" s="373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3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01" t="s">
        <v>70</v>
      </c>
      <c r="P160" s="402"/>
      <c r="Q160" s="402"/>
      <c r="R160" s="402"/>
      <c r="S160" s="402"/>
      <c r="T160" s="402"/>
      <c r="U160" s="403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5"/>
      <c r="O161" s="401" t="s">
        <v>70</v>
      </c>
      <c r="P161" s="402"/>
      <c r="Q161" s="402"/>
      <c r="R161" s="402"/>
      <c r="S161" s="402"/>
      <c r="T161" s="402"/>
      <c r="U161" s="403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7" t="s">
        <v>266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4"/>
      <c r="AA162" s="374"/>
    </row>
    <row r="163" spans="1:67" ht="14.25" hidden="1" customHeight="1" x14ac:dyDescent="0.25">
      <c r="A163" s="438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01" t="s">
        <v>70</v>
      </c>
      <c r="P166" s="402"/>
      <c r="Q166" s="402"/>
      <c r="R166" s="402"/>
      <c r="S166" s="402"/>
      <c r="T166" s="402"/>
      <c r="U166" s="40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5"/>
      <c r="O167" s="401" t="s">
        <v>70</v>
      </c>
      <c r="P167" s="402"/>
      <c r="Q167" s="402"/>
      <c r="R167" s="402"/>
      <c r="S167" s="402"/>
      <c r="T167" s="402"/>
      <c r="U167" s="40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38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01" t="s">
        <v>70</v>
      </c>
      <c r="P171" s="402"/>
      <c r="Q171" s="402"/>
      <c r="R171" s="402"/>
      <c r="S171" s="402"/>
      <c r="T171" s="402"/>
      <c r="U171" s="40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5"/>
      <c r="O172" s="401" t="s">
        <v>70</v>
      </c>
      <c r="P172" s="402"/>
      <c r="Q172" s="402"/>
      <c r="R172" s="402"/>
      <c r="S172" s="402"/>
      <c r="T172" s="402"/>
      <c r="U172" s="40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38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141</v>
      </c>
      <c r="X174" s="381">
        <f t="shared" ref="X174:X181" si="28">IFERROR(IF(W174="",0,CEILING((W174/$H174),1)*$H174),"")</f>
        <v>145.80000000000001</v>
      </c>
      <c r="Y174" s="36">
        <f>IFERROR(IF(X174=0,"",ROUNDUP(X174/H174,0)*0.00937),"")</f>
        <v>0.25298999999999999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146.48333333333332</v>
      </c>
      <c r="BM174" s="64">
        <f t="shared" ref="BM174:BM181" si="30">IFERROR(X174*I174/H174,"0")</f>
        <v>151.47</v>
      </c>
      <c r="BN174" s="64">
        <f t="shared" ref="BN174:BN181" si="31">IFERROR(1/J174*(W174/H174),"0")</f>
        <v>0.21759259259259259</v>
      </c>
      <c r="BO174" s="64">
        <f t="shared" ref="BO174:BO181" si="32">IFERROR(1/J174*(X174/H174),"0")</f>
        <v>0.22500000000000001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162</v>
      </c>
      <c r="X175" s="381">
        <f t="shared" si="28"/>
        <v>162</v>
      </c>
      <c r="Y175" s="36">
        <f>IFERROR(IF(X175=0,"",ROUNDUP(X175/H175,0)*0.00937),"")</f>
        <v>0.28110000000000002</v>
      </c>
      <c r="Z175" s="56"/>
      <c r="AA175" s="57"/>
      <c r="AE175" s="64"/>
      <c r="BB175" s="158" t="s">
        <v>1</v>
      </c>
      <c r="BL175" s="64">
        <f t="shared" si="29"/>
        <v>168.3</v>
      </c>
      <c r="BM175" s="64">
        <f t="shared" si="30"/>
        <v>168.3</v>
      </c>
      <c r="BN175" s="64">
        <f t="shared" si="31"/>
        <v>0.24999999999999997</v>
      </c>
      <c r="BO175" s="64">
        <f t="shared" si="32"/>
        <v>0.24999999999999997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3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01" t="s">
        <v>70</v>
      </c>
      <c r="P182" s="402"/>
      <c r="Q182" s="402"/>
      <c r="R182" s="402"/>
      <c r="S182" s="402"/>
      <c r="T182" s="402"/>
      <c r="U182" s="403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56.111111111111107</v>
      </c>
      <c r="X182" s="382">
        <f>IFERROR(X174/H174,"0")+IFERROR(X175/H175,"0")+IFERROR(X176/H176,"0")+IFERROR(X177/H177,"0")+IFERROR(X178/H178,"0")+IFERROR(X179/H179,"0")+IFERROR(X180/H180,"0")+IFERROR(X181/H181,"0")</f>
        <v>57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0.53408999999999995</v>
      </c>
      <c r="Z182" s="383"/>
      <c r="AA182" s="383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5"/>
      <c r="O183" s="401" t="s">
        <v>70</v>
      </c>
      <c r="P183" s="402"/>
      <c r="Q183" s="402"/>
      <c r="R183" s="402"/>
      <c r="S183" s="402"/>
      <c r="T183" s="402"/>
      <c r="U183" s="403"/>
      <c r="V183" s="37" t="s">
        <v>66</v>
      </c>
      <c r="W183" s="382">
        <f>IFERROR(SUM(W174:W181),"0")</f>
        <v>303</v>
      </c>
      <c r="X183" s="382">
        <f>IFERROR(SUM(X174:X181),"0")</f>
        <v>307.8</v>
      </c>
      <c r="Y183" s="37"/>
      <c r="Z183" s="383"/>
      <c r="AA183" s="383"/>
    </row>
    <row r="184" spans="1:67" ht="14.25" hidden="1" customHeight="1" x14ac:dyDescent="0.25">
      <c r="A184" s="438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7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106</v>
      </c>
      <c r="X187" s="381">
        <f t="shared" si="33"/>
        <v>109.2</v>
      </c>
      <c r="Y187" s="36">
        <f>IFERROR(IF(X187=0,"",ROUNDUP(X187/H187,0)*0.02175),"")</f>
        <v>0.30449999999999999</v>
      </c>
      <c r="Z187" s="56"/>
      <c r="AA187" s="57"/>
      <c r="AE187" s="64"/>
      <c r="BB187" s="167" t="s">
        <v>1</v>
      </c>
      <c r="BL187" s="64">
        <f t="shared" si="34"/>
        <v>113.66461538461539</v>
      </c>
      <c r="BM187" s="64">
        <f t="shared" si="35"/>
        <v>117.09600000000002</v>
      </c>
      <c r="BN187" s="64">
        <f t="shared" si="36"/>
        <v>0.24267399267399264</v>
      </c>
      <c r="BO187" s="64">
        <f t="shared" si="37"/>
        <v>0.25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8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44</v>
      </c>
      <c r="X190" s="381">
        <f t="shared" si="33"/>
        <v>45.6</v>
      </c>
      <c r="Y190" s="36">
        <f>IFERROR(IF(X190=0,"",ROUNDUP(X190/H190,0)*0.00753),"")</f>
        <v>0.14307</v>
      </c>
      <c r="Z190" s="56"/>
      <c r="AA190" s="57"/>
      <c r="AE190" s="64"/>
      <c r="BB190" s="170" t="s">
        <v>1</v>
      </c>
      <c r="BL190" s="64">
        <f t="shared" si="34"/>
        <v>48.986666666666672</v>
      </c>
      <c r="BM190" s="64">
        <f t="shared" si="35"/>
        <v>50.768000000000008</v>
      </c>
      <c r="BN190" s="64">
        <f t="shared" si="36"/>
        <v>0.11752136752136753</v>
      </c>
      <c r="BO190" s="64">
        <f t="shared" si="37"/>
        <v>0.12179487179487179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57</v>
      </c>
      <c r="X192" s="381">
        <f t="shared" si="33"/>
        <v>57.599999999999994</v>
      </c>
      <c r="Y192" s="36">
        <f>IFERROR(IF(X192=0,"",ROUNDUP(X192/H192,0)*0.00753),"")</f>
        <v>0.18071999999999999</v>
      </c>
      <c r="Z192" s="56"/>
      <c r="AA192" s="57"/>
      <c r="AE192" s="64"/>
      <c r="BB192" s="172" t="s">
        <v>1</v>
      </c>
      <c r="BL192" s="64">
        <f t="shared" si="34"/>
        <v>61.750000000000007</v>
      </c>
      <c r="BM192" s="64">
        <f t="shared" si="35"/>
        <v>62.4</v>
      </c>
      <c r="BN192" s="64">
        <f t="shared" si="36"/>
        <v>0.15224358974358973</v>
      </c>
      <c r="BO192" s="64">
        <f t="shared" si="37"/>
        <v>0.15384615384615385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76</v>
      </c>
      <c r="X194" s="381">
        <f t="shared" si="33"/>
        <v>76.8</v>
      </c>
      <c r="Y194" s="36">
        <f t="shared" ref="Y194:Y200" si="38">IFERROR(IF(X194=0,"",ROUNDUP(X194/H194,0)*0.00753),"")</f>
        <v>0.24096000000000001</v>
      </c>
      <c r="Z194" s="56"/>
      <c r="AA194" s="57"/>
      <c r="AE194" s="64"/>
      <c r="BB194" s="174" t="s">
        <v>1</v>
      </c>
      <c r="BL194" s="64">
        <f t="shared" si="34"/>
        <v>85.183333333333337</v>
      </c>
      <c r="BM194" s="64">
        <f t="shared" si="35"/>
        <v>86.08</v>
      </c>
      <c r="BN194" s="64">
        <f t="shared" si="36"/>
        <v>0.20299145299145299</v>
      </c>
      <c r="BO194" s="64">
        <f t="shared" si="37"/>
        <v>0.20512820512820512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4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9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55</v>
      </c>
      <c r="X196" s="381">
        <f t="shared" si="33"/>
        <v>55.199999999999996</v>
      </c>
      <c r="Y196" s="36">
        <f t="shared" si="38"/>
        <v>0.17319000000000001</v>
      </c>
      <c r="Z196" s="56"/>
      <c r="AA196" s="57"/>
      <c r="AE196" s="64"/>
      <c r="BB196" s="176" t="s">
        <v>1</v>
      </c>
      <c r="BL196" s="64">
        <f t="shared" si="34"/>
        <v>61.233333333333341</v>
      </c>
      <c r="BM196" s="64">
        <f t="shared" si="35"/>
        <v>61.455999999999996</v>
      </c>
      <c r="BN196" s="64">
        <f t="shared" si="36"/>
        <v>0.14690170940170941</v>
      </c>
      <c r="BO196" s="64">
        <f t="shared" si="37"/>
        <v>0.14743589743589744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1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51</v>
      </c>
      <c r="X197" s="381">
        <f t="shared" si="33"/>
        <v>52.8</v>
      </c>
      <c r="Y197" s="36">
        <f t="shared" si="38"/>
        <v>0.16566</v>
      </c>
      <c r="Z197" s="56"/>
      <c r="AA197" s="57"/>
      <c r="AE197" s="64"/>
      <c r="BB197" s="177" t="s">
        <v>1</v>
      </c>
      <c r="BL197" s="64">
        <f t="shared" si="34"/>
        <v>56.780000000000008</v>
      </c>
      <c r="BM197" s="64">
        <f t="shared" si="35"/>
        <v>58.784000000000006</v>
      </c>
      <c r="BN197" s="64">
        <f t="shared" si="36"/>
        <v>0.13621794871794871</v>
      </c>
      <c r="BO197" s="64">
        <f t="shared" si="37"/>
        <v>0.14102564102564102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8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7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83</v>
      </c>
      <c r="X199" s="381">
        <f t="shared" si="33"/>
        <v>84</v>
      </c>
      <c r="Y199" s="36">
        <f t="shared" si="38"/>
        <v>0.26355000000000001</v>
      </c>
      <c r="Z199" s="56"/>
      <c r="AA199" s="57"/>
      <c r="AE199" s="64"/>
      <c r="BB199" s="179" t="s">
        <v>1</v>
      </c>
      <c r="BL199" s="64">
        <f t="shared" si="34"/>
        <v>92.40666666666668</v>
      </c>
      <c r="BM199" s="64">
        <f t="shared" si="35"/>
        <v>93.52000000000001</v>
      </c>
      <c r="BN199" s="64">
        <f t="shared" si="36"/>
        <v>0.22168803418803421</v>
      </c>
      <c r="BO199" s="64">
        <f t="shared" si="37"/>
        <v>0.22435897435897434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55</v>
      </c>
      <c r="X200" s="381">
        <f t="shared" si="33"/>
        <v>55.199999999999996</v>
      </c>
      <c r="Y200" s="36">
        <f t="shared" si="38"/>
        <v>0.17319000000000001</v>
      </c>
      <c r="Z200" s="56"/>
      <c r="AA200" s="57"/>
      <c r="AE200" s="64"/>
      <c r="BB200" s="180" t="s">
        <v>1</v>
      </c>
      <c r="BL200" s="64">
        <f t="shared" si="34"/>
        <v>61.37083333333333</v>
      </c>
      <c r="BM200" s="64">
        <f t="shared" si="35"/>
        <v>61.593999999999994</v>
      </c>
      <c r="BN200" s="64">
        <f t="shared" si="36"/>
        <v>0.14690170940170941</v>
      </c>
      <c r="BO200" s="64">
        <f t="shared" si="37"/>
        <v>0.14743589743589744</v>
      </c>
    </row>
    <row r="201" spans="1:67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01" t="s">
        <v>70</v>
      </c>
      <c r="P201" s="402"/>
      <c r="Q201" s="402"/>
      <c r="R201" s="402"/>
      <c r="S201" s="402"/>
      <c r="T201" s="402"/>
      <c r="U201" s="403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189.00641025641028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192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1.6448399999999999</v>
      </c>
      <c r="Z201" s="383"/>
      <c r="AA201" s="383"/>
    </row>
    <row r="202" spans="1:67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01" t="s">
        <v>70</v>
      </c>
      <c r="P202" s="402"/>
      <c r="Q202" s="402"/>
      <c r="R202" s="402"/>
      <c r="S202" s="402"/>
      <c r="T202" s="402"/>
      <c r="U202" s="403"/>
      <c r="V202" s="37" t="s">
        <v>66</v>
      </c>
      <c r="W202" s="382">
        <f>IFERROR(SUM(W185:W200),"0")</f>
        <v>527</v>
      </c>
      <c r="X202" s="382">
        <f>IFERROR(SUM(X185:X200),"0")</f>
        <v>536.4</v>
      </c>
      <c r="Y202" s="37"/>
      <c r="Z202" s="383"/>
      <c r="AA202" s="383"/>
    </row>
    <row r="203" spans="1:67" ht="14.25" hidden="1" customHeight="1" x14ac:dyDescent="0.25">
      <c r="A203" s="438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89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59</v>
      </c>
      <c r="X207" s="381">
        <f>IFERROR(IF(W207="",0,CEILING((W207/$H207),1)*$H207),"")</f>
        <v>60</v>
      </c>
      <c r="Y207" s="36">
        <f>IFERROR(IF(X207=0,"",ROUNDUP(X207/H207,0)*0.00753),"")</f>
        <v>0.18825</v>
      </c>
      <c r="Z207" s="56"/>
      <c r="AA207" s="57"/>
      <c r="AE207" s="64"/>
      <c r="BB207" s="184" t="s">
        <v>1</v>
      </c>
      <c r="BL207" s="64">
        <f>IFERROR(W207*I207/H207,"0")</f>
        <v>65.686666666666667</v>
      </c>
      <c r="BM207" s="64">
        <f>IFERROR(X207*I207/H207,"0")</f>
        <v>66.800000000000011</v>
      </c>
      <c r="BN207" s="64">
        <f>IFERROR(1/J207*(W207/H207),"0")</f>
        <v>0.15758547008547011</v>
      </c>
      <c r="BO207" s="64">
        <f>IFERROR(1/J207*(X207/H207),"0")</f>
        <v>0.16025641025641024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2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60</v>
      </c>
      <c r="X208" s="381">
        <f>IFERROR(IF(W208="",0,CEILING((W208/$H208),1)*$H208),"")</f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>IFERROR(W208*I208/H208,"0")</f>
        <v>66.800000000000011</v>
      </c>
      <c r="BM208" s="64">
        <f>IFERROR(X208*I208/H208,"0")</f>
        <v>66.800000000000011</v>
      </c>
      <c r="BN208" s="64">
        <f>IFERROR(1/J208*(W208/H208),"0")</f>
        <v>0.16025641025641024</v>
      </c>
      <c r="BO208" s="64">
        <f>IFERROR(1/J208*(X208/H208),"0")</f>
        <v>0.16025641025641024</v>
      </c>
    </row>
    <row r="209" spans="1:67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01" t="s">
        <v>70</v>
      </c>
      <c r="P209" s="402"/>
      <c r="Q209" s="402"/>
      <c r="R209" s="402"/>
      <c r="S209" s="402"/>
      <c r="T209" s="402"/>
      <c r="U209" s="403"/>
      <c r="V209" s="37" t="s">
        <v>71</v>
      </c>
      <c r="W209" s="382">
        <f>IFERROR(W204/H204,"0")+IFERROR(W205/H205,"0")+IFERROR(W206/H206,"0")+IFERROR(W207/H207,"0")+IFERROR(W208/H208,"0")</f>
        <v>49.583333333333336</v>
      </c>
      <c r="X209" s="382">
        <f>IFERROR(X204/H204,"0")+IFERROR(X205/H205,"0")+IFERROR(X206/H206,"0")+IFERROR(X207/H207,"0")+IFERROR(X208/H208,"0")</f>
        <v>50</v>
      </c>
      <c r="Y209" s="382">
        <f>IFERROR(IF(Y204="",0,Y204),"0")+IFERROR(IF(Y205="",0,Y205),"0")+IFERROR(IF(Y206="",0,Y206),"0")+IFERROR(IF(Y207="",0,Y207),"0")+IFERROR(IF(Y208="",0,Y208),"0")</f>
        <v>0.3765</v>
      </c>
      <c r="Z209" s="383"/>
      <c r="AA209" s="383"/>
    </row>
    <row r="210" spans="1:67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01" t="s">
        <v>70</v>
      </c>
      <c r="P210" s="402"/>
      <c r="Q210" s="402"/>
      <c r="R210" s="402"/>
      <c r="S210" s="402"/>
      <c r="T210" s="402"/>
      <c r="U210" s="403"/>
      <c r="V210" s="37" t="s">
        <v>66</v>
      </c>
      <c r="W210" s="382">
        <f>IFERROR(SUM(W204:W208),"0")</f>
        <v>119</v>
      </c>
      <c r="X210" s="382">
        <f>IFERROR(SUM(X204:X208),"0")</f>
        <v>120</v>
      </c>
      <c r="Y210" s="37"/>
      <c r="Z210" s="383"/>
      <c r="AA210" s="383"/>
    </row>
    <row r="211" spans="1:67" ht="16.5" hidden="1" customHeight="1" x14ac:dyDescent="0.25">
      <c r="A211" s="427" t="s">
        <v>342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4"/>
      <c r="AA211" s="374"/>
    </row>
    <row r="212" spans="1:67" ht="14.25" hidden="1" customHeight="1" x14ac:dyDescent="0.25">
      <c r="A212" s="438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4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22</v>
      </c>
      <c r="X216" s="381">
        <f t="shared" si="39"/>
        <v>23.2</v>
      </c>
      <c r="Y216" s="36">
        <f>IFERROR(IF(X216=0,"",ROUNDUP(X216/H216,0)*0.02175),"")</f>
        <v>4.3499999999999997E-2</v>
      </c>
      <c r="Z216" s="56"/>
      <c r="AA216" s="57"/>
      <c r="AE216" s="64"/>
      <c r="BB216" s="189" t="s">
        <v>1</v>
      </c>
      <c r="BL216" s="64">
        <f t="shared" si="40"/>
        <v>22.910344827586208</v>
      </c>
      <c r="BM216" s="64">
        <f t="shared" si="41"/>
        <v>24.159999999999997</v>
      </c>
      <c r="BN216" s="64">
        <f t="shared" si="42"/>
        <v>3.3866995073891626E-2</v>
      </c>
      <c r="BO216" s="64">
        <f t="shared" si="43"/>
        <v>3.5714285714285712E-2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3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5"/>
      <c r="O222" s="401" t="s">
        <v>70</v>
      </c>
      <c r="P222" s="402"/>
      <c r="Q222" s="402"/>
      <c r="R222" s="402"/>
      <c r="S222" s="402"/>
      <c r="T222" s="402"/>
      <c r="U222" s="403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1.896551724137931</v>
      </c>
      <c r="X222" s="382">
        <f>IFERROR(X213/H213,"0")+IFERROR(X214/H214,"0")+IFERROR(X215/H215,"0")+IFERROR(X216/H216,"0")+IFERROR(X217/H217,"0")+IFERROR(X218/H218,"0")+IFERROR(X219/H219,"0")+IFERROR(X220/H220,"0")+IFERROR(X221/H221,"0")</f>
        <v>2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4.3499999999999997E-2</v>
      </c>
      <c r="Z222" s="383"/>
      <c r="AA222" s="383"/>
    </row>
    <row r="223" spans="1:67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5"/>
      <c r="O223" s="401" t="s">
        <v>70</v>
      </c>
      <c r="P223" s="402"/>
      <c r="Q223" s="402"/>
      <c r="R223" s="402"/>
      <c r="S223" s="402"/>
      <c r="T223" s="402"/>
      <c r="U223" s="403"/>
      <c r="V223" s="37" t="s">
        <v>66</v>
      </c>
      <c r="W223" s="382">
        <f>IFERROR(SUM(W213:W221),"0")</f>
        <v>22</v>
      </c>
      <c r="X223" s="382">
        <f>IFERROR(SUM(X213:X221),"0")</f>
        <v>23.2</v>
      </c>
      <c r="Y223" s="37"/>
      <c r="Z223" s="383"/>
      <c r="AA223" s="383"/>
    </row>
    <row r="224" spans="1:67" ht="14.25" hidden="1" customHeight="1" x14ac:dyDescent="0.25">
      <c r="A224" s="438" t="s">
        <v>61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5"/>
      <c r="O227" s="401" t="s">
        <v>70</v>
      </c>
      <c r="P227" s="402"/>
      <c r="Q227" s="402"/>
      <c r="R227" s="402"/>
      <c r="S227" s="402"/>
      <c r="T227" s="402"/>
      <c r="U227" s="403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5"/>
      <c r="O228" s="401" t="s">
        <v>70</v>
      </c>
      <c r="P228" s="402"/>
      <c r="Q228" s="402"/>
      <c r="R228" s="402"/>
      <c r="S228" s="402"/>
      <c r="T228" s="402"/>
      <c r="U228" s="403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7" t="s">
        <v>365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4"/>
      <c r="AA229" s="374"/>
    </row>
    <row r="230" spans="1:67" ht="14.25" hidden="1" customHeight="1" x14ac:dyDescent="0.25">
      <c r="A230" s="438" t="s">
        <v>113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117</v>
      </c>
      <c r="X231" s="381">
        <f t="shared" ref="X231:X238" si="44">IFERROR(IF(W231="",0,CEILING((W231/$H231),1)*$H231),"")</f>
        <v>127.6</v>
      </c>
      <c r="Y231" s="36">
        <f>IFERROR(IF(X231=0,"",ROUNDUP(X231/H231,0)*0.02175),"")</f>
        <v>0.23924999999999999</v>
      </c>
      <c r="Z231" s="56"/>
      <c r="AA231" s="57"/>
      <c r="AE231" s="64"/>
      <c r="BB231" s="197" t="s">
        <v>1</v>
      </c>
      <c r="BL231" s="64">
        <f t="shared" ref="BL231:BL238" si="45">IFERROR(W231*I231/H231,"0")</f>
        <v>121.84137931034482</v>
      </c>
      <c r="BM231" s="64">
        <f t="shared" ref="BM231:BM238" si="46">IFERROR(X231*I231/H231,"0")</f>
        <v>132.88</v>
      </c>
      <c r="BN231" s="64">
        <f t="shared" ref="BN231:BN238" si="47">IFERROR(1/J231*(W231/H231),"0")</f>
        <v>0.18011083743842363</v>
      </c>
      <c r="BO231" s="64">
        <f t="shared" ref="BO231:BO238" si="48">IFERROR(1/J231*(X231/H231),"0")</f>
        <v>0.19642857142857142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8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6</v>
      </c>
      <c r="X235" s="381">
        <f t="shared" si="44"/>
        <v>8</v>
      </c>
      <c r="Y235" s="36">
        <f>IFERROR(IF(X235=0,"",ROUNDUP(X235/H235,0)*0.00937),"")</f>
        <v>1.874E-2</v>
      </c>
      <c r="Z235" s="56"/>
      <c r="AA235" s="57"/>
      <c r="AE235" s="64"/>
      <c r="BB235" s="201" t="s">
        <v>1</v>
      </c>
      <c r="BL235" s="64">
        <f t="shared" si="45"/>
        <v>6.36</v>
      </c>
      <c r="BM235" s="64">
        <f t="shared" si="46"/>
        <v>8.48</v>
      </c>
      <c r="BN235" s="64">
        <f t="shared" si="47"/>
        <v>1.2500000000000001E-2</v>
      </c>
      <c r="BO235" s="64">
        <f t="shared" si="48"/>
        <v>1.6666666666666666E-2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8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3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5"/>
      <c r="O239" s="401" t="s">
        <v>70</v>
      </c>
      <c r="P239" s="402"/>
      <c r="Q239" s="402"/>
      <c r="R239" s="402"/>
      <c r="S239" s="402"/>
      <c r="T239" s="402"/>
      <c r="U239" s="403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11.586206896551724</v>
      </c>
      <c r="X239" s="382">
        <f>IFERROR(X231/H231,"0")+IFERROR(X232/H232,"0")+IFERROR(X233/H233,"0")+IFERROR(X234/H234,"0")+IFERROR(X235/H235,"0")+IFERROR(X236/H236,"0")+IFERROR(X237/H237,"0")+IFERROR(X238/H238,"0")</f>
        <v>13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0.25799</v>
      </c>
      <c r="Z239" s="383"/>
      <c r="AA239" s="383"/>
    </row>
    <row r="240" spans="1:67" x14ac:dyDescent="0.2">
      <c r="A240" s="394"/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5"/>
      <c r="O240" s="401" t="s">
        <v>70</v>
      </c>
      <c r="P240" s="402"/>
      <c r="Q240" s="402"/>
      <c r="R240" s="402"/>
      <c r="S240" s="402"/>
      <c r="T240" s="402"/>
      <c r="U240" s="403"/>
      <c r="V240" s="37" t="s">
        <v>66</v>
      </c>
      <c r="W240" s="382">
        <f>IFERROR(SUM(W231:W238),"0")</f>
        <v>123</v>
      </c>
      <c r="X240" s="382">
        <f>IFERROR(SUM(X231:X238),"0")</f>
        <v>135.6</v>
      </c>
      <c r="Y240" s="37"/>
      <c r="Z240" s="383"/>
      <c r="AA240" s="383"/>
    </row>
    <row r="241" spans="1:67" ht="16.5" hidden="1" customHeight="1" x14ac:dyDescent="0.25">
      <c r="A241" s="427" t="s">
        <v>383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4"/>
      <c r="AA241" s="374"/>
    </row>
    <row r="242" spans="1:67" ht="14.25" hidden="1" customHeight="1" x14ac:dyDescent="0.25">
      <c r="A242" s="438" t="s">
        <v>113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3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4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2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86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5"/>
      <c r="O248" s="401" t="s">
        <v>70</v>
      </c>
      <c r="P248" s="402"/>
      <c r="Q248" s="402"/>
      <c r="R248" s="402"/>
      <c r="S248" s="402"/>
      <c r="T248" s="402"/>
      <c r="U248" s="403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01" t="s">
        <v>70</v>
      </c>
      <c r="P249" s="402"/>
      <c r="Q249" s="402"/>
      <c r="R249" s="402"/>
      <c r="S249" s="402"/>
      <c r="T249" s="402"/>
      <c r="U249" s="403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7" t="s">
        <v>400</v>
      </c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74"/>
      <c r="AA250" s="374"/>
    </row>
    <row r="251" spans="1:67" ht="14.25" hidden="1" customHeight="1" x14ac:dyDescent="0.25">
      <c r="A251" s="438" t="s">
        <v>113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62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8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03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0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1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5"/>
      <c r="O261" s="401" t="s">
        <v>70</v>
      </c>
      <c r="P261" s="402"/>
      <c r="Q261" s="402"/>
      <c r="R261" s="402"/>
      <c r="S261" s="402"/>
      <c r="T261" s="402"/>
      <c r="U261" s="403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5"/>
      <c r="O262" s="401" t="s">
        <v>70</v>
      </c>
      <c r="P262" s="402"/>
      <c r="Q262" s="402"/>
      <c r="R262" s="402"/>
      <c r="S262" s="402"/>
      <c r="T262" s="402"/>
      <c r="U262" s="403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38" t="s">
        <v>61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11</v>
      </c>
      <c r="X264" s="381">
        <f>IFERROR(IF(W264="",0,CEILING((W264/$H264),1)*$H264),"")</f>
        <v>12.600000000000001</v>
      </c>
      <c r="Y264" s="36">
        <f>IFERROR(IF(X264=0,"",ROUNDUP(X264/H264,0)*0.00753),"")</f>
        <v>2.2589999999999999E-2</v>
      </c>
      <c r="Z264" s="56"/>
      <c r="AA264" s="57"/>
      <c r="AE264" s="64"/>
      <c r="BB264" s="219" t="s">
        <v>1</v>
      </c>
      <c r="BL264" s="64">
        <f>IFERROR(W264*I264/H264,"0")</f>
        <v>11.68095238095238</v>
      </c>
      <c r="BM264" s="64">
        <f>IFERROR(X264*I264/H264,"0")</f>
        <v>13.38</v>
      </c>
      <c r="BN264" s="64">
        <f>IFERROR(1/J264*(W264/H264),"0")</f>
        <v>1.6788766788766788E-2</v>
      </c>
      <c r="BO264" s="64">
        <f>IFERROR(1/J264*(X264/H264),"0")</f>
        <v>1.9230769230769232E-2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3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5"/>
      <c r="O267" s="401" t="s">
        <v>70</v>
      </c>
      <c r="P267" s="402"/>
      <c r="Q267" s="402"/>
      <c r="R267" s="402"/>
      <c r="S267" s="402"/>
      <c r="T267" s="402"/>
      <c r="U267" s="403"/>
      <c r="V267" s="37" t="s">
        <v>71</v>
      </c>
      <c r="W267" s="382">
        <f>IFERROR(W264/H264,"0")+IFERROR(W265/H265,"0")+IFERROR(W266/H266,"0")</f>
        <v>2.6190476190476191</v>
      </c>
      <c r="X267" s="382">
        <f>IFERROR(X264/H264,"0")+IFERROR(X265/H265,"0")+IFERROR(X266/H266,"0")</f>
        <v>3</v>
      </c>
      <c r="Y267" s="382">
        <f>IFERROR(IF(Y264="",0,Y264),"0")+IFERROR(IF(Y265="",0,Y265),"0")+IFERROR(IF(Y266="",0,Y266),"0")</f>
        <v>2.2589999999999999E-2</v>
      </c>
      <c r="Z267" s="383"/>
      <c r="AA267" s="383"/>
    </row>
    <row r="268" spans="1:67" x14ac:dyDescent="0.2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5"/>
      <c r="O268" s="401" t="s">
        <v>70</v>
      </c>
      <c r="P268" s="402"/>
      <c r="Q268" s="402"/>
      <c r="R268" s="402"/>
      <c r="S268" s="402"/>
      <c r="T268" s="402"/>
      <c r="U268" s="403"/>
      <c r="V268" s="37" t="s">
        <v>66</v>
      </c>
      <c r="W268" s="382">
        <f>IFERROR(SUM(W264:W266),"0")</f>
        <v>11</v>
      </c>
      <c r="X268" s="382">
        <f>IFERROR(SUM(X264:X266),"0")</f>
        <v>12.600000000000001</v>
      </c>
      <c r="Y268" s="37"/>
      <c r="Z268" s="383"/>
      <c r="AA268" s="383"/>
    </row>
    <row r="269" spans="1:67" ht="14.25" hidden="1" customHeight="1" x14ac:dyDescent="0.25">
      <c r="A269" s="438" t="s">
        <v>72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01" t="s">
        <v>70</v>
      </c>
      <c r="P277" s="402"/>
      <c r="Q277" s="402"/>
      <c r="R277" s="402"/>
      <c r="S277" s="402"/>
      <c r="T277" s="402"/>
      <c r="U277" s="403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01" t="s">
        <v>70</v>
      </c>
      <c r="P278" s="402"/>
      <c r="Q278" s="402"/>
      <c r="R278" s="402"/>
      <c r="S278" s="402"/>
      <c r="T278" s="402"/>
      <c r="U278" s="403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38" t="s">
        <v>213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73"/>
      <c r="AA279" s="373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164</v>
      </c>
      <c r="X281" s="381">
        <f>IFERROR(IF(W281="",0,CEILING((W281/$H281),1)*$H281),"")</f>
        <v>171.6</v>
      </c>
      <c r="Y281" s="36">
        <f>IFERROR(IF(X281=0,"",ROUNDUP(X281/H281,0)*0.02175),"")</f>
        <v>0.47849999999999998</v>
      </c>
      <c r="Z281" s="56"/>
      <c r="AA281" s="57"/>
      <c r="AE281" s="64"/>
      <c r="BB281" s="230" t="s">
        <v>1</v>
      </c>
      <c r="BL281" s="64">
        <f>IFERROR(W281*I281/H281,"0")</f>
        <v>175.85846153846157</v>
      </c>
      <c r="BM281" s="64">
        <f>IFERROR(X281*I281/H281,"0")</f>
        <v>184.00800000000001</v>
      </c>
      <c r="BN281" s="64">
        <f>IFERROR(1/J281*(W281/H281),"0")</f>
        <v>0.37545787545787546</v>
      </c>
      <c r="BO281" s="64">
        <f>IFERROR(1/J281*(X281/H281),"0")</f>
        <v>0.39285714285714285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73</v>
      </c>
      <c r="X282" s="381">
        <f>IFERROR(IF(W282="",0,CEILING((W282/$H282),1)*$H282),"")</f>
        <v>75.600000000000009</v>
      </c>
      <c r="Y282" s="36">
        <f>IFERROR(IF(X282=0,"",ROUNDUP(X282/H282,0)*0.02175),"")</f>
        <v>0.19574999999999998</v>
      </c>
      <c r="Z282" s="56"/>
      <c r="AA282" s="57"/>
      <c r="AE282" s="64"/>
      <c r="BB282" s="231" t="s">
        <v>1</v>
      </c>
      <c r="BL282" s="64">
        <f>IFERROR(W282*I282/H282,"0")</f>
        <v>77.901428571428582</v>
      </c>
      <c r="BM282" s="64">
        <f>IFERROR(X282*I282/H282,"0")</f>
        <v>80.676000000000016</v>
      </c>
      <c r="BN282" s="64">
        <f>IFERROR(1/J282*(W282/H282),"0")</f>
        <v>0.15518707482993196</v>
      </c>
      <c r="BO282" s="64">
        <f>IFERROR(1/J282*(X282/H282),"0")</f>
        <v>0.1607142857142857</v>
      </c>
    </row>
    <row r="283" spans="1:67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01" t="s">
        <v>70</v>
      </c>
      <c r="P283" s="402"/>
      <c r="Q283" s="402"/>
      <c r="R283" s="402"/>
      <c r="S283" s="402"/>
      <c r="T283" s="402"/>
      <c r="U283" s="403"/>
      <c r="V283" s="37" t="s">
        <v>71</v>
      </c>
      <c r="W283" s="382">
        <f>IFERROR(W280/H280,"0")+IFERROR(W281/H281,"0")+IFERROR(W282/H282,"0")</f>
        <v>29.716117216117215</v>
      </c>
      <c r="X283" s="382">
        <f>IFERROR(X280/H280,"0")+IFERROR(X281/H281,"0")+IFERROR(X282/H282,"0")</f>
        <v>31</v>
      </c>
      <c r="Y283" s="382">
        <f>IFERROR(IF(Y280="",0,Y280),"0")+IFERROR(IF(Y281="",0,Y281),"0")+IFERROR(IF(Y282="",0,Y282),"0")</f>
        <v>0.67425000000000002</v>
      </c>
      <c r="Z283" s="383"/>
      <c r="AA283" s="383"/>
    </row>
    <row r="284" spans="1:67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01" t="s">
        <v>70</v>
      </c>
      <c r="P284" s="402"/>
      <c r="Q284" s="402"/>
      <c r="R284" s="402"/>
      <c r="S284" s="402"/>
      <c r="T284" s="402"/>
      <c r="U284" s="403"/>
      <c r="V284" s="37" t="s">
        <v>66</v>
      </c>
      <c r="W284" s="382">
        <f>IFERROR(SUM(W280:W282),"0")</f>
        <v>237</v>
      </c>
      <c r="X284" s="382">
        <f>IFERROR(SUM(X280:X282),"0")</f>
        <v>247.2</v>
      </c>
      <c r="Y284" s="37"/>
      <c r="Z284" s="383"/>
      <c r="AA284" s="383"/>
    </row>
    <row r="285" spans="1:67" ht="14.25" hidden="1" customHeight="1" x14ac:dyDescent="0.25">
      <c r="A285" s="438" t="s">
        <v>91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7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10</v>
      </c>
      <c r="X288" s="381">
        <f>IFERROR(IF(W288="",0,CEILING((W288/$H288),1)*$H288),"")</f>
        <v>10.199999999999999</v>
      </c>
      <c r="Y288" s="36">
        <f>IFERROR(IF(X288=0,"",ROUNDUP(X288/H288,0)*0.00753),"")</f>
        <v>3.0120000000000001E-2</v>
      </c>
      <c r="Z288" s="56"/>
      <c r="AA288" s="57"/>
      <c r="AE288" s="64"/>
      <c r="BB288" s="234" t="s">
        <v>1</v>
      </c>
      <c r="BL288" s="64">
        <f>IFERROR(W288*I288/H288,"0")</f>
        <v>11.372549019607844</v>
      </c>
      <c r="BM288" s="64">
        <f>IFERROR(X288*I288/H288,"0")</f>
        <v>11.6</v>
      </c>
      <c r="BN288" s="64">
        <f>IFERROR(1/J288*(W288/H288),"0")</f>
        <v>2.513826043237808E-2</v>
      </c>
      <c r="BO288" s="64">
        <f>IFERROR(1/J288*(X288/H288),"0")</f>
        <v>2.564102564102564E-2</v>
      </c>
    </row>
    <row r="289" spans="1:67" x14ac:dyDescent="0.2">
      <c r="A289" s="393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5"/>
      <c r="O289" s="401" t="s">
        <v>70</v>
      </c>
      <c r="P289" s="402"/>
      <c r="Q289" s="402"/>
      <c r="R289" s="402"/>
      <c r="S289" s="402"/>
      <c r="T289" s="402"/>
      <c r="U289" s="403"/>
      <c r="V289" s="37" t="s">
        <v>71</v>
      </c>
      <c r="W289" s="382">
        <f>IFERROR(W286/H286,"0")+IFERROR(W287/H287,"0")+IFERROR(W288/H288,"0")</f>
        <v>3.9215686274509807</v>
      </c>
      <c r="X289" s="382">
        <f>IFERROR(X286/H286,"0")+IFERROR(X287/H287,"0")+IFERROR(X288/H288,"0")</f>
        <v>4</v>
      </c>
      <c r="Y289" s="382">
        <f>IFERROR(IF(Y286="",0,Y286),"0")+IFERROR(IF(Y287="",0,Y287),"0")+IFERROR(IF(Y288="",0,Y288),"0")</f>
        <v>3.0120000000000001E-2</v>
      </c>
      <c r="Z289" s="383"/>
      <c r="AA289" s="383"/>
    </row>
    <row r="290" spans="1:67" x14ac:dyDescent="0.2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5"/>
      <c r="O290" s="401" t="s">
        <v>70</v>
      </c>
      <c r="P290" s="402"/>
      <c r="Q290" s="402"/>
      <c r="R290" s="402"/>
      <c r="S290" s="402"/>
      <c r="T290" s="402"/>
      <c r="U290" s="403"/>
      <c r="V290" s="37" t="s">
        <v>66</v>
      </c>
      <c r="W290" s="382">
        <f>IFERROR(SUM(W286:W288),"0")</f>
        <v>10</v>
      </c>
      <c r="X290" s="382">
        <f>IFERROR(SUM(X286:X288),"0")</f>
        <v>10.199999999999999</v>
      </c>
      <c r="Y290" s="37"/>
      <c r="Z290" s="383"/>
      <c r="AA290" s="383"/>
    </row>
    <row r="291" spans="1:67" ht="14.25" hidden="1" customHeight="1" x14ac:dyDescent="0.25">
      <c r="A291" s="438" t="s">
        <v>459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01" t="s">
        <v>70</v>
      </c>
      <c r="P295" s="402"/>
      <c r="Q295" s="402"/>
      <c r="R295" s="402"/>
      <c r="S295" s="402"/>
      <c r="T295" s="402"/>
      <c r="U295" s="403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5"/>
      <c r="O296" s="401" t="s">
        <v>70</v>
      </c>
      <c r="P296" s="402"/>
      <c r="Q296" s="402"/>
      <c r="R296" s="402"/>
      <c r="S296" s="402"/>
      <c r="T296" s="402"/>
      <c r="U296" s="403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7" t="s">
        <v>468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4"/>
      <c r="AA297" s="374"/>
    </row>
    <row r="298" spans="1:67" ht="14.25" hidden="1" customHeight="1" x14ac:dyDescent="0.25">
      <c r="A298" s="438" t="s">
        <v>113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73"/>
      <c r="AA298" s="373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5"/>
      <c r="O300" s="401" t="s">
        <v>70</v>
      </c>
      <c r="P300" s="402"/>
      <c r="Q300" s="402"/>
      <c r="R300" s="402"/>
      <c r="S300" s="402"/>
      <c r="T300" s="402"/>
      <c r="U300" s="403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5"/>
      <c r="O301" s="401" t="s">
        <v>70</v>
      </c>
      <c r="P301" s="402"/>
      <c r="Q301" s="402"/>
      <c r="R301" s="402"/>
      <c r="S301" s="402"/>
      <c r="T301" s="402"/>
      <c r="U301" s="403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438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01" t="s">
        <v>70</v>
      </c>
      <c r="P304" s="402"/>
      <c r="Q304" s="402"/>
      <c r="R304" s="402"/>
      <c r="S304" s="402"/>
      <c r="T304" s="402"/>
      <c r="U304" s="403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5"/>
      <c r="O305" s="401" t="s">
        <v>70</v>
      </c>
      <c r="P305" s="402"/>
      <c r="Q305" s="402"/>
      <c r="R305" s="402"/>
      <c r="S305" s="402"/>
      <c r="T305" s="402"/>
      <c r="U305" s="403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7" t="s">
        <v>473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4"/>
      <c r="AA306" s="374"/>
    </row>
    <row r="307" spans="1:67" ht="14.25" hidden="1" customHeight="1" x14ac:dyDescent="0.25">
      <c r="A307" s="438" t="s">
        <v>61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73"/>
      <c r="AA307" s="373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01" t="s">
        <v>70</v>
      </c>
      <c r="P309" s="402"/>
      <c r="Q309" s="402"/>
      <c r="R309" s="402"/>
      <c r="S309" s="402"/>
      <c r="T309" s="402"/>
      <c r="U309" s="403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01" t="s">
        <v>70</v>
      </c>
      <c r="P310" s="402"/>
      <c r="Q310" s="402"/>
      <c r="R310" s="402"/>
      <c r="S310" s="402"/>
      <c r="T310" s="402"/>
      <c r="U310" s="403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438" t="s">
        <v>72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73"/>
      <c r="AA311" s="373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3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5"/>
      <c r="O315" s="401" t="s">
        <v>70</v>
      </c>
      <c r="P315" s="402"/>
      <c r="Q315" s="402"/>
      <c r="R315" s="402"/>
      <c r="S315" s="402"/>
      <c r="T315" s="402"/>
      <c r="U315" s="403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5"/>
      <c r="O316" s="401" t="s">
        <v>70</v>
      </c>
      <c r="P316" s="402"/>
      <c r="Q316" s="402"/>
      <c r="R316" s="402"/>
      <c r="S316" s="402"/>
      <c r="T316" s="402"/>
      <c r="U316" s="403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438" t="s">
        <v>91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3"/>
      <c r="AA317" s="373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393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5"/>
      <c r="O319" s="401" t="s">
        <v>70</v>
      </c>
      <c r="P319" s="402"/>
      <c r="Q319" s="402"/>
      <c r="R319" s="402"/>
      <c r="S319" s="402"/>
      <c r="T319" s="402"/>
      <c r="U319" s="403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5"/>
      <c r="O320" s="401" t="s">
        <v>70</v>
      </c>
      <c r="P320" s="402"/>
      <c r="Q320" s="402"/>
      <c r="R320" s="402"/>
      <c r="S320" s="402"/>
      <c r="T320" s="402"/>
      <c r="U320" s="403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5" t="s">
        <v>484</v>
      </c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8"/>
      <c r="AA321" s="48"/>
    </row>
    <row r="322" spans="1:67" ht="16.5" hidden="1" customHeight="1" x14ac:dyDescent="0.25">
      <c r="A322" s="427" t="s">
        <v>485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74"/>
      <c r="AA322" s="374"/>
    </row>
    <row r="323" spans="1:67" ht="14.25" hidden="1" customHeight="1" x14ac:dyDescent="0.25">
      <c r="A323" s="438" t="s">
        <v>113</v>
      </c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667</v>
      </c>
      <c r="X326" s="381">
        <f t="shared" si="59"/>
        <v>675</v>
      </c>
      <c r="Y326" s="36">
        <f>IFERROR(IF(X326=0,"",ROUNDUP(X326/H326,0)*0.02175),"")</f>
        <v>0.9787499999999999</v>
      </c>
      <c r="Z326" s="56"/>
      <c r="AA326" s="57"/>
      <c r="AE326" s="64"/>
      <c r="BB326" s="247" t="s">
        <v>1</v>
      </c>
      <c r="BL326" s="64">
        <f t="shared" si="60"/>
        <v>688.34399999999994</v>
      </c>
      <c r="BM326" s="64">
        <f t="shared" si="61"/>
        <v>696.6</v>
      </c>
      <c r="BN326" s="64">
        <f t="shared" si="62"/>
        <v>0.92638888888888893</v>
      </c>
      <c r="BO326" s="64">
        <f t="shared" si="63"/>
        <v>0.9375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683</v>
      </c>
      <c r="X328" s="381">
        <f t="shared" si="59"/>
        <v>690</v>
      </c>
      <c r="Y328" s="36">
        <f>IFERROR(IF(X328=0,"",ROUNDUP(X328/H328,0)*0.02175),"")</f>
        <v>1.0004999999999999</v>
      </c>
      <c r="Z328" s="56"/>
      <c r="AA328" s="57"/>
      <c r="AE328" s="64"/>
      <c r="BB328" s="249" t="s">
        <v>1</v>
      </c>
      <c r="BL328" s="64">
        <f t="shared" si="60"/>
        <v>704.85599999999999</v>
      </c>
      <c r="BM328" s="64">
        <f t="shared" si="61"/>
        <v>712.08</v>
      </c>
      <c r="BN328" s="64">
        <f t="shared" si="62"/>
        <v>0.94861111111111107</v>
      </c>
      <c r="BO328" s="64">
        <f t="shared" si="63"/>
        <v>0.95833333333333326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371</v>
      </c>
      <c r="X330" s="381">
        <f t="shared" si="59"/>
        <v>375</v>
      </c>
      <c r="Y330" s="36">
        <f>IFERROR(IF(X330=0,"",ROUNDUP(X330/H330,0)*0.02175),"")</f>
        <v>0.54374999999999996</v>
      </c>
      <c r="Z330" s="56"/>
      <c r="AA330" s="57"/>
      <c r="AE330" s="64"/>
      <c r="BB330" s="251" t="s">
        <v>1</v>
      </c>
      <c r="BL330" s="64">
        <f t="shared" si="60"/>
        <v>382.87200000000001</v>
      </c>
      <c r="BM330" s="64">
        <f t="shared" si="61"/>
        <v>387</v>
      </c>
      <c r="BN330" s="64">
        <f t="shared" si="62"/>
        <v>0.51527777777777772</v>
      </c>
      <c r="BO330" s="64">
        <f t="shared" si="63"/>
        <v>0.52083333333333326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01" t="s">
        <v>70</v>
      </c>
      <c r="P336" s="402"/>
      <c r="Q336" s="402"/>
      <c r="R336" s="402"/>
      <c r="S336" s="402"/>
      <c r="T336" s="402"/>
      <c r="U336" s="403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114.73333333333333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116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2.5229999999999997</v>
      </c>
      <c r="Z336" s="383"/>
      <c r="AA336" s="383"/>
    </row>
    <row r="337" spans="1:67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01" t="s">
        <v>70</v>
      </c>
      <c r="P337" s="402"/>
      <c r="Q337" s="402"/>
      <c r="R337" s="402"/>
      <c r="S337" s="402"/>
      <c r="T337" s="402"/>
      <c r="U337" s="403"/>
      <c r="V337" s="37" t="s">
        <v>66</v>
      </c>
      <c r="W337" s="382">
        <f>IFERROR(SUM(W324:W335),"0")</f>
        <v>1721</v>
      </c>
      <c r="X337" s="382">
        <f>IFERROR(SUM(X324:X335),"0")</f>
        <v>1740</v>
      </c>
      <c r="Y337" s="37"/>
      <c r="Z337" s="383"/>
      <c r="AA337" s="383"/>
    </row>
    <row r="338" spans="1:67" ht="14.25" hidden="1" customHeight="1" x14ac:dyDescent="0.25">
      <c r="A338" s="438" t="s">
        <v>105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343</v>
      </c>
      <c r="X339" s="381">
        <f>IFERROR(IF(W339="",0,CEILING((W339/$H339),1)*$H339),"")</f>
        <v>345</v>
      </c>
      <c r="Y339" s="36">
        <f>IFERROR(IF(X339=0,"",ROUNDUP(X339/H339,0)*0.02175),"")</f>
        <v>0.50024999999999997</v>
      </c>
      <c r="Z339" s="56"/>
      <c r="AA339" s="57"/>
      <c r="AE339" s="64"/>
      <c r="BB339" s="257" t="s">
        <v>1</v>
      </c>
      <c r="BL339" s="64">
        <f>IFERROR(W339*I339/H339,"0")</f>
        <v>353.976</v>
      </c>
      <c r="BM339" s="64">
        <f>IFERROR(X339*I339/H339,"0")</f>
        <v>356.04</v>
      </c>
      <c r="BN339" s="64">
        <f>IFERROR(1/J339*(W339/H339),"0")</f>
        <v>0.47638888888888886</v>
      </c>
      <c r="BO339" s="64">
        <f>IFERROR(1/J339*(X339/H339),"0")</f>
        <v>0.47916666666666663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5"/>
      <c r="O341" s="401" t="s">
        <v>70</v>
      </c>
      <c r="P341" s="402"/>
      <c r="Q341" s="402"/>
      <c r="R341" s="402"/>
      <c r="S341" s="402"/>
      <c r="T341" s="402"/>
      <c r="U341" s="403"/>
      <c r="V341" s="37" t="s">
        <v>71</v>
      </c>
      <c r="W341" s="382">
        <f>IFERROR(W339/H339,"0")+IFERROR(W340/H340,"0")</f>
        <v>22.866666666666667</v>
      </c>
      <c r="X341" s="382">
        <f>IFERROR(X339/H339,"0")+IFERROR(X340/H340,"0")</f>
        <v>23</v>
      </c>
      <c r="Y341" s="382">
        <f>IFERROR(IF(Y339="",0,Y339),"0")+IFERROR(IF(Y340="",0,Y340),"0")</f>
        <v>0.50024999999999997</v>
      </c>
      <c r="Z341" s="383"/>
      <c r="AA341" s="383"/>
    </row>
    <row r="342" spans="1:67" x14ac:dyDescent="0.2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01" t="s">
        <v>70</v>
      </c>
      <c r="P342" s="402"/>
      <c r="Q342" s="402"/>
      <c r="R342" s="402"/>
      <c r="S342" s="402"/>
      <c r="T342" s="402"/>
      <c r="U342" s="403"/>
      <c r="V342" s="37" t="s">
        <v>66</v>
      </c>
      <c r="W342" s="382">
        <f>IFERROR(SUM(W339:W340),"0")</f>
        <v>343</v>
      </c>
      <c r="X342" s="382">
        <f>IFERROR(SUM(X339:X340),"0")</f>
        <v>345</v>
      </c>
      <c r="Y342" s="37"/>
      <c r="Z342" s="383"/>
      <c r="AA342" s="383"/>
    </row>
    <row r="343" spans="1:67" ht="14.25" hidden="1" customHeight="1" x14ac:dyDescent="0.25">
      <c r="A343" s="438" t="s">
        <v>72</v>
      </c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111</v>
      </c>
      <c r="X346" s="381">
        <f>IFERROR(IF(W346="",0,CEILING((W346/$H346),1)*$H346),"")</f>
        <v>117</v>
      </c>
      <c r="Y346" s="36">
        <f>IFERROR(IF(X346=0,"",ROUNDUP(X346/H346,0)*0.02175),"")</f>
        <v>0.32624999999999998</v>
      </c>
      <c r="Z346" s="56"/>
      <c r="AA346" s="57"/>
      <c r="AE346" s="64"/>
      <c r="BB346" s="261" t="s">
        <v>1</v>
      </c>
      <c r="BL346" s="64">
        <f>IFERROR(W346*I346/H346,"0")</f>
        <v>119.02615384615386</v>
      </c>
      <c r="BM346" s="64">
        <f>IFERROR(X346*I346/H346,"0")</f>
        <v>125.46000000000001</v>
      </c>
      <c r="BN346" s="64">
        <f>IFERROR(1/J346*(W346/H346),"0")</f>
        <v>0.25412087912087911</v>
      </c>
      <c r="BO346" s="64">
        <f>IFERROR(1/J346*(X346/H346),"0")</f>
        <v>0.26785714285714285</v>
      </c>
    </row>
    <row r="347" spans="1:67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01" t="s">
        <v>70</v>
      </c>
      <c r="P347" s="402"/>
      <c r="Q347" s="402"/>
      <c r="R347" s="402"/>
      <c r="S347" s="402"/>
      <c r="T347" s="402"/>
      <c r="U347" s="403"/>
      <c r="V347" s="37" t="s">
        <v>71</v>
      </c>
      <c r="W347" s="382">
        <f>IFERROR(W344/H344,"0")+IFERROR(W345/H345,"0")+IFERROR(W346/H346,"0")</f>
        <v>14.230769230769232</v>
      </c>
      <c r="X347" s="382">
        <f>IFERROR(X344/H344,"0")+IFERROR(X345/H345,"0")+IFERROR(X346/H346,"0")</f>
        <v>15</v>
      </c>
      <c r="Y347" s="382">
        <f>IFERROR(IF(Y344="",0,Y344),"0")+IFERROR(IF(Y345="",0,Y345),"0")+IFERROR(IF(Y346="",0,Y346),"0")</f>
        <v>0.32624999999999998</v>
      </c>
      <c r="Z347" s="383"/>
      <c r="AA347" s="383"/>
    </row>
    <row r="348" spans="1:67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01" t="s">
        <v>70</v>
      </c>
      <c r="P348" s="402"/>
      <c r="Q348" s="402"/>
      <c r="R348" s="402"/>
      <c r="S348" s="402"/>
      <c r="T348" s="402"/>
      <c r="U348" s="403"/>
      <c r="V348" s="37" t="s">
        <v>66</v>
      </c>
      <c r="W348" s="382">
        <f>IFERROR(SUM(W344:W346),"0")</f>
        <v>111</v>
      </c>
      <c r="X348" s="382">
        <f>IFERROR(SUM(X344:X346),"0")</f>
        <v>117</v>
      </c>
      <c r="Y348" s="37"/>
      <c r="Z348" s="383"/>
      <c r="AA348" s="383"/>
    </row>
    <row r="349" spans="1:67" ht="14.25" hidden="1" customHeight="1" x14ac:dyDescent="0.25">
      <c r="A349" s="438" t="s">
        <v>213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3"/>
      <c r="AA349" s="373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393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5"/>
      <c r="O352" s="401" t="s">
        <v>70</v>
      </c>
      <c r="P352" s="402"/>
      <c r="Q352" s="402"/>
      <c r="R352" s="402"/>
      <c r="S352" s="402"/>
      <c r="T352" s="402"/>
      <c r="U352" s="403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5"/>
      <c r="O353" s="401" t="s">
        <v>70</v>
      </c>
      <c r="P353" s="402"/>
      <c r="Q353" s="402"/>
      <c r="R353" s="402"/>
      <c r="S353" s="402"/>
      <c r="T353" s="402"/>
      <c r="U353" s="403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427" t="s">
        <v>519</v>
      </c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74"/>
      <c r="AA354" s="374"/>
    </row>
    <row r="355" spans="1:67" ht="14.25" hidden="1" customHeight="1" x14ac:dyDescent="0.25">
      <c r="A355" s="438" t="s">
        <v>113</v>
      </c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5"/>
      <c r="O358" s="401" t="s">
        <v>70</v>
      </c>
      <c r="P358" s="402"/>
      <c r="Q358" s="402"/>
      <c r="R358" s="402"/>
      <c r="S358" s="402"/>
      <c r="T358" s="402"/>
      <c r="U358" s="403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5"/>
      <c r="O359" s="401" t="s">
        <v>70</v>
      </c>
      <c r="P359" s="402"/>
      <c r="Q359" s="402"/>
      <c r="R359" s="402"/>
      <c r="S359" s="402"/>
      <c r="T359" s="402"/>
      <c r="U359" s="403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38" t="s">
        <v>61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5"/>
      <c r="O364" s="401" t="s">
        <v>70</v>
      </c>
      <c r="P364" s="402"/>
      <c r="Q364" s="402"/>
      <c r="R364" s="402"/>
      <c r="S364" s="402"/>
      <c r="T364" s="402"/>
      <c r="U364" s="403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4"/>
      <c r="B365" s="394"/>
      <c r="C365" s="394"/>
      <c r="D365" s="394"/>
      <c r="E365" s="394"/>
      <c r="F365" s="394"/>
      <c r="G365" s="394"/>
      <c r="H365" s="394"/>
      <c r="I365" s="394"/>
      <c r="J365" s="394"/>
      <c r="K365" s="394"/>
      <c r="L365" s="394"/>
      <c r="M365" s="394"/>
      <c r="N365" s="395"/>
      <c r="O365" s="401" t="s">
        <v>70</v>
      </c>
      <c r="P365" s="402"/>
      <c r="Q365" s="402"/>
      <c r="R365" s="402"/>
      <c r="S365" s="402"/>
      <c r="T365" s="402"/>
      <c r="U365" s="403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38" t="s">
        <v>72</v>
      </c>
      <c r="B366" s="394"/>
      <c r="C366" s="394"/>
      <c r="D366" s="394"/>
      <c r="E366" s="394"/>
      <c r="F366" s="394"/>
      <c r="G366" s="394"/>
      <c r="H366" s="394"/>
      <c r="I366" s="394"/>
      <c r="J366" s="394"/>
      <c r="K366" s="394"/>
      <c r="L366" s="394"/>
      <c r="M366" s="394"/>
      <c r="N366" s="394"/>
      <c r="O366" s="394"/>
      <c r="P366" s="394"/>
      <c r="Q366" s="394"/>
      <c r="R366" s="394"/>
      <c r="S366" s="394"/>
      <c r="T366" s="394"/>
      <c r="U366" s="394"/>
      <c r="V366" s="394"/>
      <c r="W366" s="394"/>
      <c r="X366" s="394"/>
      <c r="Y366" s="394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277</v>
      </c>
      <c r="X367" s="381">
        <f>IFERROR(IF(W367="",0,CEILING((W367/$H367),1)*$H367),"")</f>
        <v>280.8</v>
      </c>
      <c r="Y367" s="36">
        <f>IFERROR(IF(X367=0,"",ROUNDUP(X367/H367,0)*0.02175),"")</f>
        <v>0.78299999999999992</v>
      </c>
      <c r="Z367" s="56"/>
      <c r="AA367" s="57"/>
      <c r="AE367" s="64"/>
      <c r="BB367" s="269" t="s">
        <v>1</v>
      </c>
      <c r="BL367" s="64">
        <f>IFERROR(W367*I367/H367,"0")</f>
        <v>297.02923076923082</v>
      </c>
      <c r="BM367" s="64">
        <f>IFERROR(X367*I367/H367,"0")</f>
        <v>301.10400000000004</v>
      </c>
      <c r="BN367" s="64">
        <f>IFERROR(1/J367*(W367/H367),"0")</f>
        <v>0.63415750915750912</v>
      </c>
      <c r="BO367" s="64">
        <f>IFERROR(1/J367*(X367/H367),"0")</f>
        <v>0.64285714285714279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5"/>
      <c r="O372" s="401" t="s">
        <v>70</v>
      </c>
      <c r="P372" s="402"/>
      <c r="Q372" s="402"/>
      <c r="R372" s="402"/>
      <c r="S372" s="402"/>
      <c r="T372" s="402"/>
      <c r="U372" s="403"/>
      <c r="V372" s="37" t="s">
        <v>71</v>
      </c>
      <c r="W372" s="382">
        <f>IFERROR(W367/H367,"0")+IFERROR(W368/H368,"0")+IFERROR(W369/H369,"0")+IFERROR(W370/H370,"0")+IFERROR(W371/H371,"0")</f>
        <v>35.512820512820511</v>
      </c>
      <c r="X372" s="382">
        <f>IFERROR(X367/H367,"0")+IFERROR(X368/H368,"0")+IFERROR(X369/H369,"0")+IFERROR(X370/H370,"0")+IFERROR(X371/H371,"0")</f>
        <v>36</v>
      </c>
      <c r="Y372" s="382">
        <f>IFERROR(IF(Y367="",0,Y367),"0")+IFERROR(IF(Y368="",0,Y368),"0")+IFERROR(IF(Y369="",0,Y369),"0")+IFERROR(IF(Y370="",0,Y370),"0")+IFERROR(IF(Y371="",0,Y371),"0")</f>
        <v>0.78299999999999992</v>
      </c>
      <c r="Z372" s="383"/>
      <c r="AA372" s="383"/>
    </row>
    <row r="373" spans="1:67" x14ac:dyDescent="0.2">
      <c r="A373" s="394"/>
      <c r="B373" s="394"/>
      <c r="C373" s="394"/>
      <c r="D373" s="394"/>
      <c r="E373" s="394"/>
      <c r="F373" s="394"/>
      <c r="G373" s="394"/>
      <c r="H373" s="394"/>
      <c r="I373" s="394"/>
      <c r="J373" s="394"/>
      <c r="K373" s="394"/>
      <c r="L373" s="394"/>
      <c r="M373" s="394"/>
      <c r="N373" s="395"/>
      <c r="O373" s="401" t="s">
        <v>70</v>
      </c>
      <c r="P373" s="402"/>
      <c r="Q373" s="402"/>
      <c r="R373" s="402"/>
      <c r="S373" s="402"/>
      <c r="T373" s="402"/>
      <c r="U373" s="403"/>
      <c r="V373" s="37" t="s">
        <v>66</v>
      </c>
      <c r="W373" s="382">
        <f>IFERROR(SUM(W367:W371),"0")</f>
        <v>277</v>
      </c>
      <c r="X373" s="382">
        <f>IFERROR(SUM(X367:X371),"0")</f>
        <v>280.8</v>
      </c>
      <c r="Y373" s="37"/>
      <c r="Z373" s="383"/>
      <c r="AA373" s="383"/>
    </row>
    <row r="374" spans="1:67" ht="14.25" hidden="1" customHeight="1" x14ac:dyDescent="0.25">
      <c r="A374" s="438" t="s">
        <v>213</v>
      </c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  <c r="X374" s="394"/>
      <c r="Y374" s="394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5"/>
      <c r="O377" s="401" t="s">
        <v>70</v>
      </c>
      <c r="P377" s="402"/>
      <c r="Q377" s="402"/>
      <c r="R377" s="402"/>
      <c r="S377" s="402"/>
      <c r="T377" s="402"/>
      <c r="U377" s="403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5"/>
      <c r="O378" s="401" t="s">
        <v>70</v>
      </c>
      <c r="P378" s="402"/>
      <c r="Q378" s="402"/>
      <c r="R378" s="402"/>
      <c r="S378" s="402"/>
      <c r="T378" s="402"/>
      <c r="U378" s="403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5" t="s">
        <v>541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8"/>
      <c r="AA379" s="48"/>
    </row>
    <row r="380" spans="1:67" ht="16.5" hidden="1" customHeight="1" x14ac:dyDescent="0.25">
      <c r="A380" s="427" t="s">
        <v>542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74"/>
      <c r="AA380" s="374"/>
    </row>
    <row r="381" spans="1:67" ht="14.25" hidden="1" customHeight="1" x14ac:dyDescent="0.25">
      <c r="A381" s="438" t="s">
        <v>113</v>
      </c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  <c r="X381" s="394"/>
      <c r="Y381" s="394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5"/>
      <c r="O384" s="401" t="s">
        <v>70</v>
      </c>
      <c r="P384" s="402"/>
      <c r="Q384" s="402"/>
      <c r="R384" s="402"/>
      <c r="S384" s="402"/>
      <c r="T384" s="402"/>
      <c r="U384" s="403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4"/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5"/>
      <c r="O385" s="401" t="s">
        <v>70</v>
      </c>
      <c r="P385" s="402"/>
      <c r="Q385" s="402"/>
      <c r="R385" s="402"/>
      <c r="S385" s="402"/>
      <c r="T385" s="402"/>
      <c r="U385" s="403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38" t="s">
        <v>61</v>
      </c>
      <c r="B386" s="394"/>
      <c r="C386" s="394"/>
      <c r="D386" s="394"/>
      <c r="E386" s="394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  <c r="X386" s="394"/>
      <c r="Y386" s="394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65</v>
      </c>
      <c r="X387" s="381">
        <f t="shared" ref="X387:X409" si="64">IFERROR(IF(W387="",0,CEILING((W387/$H387),1)*$H387),"")</f>
        <v>67.2</v>
      </c>
      <c r="Y387" s="36">
        <f t="shared" ref="Y387:Y393" si="65">IFERROR(IF(X387=0,"",ROUNDUP(X387/H387,0)*0.00753),"")</f>
        <v>0.12048</v>
      </c>
      <c r="Z387" s="56"/>
      <c r="AA387" s="57"/>
      <c r="AE387" s="64"/>
      <c r="BB387" s="278" t="s">
        <v>1</v>
      </c>
      <c r="BL387" s="64">
        <f t="shared" ref="BL387:BL409" si="66">IFERROR(W387*I387/H387,"0")</f>
        <v>68.55952380952381</v>
      </c>
      <c r="BM387" s="64">
        <f t="shared" ref="BM387:BM409" si="67">IFERROR(X387*I387/H387,"0")</f>
        <v>70.88</v>
      </c>
      <c r="BN387" s="64">
        <f t="shared" ref="BN387:BN409" si="68">IFERROR(1/J387*(W387/H387),"0")</f>
        <v>9.9206349206349201E-2</v>
      </c>
      <c r="BO387" s="64">
        <f t="shared" ref="BO387:BO409" si="69">IFERROR(1/J387*(X387/H387),"0")</f>
        <v>0.10256410256410256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1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5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22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153</v>
      </c>
      <c r="X392" s="381">
        <f t="shared" si="64"/>
        <v>155.4</v>
      </c>
      <c r="Y392" s="36">
        <f t="shared" si="65"/>
        <v>0.27861000000000002</v>
      </c>
      <c r="Z392" s="56"/>
      <c r="AA392" s="57"/>
      <c r="AE392" s="64"/>
      <c r="BB392" s="283" t="s">
        <v>1</v>
      </c>
      <c r="BL392" s="64">
        <f t="shared" si="66"/>
        <v>161.37857142857141</v>
      </c>
      <c r="BM392" s="64">
        <f t="shared" si="67"/>
        <v>163.91</v>
      </c>
      <c r="BN392" s="64">
        <f t="shared" si="68"/>
        <v>0.23351648351648346</v>
      </c>
      <c r="BO392" s="64">
        <f t="shared" si="69"/>
        <v>0.23717948717948717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8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2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68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19</v>
      </c>
      <c r="X406" s="381">
        <f t="shared" si="64"/>
        <v>21</v>
      </c>
      <c r="Y406" s="36">
        <f t="shared" si="70"/>
        <v>5.0200000000000002E-2</v>
      </c>
      <c r="Z406" s="56"/>
      <c r="AA406" s="57"/>
      <c r="AE406" s="64"/>
      <c r="BB406" s="297" t="s">
        <v>1</v>
      </c>
      <c r="BL406" s="64">
        <f t="shared" si="66"/>
        <v>20.176190476190474</v>
      </c>
      <c r="BM406" s="64">
        <f t="shared" si="67"/>
        <v>22.299999999999997</v>
      </c>
      <c r="BN406" s="64">
        <f t="shared" si="68"/>
        <v>3.8665038665038669E-2</v>
      </c>
      <c r="BO406" s="64">
        <f t="shared" si="69"/>
        <v>4.2735042735042736E-2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1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5"/>
      <c r="O410" s="401" t="s">
        <v>70</v>
      </c>
      <c r="P410" s="402"/>
      <c r="Q410" s="402"/>
      <c r="R410" s="402"/>
      <c r="S410" s="402"/>
      <c r="T410" s="402"/>
      <c r="U410" s="403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60.952380952380949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63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0.44929000000000008</v>
      </c>
      <c r="Z410" s="383"/>
      <c r="AA410" s="383"/>
    </row>
    <row r="411" spans="1:67" x14ac:dyDescent="0.2">
      <c r="A411" s="394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5"/>
      <c r="O411" s="401" t="s">
        <v>70</v>
      </c>
      <c r="P411" s="402"/>
      <c r="Q411" s="402"/>
      <c r="R411" s="402"/>
      <c r="S411" s="402"/>
      <c r="T411" s="402"/>
      <c r="U411" s="403"/>
      <c r="V411" s="37" t="s">
        <v>66</v>
      </c>
      <c r="W411" s="382">
        <f>IFERROR(SUM(W387:W409),"0")</f>
        <v>237</v>
      </c>
      <c r="X411" s="382">
        <f>IFERROR(SUM(X387:X409),"0")</f>
        <v>243.60000000000002</v>
      </c>
      <c r="Y411" s="37"/>
      <c r="Z411" s="383"/>
      <c r="AA411" s="383"/>
    </row>
    <row r="412" spans="1:67" ht="14.25" hidden="1" customHeight="1" x14ac:dyDescent="0.25">
      <c r="A412" s="438" t="s">
        <v>72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  <c r="X412" s="394"/>
      <c r="Y412" s="394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5"/>
      <c r="O415" s="401" t="s">
        <v>70</v>
      </c>
      <c r="P415" s="402"/>
      <c r="Q415" s="402"/>
      <c r="R415" s="402"/>
      <c r="S415" s="402"/>
      <c r="T415" s="402"/>
      <c r="U415" s="403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4"/>
      <c r="B416" s="394"/>
      <c r="C416" s="394"/>
      <c r="D416" s="394"/>
      <c r="E416" s="394"/>
      <c r="F416" s="394"/>
      <c r="G416" s="394"/>
      <c r="H416" s="394"/>
      <c r="I416" s="394"/>
      <c r="J416" s="394"/>
      <c r="K416" s="394"/>
      <c r="L416" s="394"/>
      <c r="M416" s="394"/>
      <c r="N416" s="395"/>
      <c r="O416" s="401" t="s">
        <v>70</v>
      </c>
      <c r="P416" s="402"/>
      <c r="Q416" s="402"/>
      <c r="R416" s="402"/>
      <c r="S416" s="402"/>
      <c r="T416" s="402"/>
      <c r="U416" s="403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38" t="s">
        <v>91</v>
      </c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  <c r="X417" s="394"/>
      <c r="Y417" s="394"/>
      <c r="Z417" s="373"/>
      <c r="AA417" s="373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5"/>
      <c r="O421" s="401" t="s">
        <v>70</v>
      </c>
      <c r="P421" s="402"/>
      <c r="Q421" s="402"/>
      <c r="R421" s="402"/>
      <c r="S421" s="402"/>
      <c r="T421" s="402"/>
      <c r="U421" s="403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4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5"/>
      <c r="O422" s="401" t="s">
        <v>70</v>
      </c>
      <c r="P422" s="402"/>
      <c r="Q422" s="402"/>
      <c r="R422" s="402"/>
      <c r="S422" s="402"/>
      <c r="T422" s="402"/>
      <c r="U422" s="403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7" t="s">
        <v>606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394"/>
      <c r="Z423" s="374"/>
      <c r="AA423" s="374"/>
    </row>
    <row r="424" spans="1:67" ht="14.25" hidden="1" customHeight="1" x14ac:dyDescent="0.25">
      <c r="A424" s="438" t="s">
        <v>105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25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5"/>
      <c r="O426" s="401" t="s">
        <v>70</v>
      </c>
      <c r="P426" s="402"/>
      <c r="Q426" s="402"/>
      <c r="R426" s="402"/>
      <c r="S426" s="402"/>
      <c r="T426" s="402"/>
      <c r="U426" s="403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5"/>
      <c r="O427" s="401" t="s">
        <v>70</v>
      </c>
      <c r="P427" s="402"/>
      <c r="Q427" s="402"/>
      <c r="R427" s="402"/>
      <c r="S427" s="402"/>
      <c r="T427" s="402"/>
      <c r="U427" s="403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38" t="s">
        <v>61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8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137</v>
      </c>
      <c r="X430" s="381">
        <f t="shared" si="71"/>
        <v>138.6</v>
      </c>
      <c r="Y430" s="36">
        <f>IFERROR(IF(X430=0,"",ROUNDUP(X430/H430,0)*0.00753),"")</f>
        <v>0.24849000000000002</v>
      </c>
      <c r="Z430" s="56"/>
      <c r="AA430" s="57"/>
      <c r="AE430" s="64"/>
      <c r="BB430" s="308" t="s">
        <v>1</v>
      </c>
      <c r="BL430" s="64">
        <f t="shared" si="72"/>
        <v>144.50238095238095</v>
      </c>
      <c r="BM430" s="64">
        <f t="shared" si="73"/>
        <v>146.18999999999997</v>
      </c>
      <c r="BN430" s="64">
        <f t="shared" si="74"/>
        <v>0.2090964590964591</v>
      </c>
      <c r="BO430" s="64">
        <f t="shared" si="75"/>
        <v>0.21153846153846154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5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1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0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3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5"/>
      <c r="O437" s="401" t="s">
        <v>70</v>
      </c>
      <c r="P437" s="402"/>
      <c r="Q437" s="402"/>
      <c r="R437" s="402"/>
      <c r="S437" s="402"/>
      <c r="T437" s="402"/>
      <c r="U437" s="403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32.61904761904762</v>
      </c>
      <c r="X437" s="382">
        <f>IFERROR(X429/H429,"0")+IFERROR(X430/H430,"0")+IFERROR(X431/H431,"0")+IFERROR(X432/H432,"0")+IFERROR(X433/H433,"0")+IFERROR(X434/H434,"0")+IFERROR(X435/H435,"0")+IFERROR(X436/H436,"0")</f>
        <v>33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0.24849000000000002</v>
      </c>
      <c r="Z437" s="383"/>
      <c r="AA437" s="383"/>
    </row>
    <row r="438" spans="1:67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5"/>
      <c r="O438" s="401" t="s">
        <v>70</v>
      </c>
      <c r="P438" s="402"/>
      <c r="Q438" s="402"/>
      <c r="R438" s="402"/>
      <c r="S438" s="402"/>
      <c r="T438" s="402"/>
      <c r="U438" s="403"/>
      <c r="V438" s="37" t="s">
        <v>66</v>
      </c>
      <c r="W438" s="382">
        <f>IFERROR(SUM(W429:W436),"0")</f>
        <v>137</v>
      </c>
      <c r="X438" s="382">
        <f>IFERROR(SUM(X429:X436),"0")</f>
        <v>138.6</v>
      </c>
      <c r="Y438" s="37"/>
      <c r="Z438" s="383"/>
      <c r="AA438" s="383"/>
    </row>
    <row r="439" spans="1:67" ht="14.25" hidden="1" customHeight="1" x14ac:dyDescent="0.25">
      <c r="A439" s="438" t="s">
        <v>91</v>
      </c>
      <c r="B439" s="394"/>
      <c r="C439" s="394"/>
      <c r="D439" s="394"/>
      <c r="E439" s="394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  <c r="X439" s="394"/>
      <c r="Y439" s="394"/>
      <c r="Z439" s="373"/>
      <c r="AA439" s="373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01" t="s">
        <v>70</v>
      </c>
      <c r="P441" s="402"/>
      <c r="Q441" s="402"/>
      <c r="R441" s="402"/>
      <c r="S441" s="402"/>
      <c r="T441" s="402"/>
      <c r="U441" s="403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5"/>
      <c r="O442" s="401" t="s">
        <v>70</v>
      </c>
      <c r="P442" s="402"/>
      <c r="Q442" s="402"/>
      <c r="R442" s="402"/>
      <c r="S442" s="402"/>
      <c r="T442" s="402"/>
      <c r="U442" s="403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438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3"/>
      <c r="AA443" s="373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01" t="s">
        <v>70</v>
      </c>
      <c r="P445" s="402"/>
      <c r="Q445" s="402"/>
      <c r="R445" s="402"/>
      <c r="S445" s="402"/>
      <c r="T445" s="402"/>
      <c r="U445" s="403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5"/>
      <c r="O446" s="401" t="s">
        <v>70</v>
      </c>
      <c r="P446" s="402"/>
      <c r="Q446" s="402"/>
      <c r="R446" s="402"/>
      <c r="S446" s="402"/>
      <c r="T446" s="402"/>
      <c r="U446" s="403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438" t="s">
        <v>631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2</v>
      </c>
      <c r="X448" s="381">
        <f>IFERROR(IF(W448="",0,CEILING((W448/$H448),1)*$H448),"")</f>
        <v>3</v>
      </c>
      <c r="Y448" s="36">
        <f>IFERROR(IF(X448=0,"",ROUNDUP(X448/H448,0)*0.00627),"")</f>
        <v>6.2700000000000004E-3</v>
      </c>
      <c r="Z448" s="56"/>
      <c r="AA448" s="57"/>
      <c r="AE448" s="64"/>
      <c r="BB448" s="317" t="s">
        <v>1</v>
      </c>
      <c r="BL448" s="64">
        <f>IFERROR(W448*I448/H448,"0")</f>
        <v>2.4</v>
      </c>
      <c r="BM448" s="64">
        <f>IFERROR(X448*I448/H448,"0")</f>
        <v>3.6</v>
      </c>
      <c r="BN448" s="64">
        <f>IFERROR(1/J448*(W448/H448),"0")</f>
        <v>3.3333333333333331E-3</v>
      </c>
      <c r="BO448" s="64">
        <f>IFERROR(1/J448*(X448/H448),"0")</f>
        <v>5.0000000000000001E-3</v>
      </c>
    </row>
    <row r="449" spans="1:67" x14ac:dyDescent="0.2">
      <c r="A449" s="393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01" t="s">
        <v>70</v>
      </c>
      <c r="P449" s="402"/>
      <c r="Q449" s="402"/>
      <c r="R449" s="402"/>
      <c r="S449" s="402"/>
      <c r="T449" s="402"/>
      <c r="U449" s="403"/>
      <c r="V449" s="37" t="s">
        <v>71</v>
      </c>
      <c r="W449" s="382">
        <f>IFERROR(W448/H448,"0")</f>
        <v>0.66666666666666663</v>
      </c>
      <c r="X449" s="382">
        <f>IFERROR(X448/H448,"0")</f>
        <v>1</v>
      </c>
      <c r="Y449" s="382">
        <f>IFERROR(IF(Y448="",0,Y448),"0")</f>
        <v>6.2700000000000004E-3</v>
      </c>
      <c r="Z449" s="383"/>
      <c r="AA449" s="383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5"/>
      <c r="O450" s="401" t="s">
        <v>70</v>
      </c>
      <c r="P450" s="402"/>
      <c r="Q450" s="402"/>
      <c r="R450" s="402"/>
      <c r="S450" s="402"/>
      <c r="T450" s="402"/>
      <c r="U450" s="403"/>
      <c r="V450" s="37" t="s">
        <v>66</v>
      </c>
      <c r="W450" s="382">
        <f>IFERROR(SUM(W448:W448),"0")</f>
        <v>2</v>
      </c>
      <c r="X450" s="382">
        <f>IFERROR(SUM(X448:X448),"0")</f>
        <v>3</v>
      </c>
      <c r="Y450" s="37"/>
      <c r="Z450" s="383"/>
      <c r="AA450" s="383"/>
    </row>
    <row r="451" spans="1:67" ht="16.5" hidden="1" customHeight="1" x14ac:dyDescent="0.25">
      <c r="A451" s="427" t="s">
        <v>634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4"/>
      <c r="AA451" s="374"/>
    </row>
    <row r="452" spans="1:67" ht="14.25" hidden="1" customHeight="1" x14ac:dyDescent="0.25">
      <c r="A452" s="438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9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01" t="s">
        <v>70</v>
      </c>
      <c r="P456" s="402"/>
      <c r="Q456" s="402"/>
      <c r="R456" s="402"/>
      <c r="S456" s="402"/>
      <c r="T456" s="402"/>
      <c r="U456" s="403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5"/>
      <c r="O457" s="401" t="s">
        <v>70</v>
      </c>
      <c r="P457" s="402"/>
      <c r="Q457" s="402"/>
      <c r="R457" s="402"/>
      <c r="S457" s="402"/>
      <c r="T457" s="402"/>
      <c r="U457" s="403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7" t="s">
        <v>641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4"/>
      <c r="AA458" s="374"/>
    </row>
    <row r="459" spans="1:67" ht="14.25" hidden="1" customHeight="1" x14ac:dyDescent="0.25">
      <c r="A459" s="438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85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01" t="s">
        <v>70</v>
      </c>
      <c r="P462" s="402"/>
      <c r="Q462" s="402"/>
      <c r="R462" s="402"/>
      <c r="S462" s="402"/>
      <c r="T462" s="402"/>
      <c r="U462" s="403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5"/>
      <c r="O463" s="401" t="s">
        <v>70</v>
      </c>
      <c r="P463" s="402"/>
      <c r="Q463" s="402"/>
      <c r="R463" s="402"/>
      <c r="S463" s="402"/>
      <c r="T463" s="402"/>
      <c r="U463" s="403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38" t="s">
        <v>213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6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01" t="s">
        <v>70</v>
      </c>
      <c r="P466" s="402"/>
      <c r="Q466" s="402"/>
      <c r="R466" s="402"/>
      <c r="S466" s="402"/>
      <c r="T466" s="402"/>
      <c r="U466" s="403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395"/>
      <c r="O467" s="401" t="s">
        <v>70</v>
      </c>
      <c r="P467" s="402"/>
      <c r="Q467" s="402"/>
      <c r="R467" s="402"/>
      <c r="S467" s="402"/>
      <c r="T467" s="402"/>
      <c r="U467" s="403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5" t="s">
        <v>650</v>
      </c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/>
      <c r="Q468" s="466"/>
      <c r="R468" s="466"/>
      <c r="S468" s="466"/>
      <c r="T468" s="466"/>
      <c r="U468" s="466"/>
      <c r="V468" s="466"/>
      <c r="W468" s="466"/>
      <c r="X468" s="466"/>
      <c r="Y468" s="466"/>
      <c r="Z468" s="48"/>
      <c r="AA468" s="48"/>
    </row>
    <row r="469" spans="1:67" ht="16.5" hidden="1" customHeight="1" x14ac:dyDescent="0.25">
      <c r="A469" s="427" t="s">
        <v>650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4"/>
      <c r="AA469" s="374"/>
    </row>
    <row r="470" spans="1:67" ht="14.25" hidden="1" customHeight="1" x14ac:dyDescent="0.25">
      <c r="A470" s="438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208</v>
      </c>
      <c r="X472" s="381">
        <f t="shared" si="77"/>
        <v>211.20000000000002</v>
      </c>
      <c r="Y472" s="36">
        <f t="shared" si="78"/>
        <v>0.47839999999999999</v>
      </c>
      <c r="Z472" s="56"/>
      <c r="AA472" s="57"/>
      <c r="AE472" s="64"/>
      <c r="BB472" s="325" t="s">
        <v>1</v>
      </c>
      <c r="BL472" s="64">
        <f t="shared" si="79"/>
        <v>222.18181818181816</v>
      </c>
      <c r="BM472" s="64">
        <f t="shared" si="80"/>
        <v>225.60000000000002</v>
      </c>
      <c r="BN472" s="64">
        <f t="shared" si="81"/>
        <v>0.37878787878787878</v>
      </c>
      <c r="BO472" s="64">
        <f t="shared" si="82"/>
        <v>0.38461538461538464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227</v>
      </c>
      <c r="X475" s="381">
        <f t="shared" si="77"/>
        <v>227.04000000000002</v>
      </c>
      <c r="Y475" s="36">
        <f t="shared" si="78"/>
        <v>0.51427999999999996</v>
      </c>
      <c r="Z475" s="56"/>
      <c r="AA475" s="57"/>
      <c r="AE475" s="64"/>
      <c r="BB475" s="328" t="s">
        <v>1</v>
      </c>
      <c r="BL475" s="64">
        <f t="shared" si="79"/>
        <v>242.47727272727272</v>
      </c>
      <c r="BM475" s="64">
        <f t="shared" si="80"/>
        <v>242.51999999999998</v>
      </c>
      <c r="BN475" s="64">
        <f t="shared" si="81"/>
        <v>0.41338869463869465</v>
      </c>
      <c r="BO475" s="64">
        <f t="shared" si="82"/>
        <v>0.41346153846153849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2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01" t="s">
        <v>70</v>
      </c>
      <c r="P481" s="402"/>
      <c r="Q481" s="402"/>
      <c r="R481" s="402"/>
      <c r="S481" s="402"/>
      <c r="T481" s="402"/>
      <c r="U481" s="403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82.386363636363626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83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0.99268000000000001</v>
      </c>
      <c r="Z481" s="383"/>
      <c r="AA481" s="383"/>
    </row>
    <row r="482" spans="1:67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01" t="s">
        <v>70</v>
      </c>
      <c r="P482" s="402"/>
      <c r="Q482" s="402"/>
      <c r="R482" s="402"/>
      <c r="S482" s="402"/>
      <c r="T482" s="402"/>
      <c r="U482" s="403"/>
      <c r="V482" s="37" t="s">
        <v>66</v>
      </c>
      <c r="W482" s="382">
        <f>IFERROR(SUM(W471:W480),"0")</f>
        <v>435</v>
      </c>
      <c r="X482" s="382">
        <f>IFERROR(SUM(X471:X480),"0")</f>
        <v>438.24</v>
      </c>
      <c r="Y482" s="37"/>
      <c r="Z482" s="383"/>
      <c r="AA482" s="383"/>
    </row>
    <row r="483" spans="1:67" ht="14.25" hidden="1" customHeight="1" x14ac:dyDescent="0.25">
      <c r="A483" s="438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170</v>
      </c>
      <c r="X484" s="381">
        <f>IFERROR(IF(W484="",0,CEILING((W484/$H484),1)*$H484),"")</f>
        <v>174.24</v>
      </c>
      <c r="Y484" s="36">
        <f>IFERROR(IF(X484=0,"",ROUNDUP(X484/H484,0)*0.01196),"")</f>
        <v>0.39468000000000003</v>
      </c>
      <c r="Z484" s="56"/>
      <c r="AA484" s="57"/>
      <c r="AE484" s="64"/>
      <c r="BB484" s="334" t="s">
        <v>1</v>
      </c>
      <c r="BL484" s="64">
        <f>IFERROR(W484*I484/H484,"0")</f>
        <v>181.59090909090907</v>
      </c>
      <c r="BM484" s="64">
        <f>IFERROR(X484*I484/H484,"0")</f>
        <v>186.12</v>
      </c>
      <c r="BN484" s="64">
        <f>IFERROR(1/J484*(W484/H484),"0")</f>
        <v>0.3095862470862471</v>
      </c>
      <c r="BO484" s="64">
        <f>IFERROR(1/J484*(X484/H484),"0")</f>
        <v>0.31730769230769235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01" t="s">
        <v>70</v>
      </c>
      <c r="P486" s="402"/>
      <c r="Q486" s="402"/>
      <c r="R486" s="402"/>
      <c r="S486" s="402"/>
      <c r="T486" s="402"/>
      <c r="U486" s="403"/>
      <c r="V486" s="37" t="s">
        <v>71</v>
      </c>
      <c r="W486" s="382">
        <f>IFERROR(W484/H484,"0")+IFERROR(W485/H485,"0")</f>
        <v>32.196969696969695</v>
      </c>
      <c r="X486" s="382">
        <f>IFERROR(X484/H484,"0")+IFERROR(X485/H485,"0")</f>
        <v>33</v>
      </c>
      <c r="Y486" s="382">
        <f>IFERROR(IF(Y484="",0,Y484),"0")+IFERROR(IF(Y485="",0,Y485),"0")</f>
        <v>0.39468000000000003</v>
      </c>
      <c r="Z486" s="383"/>
      <c r="AA486" s="383"/>
    </row>
    <row r="487" spans="1:67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01" t="s">
        <v>70</v>
      </c>
      <c r="P487" s="402"/>
      <c r="Q487" s="402"/>
      <c r="R487" s="402"/>
      <c r="S487" s="402"/>
      <c r="T487" s="402"/>
      <c r="U487" s="403"/>
      <c r="V487" s="37" t="s">
        <v>66</v>
      </c>
      <c r="W487" s="382">
        <f>IFERROR(SUM(W484:W485),"0")</f>
        <v>170</v>
      </c>
      <c r="X487" s="382">
        <f>IFERROR(SUM(X484:X485),"0")</f>
        <v>174.24</v>
      </c>
      <c r="Y487" s="37"/>
      <c r="Z487" s="383"/>
      <c r="AA487" s="383"/>
    </row>
    <row r="488" spans="1:67" ht="14.25" hidden="1" customHeight="1" x14ac:dyDescent="0.25">
      <c r="A488" s="438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114</v>
      </c>
      <c r="X489" s="381">
        <f t="shared" ref="X489:X494" si="83">IFERROR(IF(W489="",0,CEILING((W489/$H489),1)*$H489),"")</f>
        <v>116.16000000000001</v>
      </c>
      <c r="Y489" s="36">
        <f>IFERROR(IF(X489=0,"",ROUNDUP(X489/H489,0)*0.01196),"")</f>
        <v>0.26312000000000002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121.77272727272725</v>
      </c>
      <c r="BM489" s="64">
        <f t="shared" ref="BM489:BM494" si="85">IFERROR(X489*I489/H489,"0")</f>
        <v>124.08000000000001</v>
      </c>
      <c r="BN489" s="64">
        <f t="shared" ref="BN489:BN494" si="86">IFERROR(1/J489*(W489/H489),"0")</f>
        <v>0.2076048951048951</v>
      </c>
      <c r="BO489" s="64">
        <f t="shared" ref="BO489:BO494" si="87">IFERROR(1/J489*(X489/H489),"0")</f>
        <v>0.21153846153846156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100</v>
      </c>
      <c r="X490" s="381">
        <f t="shared" si="83"/>
        <v>100.32000000000001</v>
      </c>
      <c r="Y490" s="36">
        <f>IFERROR(IF(X490=0,"",ROUNDUP(X490/H490,0)*0.01196),"")</f>
        <v>0.22724</v>
      </c>
      <c r="Z490" s="56"/>
      <c r="AA490" s="57"/>
      <c r="AE490" s="64"/>
      <c r="BB490" s="337" t="s">
        <v>1</v>
      </c>
      <c r="BL490" s="64">
        <f t="shared" si="84"/>
        <v>106.81818181818181</v>
      </c>
      <c r="BM490" s="64">
        <f t="shared" si="85"/>
        <v>107.16</v>
      </c>
      <c r="BN490" s="64">
        <f t="shared" si="86"/>
        <v>0.18210955710955709</v>
      </c>
      <c r="BO490" s="64">
        <f t="shared" si="87"/>
        <v>0.18269230769230771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01" t="s">
        <v>70</v>
      </c>
      <c r="P495" s="402"/>
      <c r="Q495" s="402"/>
      <c r="R495" s="402"/>
      <c r="S495" s="402"/>
      <c r="T495" s="402"/>
      <c r="U495" s="403"/>
      <c r="V495" s="37" t="s">
        <v>71</v>
      </c>
      <c r="W495" s="382">
        <f>IFERROR(W489/H489,"0")+IFERROR(W490/H490,"0")+IFERROR(W491/H491,"0")+IFERROR(W492/H492,"0")+IFERROR(W493/H493,"0")+IFERROR(W494/H494,"0")</f>
        <v>40.530303030303031</v>
      </c>
      <c r="X495" s="382">
        <f>IFERROR(X489/H489,"0")+IFERROR(X490/H490,"0")+IFERROR(X491/H491,"0")+IFERROR(X492/H492,"0")+IFERROR(X493/H493,"0")+IFERROR(X494/H494,"0")</f>
        <v>41</v>
      </c>
      <c r="Y495" s="382">
        <f>IFERROR(IF(Y489="",0,Y489),"0")+IFERROR(IF(Y490="",0,Y490),"0")+IFERROR(IF(Y491="",0,Y491),"0")+IFERROR(IF(Y492="",0,Y492),"0")+IFERROR(IF(Y493="",0,Y493),"0")+IFERROR(IF(Y494="",0,Y494),"0")</f>
        <v>0.49036000000000002</v>
      </c>
      <c r="Z495" s="383"/>
      <c r="AA495" s="383"/>
    </row>
    <row r="496" spans="1:67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01" t="s">
        <v>70</v>
      </c>
      <c r="P496" s="402"/>
      <c r="Q496" s="402"/>
      <c r="R496" s="402"/>
      <c r="S496" s="402"/>
      <c r="T496" s="402"/>
      <c r="U496" s="403"/>
      <c r="V496" s="37" t="s">
        <v>66</v>
      </c>
      <c r="W496" s="382">
        <f>IFERROR(SUM(W489:W494),"0")</f>
        <v>214</v>
      </c>
      <c r="X496" s="382">
        <f>IFERROR(SUM(X489:X494),"0")</f>
        <v>216.48000000000002</v>
      </c>
      <c r="Y496" s="37"/>
      <c r="Z496" s="383"/>
      <c r="AA496" s="383"/>
    </row>
    <row r="497" spans="1:67" ht="14.25" hidden="1" customHeight="1" x14ac:dyDescent="0.25">
      <c r="A497" s="438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70</v>
      </c>
      <c r="X499" s="381">
        <f>IFERROR(IF(W499="",0,CEILING((W499/$H499),1)*$H499),"")</f>
        <v>70.2</v>
      </c>
      <c r="Y499" s="36">
        <f>IFERROR(IF(X499=0,"",ROUNDUP(X499/H499,0)*0.02175),"")</f>
        <v>0.19574999999999998</v>
      </c>
      <c r="Z499" s="56"/>
      <c r="AA499" s="57"/>
      <c r="AE499" s="64"/>
      <c r="BB499" s="343" t="s">
        <v>1</v>
      </c>
      <c r="BL499" s="64">
        <f>IFERROR(W499*I499/H499,"0")</f>
        <v>74.900000000000006</v>
      </c>
      <c r="BM499" s="64">
        <f>IFERROR(X499*I499/H499,"0")</f>
        <v>75.114000000000004</v>
      </c>
      <c r="BN499" s="64">
        <f>IFERROR(1/J499*(W499/H499),"0")</f>
        <v>0.16025641025641024</v>
      </c>
      <c r="BO499" s="64">
        <f>IFERROR(1/J499*(X499/H499),"0")</f>
        <v>0.1607142857142857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01" t="s">
        <v>70</v>
      </c>
      <c r="P501" s="402"/>
      <c r="Q501" s="402"/>
      <c r="R501" s="402"/>
      <c r="S501" s="402"/>
      <c r="T501" s="402"/>
      <c r="U501" s="403"/>
      <c r="V501" s="37" t="s">
        <v>71</v>
      </c>
      <c r="W501" s="382">
        <f>IFERROR(W498/H498,"0")+IFERROR(W499/H499,"0")+IFERROR(W500/H500,"0")</f>
        <v>8.9743589743589745</v>
      </c>
      <c r="X501" s="382">
        <f>IFERROR(X498/H498,"0")+IFERROR(X499/H499,"0")+IFERROR(X500/H500,"0")</f>
        <v>9</v>
      </c>
      <c r="Y501" s="382">
        <f>IFERROR(IF(Y498="",0,Y498),"0")+IFERROR(IF(Y499="",0,Y499),"0")+IFERROR(IF(Y500="",0,Y500),"0")</f>
        <v>0.19574999999999998</v>
      </c>
      <c r="Z501" s="383"/>
      <c r="AA501" s="383"/>
    </row>
    <row r="502" spans="1:67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01" t="s">
        <v>70</v>
      </c>
      <c r="P502" s="402"/>
      <c r="Q502" s="402"/>
      <c r="R502" s="402"/>
      <c r="S502" s="402"/>
      <c r="T502" s="402"/>
      <c r="U502" s="403"/>
      <c r="V502" s="37" t="s">
        <v>66</v>
      </c>
      <c r="W502" s="382">
        <f>IFERROR(SUM(W498:W500),"0")</f>
        <v>70</v>
      </c>
      <c r="X502" s="382">
        <f>IFERROR(SUM(X498:X500),"0")</f>
        <v>70.2</v>
      </c>
      <c r="Y502" s="37"/>
      <c r="Z502" s="383"/>
      <c r="AA502" s="383"/>
    </row>
    <row r="503" spans="1:67" ht="14.25" hidden="1" customHeight="1" x14ac:dyDescent="0.25">
      <c r="A503" s="438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01" t="s">
        <v>70</v>
      </c>
      <c r="P505" s="402"/>
      <c r="Q505" s="402"/>
      <c r="R505" s="402"/>
      <c r="S505" s="402"/>
      <c r="T505" s="402"/>
      <c r="U505" s="403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01" t="s">
        <v>70</v>
      </c>
      <c r="P506" s="402"/>
      <c r="Q506" s="402"/>
      <c r="R506" s="402"/>
      <c r="S506" s="402"/>
      <c r="T506" s="402"/>
      <c r="U506" s="403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5" t="s">
        <v>697</v>
      </c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/>
      <c r="Q507" s="466"/>
      <c r="R507" s="466"/>
      <c r="S507" s="466"/>
      <c r="T507" s="466"/>
      <c r="U507" s="466"/>
      <c r="V507" s="466"/>
      <c r="W507" s="466"/>
      <c r="X507" s="466"/>
      <c r="Y507" s="466"/>
      <c r="Z507" s="48"/>
      <c r="AA507" s="48"/>
    </row>
    <row r="508" spans="1:67" ht="16.5" hidden="1" customHeight="1" x14ac:dyDescent="0.25">
      <c r="A508" s="427" t="s">
        <v>697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4"/>
      <c r="AA508" s="374"/>
    </row>
    <row r="509" spans="1:67" ht="14.25" hidden="1" customHeight="1" x14ac:dyDescent="0.25">
      <c r="A509" s="438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0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6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2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7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9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4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48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3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01" t="s">
        <v>70</v>
      </c>
      <c r="P519" s="402"/>
      <c r="Q519" s="402"/>
      <c r="R519" s="402"/>
      <c r="S519" s="402"/>
      <c r="T519" s="402"/>
      <c r="U519" s="403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01" t="s">
        <v>70</v>
      </c>
      <c r="P520" s="402"/>
      <c r="Q520" s="402"/>
      <c r="R520" s="402"/>
      <c r="S520" s="402"/>
      <c r="T520" s="402"/>
      <c r="U520" s="403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38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5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7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53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01" t="s">
        <v>70</v>
      </c>
      <c r="P527" s="402"/>
      <c r="Q527" s="402"/>
      <c r="R527" s="402"/>
      <c r="S527" s="402"/>
      <c r="T527" s="402"/>
      <c r="U527" s="403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01" t="s">
        <v>70</v>
      </c>
      <c r="P528" s="402"/>
      <c r="Q528" s="402"/>
      <c r="R528" s="402"/>
      <c r="S528" s="402"/>
      <c r="T528" s="402"/>
      <c r="U528" s="403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38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73"/>
      <c r="AA529" s="373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1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24</v>
      </c>
      <c r="X531" s="381">
        <f>IFERROR(IF(W531="",0,CEILING((W531/$H531),1)*$H531),"")</f>
        <v>25.200000000000003</v>
      </c>
      <c r="Y531" s="36">
        <f>IFERROR(IF(X531=0,"",ROUNDUP(X531/H531,0)*0.00753),"")</f>
        <v>4.5179999999999998E-2</v>
      </c>
      <c r="Z531" s="56"/>
      <c r="AA531" s="57"/>
      <c r="AE531" s="64"/>
      <c r="BB531" s="361" t="s">
        <v>1</v>
      </c>
      <c r="BL531" s="64">
        <f>IFERROR(W531*I531/H531,"0")</f>
        <v>25.485714285714284</v>
      </c>
      <c r="BM531" s="64">
        <f>IFERROR(X531*I531/H531,"0")</f>
        <v>26.76</v>
      </c>
      <c r="BN531" s="64">
        <f>IFERROR(1/J531*(W531/H531),"0")</f>
        <v>3.6630036630036632E-2</v>
      </c>
      <c r="BO531" s="64">
        <f>IFERROR(1/J531*(X531/H531),"0")</f>
        <v>3.8461538461538464E-2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49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0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01" t="s">
        <v>70</v>
      </c>
      <c r="P534" s="402"/>
      <c r="Q534" s="402"/>
      <c r="R534" s="402"/>
      <c r="S534" s="402"/>
      <c r="T534" s="402"/>
      <c r="U534" s="403"/>
      <c r="V534" s="37" t="s">
        <v>71</v>
      </c>
      <c r="W534" s="382">
        <f>IFERROR(W530/H530,"0")+IFERROR(W531/H531,"0")+IFERROR(W532/H532,"0")+IFERROR(W533/H533,"0")</f>
        <v>5.7142857142857144</v>
      </c>
      <c r="X534" s="382">
        <f>IFERROR(X530/H530,"0")+IFERROR(X531/H531,"0")+IFERROR(X532/H532,"0")+IFERROR(X533/H533,"0")</f>
        <v>6</v>
      </c>
      <c r="Y534" s="382">
        <f>IFERROR(IF(Y530="",0,Y530),"0")+IFERROR(IF(Y531="",0,Y531),"0")+IFERROR(IF(Y532="",0,Y532),"0")+IFERROR(IF(Y533="",0,Y533),"0")</f>
        <v>4.5179999999999998E-2</v>
      </c>
      <c r="Z534" s="383"/>
      <c r="AA534" s="383"/>
    </row>
    <row r="535" spans="1:67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01" t="s">
        <v>70</v>
      </c>
      <c r="P535" s="402"/>
      <c r="Q535" s="402"/>
      <c r="R535" s="402"/>
      <c r="S535" s="402"/>
      <c r="T535" s="402"/>
      <c r="U535" s="403"/>
      <c r="V535" s="37" t="s">
        <v>66</v>
      </c>
      <c r="W535" s="382">
        <f>IFERROR(SUM(W530:W533),"0")</f>
        <v>24</v>
      </c>
      <c r="X535" s="382">
        <f>IFERROR(SUM(X530:X533),"0")</f>
        <v>25.200000000000003</v>
      </c>
      <c r="Y535" s="37"/>
      <c r="Z535" s="383"/>
      <c r="AA535" s="383"/>
    </row>
    <row r="536" spans="1:67" ht="14.25" hidden="1" customHeight="1" x14ac:dyDescent="0.25">
      <c r="A536" s="438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7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118</v>
      </c>
      <c r="X537" s="381">
        <f>IFERROR(IF(W537="",0,CEILING((W537/$H537),1)*$H537),"")</f>
        <v>124.8</v>
      </c>
      <c r="Y537" s="36">
        <f>IFERROR(IF(X537=0,"",ROUNDUP(X537/H537,0)*0.02175),"")</f>
        <v>0.34799999999999998</v>
      </c>
      <c r="Z537" s="56"/>
      <c r="AA537" s="57"/>
      <c r="AE537" s="64"/>
      <c r="BB537" s="364" t="s">
        <v>1</v>
      </c>
      <c r="BL537" s="64">
        <f>IFERROR(W537*I537/H537,"0")</f>
        <v>126.53230769230771</v>
      </c>
      <c r="BM537" s="64">
        <f>IFERROR(X537*I537/H537,"0")</f>
        <v>133.82400000000001</v>
      </c>
      <c r="BN537" s="64">
        <f>IFERROR(1/J537*(W537/H537),"0")</f>
        <v>0.27014652014652013</v>
      </c>
      <c r="BO537" s="64">
        <f>IFERROR(1/J537*(X537/H537),"0")</f>
        <v>0.2857142857142857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3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4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01" t="s">
        <v>70</v>
      </c>
      <c r="P540" s="402"/>
      <c r="Q540" s="402"/>
      <c r="R540" s="402"/>
      <c r="S540" s="402"/>
      <c r="T540" s="402"/>
      <c r="U540" s="403"/>
      <c r="V540" s="37" t="s">
        <v>71</v>
      </c>
      <c r="W540" s="382">
        <f>IFERROR(W537/H537,"0")+IFERROR(W538/H538,"0")+IFERROR(W539/H539,"0")</f>
        <v>15.128205128205128</v>
      </c>
      <c r="X540" s="382">
        <f>IFERROR(X537/H537,"0")+IFERROR(X538/H538,"0")+IFERROR(X539/H539,"0")</f>
        <v>16</v>
      </c>
      <c r="Y540" s="382">
        <f>IFERROR(IF(Y537="",0,Y537),"0")+IFERROR(IF(Y538="",0,Y538),"0")+IFERROR(IF(Y539="",0,Y539),"0")</f>
        <v>0.34799999999999998</v>
      </c>
      <c r="Z540" s="383"/>
      <c r="AA540" s="383"/>
    </row>
    <row r="541" spans="1:67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01" t="s">
        <v>70</v>
      </c>
      <c r="P541" s="402"/>
      <c r="Q541" s="402"/>
      <c r="R541" s="402"/>
      <c r="S541" s="402"/>
      <c r="T541" s="402"/>
      <c r="U541" s="403"/>
      <c r="V541" s="37" t="s">
        <v>66</v>
      </c>
      <c r="W541" s="382">
        <f>IFERROR(SUM(W537:W539),"0")</f>
        <v>118</v>
      </c>
      <c r="X541" s="382">
        <f>IFERROR(SUM(X537:X539),"0")</f>
        <v>124.8</v>
      </c>
      <c r="Y541" s="37"/>
      <c r="Z541" s="383"/>
      <c r="AA541" s="383"/>
    </row>
    <row r="542" spans="1:67" ht="14.25" hidden="1" customHeight="1" x14ac:dyDescent="0.25">
      <c r="A542" s="438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7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2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2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01" t="s">
        <v>70</v>
      </c>
      <c r="P547" s="402"/>
      <c r="Q547" s="402"/>
      <c r="R547" s="402"/>
      <c r="S547" s="402"/>
      <c r="T547" s="402"/>
      <c r="U547" s="403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01" t="s">
        <v>70</v>
      </c>
      <c r="P548" s="402"/>
      <c r="Q548" s="402"/>
      <c r="R548" s="402"/>
      <c r="S548" s="402"/>
      <c r="T548" s="402"/>
      <c r="U548" s="403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9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2"/>
      <c r="O549" s="538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6198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6322.7600000000011</v>
      </c>
      <c r="Y549" s="37"/>
      <c r="Z549" s="383"/>
      <c r="AA549" s="383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2"/>
      <c r="O550" s="538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6542.5762927490587</v>
      </c>
      <c r="X550" s="382">
        <f>IFERROR(SUM(BM22:BM546),"0")</f>
        <v>6674.7179999999989</v>
      </c>
      <c r="Y550" s="37"/>
      <c r="Z550" s="383"/>
      <c r="AA550" s="383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2"/>
      <c r="O551" s="538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12</v>
      </c>
      <c r="X551" s="38">
        <f>ROUNDUP(SUM(BO22:BO546),0)</f>
        <v>12</v>
      </c>
      <c r="Y551" s="37"/>
      <c r="Z551" s="383"/>
      <c r="AA551" s="383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2"/>
      <c r="O552" s="538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6842.5762927490587</v>
      </c>
      <c r="X552" s="382">
        <f>GrossWeightTotalR+PalletQtyTotalR*25</f>
        <v>6974.7179999999989</v>
      </c>
      <c r="Y552" s="37"/>
      <c r="Z552" s="383"/>
      <c r="AA552" s="383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2"/>
      <c r="O553" s="538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920.99220048601376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940</v>
      </c>
      <c r="Y553" s="37"/>
      <c r="Z553" s="383"/>
      <c r="AA553" s="383"/>
    </row>
    <row r="554" spans="1:67" ht="14.25" hidden="1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2"/>
      <c r="O554" s="538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13.201789999999999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6" t="s">
        <v>103</v>
      </c>
      <c r="D556" s="407"/>
      <c r="E556" s="407"/>
      <c r="F556" s="408"/>
      <c r="G556" s="406" t="s">
        <v>233</v>
      </c>
      <c r="H556" s="407"/>
      <c r="I556" s="407"/>
      <c r="J556" s="407"/>
      <c r="K556" s="407"/>
      <c r="L556" s="407"/>
      <c r="M556" s="407"/>
      <c r="N556" s="407"/>
      <c r="O556" s="407"/>
      <c r="P556" s="408"/>
      <c r="Q556" s="406" t="s">
        <v>484</v>
      </c>
      <c r="R556" s="408"/>
      <c r="S556" s="406" t="s">
        <v>541</v>
      </c>
      <c r="T556" s="407"/>
      <c r="U556" s="407"/>
      <c r="V556" s="408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600" t="s">
        <v>780</v>
      </c>
      <c r="B557" s="406" t="s">
        <v>60</v>
      </c>
      <c r="C557" s="406" t="s">
        <v>104</v>
      </c>
      <c r="D557" s="406" t="s">
        <v>112</v>
      </c>
      <c r="E557" s="406" t="s">
        <v>103</v>
      </c>
      <c r="F557" s="406" t="s">
        <v>223</v>
      </c>
      <c r="G557" s="406" t="s">
        <v>234</v>
      </c>
      <c r="H557" s="406" t="s">
        <v>249</v>
      </c>
      <c r="I557" s="406" t="s">
        <v>266</v>
      </c>
      <c r="J557" s="406" t="s">
        <v>342</v>
      </c>
      <c r="K557" s="406" t="s">
        <v>365</v>
      </c>
      <c r="L557" s="406" t="s">
        <v>383</v>
      </c>
      <c r="M557" s="372"/>
      <c r="N557" s="406" t="s">
        <v>400</v>
      </c>
      <c r="O557" s="406" t="s">
        <v>468</v>
      </c>
      <c r="P557" s="406" t="s">
        <v>473</v>
      </c>
      <c r="Q557" s="406" t="s">
        <v>485</v>
      </c>
      <c r="R557" s="406" t="s">
        <v>519</v>
      </c>
      <c r="S557" s="406" t="s">
        <v>542</v>
      </c>
      <c r="T557" s="406" t="s">
        <v>606</v>
      </c>
      <c r="U557" s="406" t="s">
        <v>634</v>
      </c>
      <c r="V557" s="406" t="s">
        <v>641</v>
      </c>
      <c r="W557" s="406" t="s">
        <v>650</v>
      </c>
      <c r="X557" s="406" t="s">
        <v>697</v>
      </c>
      <c r="AA557" s="52"/>
      <c r="AD557" s="372"/>
    </row>
    <row r="558" spans="1:67" ht="13.5" customHeight="1" thickBot="1" x14ac:dyDescent="0.25">
      <c r="A558" s="60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372"/>
      <c r="N558" s="411"/>
      <c r="O558" s="411"/>
      <c r="P558" s="411"/>
      <c r="Q558" s="411"/>
      <c r="R558" s="411"/>
      <c r="S558" s="411"/>
      <c r="T558" s="411"/>
      <c r="U558" s="411"/>
      <c r="V558" s="411"/>
      <c r="W558" s="411"/>
      <c r="X558" s="411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140.4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687.40000000000009</v>
      </c>
      <c r="F559" s="46">
        <f>IFERROR(X133*1,"0")+IFERROR(X134*1,"0")+IFERROR(X135*1,"0")+IFERROR(X136*1,"0")+IFERROR(X137*1,"0")</f>
        <v>184.8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964.2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23.2</v>
      </c>
      <c r="K559" s="46">
        <f>IFERROR(X231*1,"0")+IFERROR(X232*1,"0")+IFERROR(X233*1,"0")+IFERROR(X234*1,"0")+IFERROR(X235*1,"0")+IFERROR(X236*1,"0")+IFERROR(X237*1,"0")+IFERROR(X238*1,"0")</f>
        <v>135.6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270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2202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280.8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243.60000000000002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141.6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899.16000000000008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150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67"/>
        <filter val="1 721,00"/>
        <filter val="1,90"/>
        <filter val="10,00"/>
        <filter val="100,00"/>
        <filter val="102,00"/>
        <filter val="106,00"/>
        <filter val="11,00"/>
        <filter val="11,59"/>
        <filter val="111,00"/>
        <filter val="114,00"/>
        <filter val="114,73"/>
        <filter val="117,00"/>
        <filter val="118,00"/>
        <filter val="119,00"/>
        <filter val="12"/>
        <filter val="12,96"/>
        <filter val="123,00"/>
        <filter val="13,93"/>
        <filter val="137,00"/>
        <filter val="14,23"/>
        <filter val="140,00"/>
        <filter val="141,00"/>
        <filter val="147,00"/>
        <filter val="15,13"/>
        <filter val="153,00"/>
        <filter val="159,00"/>
        <filter val="162,00"/>
        <filter val="164,00"/>
        <filter val="170,00"/>
        <filter val="172,00"/>
        <filter val="179,00"/>
        <filter val="189,01"/>
        <filter val="19,00"/>
        <filter val="2,00"/>
        <filter val="2,62"/>
        <filter val="208,00"/>
        <filter val="21,31"/>
        <filter val="214,00"/>
        <filter val="22,00"/>
        <filter val="22,87"/>
        <filter val="227,00"/>
        <filter val="237,00"/>
        <filter val="24,00"/>
        <filter val="26,11"/>
        <filter val="277,00"/>
        <filter val="29,72"/>
        <filter val="3,92"/>
        <filter val="303,00"/>
        <filter val="32,20"/>
        <filter val="32,62"/>
        <filter val="343,00"/>
        <filter val="35,51"/>
        <filter val="35,73"/>
        <filter val="371,00"/>
        <filter val="392,00"/>
        <filter val="40,53"/>
        <filter val="435,00"/>
        <filter val="44,00"/>
        <filter val="49,58"/>
        <filter val="5,00"/>
        <filter val="5,71"/>
        <filter val="51,00"/>
        <filter val="527,00"/>
        <filter val="55,00"/>
        <filter val="56,11"/>
        <filter val="57,00"/>
        <filter val="59,00"/>
        <filter val="6 198,00"/>
        <filter val="6 542,58"/>
        <filter val="6 842,58"/>
        <filter val="6,00"/>
        <filter val="60,00"/>
        <filter val="60,95"/>
        <filter val="65,00"/>
        <filter val="667,00"/>
        <filter val="683,00"/>
        <filter val="7,00"/>
        <filter val="70,00"/>
        <filter val="73,00"/>
        <filter val="76,00"/>
        <filter val="8,97"/>
        <filter val="82,39"/>
        <filter val="83,00"/>
        <filter val="920,99"/>
      </filters>
    </filterColumn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D170:E170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2024-07-18T10:08:09Z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