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08,24 Симф КИ\"/>
    </mc:Choice>
  </mc:AlternateContent>
  <xr:revisionPtr revIDLastSave="0" documentId="13_ncr:1_{72540690-AA20-473C-8CDF-AB9393698B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Y477" i="1" s="1"/>
  <c r="X468" i="1"/>
  <c r="X467" i="1"/>
  <c r="BO466" i="1"/>
  <c r="BM466" i="1"/>
  <c r="Y466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N223" i="1"/>
  <c r="BM223" i="1"/>
  <c r="Z223" i="1"/>
  <c r="Y223" i="1"/>
  <c r="BP223" i="1" s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5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Z141" i="1" l="1"/>
  <c r="Z112" i="1"/>
  <c r="Z191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BP224" i="1"/>
  <c r="BN224" i="1"/>
  <c r="Z224" i="1"/>
  <c r="Y227" i="1"/>
  <c r="Y235" i="1"/>
  <c r="BP230" i="1"/>
  <c r="BN230" i="1"/>
  <c r="Z230" i="1"/>
  <c r="BP233" i="1"/>
  <c r="BN233" i="1"/>
  <c r="Z233" i="1"/>
  <c r="BP243" i="1"/>
  <c r="BN243" i="1"/>
  <c r="Z243" i="1"/>
  <c r="Y247" i="1"/>
  <c r="M615" i="1"/>
  <c r="Y259" i="1"/>
  <c r="BP251" i="1"/>
  <c r="BN251" i="1"/>
  <c r="Z251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Z322" i="1" s="1"/>
  <c r="Y322" i="1"/>
  <c r="BP326" i="1"/>
  <c r="BN326" i="1"/>
  <c r="Z326" i="1"/>
  <c r="Z331" i="1" s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BP384" i="1"/>
  <c r="BN384" i="1"/>
  <c r="Z384" i="1"/>
  <c r="Z386" i="1" s="1"/>
  <c r="Y386" i="1"/>
  <c r="Z391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Z34" i="1" s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BN89" i="1"/>
  <c r="BP89" i="1"/>
  <c r="Z90" i="1"/>
  <c r="BN90" i="1"/>
  <c r="Z94" i="1"/>
  <c r="Z97" i="1" s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Z121" i="1" s="1"/>
  <c r="BN117" i="1"/>
  <c r="Z120" i="1"/>
  <c r="BN120" i="1"/>
  <c r="Y121" i="1"/>
  <c r="Z124" i="1"/>
  <c r="BN124" i="1"/>
  <c r="BP124" i="1"/>
  <c r="Z126" i="1"/>
  <c r="BN126" i="1"/>
  <c r="Z130" i="1"/>
  <c r="Z136" i="1" s="1"/>
  <c r="BN130" i="1"/>
  <c r="BP130" i="1"/>
  <c r="Z132" i="1"/>
  <c r="BN132" i="1"/>
  <c r="Z134" i="1"/>
  <c r="BN134" i="1"/>
  <c r="Z140" i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Z168" i="1"/>
  <c r="Z172" i="1" s="1"/>
  <c r="BN168" i="1"/>
  <c r="Z170" i="1"/>
  <c r="BN170" i="1"/>
  <c r="Z176" i="1"/>
  <c r="Z178" i="1" s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Z213" i="1" s="1"/>
  <c r="BN205" i="1"/>
  <c r="BP205" i="1"/>
  <c r="Z207" i="1"/>
  <c r="BN207" i="1"/>
  <c r="Z209" i="1"/>
  <c r="BN209" i="1"/>
  <c r="Z211" i="1"/>
  <c r="BN211" i="1"/>
  <c r="Y228" i="1"/>
  <c r="Z218" i="1"/>
  <c r="Z227" i="1" s="1"/>
  <c r="BN218" i="1"/>
  <c r="Z219" i="1"/>
  <c r="BN219" i="1"/>
  <c r="BP225" i="1"/>
  <c r="BN225" i="1"/>
  <c r="Z225" i="1"/>
  <c r="BP232" i="1"/>
  <c r="BN232" i="1"/>
  <c r="Z232" i="1"/>
  <c r="BP234" i="1"/>
  <c r="BN234" i="1"/>
  <c r="Z234" i="1"/>
  <c r="Y236" i="1"/>
  <c r="BP240" i="1"/>
  <c r="BN240" i="1"/>
  <c r="Z240" i="1"/>
  <c r="BP245" i="1"/>
  <c r="BN245" i="1"/>
  <c r="Z245" i="1"/>
  <c r="Z247" i="1" s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Y345" i="1"/>
  <c r="BP340" i="1"/>
  <c r="BN340" i="1"/>
  <c r="Z340" i="1"/>
  <c r="Z344" i="1" s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Y451" i="1"/>
  <c r="BP427" i="1"/>
  <c r="BN427" i="1"/>
  <c r="Z427" i="1"/>
  <c r="Y452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BP447" i="1"/>
  <c r="BN447" i="1"/>
  <c r="Z447" i="1"/>
  <c r="BP460" i="1"/>
  <c r="BN460" i="1"/>
  <c r="Z460" i="1"/>
  <c r="Z462" i="1" s="1"/>
  <c r="Y462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K615" i="1"/>
  <c r="Y248" i="1"/>
  <c r="Y269" i="1"/>
  <c r="Y350" i="1"/>
  <c r="BP347" i="1"/>
  <c r="BN347" i="1"/>
  <c r="Z347" i="1"/>
  <c r="Z350" i="1" s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0" i="1"/>
  <c r="BN450" i="1"/>
  <c r="Z450" i="1"/>
  <c r="Y457" i="1"/>
  <c r="BP454" i="1"/>
  <c r="BN454" i="1"/>
  <c r="Z454" i="1"/>
  <c r="Z456" i="1" s="1"/>
  <c r="Y463" i="1"/>
  <c r="Y467" i="1"/>
  <c r="BP466" i="1"/>
  <c r="BN466" i="1"/>
  <c r="Z466" i="1"/>
  <c r="Z467" i="1" s="1"/>
  <c r="Y468" i="1"/>
  <c r="BP471" i="1"/>
  <c r="BN471" i="1"/>
  <c r="Z471" i="1"/>
  <c r="Z477" i="1" s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375" i="1" l="1"/>
  <c r="Z315" i="1"/>
  <c r="Y606" i="1"/>
  <c r="Z289" i="1"/>
  <c r="Y605" i="1"/>
  <c r="Z585" i="1"/>
  <c r="Y609" i="1"/>
  <c r="Z573" i="1"/>
  <c r="Z557" i="1"/>
  <c r="Z399" i="1"/>
  <c r="Z451" i="1"/>
  <c r="Z405" i="1"/>
  <c r="Z127" i="1"/>
  <c r="Z610" i="1" s="1"/>
  <c r="Z91" i="1"/>
  <c r="Y607" i="1"/>
  <c r="Z361" i="1"/>
  <c r="Z280" i="1"/>
  <c r="Z259" i="1"/>
  <c r="Z235" i="1"/>
  <c r="Y608" i="1" l="1"/>
</calcChain>
</file>

<file path=xl/sharedStrings.xml><?xml version="1.0" encoding="utf-8"?>
<sst xmlns="http://schemas.openxmlformats.org/spreadsheetml/2006/main" count="2526" uniqueCount="820">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</sst>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67" fillId="0" borderId="42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87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9" t="s">
        <v>0</v>
      </c>
      <c r="E1" s="423"/>
      <c r="F1" s="423"/>
      <c r="G1" s="12" t="s">
        <v>1</v>
      </c>
      <c r="H1" s="469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3" t="s">
        <v>8</v>
      </c>
      <c r="B5" s="416"/>
      <c r="C5" s="417"/>
      <c r="D5" s="476"/>
      <c r="E5" s="477"/>
      <c r="F5" s="734" t="s">
        <v>9</v>
      </c>
      <c r="G5" s="417"/>
      <c r="H5" s="476"/>
      <c r="I5" s="667"/>
      <c r="J5" s="667"/>
      <c r="K5" s="667"/>
      <c r="L5" s="667"/>
      <c r="M5" s="477"/>
      <c r="N5" s="58"/>
      <c r="P5" s="24" t="s">
        <v>10</v>
      </c>
      <c r="Q5" s="750">
        <v>45507</v>
      </c>
      <c r="R5" s="521"/>
      <c r="T5" s="580" t="s">
        <v>11</v>
      </c>
      <c r="U5" s="483"/>
      <c r="V5" s="582" t="s">
        <v>12</v>
      </c>
      <c r="W5" s="521"/>
      <c r="AB5" s="51"/>
      <c r="AC5" s="51"/>
      <c r="AD5" s="51"/>
      <c r="AE5" s="51"/>
    </row>
    <row r="6" spans="1:32" s="380" customFormat="1" ht="24" customHeight="1" x14ac:dyDescent="0.2">
      <c r="A6" s="523" t="s">
        <v>13</v>
      </c>
      <c r="B6" s="416"/>
      <c r="C6" s="417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1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0" t="s">
        <v>16</v>
      </c>
      <c r="U6" s="483"/>
      <c r="V6" s="652" t="s">
        <v>17</v>
      </c>
      <c r="W6" s="439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1"/>
      <c r="U7" s="483"/>
      <c r="V7" s="653"/>
      <c r="W7" s="654"/>
      <c r="AB7" s="51"/>
      <c r="AC7" s="51"/>
      <c r="AD7" s="51"/>
      <c r="AE7" s="51"/>
    </row>
    <row r="8" spans="1:32" s="380" customFormat="1" ht="25.5" customHeight="1" x14ac:dyDescent="0.2">
      <c r="A8" s="776" t="s">
        <v>18</v>
      </c>
      <c r="B8" s="401"/>
      <c r="C8" s="402"/>
      <c r="D8" s="458" t="s">
        <v>19</v>
      </c>
      <c r="E8" s="459"/>
      <c r="F8" s="459"/>
      <c r="G8" s="459"/>
      <c r="H8" s="459"/>
      <c r="I8" s="459"/>
      <c r="J8" s="459"/>
      <c r="K8" s="459"/>
      <c r="L8" s="459"/>
      <c r="M8" s="460"/>
      <c r="N8" s="61"/>
      <c r="P8" s="24" t="s">
        <v>20</v>
      </c>
      <c r="Q8" s="532">
        <v>0.375</v>
      </c>
      <c r="R8" s="452"/>
      <c r="T8" s="391"/>
      <c r="U8" s="483"/>
      <c r="V8" s="653"/>
      <c r="W8" s="654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2"/>
      <c r="P9" s="26" t="s">
        <v>21</v>
      </c>
      <c r="Q9" s="517"/>
      <c r="R9" s="518"/>
      <c r="T9" s="391"/>
      <c r="U9" s="483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37" t="str">
        <f>IFERROR(VLOOKUP($D$10,Proxy,2,FALSE),"")</f>
        <v/>
      </c>
      <c r="I10" s="391"/>
      <c r="J10" s="391"/>
      <c r="K10" s="391"/>
      <c r="L10" s="391"/>
      <c r="M10" s="391"/>
      <c r="N10" s="379"/>
      <c r="P10" s="26" t="s">
        <v>22</v>
      </c>
      <c r="Q10" s="592"/>
      <c r="R10" s="593"/>
      <c r="U10" s="24" t="s">
        <v>23</v>
      </c>
      <c r="V10" s="438" t="s">
        <v>24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0"/>
      <c r="R11" s="521"/>
      <c r="U11" s="24" t="s">
        <v>27</v>
      </c>
      <c r="V11" s="698" t="s">
        <v>28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4" t="s">
        <v>29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7"/>
      <c r="N12" s="62"/>
      <c r="P12" s="24" t="s">
        <v>30</v>
      </c>
      <c r="Q12" s="532"/>
      <c r="R12" s="452"/>
      <c r="S12" s="23"/>
      <c r="U12" s="24"/>
      <c r="V12" s="423"/>
      <c r="W12" s="391"/>
      <c r="AB12" s="51"/>
      <c r="AC12" s="51"/>
      <c r="AD12" s="51"/>
      <c r="AE12" s="51"/>
    </row>
    <row r="13" spans="1:32" s="380" customFormat="1" ht="23.25" customHeight="1" x14ac:dyDescent="0.2">
      <c r="A13" s="574" t="s">
        <v>31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417"/>
      <c r="N13" s="62"/>
      <c r="O13" s="26"/>
      <c r="P13" s="26" t="s">
        <v>32</v>
      </c>
      <c r="Q13" s="698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4" t="s">
        <v>33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4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7"/>
      <c r="N15" s="63"/>
      <c r="P15" s="558" t="s">
        <v>35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36</v>
      </c>
      <c r="B17" s="433" t="s">
        <v>37</v>
      </c>
      <c r="C17" s="540" t="s">
        <v>38</v>
      </c>
      <c r="D17" s="433" t="s">
        <v>39</v>
      </c>
      <c r="E17" s="497"/>
      <c r="F17" s="433" t="s">
        <v>40</v>
      </c>
      <c r="G17" s="433" t="s">
        <v>41</v>
      </c>
      <c r="H17" s="433" t="s">
        <v>42</v>
      </c>
      <c r="I17" s="433" t="s">
        <v>43</v>
      </c>
      <c r="J17" s="433" t="s">
        <v>44</v>
      </c>
      <c r="K17" s="433" t="s">
        <v>45</v>
      </c>
      <c r="L17" s="433" t="s">
        <v>46</v>
      </c>
      <c r="M17" s="433" t="s">
        <v>47</v>
      </c>
      <c r="N17" s="433" t="s">
        <v>48</v>
      </c>
      <c r="O17" s="433" t="s">
        <v>49</v>
      </c>
      <c r="P17" s="433" t="s">
        <v>50</v>
      </c>
      <c r="Q17" s="496"/>
      <c r="R17" s="496"/>
      <c r="S17" s="496"/>
      <c r="T17" s="497"/>
      <c r="U17" s="771" t="s">
        <v>51</v>
      </c>
      <c r="V17" s="417"/>
      <c r="W17" s="433" t="s">
        <v>52</v>
      </c>
      <c r="X17" s="433" t="s">
        <v>53</v>
      </c>
      <c r="Y17" s="772" t="s">
        <v>54</v>
      </c>
      <c r="Z17" s="433" t="s">
        <v>55</v>
      </c>
      <c r="AA17" s="638" t="s">
        <v>56</v>
      </c>
      <c r="AB17" s="638" t="s">
        <v>57</v>
      </c>
      <c r="AC17" s="638" t="s">
        <v>58</v>
      </c>
      <c r="AD17" s="638" t="s">
        <v>59</v>
      </c>
      <c r="AE17" s="729"/>
      <c r="AF17" s="730"/>
      <c r="AG17" s="509"/>
      <c r="BD17" s="620" t="s">
        <v>60</v>
      </c>
    </row>
    <row r="18" spans="1:68" ht="14.25" customHeight="1" x14ac:dyDescent="0.2">
      <c r="A18" s="434"/>
      <c r="B18" s="434"/>
      <c r="C18" s="434"/>
      <c r="D18" s="498"/>
      <c r="E18" s="50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8"/>
      <c r="Q18" s="499"/>
      <c r="R18" s="499"/>
      <c r="S18" s="499"/>
      <c r="T18" s="500"/>
      <c r="U18" s="381" t="s">
        <v>61</v>
      </c>
      <c r="V18" s="381" t="s">
        <v>62</v>
      </c>
      <c r="W18" s="434"/>
      <c r="X18" s="434"/>
      <c r="Y18" s="773"/>
      <c r="Z18" s="434"/>
      <c r="AA18" s="639"/>
      <c r="AB18" s="639"/>
      <c r="AC18" s="639"/>
      <c r="AD18" s="731"/>
      <c r="AE18" s="732"/>
      <c r="AF18" s="733"/>
      <c r="AG18" s="510"/>
      <c r="BD18" s="391"/>
    </row>
    <row r="19" spans="1:68" ht="27.75" customHeight="1" x14ac:dyDescent="0.2">
      <c r="A19" s="411" t="s">
        <v>63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12"/>
      <c r="AA19" s="48"/>
      <c r="AB19" s="48"/>
      <c r="AC19" s="48"/>
    </row>
    <row r="20" spans="1:68" ht="16.5" customHeight="1" x14ac:dyDescent="0.25">
      <c r="A20" s="390" t="s">
        <v>63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customHeight="1" x14ac:dyDescent="0.25">
      <c r="A21" s="403" t="s">
        <v>64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7"/>
      <c r="AB21" s="377"/>
      <c r="AC21" s="3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3" t="s">
        <v>72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7"/>
      <c r="AB25" s="377"/>
      <c r="AC25" s="377"/>
    </row>
    <row r="26" spans="1:68" ht="27" customHeight="1" x14ac:dyDescent="0.25">
      <c r="A26" s="54" t="s">
        <v>73</v>
      </c>
      <c r="B26" s="54" t="s">
        <v>74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78</v>
      </c>
      <c r="B29" s="54" t="s">
        <v>80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82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9" t="s">
        <v>83</v>
      </c>
      <c r="Q30" s="393"/>
      <c r="R30" s="393"/>
      <c r="S30" s="393"/>
      <c r="T30" s="394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3" t="s">
        <v>86</v>
      </c>
      <c r="Q31" s="393"/>
      <c r="R31" s="393"/>
      <c r="S31" s="393"/>
      <c r="T31" s="394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87</v>
      </c>
      <c r="B32" s="54" t="s">
        <v>88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70</v>
      </c>
      <c r="Q34" s="401"/>
      <c r="R34" s="401"/>
      <c r="S34" s="401"/>
      <c r="T34" s="401"/>
      <c r="U34" s="401"/>
      <c r="V34" s="402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70</v>
      </c>
      <c r="Q35" s="401"/>
      <c r="R35" s="401"/>
      <c r="S35" s="401"/>
      <c r="T35" s="401"/>
      <c r="U35" s="401"/>
      <c r="V35" s="402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3" t="s">
        <v>91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77"/>
      <c r="AB36" s="377"/>
      <c r="AC36" s="377"/>
    </row>
    <row r="37" spans="1:68" ht="27" customHeight="1" x14ac:dyDescent="0.25">
      <c r="A37" s="54" t="s">
        <v>92</v>
      </c>
      <c r="B37" s="54" t="s">
        <v>93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70</v>
      </c>
      <c r="Q38" s="401"/>
      <c r="R38" s="401"/>
      <c r="S38" s="401"/>
      <c r="T38" s="401"/>
      <c r="U38" s="401"/>
      <c r="V38" s="402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70</v>
      </c>
      <c r="Q39" s="401"/>
      <c r="R39" s="401"/>
      <c r="S39" s="401"/>
      <c r="T39" s="401"/>
      <c r="U39" s="401"/>
      <c r="V39" s="402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3" t="s">
        <v>96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77"/>
      <c r="AB40" s="377"/>
      <c r="AC40" s="377"/>
    </row>
    <row r="41" spans="1:68" ht="80.25" customHeight="1" x14ac:dyDescent="0.25">
      <c r="A41" s="54" t="s">
        <v>97</v>
      </c>
      <c r="B41" s="54" t="s">
        <v>98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70</v>
      </c>
      <c r="Q42" s="401"/>
      <c r="R42" s="401"/>
      <c r="S42" s="401"/>
      <c r="T42" s="401"/>
      <c r="U42" s="401"/>
      <c r="V42" s="402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70</v>
      </c>
      <c r="Q43" s="401"/>
      <c r="R43" s="401"/>
      <c r="S43" s="401"/>
      <c r="T43" s="401"/>
      <c r="U43" s="401"/>
      <c r="V43" s="402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3" t="s">
        <v>100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77"/>
      <c r="AB44" s="377"/>
      <c r="AC44" s="377"/>
    </row>
    <row r="45" spans="1:68" ht="27" customHeight="1" x14ac:dyDescent="0.25">
      <c r="A45" s="54" t="s">
        <v>101</v>
      </c>
      <c r="B45" s="54" t="s">
        <v>102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70</v>
      </c>
      <c r="Q46" s="401"/>
      <c r="R46" s="401"/>
      <c r="S46" s="401"/>
      <c r="T46" s="401"/>
      <c r="U46" s="401"/>
      <c r="V46" s="402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70</v>
      </c>
      <c r="Q47" s="401"/>
      <c r="R47" s="401"/>
      <c r="S47" s="401"/>
      <c r="T47" s="401"/>
      <c r="U47" s="401"/>
      <c r="V47" s="402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1" t="s">
        <v>103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/>
      <c r="AA48" s="48"/>
      <c r="AB48" s="48"/>
      <c r="AC48" s="48"/>
    </row>
    <row r="49" spans="1:68" ht="16.5" customHeight="1" x14ac:dyDescent="0.25">
      <c r="A49" s="390" t="s">
        <v>104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8"/>
      <c r="AB49" s="378"/>
      <c r="AC49" s="378"/>
    </row>
    <row r="50" spans="1:68" ht="14.25" customHeight="1" x14ac:dyDescent="0.25">
      <c r="A50" s="403" t="s">
        <v>105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69</v>
      </c>
      <c r="X51" s="384">
        <v>110</v>
      </c>
      <c r="Y51" s="385">
        <f t="shared" ref="Y51:Y56" si="6">IFERROR(IF(X51="",0,CEILING((X51/$H51),1)*$H51),"")</f>
        <v>118.80000000000001</v>
      </c>
      <c r="Z51" s="36">
        <f>IFERROR(IF(Y51=0,"",ROUNDUP(Y51/H51,0)*0.02175),"")</f>
        <v>0.23924999999999999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114.88888888888887</v>
      </c>
      <c r="BN51" s="64">
        <f t="shared" ref="BN51:BN56" si="8">IFERROR(Y51*I51/H51,"0")</f>
        <v>124.08</v>
      </c>
      <c r="BO51" s="64">
        <f t="shared" ref="BO51:BO56" si="9">IFERROR(1/J51*(X51/H51),"0")</f>
        <v>0.18187830687830686</v>
      </c>
      <c r="BP51" s="64">
        <f t="shared" ref="BP51:BP56" si="10">IFERROR(1/J51*(Y51/H51),"0")</f>
        <v>0.19642857142857142</v>
      </c>
    </row>
    <row r="52" spans="1:68" ht="27" customHeight="1" x14ac:dyDescent="0.25">
      <c r="A52" s="54" t="s">
        <v>106</v>
      </c>
      <c r="B52" s="54" t="s">
        <v>110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112</v>
      </c>
      <c r="B53" s="54" t="s">
        <v>113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69</v>
      </c>
      <c r="X54" s="384">
        <v>280</v>
      </c>
      <c r="Y54" s="385">
        <f t="shared" si="6"/>
        <v>280</v>
      </c>
      <c r="Z54" s="36">
        <f>IFERROR(IF(Y54=0,"",ROUNDUP(Y54/H54,0)*0.00937),"")</f>
        <v>0.65590000000000004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296.8</v>
      </c>
      <c r="BN54" s="64">
        <f t="shared" si="8"/>
        <v>296.8</v>
      </c>
      <c r="BO54" s="64">
        <f t="shared" si="9"/>
        <v>0.58333333333333337</v>
      </c>
      <c r="BP54" s="64">
        <f t="shared" si="10"/>
        <v>0.58333333333333337</v>
      </c>
    </row>
    <row r="55" spans="1:68" ht="27" customHeight="1" x14ac:dyDescent="0.25">
      <c r="A55" s="54" t="s">
        <v>116</v>
      </c>
      <c r="B55" s="54" t="s">
        <v>117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70</v>
      </c>
      <c r="Q57" s="401"/>
      <c r="R57" s="401"/>
      <c r="S57" s="401"/>
      <c r="T57" s="401"/>
      <c r="U57" s="401"/>
      <c r="V57" s="402"/>
      <c r="W57" s="37" t="s">
        <v>71</v>
      </c>
      <c r="X57" s="386">
        <f>IFERROR(X51/H51,"0")+IFERROR(X52/H52,"0")+IFERROR(X53/H53,"0")+IFERROR(X54/H54,"0")+IFERROR(X55/H55,"0")+IFERROR(X56/H56,"0")</f>
        <v>80.18518518518519</v>
      </c>
      <c r="Y57" s="386">
        <f>IFERROR(Y51/H51,"0")+IFERROR(Y52/H52,"0")+IFERROR(Y53/H53,"0")+IFERROR(Y54/H54,"0")+IFERROR(Y55/H55,"0")+IFERROR(Y56/H56,"0")</f>
        <v>81</v>
      </c>
      <c r="Z57" s="386">
        <f>IFERROR(IF(Z51="",0,Z51),"0")+IFERROR(IF(Z52="",0,Z52),"0")+IFERROR(IF(Z53="",0,Z53),"0")+IFERROR(IF(Z54="",0,Z54),"0")+IFERROR(IF(Z55="",0,Z55),"0")+IFERROR(IF(Z56="",0,Z56),"0")</f>
        <v>0.89515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70</v>
      </c>
      <c r="Q58" s="401"/>
      <c r="R58" s="401"/>
      <c r="S58" s="401"/>
      <c r="T58" s="401"/>
      <c r="U58" s="401"/>
      <c r="V58" s="402"/>
      <c r="W58" s="37" t="s">
        <v>69</v>
      </c>
      <c r="X58" s="386">
        <f>IFERROR(SUM(X51:X56),"0")</f>
        <v>390</v>
      </c>
      <c r="Y58" s="386">
        <f>IFERROR(SUM(Y51:Y56),"0")</f>
        <v>398.8</v>
      </c>
      <c r="Z58" s="37"/>
      <c r="AA58" s="387"/>
      <c r="AB58" s="387"/>
      <c r="AC58" s="387"/>
    </row>
    <row r="59" spans="1:68" ht="14.25" customHeight="1" x14ac:dyDescent="0.25">
      <c r="A59" s="403" t="s">
        <v>72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77"/>
      <c r="AB59" s="377"/>
      <c r="AC59" s="377"/>
    </row>
    <row r="60" spans="1:68" ht="16.5" customHeight="1" x14ac:dyDescent="0.25">
      <c r="A60" s="54" t="s">
        <v>120</v>
      </c>
      <c r="B60" s="54" t="s">
        <v>121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0" t="s">
        <v>122</v>
      </c>
      <c r="Q60" s="393"/>
      <c r="R60" s="393"/>
      <c r="S60" s="393"/>
      <c r="T60" s="394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123</v>
      </c>
      <c r="B61" s="54" t="s">
        <v>124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1" t="s">
        <v>125</v>
      </c>
      <c r="Q61" s="393"/>
      <c r="R61" s="393"/>
      <c r="S61" s="393"/>
      <c r="T61" s="394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70</v>
      </c>
      <c r="Q62" s="401"/>
      <c r="R62" s="401"/>
      <c r="S62" s="401"/>
      <c r="T62" s="401"/>
      <c r="U62" s="401"/>
      <c r="V62" s="402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70</v>
      </c>
      <c r="Q63" s="401"/>
      <c r="R63" s="401"/>
      <c r="S63" s="401"/>
      <c r="T63" s="401"/>
      <c r="U63" s="401"/>
      <c r="V63" s="402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126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8"/>
      <c r="AB64" s="378"/>
      <c r="AC64" s="378"/>
    </row>
    <row r="65" spans="1:68" ht="14.25" customHeight="1" x14ac:dyDescent="0.25">
      <c r="A65" s="403" t="s">
        <v>105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77"/>
      <c r="AB65" s="377"/>
      <c r="AC65" s="377"/>
    </row>
    <row r="66" spans="1:68" ht="27" customHeight="1" x14ac:dyDescent="0.25">
      <c r="A66" s="54" t="s">
        <v>127</v>
      </c>
      <c r="B66" s="54" t="s">
        <v>128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69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69</v>
      </c>
      <c r="X69" s="384">
        <v>360</v>
      </c>
      <c r="Y69" s="385">
        <f t="shared" si="11"/>
        <v>360</v>
      </c>
      <c r="Z69" s="36">
        <f>IFERROR(IF(Y69=0,"",ROUNDUP(Y69/H69,0)*0.00937),"")</f>
        <v>0.74960000000000004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379.20000000000005</v>
      </c>
      <c r="BN69" s="64">
        <f t="shared" si="13"/>
        <v>379.20000000000005</v>
      </c>
      <c r="BO69" s="64">
        <f t="shared" si="14"/>
        <v>0.66666666666666663</v>
      </c>
      <c r="BP69" s="64">
        <f t="shared" si="15"/>
        <v>0.66666666666666663</v>
      </c>
    </row>
    <row r="70" spans="1:68" ht="27" customHeight="1" x14ac:dyDescent="0.25">
      <c r="A70" s="54" t="s">
        <v>135</v>
      </c>
      <c r="B70" s="54" t="s">
        <v>136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137</v>
      </c>
      <c r="B71" s="54" t="s">
        <v>138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85" t="s">
        <v>140</v>
      </c>
      <c r="Q71" s="393"/>
      <c r="R71" s="393"/>
      <c r="S71" s="393"/>
      <c r="T71" s="394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70</v>
      </c>
      <c r="Q72" s="401"/>
      <c r="R72" s="401"/>
      <c r="S72" s="401"/>
      <c r="T72" s="401"/>
      <c r="U72" s="401"/>
      <c r="V72" s="402"/>
      <c r="W72" s="37" t="s">
        <v>71</v>
      </c>
      <c r="X72" s="386">
        <f>IFERROR(X66/H66,"0")+IFERROR(X67/H67,"0")+IFERROR(X68/H68,"0")+IFERROR(X69/H69,"0")+IFERROR(X70/H70,"0")+IFERROR(X71/H71,"0")</f>
        <v>80</v>
      </c>
      <c r="Y72" s="386">
        <f>IFERROR(Y66/H66,"0")+IFERROR(Y67/H67,"0")+IFERROR(Y68/H68,"0")+IFERROR(Y69/H69,"0")+IFERROR(Y70/H70,"0")+IFERROR(Y71/H71,"0")</f>
        <v>80</v>
      </c>
      <c r="Z72" s="386">
        <f>IFERROR(IF(Z66="",0,Z66),"0")+IFERROR(IF(Z67="",0,Z67),"0")+IFERROR(IF(Z68="",0,Z68),"0")+IFERROR(IF(Z69="",0,Z69),"0")+IFERROR(IF(Z70="",0,Z70),"0")+IFERROR(IF(Z71="",0,Z71),"0")</f>
        <v>0.74960000000000004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70</v>
      </c>
      <c r="Q73" s="401"/>
      <c r="R73" s="401"/>
      <c r="S73" s="401"/>
      <c r="T73" s="401"/>
      <c r="U73" s="401"/>
      <c r="V73" s="402"/>
      <c r="W73" s="37" t="s">
        <v>69</v>
      </c>
      <c r="X73" s="386">
        <f>IFERROR(SUM(X66:X71),"0")</f>
        <v>360</v>
      </c>
      <c r="Y73" s="386">
        <f>IFERROR(SUM(Y66:Y71),"0")</f>
        <v>360</v>
      </c>
      <c r="Z73" s="37"/>
      <c r="AA73" s="387"/>
      <c r="AB73" s="387"/>
      <c r="AC73" s="387"/>
    </row>
    <row r="74" spans="1:68" ht="14.25" customHeight="1" x14ac:dyDescent="0.25">
      <c r="A74" s="403" t="s">
        <v>141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77"/>
      <c r="AB74" s="377"/>
      <c r="AC74" s="377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69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69</v>
      </c>
      <c r="X76" s="384">
        <v>180</v>
      </c>
      <c r="Y76" s="385">
        <f>IFERROR(IF(X76="",0,CEILING((X76/$H76),1)*$H76),"")</f>
        <v>180.9</v>
      </c>
      <c r="Z76" s="36">
        <f>IFERROR(IF(Y76=0,"",ROUNDUP(Y76/H76,0)*0.00753),"")</f>
        <v>0.50451000000000001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193.33333333333331</v>
      </c>
      <c r="BN76" s="64">
        <f>IFERROR(Y76*I76/H76,"0")</f>
        <v>194.29999999999998</v>
      </c>
      <c r="BO76" s="64">
        <f>IFERROR(1/J76*(X76/H76),"0")</f>
        <v>0.42735042735042728</v>
      </c>
      <c r="BP76" s="64">
        <f>IFERROR(1/J76*(Y76/H76),"0")</f>
        <v>0.42948717948717946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70</v>
      </c>
      <c r="Q77" s="401"/>
      <c r="R77" s="401"/>
      <c r="S77" s="401"/>
      <c r="T77" s="401"/>
      <c r="U77" s="401"/>
      <c r="V77" s="402"/>
      <c r="W77" s="37" t="s">
        <v>71</v>
      </c>
      <c r="X77" s="386">
        <f>IFERROR(X75/H75,"0")+IFERROR(X76/H76,"0")</f>
        <v>66.666666666666657</v>
      </c>
      <c r="Y77" s="386">
        <f>IFERROR(Y75/H75,"0")+IFERROR(Y76/H76,"0")</f>
        <v>67</v>
      </c>
      <c r="Z77" s="386">
        <f>IFERROR(IF(Z75="",0,Z75),"0")+IFERROR(IF(Z76="",0,Z76),"0")</f>
        <v>0.50451000000000001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70</v>
      </c>
      <c r="Q78" s="401"/>
      <c r="R78" s="401"/>
      <c r="S78" s="401"/>
      <c r="T78" s="401"/>
      <c r="U78" s="401"/>
      <c r="V78" s="402"/>
      <c r="W78" s="37" t="s">
        <v>69</v>
      </c>
      <c r="X78" s="386">
        <f>IFERROR(SUM(X75:X76),"0")</f>
        <v>180</v>
      </c>
      <c r="Y78" s="386">
        <f>IFERROR(SUM(Y75:Y76),"0")</f>
        <v>180.9</v>
      </c>
      <c r="Z78" s="37"/>
      <c r="AA78" s="387"/>
      <c r="AB78" s="387"/>
      <c r="AC78" s="387"/>
    </row>
    <row r="79" spans="1:68" ht="14.25" customHeight="1" x14ac:dyDescent="0.25">
      <c r="A79" s="403" t="s">
        <v>64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77"/>
      <c r="AB79" s="377"/>
      <c r="AC79" s="377"/>
    </row>
    <row r="80" spans="1:68" ht="27" customHeight="1" x14ac:dyDescent="0.25">
      <c r="A80" s="54" t="s">
        <v>146</v>
      </c>
      <c r="B80" s="54" t="s">
        <v>147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6" t="s">
        <v>148</v>
      </c>
      <c r="Q80" s="393"/>
      <c r="R80" s="393"/>
      <c r="S80" s="393"/>
      <c r="T80" s="394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150</v>
      </c>
      <c r="B81" s="54" t="s">
        <v>151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36" t="s">
        <v>152</v>
      </c>
      <c r="Q81" s="393"/>
      <c r="R81" s="393"/>
      <c r="S81" s="393"/>
      <c r="T81" s="394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153</v>
      </c>
      <c r="B82" s="54" t="s">
        <v>154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7" t="s">
        <v>155</v>
      </c>
      <c r="Q82" s="393"/>
      <c r="R82" s="393"/>
      <c r="S82" s="393"/>
      <c r="T82" s="394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156</v>
      </c>
      <c r="B83" s="54" t="s">
        <v>157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5" t="s">
        <v>158</v>
      </c>
      <c r="Q83" s="393"/>
      <c r="R83" s="393"/>
      <c r="S83" s="393"/>
      <c r="T83" s="394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159</v>
      </c>
      <c r="B84" s="54" t="s">
        <v>160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0" t="s">
        <v>161</v>
      </c>
      <c r="Q84" s="393"/>
      <c r="R84" s="393"/>
      <c r="S84" s="393"/>
      <c r="T84" s="394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162</v>
      </c>
      <c r="B85" s="54" t="s">
        <v>163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68" t="s">
        <v>164</v>
      </c>
      <c r="Q85" s="393"/>
      <c r="R85" s="393"/>
      <c r="S85" s="393"/>
      <c r="T85" s="394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70</v>
      </c>
      <c r="Q86" s="401"/>
      <c r="R86" s="401"/>
      <c r="S86" s="401"/>
      <c r="T86" s="401"/>
      <c r="U86" s="401"/>
      <c r="V86" s="402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70</v>
      </c>
      <c r="Q87" s="401"/>
      <c r="R87" s="401"/>
      <c r="S87" s="401"/>
      <c r="T87" s="401"/>
      <c r="U87" s="401"/>
      <c r="V87" s="402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3" t="s">
        <v>72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77"/>
      <c r="AB88" s="377"/>
      <c r="AC88" s="377"/>
    </row>
    <row r="89" spans="1:68" ht="16.5" customHeight="1" x14ac:dyDescent="0.25">
      <c r="A89" s="54" t="s">
        <v>165</v>
      </c>
      <c r="B89" s="54" t="s">
        <v>166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601" t="s">
        <v>167</v>
      </c>
      <c r="Q89" s="393"/>
      <c r="R89" s="393"/>
      <c r="S89" s="393"/>
      <c r="T89" s="394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168</v>
      </c>
      <c r="B90" s="54" t="s">
        <v>169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3"/>
      <c r="R90" s="393"/>
      <c r="S90" s="393"/>
      <c r="T90" s="394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70</v>
      </c>
      <c r="Q91" s="401"/>
      <c r="R91" s="401"/>
      <c r="S91" s="401"/>
      <c r="T91" s="401"/>
      <c r="U91" s="401"/>
      <c r="V91" s="402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70</v>
      </c>
      <c r="Q92" s="401"/>
      <c r="R92" s="401"/>
      <c r="S92" s="401"/>
      <c r="T92" s="401"/>
      <c r="U92" s="401"/>
      <c r="V92" s="402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3" t="s">
        <v>171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77"/>
      <c r="AB93" s="377"/>
      <c r="AC93" s="377"/>
    </row>
    <row r="94" spans="1:68" ht="27" customHeight="1" x14ac:dyDescent="0.25">
      <c r="A94" s="54" t="s">
        <v>172</v>
      </c>
      <c r="B94" s="54" t="s">
        <v>173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69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175</v>
      </c>
      <c r="B96" s="54" t="s">
        <v>176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70</v>
      </c>
      <c r="Q97" s="401"/>
      <c r="R97" s="401"/>
      <c r="S97" s="401"/>
      <c r="T97" s="401"/>
      <c r="U97" s="401"/>
      <c r="V97" s="402"/>
      <c r="W97" s="37" t="s">
        <v>71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70</v>
      </c>
      <c r="Q98" s="401"/>
      <c r="R98" s="401"/>
      <c r="S98" s="401"/>
      <c r="T98" s="401"/>
      <c r="U98" s="401"/>
      <c r="V98" s="402"/>
      <c r="W98" s="37" t="s">
        <v>69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177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8"/>
      <c r="AB99" s="378"/>
      <c r="AC99" s="378"/>
    </row>
    <row r="100" spans="1:68" ht="14.25" customHeight="1" x14ac:dyDescent="0.25">
      <c r="A100" s="403" t="s">
        <v>105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69</v>
      </c>
      <c r="X101" s="384">
        <v>200</v>
      </c>
      <c r="Y101" s="385">
        <f>IFERROR(IF(X101="",0,CEILING((X101/$H101),1)*$H101),"")</f>
        <v>205.20000000000002</v>
      </c>
      <c r="Z101" s="36">
        <f>IFERROR(IF(Y101=0,"",ROUNDUP(Y101/H101,0)*0.02175),"")</f>
        <v>0.41324999999999995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208.88888888888889</v>
      </c>
      <c r="BN101" s="64">
        <f>IFERROR(Y101*I101/H101,"0")</f>
        <v>214.32</v>
      </c>
      <c r="BO101" s="64">
        <f>IFERROR(1/J101*(X101/H101),"0")</f>
        <v>0.3306878306878307</v>
      </c>
      <c r="BP101" s="64">
        <f>IFERROR(1/J101*(Y101/H101),"0")</f>
        <v>0.33928571428571425</v>
      </c>
    </row>
    <row r="102" spans="1:68" ht="16.5" customHeight="1" x14ac:dyDescent="0.25">
      <c r="A102" s="54" t="s">
        <v>180</v>
      </c>
      <c r="B102" s="54" t="s">
        <v>181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87" t="s">
        <v>184</v>
      </c>
      <c r="Q103" s="393"/>
      <c r="R103" s="393"/>
      <c r="S103" s="393"/>
      <c r="T103" s="394"/>
      <c r="U103" s="34"/>
      <c r="V103" s="34"/>
      <c r="W103" s="35" t="s">
        <v>69</v>
      </c>
      <c r="X103" s="384">
        <v>630</v>
      </c>
      <c r="Y103" s="385">
        <f>IFERROR(IF(X103="",0,CEILING((X103/$H103),1)*$H103),"")</f>
        <v>630</v>
      </c>
      <c r="Z103" s="36">
        <f>IFERROR(IF(Y103=0,"",ROUNDUP(Y103/H103,0)*0.00937),"")</f>
        <v>1.3118000000000001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659.40000000000009</v>
      </c>
      <c r="BN103" s="64">
        <f>IFERROR(Y103*I103/H103,"0")</f>
        <v>659.40000000000009</v>
      </c>
      <c r="BO103" s="64">
        <f>IFERROR(1/J103*(X103/H103),"0")</f>
        <v>1.1666666666666667</v>
      </c>
      <c r="BP103" s="64">
        <f>IFERROR(1/J103*(Y103/H103),"0")</f>
        <v>1.1666666666666667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6">
        <f>IFERROR(X101/H101,"0")+IFERROR(X102/H102,"0")+IFERROR(X103/H103,"0")</f>
        <v>158.51851851851853</v>
      </c>
      <c r="Y104" s="386">
        <f>IFERROR(Y101/H101,"0")+IFERROR(Y102/H102,"0")+IFERROR(Y103/H103,"0")</f>
        <v>159</v>
      </c>
      <c r="Z104" s="386">
        <f>IFERROR(IF(Z101="",0,Z101),"0")+IFERROR(IF(Z102="",0,Z102),"0")+IFERROR(IF(Z103="",0,Z103),"0")</f>
        <v>1.72505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6">
        <f>IFERROR(SUM(X101:X103),"0")</f>
        <v>830</v>
      </c>
      <c r="Y105" s="386">
        <f>IFERROR(SUM(Y101:Y103),"0")</f>
        <v>835.2</v>
      </c>
      <c r="Z105" s="37"/>
      <c r="AA105" s="387"/>
      <c r="AB105" s="387"/>
      <c r="AC105" s="387"/>
    </row>
    <row r="106" spans="1:68" ht="14.25" customHeight="1" x14ac:dyDescent="0.25">
      <c r="A106" s="403" t="s">
        <v>72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77"/>
      <c r="AB106" s="377"/>
      <c r="AC106" s="377"/>
    </row>
    <row r="107" spans="1:68" ht="27" customHeight="1" x14ac:dyDescent="0.25">
      <c r="A107" s="54" t="s">
        <v>185</v>
      </c>
      <c r="B107" s="54" t="s">
        <v>186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69</v>
      </c>
      <c r="X108" s="384">
        <v>140</v>
      </c>
      <c r="Y108" s="385">
        <f>IFERROR(IF(X108="",0,CEILING((X108/$H108),1)*$H108),"")</f>
        <v>142.80000000000001</v>
      </c>
      <c r="Z108" s="36">
        <f>IFERROR(IF(Y108=0,"",ROUNDUP(Y108/H108,0)*0.02175),"")</f>
        <v>0.36974999999999997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149.4</v>
      </c>
      <c r="BN108" s="64">
        <f>IFERROR(Y108*I108/H108,"0")</f>
        <v>152.38800000000001</v>
      </c>
      <c r="BO108" s="64">
        <f>IFERROR(1/J108*(X108/H108),"0")</f>
        <v>0.29761904761904756</v>
      </c>
      <c r="BP108" s="64">
        <f>IFERROR(1/J108*(Y108/H108),"0")</f>
        <v>0.30357142857142855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69</v>
      </c>
      <c r="X109" s="384">
        <v>495</v>
      </c>
      <c r="Y109" s="385">
        <f>IFERROR(IF(X109="",0,CEILING((X109/$H109),1)*$H109),"")</f>
        <v>496.8</v>
      </c>
      <c r="Z109" s="36">
        <f>IFERROR(IF(Y109=0,"",ROUNDUP(Y109/H109,0)*0.00753),"")</f>
        <v>1.3855200000000001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544.86666666666667</v>
      </c>
      <c r="BN109" s="64">
        <f>IFERROR(Y109*I109/H109,"0")</f>
        <v>546.84799999999996</v>
      </c>
      <c r="BO109" s="64">
        <f>IFERROR(1/J109*(X109/H109),"0")</f>
        <v>1.175213675213675</v>
      </c>
      <c r="BP109" s="64">
        <f>IFERROR(1/J109*(Y109/H109),"0")</f>
        <v>1.1794871794871795</v>
      </c>
    </row>
    <row r="110" spans="1:68" ht="27" customHeight="1" x14ac:dyDescent="0.25">
      <c r="A110" s="54" t="s">
        <v>190</v>
      </c>
      <c r="B110" s="54" t="s">
        <v>191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192</v>
      </c>
      <c r="B111" s="54" t="s">
        <v>193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70</v>
      </c>
      <c r="Q112" s="401"/>
      <c r="R112" s="401"/>
      <c r="S112" s="401"/>
      <c r="T112" s="401"/>
      <c r="U112" s="401"/>
      <c r="V112" s="402"/>
      <c r="W112" s="37" t="s">
        <v>71</v>
      </c>
      <c r="X112" s="386">
        <f>IFERROR(X107/H107,"0")+IFERROR(X108/H108,"0")+IFERROR(X109/H109,"0")+IFERROR(X110/H110,"0")+IFERROR(X111/H111,"0")</f>
        <v>199.99999999999997</v>
      </c>
      <c r="Y112" s="386">
        <f>IFERROR(Y107/H107,"0")+IFERROR(Y108/H108,"0")+IFERROR(Y109/H109,"0")+IFERROR(Y110/H110,"0")+IFERROR(Y111/H111,"0")</f>
        <v>201</v>
      </c>
      <c r="Z112" s="386">
        <f>IFERROR(IF(Z107="",0,Z107),"0")+IFERROR(IF(Z108="",0,Z108),"0")+IFERROR(IF(Z109="",0,Z109),"0")+IFERROR(IF(Z110="",0,Z110),"0")+IFERROR(IF(Z111="",0,Z111),"0")</f>
        <v>1.7552700000000001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70</v>
      </c>
      <c r="Q113" s="401"/>
      <c r="R113" s="401"/>
      <c r="S113" s="401"/>
      <c r="T113" s="401"/>
      <c r="U113" s="401"/>
      <c r="V113" s="402"/>
      <c r="W113" s="37" t="s">
        <v>69</v>
      </c>
      <c r="X113" s="386">
        <f>IFERROR(SUM(X107:X111),"0")</f>
        <v>635</v>
      </c>
      <c r="Y113" s="386">
        <f>IFERROR(SUM(Y107:Y111),"0")</f>
        <v>639.6</v>
      </c>
      <c r="Z113" s="37"/>
      <c r="AA113" s="387"/>
      <c r="AB113" s="387"/>
      <c r="AC113" s="387"/>
    </row>
    <row r="114" spans="1:68" ht="16.5" customHeight="1" x14ac:dyDescent="0.25">
      <c r="A114" s="390" t="s">
        <v>194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8"/>
      <c r="AB114" s="378"/>
      <c r="AC114" s="378"/>
    </row>
    <row r="115" spans="1:68" ht="14.25" customHeight="1" x14ac:dyDescent="0.25">
      <c r="A115" s="403" t="s">
        <v>105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77"/>
      <c r="AB115" s="377"/>
      <c r="AC115" s="377"/>
    </row>
    <row r="116" spans="1:68" ht="16.5" customHeight="1" x14ac:dyDescent="0.25">
      <c r="A116" s="54" t="s">
        <v>195</v>
      </c>
      <c r="B116" s="54" t="s">
        <v>196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69</v>
      </c>
      <c r="X117" s="384">
        <v>40</v>
      </c>
      <c r="Y117" s="385">
        <f>IFERROR(IF(X117="",0,CEILING((X117/$H117),1)*$H117),"")</f>
        <v>44.8</v>
      </c>
      <c r="Z117" s="36">
        <f>IFERROR(IF(Y117=0,"",ROUNDUP(Y117/H117,0)*0.02175),"")</f>
        <v>8.6999999999999994E-2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41.714285714285715</v>
      </c>
      <c r="BN117" s="64">
        <f>IFERROR(Y117*I117/H117,"0")</f>
        <v>46.720000000000006</v>
      </c>
      <c r="BO117" s="64">
        <f>IFERROR(1/J117*(X117/H117),"0")</f>
        <v>6.3775510204081634E-2</v>
      </c>
      <c r="BP117" s="64">
        <f>IFERROR(1/J117*(Y117/H117),"0")</f>
        <v>7.1428571428571425E-2</v>
      </c>
    </row>
    <row r="118" spans="1:68" ht="27" customHeight="1" x14ac:dyDescent="0.25">
      <c r="A118" s="54" t="s">
        <v>198</v>
      </c>
      <c r="B118" s="54" t="s">
        <v>199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536" t="s">
        <v>202</v>
      </c>
      <c r="Q119" s="393"/>
      <c r="R119" s="393"/>
      <c r="S119" s="393"/>
      <c r="T119" s="394"/>
      <c r="U119" s="34"/>
      <c r="V119" s="34"/>
      <c r="W119" s="35" t="s">
        <v>69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203</v>
      </c>
      <c r="B120" s="54" t="s">
        <v>204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70</v>
      </c>
      <c r="Q121" s="401"/>
      <c r="R121" s="401"/>
      <c r="S121" s="401"/>
      <c r="T121" s="401"/>
      <c r="U121" s="401"/>
      <c r="V121" s="402"/>
      <c r="W121" s="37" t="s">
        <v>71</v>
      </c>
      <c r="X121" s="386">
        <f>IFERROR(X116/H116,"0")+IFERROR(X117/H117,"0")+IFERROR(X118/H118,"0")+IFERROR(X119/H119,"0")+IFERROR(X120/H120,"0")</f>
        <v>3.5714285714285716</v>
      </c>
      <c r="Y121" s="386">
        <f>IFERROR(Y116/H116,"0")+IFERROR(Y117/H117,"0")+IFERROR(Y118/H118,"0")+IFERROR(Y119/H119,"0")+IFERROR(Y120/H120,"0")</f>
        <v>4</v>
      </c>
      <c r="Z121" s="386">
        <f>IFERROR(IF(Z116="",0,Z116),"0")+IFERROR(IF(Z117="",0,Z117),"0")+IFERROR(IF(Z118="",0,Z118),"0")+IFERROR(IF(Z119="",0,Z119),"0")+IFERROR(IF(Z120="",0,Z120),"0")</f>
        <v>8.6999999999999994E-2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70</v>
      </c>
      <c r="Q122" s="401"/>
      <c r="R122" s="401"/>
      <c r="S122" s="401"/>
      <c r="T122" s="401"/>
      <c r="U122" s="401"/>
      <c r="V122" s="402"/>
      <c r="W122" s="37" t="s">
        <v>69</v>
      </c>
      <c r="X122" s="386">
        <f>IFERROR(SUM(X116:X120),"0")</f>
        <v>40</v>
      </c>
      <c r="Y122" s="386">
        <f>IFERROR(SUM(Y116:Y120),"0")</f>
        <v>44.8</v>
      </c>
      <c r="Z122" s="37"/>
      <c r="AA122" s="387"/>
      <c r="AB122" s="387"/>
      <c r="AC122" s="387"/>
    </row>
    <row r="123" spans="1:68" ht="14.25" customHeight="1" x14ac:dyDescent="0.25">
      <c r="A123" s="403" t="s">
        <v>141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77"/>
      <c r="AB123" s="377"/>
      <c r="AC123" s="377"/>
    </row>
    <row r="124" spans="1:68" ht="16.5" customHeight="1" x14ac:dyDescent="0.25">
      <c r="A124" s="54" t="s">
        <v>205</v>
      </c>
      <c r="B124" s="54" t="s">
        <v>206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207</v>
      </c>
      <c r="B125" s="54" t="s">
        <v>208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6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209</v>
      </c>
      <c r="B126" s="54" t="s">
        <v>210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70</v>
      </c>
      <c r="Q127" s="401"/>
      <c r="R127" s="401"/>
      <c r="S127" s="401"/>
      <c r="T127" s="401"/>
      <c r="U127" s="401"/>
      <c r="V127" s="402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70</v>
      </c>
      <c r="Q128" s="401"/>
      <c r="R128" s="401"/>
      <c r="S128" s="401"/>
      <c r="T128" s="401"/>
      <c r="U128" s="401"/>
      <c r="V128" s="402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3" t="s">
        <v>72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7"/>
      <c r="AB129" s="377"/>
      <c r="AC129" s="377"/>
    </row>
    <row r="130" spans="1:68" ht="27" customHeight="1" x14ac:dyDescent="0.25">
      <c r="A130" s="54" t="s">
        <v>211</v>
      </c>
      <c r="B130" s="54" t="s">
        <v>212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69</v>
      </c>
      <c r="X131" s="384">
        <v>310</v>
      </c>
      <c r="Y131" s="385">
        <f t="shared" si="21"/>
        <v>310.8</v>
      </c>
      <c r="Z131" s="36">
        <f>IFERROR(IF(Y131=0,"",ROUNDUP(Y131/H131,0)*0.02175),"")</f>
        <v>0.80474999999999997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330.59285714285716</v>
      </c>
      <c r="BN131" s="64">
        <f t="shared" si="23"/>
        <v>331.44599999999997</v>
      </c>
      <c r="BO131" s="64">
        <f t="shared" si="24"/>
        <v>0.6590136054421768</v>
      </c>
      <c r="BP131" s="64">
        <f t="shared" si="25"/>
        <v>0.6607142857142857</v>
      </c>
    </row>
    <row r="132" spans="1:68" ht="16.5" customHeight="1" x14ac:dyDescent="0.25">
      <c r="A132" s="54" t="s">
        <v>214</v>
      </c>
      <c r="B132" s="54" t="s">
        <v>215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69</v>
      </c>
      <c r="X133" s="384">
        <v>405</v>
      </c>
      <c r="Y133" s="385">
        <f t="shared" si="21"/>
        <v>405</v>
      </c>
      <c r="Z133" s="36">
        <f>IFERROR(IF(Y133=0,"",ROUNDUP(Y133/H133,0)*0.00753),"")</f>
        <v>1.1294999999999999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445.8</v>
      </c>
      <c r="BN133" s="64">
        <f t="shared" si="23"/>
        <v>445.8</v>
      </c>
      <c r="BO133" s="64">
        <f t="shared" si="24"/>
        <v>0.96153846153846145</v>
      </c>
      <c r="BP133" s="64">
        <f t="shared" si="25"/>
        <v>0.96153846153846145</v>
      </c>
    </row>
    <row r="134" spans="1:68" ht="27" customHeight="1" x14ac:dyDescent="0.25">
      <c r="A134" s="54" t="s">
        <v>218</v>
      </c>
      <c r="B134" s="54" t="s">
        <v>219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69</v>
      </c>
      <c r="X134" s="384">
        <v>30</v>
      </c>
      <c r="Y134" s="385">
        <f t="shared" si="21"/>
        <v>30.6</v>
      </c>
      <c r="Z134" s="36">
        <f>IFERROR(IF(Y134=0,"",ROUNDUP(Y134/H134,0)*0.00753),"")</f>
        <v>0.12801000000000001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33.333333333333336</v>
      </c>
      <c r="BN134" s="64">
        <f t="shared" si="23"/>
        <v>34</v>
      </c>
      <c r="BO134" s="64">
        <f t="shared" si="24"/>
        <v>0.10683760683760685</v>
      </c>
      <c r="BP134" s="64">
        <f t="shared" si="25"/>
        <v>0.10897435897435898</v>
      </c>
    </row>
    <row r="135" spans="1:68" ht="16.5" customHeight="1" x14ac:dyDescent="0.25">
      <c r="A135" s="54" t="s">
        <v>220</v>
      </c>
      <c r="B135" s="54" t="s">
        <v>221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6">
        <f>IFERROR(X130/H130,"0")+IFERROR(X131/H131,"0")+IFERROR(X132/H132,"0")+IFERROR(X133/H133,"0")+IFERROR(X134/H134,"0")+IFERROR(X135/H135,"0")</f>
        <v>203.57142857142856</v>
      </c>
      <c r="Y136" s="386">
        <f>IFERROR(Y130/H130,"0")+IFERROR(Y131/H131,"0")+IFERROR(Y132/H132,"0")+IFERROR(Y133/H133,"0")+IFERROR(Y134/H134,"0")+IFERROR(Y135/H135,"0")</f>
        <v>204</v>
      </c>
      <c r="Z136" s="386">
        <f>IFERROR(IF(Z130="",0,Z130),"0")+IFERROR(IF(Z131="",0,Z131),"0")+IFERROR(IF(Z132="",0,Z132),"0")+IFERROR(IF(Z133="",0,Z133),"0")+IFERROR(IF(Z134="",0,Z134),"0")+IFERROR(IF(Z135="",0,Z135),"0")</f>
        <v>2.0622600000000002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6">
        <f>IFERROR(SUM(X130:X135),"0")</f>
        <v>745</v>
      </c>
      <c r="Y137" s="386">
        <f>IFERROR(SUM(Y130:Y135),"0")</f>
        <v>746.4</v>
      </c>
      <c r="Z137" s="37"/>
      <c r="AA137" s="387"/>
      <c r="AB137" s="387"/>
      <c r="AC137" s="387"/>
    </row>
    <row r="138" spans="1:68" ht="14.25" customHeight="1" x14ac:dyDescent="0.25">
      <c r="A138" s="403" t="s">
        <v>171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77"/>
      <c r="AB138" s="377"/>
      <c r="AC138" s="377"/>
    </row>
    <row r="139" spans="1:68" ht="27" customHeight="1" x14ac:dyDescent="0.25">
      <c r="A139" s="54" t="s">
        <v>222</v>
      </c>
      <c r="B139" s="54" t="s">
        <v>223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69</v>
      </c>
      <c r="X140" s="384">
        <v>19.8</v>
      </c>
      <c r="Y140" s="385">
        <f>IFERROR(IF(X140="",0,CEILING((X140/$H140),1)*$H140),"")</f>
        <v>19.8</v>
      </c>
      <c r="Z140" s="36">
        <f>IFERROR(IF(Y140=0,"",ROUNDUP(Y140/H140,0)*0.00753),"")</f>
        <v>7.5300000000000006E-2</v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22.580000000000002</v>
      </c>
      <c r="BN140" s="64">
        <f>IFERROR(Y140*I140/H140,"0")</f>
        <v>22.580000000000002</v>
      </c>
      <c r="BO140" s="64">
        <f>IFERROR(1/J140*(X140/H140),"0")</f>
        <v>6.4102564102564097E-2</v>
      </c>
      <c r="BP140" s="64">
        <f>IFERROR(1/J140*(Y140/H140),"0")</f>
        <v>6.4102564102564097E-2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70</v>
      </c>
      <c r="Q141" s="401"/>
      <c r="R141" s="401"/>
      <c r="S141" s="401"/>
      <c r="T141" s="401"/>
      <c r="U141" s="401"/>
      <c r="V141" s="402"/>
      <c r="W141" s="37" t="s">
        <v>71</v>
      </c>
      <c r="X141" s="386">
        <f>IFERROR(X139/H139,"0")+IFERROR(X140/H140,"0")</f>
        <v>10</v>
      </c>
      <c r="Y141" s="386">
        <f>IFERROR(Y139/H139,"0")+IFERROR(Y140/H140,"0")</f>
        <v>10</v>
      </c>
      <c r="Z141" s="386">
        <f>IFERROR(IF(Z139="",0,Z139),"0")+IFERROR(IF(Z140="",0,Z140),"0")</f>
        <v>7.5300000000000006E-2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70</v>
      </c>
      <c r="Q142" s="401"/>
      <c r="R142" s="401"/>
      <c r="S142" s="401"/>
      <c r="T142" s="401"/>
      <c r="U142" s="401"/>
      <c r="V142" s="402"/>
      <c r="W142" s="37" t="s">
        <v>69</v>
      </c>
      <c r="X142" s="386">
        <f>IFERROR(SUM(X139:X140),"0")</f>
        <v>19.8</v>
      </c>
      <c r="Y142" s="386">
        <f>IFERROR(SUM(Y139:Y140),"0")</f>
        <v>19.8</v>
      </c>
      <c r="Z142" s="37"/>
      <c r="AA142" s="387"/>
      <c r="AB142" s="387"/>
      <c r="AC142" s="387"/>
    </row>
    <row r="143" spans="1:68" ht="16.5" customHeight="1" x14ac:dyDescent="0.25">
      <c r="A143" s="390" t="s">
        <v>226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8"/>
      <c r="AB143" s="378"/>
      <c r="AC143" s="378"/>
    </row>
    <row r="144" spans="1:68" ht="14.25" customHeight="1" x14ac:dyDescent="0.25">
      <c r="A144" s="403" t="s">
        <v>105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69</v>
      </c>
      <c r="X145" s="384">
        <v>100</v>
      </c>
      <c r="Y145" s="385">
        <f>IFERROR(IF(X145="",0,CEILING((X145/$H145),1)*$H145),"")</f>
        <v>102.4</v>
      </c>
      <c r="Z145" s="36">
        <f>IFERROR(IF(Y145=0,"",ROUNDUP(Y145/H145,0)*0.00753),"")</f>
        <v>0.24096000000000001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106.25</v>
      </c>
      <c r="BN145" s="64">
        <f>IFERROR(Y145*I145/H145,"0")</f>
        <v>108.8</v>
      </c>
      <c r="BO145" s="64">
        <f>IFERROR(1/J145*(X145/H145),"0")</f>
        <v>0.2003205128205128</v>
      </c>
      <c r="BP145" s="64">
        <f>IFERROR(1/J145*(Y145/H145),"0")</f>
        <v>0.20512820512820512</v>
      </c>
    </row>
    <row r="146" spans="1:68" ht="27" customHeight="1" x14ac:dyDescent="0.25">
      <c r="A146" s="54" t="s">
        <v>227</v>
      </c>
      <c r="B146" s="54" t="s">
        <v>229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70</v>
      </c>
      <c r="Q147" s="401"/>
      <c r="R147" s="401"/>
      <c r="S147" s="401"/>
      <c r="T147" s="401"/>
      <c r="U147" s="401"/>
      <c r="V147" s="402"/>
      <c r="W147" s="37" t="s">
        <v>71</v>
      </c>
      <c r="X147" s="386">
        <f>IFERROR(X145/H145,"0")+IFERROR(X146/H146,"0")</f>
        <v>31.25</v>
      </c>
      <c r="Y147" s="386">
        <f>IFERROR(Y145/H145,"0")+IFERROR(Y146/H146,"0")</f>
        <v>32</v>
      </c>
      <c r="Z147" s="386">
        <f>IFERROR(IF(Z145="",0,Z145),"0")+IFERROR(IF(Z146="",0,Z146),"0")</f>
        <v>0.24096000000000001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70</v>
      </c>
      <c r="Q148" s="401"/>
      <c r="R148" s="401"/>
      <c r="S148" s="401"/>
      <c r="T148" s="401"/>
      <c r="U148" s="401"/>
      <c r="V148" s="402"/>
      <c r="W148" s="37" t="s">
        <v>69</v>
      </c>
      <c r="X148" s="386">
        <f>IFERROR(SUM(X145:X146),"0")</f>
        <v>100</v>
      </c>
      <c r="Y148" s="386">
        <f>IFERROR(SUM(Y145:Y146),"0")</f>
        <v>102.4</v>
      </c>
      <c r="Z148" s="37"/>
      <c r="AA148" s="387"/>
      <c r="AB148" s="387"/>
      <c r="AC148" s="387"/>
    </row>
    <row r="149" spans="1:68" ht="14.25" customHeight="1" x14ac:dyDescent="0.25">
      <c r="A149" s="403" t="s">
        <v>64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77"/>
      <c r="AB149" s="377"/>
      <c r="AC149" s="377"/>
    </row>
    <row r="150" spans="1:68" ht="27" customHeight="1" x14ac:dyDescent="0.25">
      <c r="A150" s="54" t="s">
        <v>230</v>
      </c>
      <c r="B150" s="54" t="s">
        <v>231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69</v>
      </c>
      <c r="X151" s="384">
        <v>70</v>
      </c>
      <c r="Y151" s="385">
        <f>IFERROR(IF(X151="",0,CEILING((X151/$H151),1)*$H151),"")</f>
        <v>70</v>
      </c>
      <c r="Z151" s="36">
        <f>IFERROR(IF(Y151=0,"",ROUNDUP(Y151/H151,0)*0.00753),"")</f>
        <v>0.18825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77.2</v>
      </c>
      <c r="BN151" s="64">
        <f>IFERROR(Y151*I151/H151,"0")</f>
        <v>77.2</v>
      </c>
      <c r="BO151" s="64">
        <f>IFERROR(1/J151*(X151/H151),"0")</f>
        <v>0.16025641025641024</v>
      </c>
      <c r="BP151" s="64">
        <f>IFERROR(1/J151*(Y151/H151),"0")</f>
        <v>0.16025641025641024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70</v>
      </c>
      <c r="Q152" s="401"/>
      <c r="R152" s="401"/>
      <c r="S152" s="401"/>
      <c r="T152" s="401"/>
      <c r="U152" s="401"/>
      <c r="V152" s="402"/>
      <c r="W152" s="37" t="s">
        <v>71</v>
      </c>
      <c r="X152" s="386">
        <f>IFERROR(X150/H150,"0")+IFERROR(X151/H151,"0")</f>
        <v>25</v>
      </c>
      <c r="Y152" s="386">
        <f>IFERROR(Y150/H150,"0")+IFERROR(Y151/H151,"0")</f>
        <v>25</v>
      </c>
      <c r="Z152" s="386">
        <f>IFERROR(IF(Z150="",0,Z150),"0")+IFERROR(IF(Z151="",0,Z151),"0")</f>
        <v>0.18825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70</v>
      </c>
      <c r="Q153" s="401"/>
      <c r="R153" s="401"/>
      <c r="S153" s="401"/>
      <c r="T153" s="401"/>
      <c r="U153" s="401"/>
      <c r="V153" s="402"/>
      <c r="W153" s="37" t="s">
        <v>69</v>
      </c>
      <c r="X153" s="386">
        <f>IFERROR(SUM(X150:X151),"0")</f>
        <v>70</v>
      </c>
      <c r="Y153" s="386">
        <f>IFERROR(SUM(Y150:Y151),"0")</f>
        <v>70</v>
      </c>
      <c r="Z153" s="37"/>
      <c r="AA153" s="387"/>
      <c r="AB153" s="387"/>
      <c r="AC153" s="387"/>
    </row>
    <row r="154" spans="1:68" ht="14.25" customHeight="1" x14ac:dyDescent="0.25">
      <c r="A154" s="403" t="s">
        <v>72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77"/>
      <c r="AB154" s="377"/>
      <c r="AC154" s="377"/>
    </row>
    <row r="155" spans="1:68" ht="16.5" customHeight="1" x14ac:dyDescent="0.25">
      <c r="A155" s="54" t="s">
        <v>233</v>
      </c>
      <c r="B155" s="54" t="s">
        <v>234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69</v>
      </c>
      <c r="X156" s="384">
        <v>115.5</v>
      </c>
      <c r="Y156" s="385">
        <f>IFERROR(IF(X156="",0,CEILING((X156/$H156),1)*$H156),"")</f>
        <v>116.16000000000001</v>
      </c>
      <c r="Z156" s="36">
        <f>IFERROR(IF(Y156=0,"",ROUNDUP(Y156/H156,0)*0.00753),"")</f>
        <v>0.33132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128.1</v>
      </c>
      <c r="BN156" s="64">
        <f>IFERROR(Y156*I156/H156,"0")</f>
        <v>128.83199999999999</v>
      </c>
      <c r="BO156" s="64">
        <f>IFERROR(1/J156*(X156/H156),"0")</f>
        <v>0.28044871794871795</v>
      </c>
      <c r="BP156" s="64">
        <f>IFERROR(1/J156*(Y156/H156),"0")</f>
        <v>0.28205128205128205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6">
        <f>IFERROR(X155/H155,"0")+IFERROR(X156/H156,"0")</f>
        <v>43.75</v>
      </c>
      <c r="Y157" s="386">
        <f>IFERROR(Y155/H155,"0")+IFERROR(Y156/H156,"0")</f>
        <v>44</v>
      </c>
      <c r="Z157" s="386">
        <f>IFERROR(IF(Z155="",0,Z155),"0")+IFERROR(IF(Z156="",0,Z156),"0")</f>
        <v>0.33132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6">
        <f>IFERROR(SUM(X155:X156),"0")</f>
        <v>115.5</v>
      </c>
      <c r="Y158" s="386">
        <f>IFERROR(SUM(Y155:Y156),"0")</f>
        <v>116.16000000000001</v>
      </c>
      <c r="Z158" s="37"/>
      <c r="AA158" s="387"/>
      <c r="AB158" s="387"/>
      <c r="AC158" s="387"/>
    </row>
    <row r="159" spans="1:68" ht="16.5" customHeight="1" x14ac:dyDescent="0.25">
      <c r="A159" s="390" t="s">
        <v>103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8"/>
      <c r="AB159" s="378"/>
      <c r="AC159" s="378"/>
    </row>
    <row r="160" spans="1:68" ht="14.25" customHeight="1" x14ac:dyDescent="0.25">
      <c r="A160" s="403" t="s">
        <v>105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77"/>
      <c r="AB160" s="377"/>
      <c r="AC160" s="377"/>
    </row>
    <row r="161" spans="1:68" ht="27" customHeight="1" x14ac:dyDescent="0.25">
      <c r="A161" s="54" t="s">
        <v>236</v>
      </c>
      <c r="B161" s="54" t="s">
        <v>237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69</v>
      </c>
      <c r="X162" s="384">
        <v>75</v>
      </c>
      <c r="Y162" s="385">
        <f>IFERROR(IF(X162="",0,CEILING((X162/$H162),1)*$H162),"")</f>
        <v>75</v>
      </c>
      <c r="Z162" s="36">
        <f>IFERROR(IF(Y162=0,"",ROUNDUP(Y162/H162,0)*0.00753),"")</f>
        <v>0.18825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80</v>
      </c>
      <c r="BN162" s="64">
        <f>IFERROR(Y162*I162/H162,"0")</f>
        <v>80</v>
      </c>
      <c r="BO162" s="64">
        <f>IFERROR(1/J162*(X162/H162),"0")</f>
        <v>0.16025641025641024</v>
      </c>
      <c r="BP162" s="64">
        <f>IFERROR(1/J162*(Y162/H162),"0")</f>
        <v>0.16025641025641024</v>
      </c>
    </row>
    <row r="163" spans="1:68" ht="27" customHeight="1" x14ac:dyDescent="0.25">
      <c r="A163" s="54" t="s">
        <v>240</v>
      </c>
      <c r="B163" s="54" t="s">
        <v>241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70</v>
      </c>
      <c r="Q164" s="401"/>
      <c r="R164" s="401"/>
      <c r="S164" s="401"/>
      <c r="T164" s="401"/>
      <c r="U164" s="401"/>
      <c r="V164" s="402"/>
      <c r="W164" s="37" t="s">
        <v>71</v>
      </c>
      <c r="X164" s="386">
        <f>IFERROR(X161/H161,"0")+IFERROR(X162/H162,"0")+IFERROR(X163/H163,"0")</f>
        <v>25</v>
      </c>
      <c r="Y164" s="386">
        <f>IFERROR(Y161/H161,"0")+IFERROR(Y162/H162,"0")+IFERROR(Y163/H163,"0")</f>
        <v>25</v>
      </c>
      <c r="Z164" s="386">
        <f>IFERROR(IF(Z161="",0,Z161),"0")+IFERROR(IF(Z162="",0,Z162),"0")+IFERROR(IF(Z163="",0,Z163),"0")</f>
        <v>0.18825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70</v>
      </c>
      <c r="Q165" s="401"/>
      <c r="R165" s="401"/>
      <c r="S165" s="401"/>
      <c r="T165" s="401"/>
      <c r="U165" s="401"/>
      <c r="V165" s="402"/>
      <c r="W165" s="37" t="s">
        <v>69</v>
      </c>
      <c r="X165" s="386">
        <f>IFERROR(SUM(X161:X163),"0")</f>
        <v>75</v>
      </c>
      <c r="Y165" s="386">
        <f>IFERROR(SUM(Y161:Y163),"0")</f>
        <v>75</v>
      </c>
      <c r="Z165" s="37"/>
      <c r="AA165" s="387"/>
      <c r="AB165" s="387"/>
      <c r="AC165" s="387"/>
    </row>
    <row r="166" spans="1:68" ht="14.25" customHeight="1" x14ac:dyDescent="0.25">
      <c r="A166" s="403" t="s">
        <v>64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77"/>
      <c r="AB166" s="377"/>
      <c r="AC166" s="377"/>
    </row>
    <row r="167" spans="1:68" ht="16.5" customHeight="1" x14ac:dyDescent="0.25">
      <c r="A167" s="54" t="s">
        <v>242</v>
      </c>
      <c r="B167" s="54" t="s">
        <v>243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244</v>
      </c>
      <c r="B168" s="54" t="s">
        <v>245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246</v>
      </c>
      <c r="B169" s="54" t="s">
        <v>247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248</v>
      </c>
      <c r="B170" s="54" t="s">
        <v>249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250</v>
      </c>
      <c r="B171" s="54" t="s">
        <v>251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70</v>
      </c>
      <c r="Q172" s="401"/>
      <c r="R172" s="401"/>
      <c r="S172" s="401"/>
      <c r="T172" s="401"/>
      <c r="U172" s="401"/>
      <c r="V172" s="402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70</v>
      </c>
      <c r="Q173" s="401"/>
      <c r="R173" s="401"/>
      <c r="S173" s="401"/>
      <c r="T173" s="401"/>
      <c r="U173" s="401"/>
      <c r="V173" s="402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3" t="s">
        <v>72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7"/>
      <c r="AB174" s="377"/>
      <c r="AC174" s="377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69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254</v>
      </c>
      <c r="B176" s="54" t="s">
        <v>255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69</v>
      </c>
      <c r="X177" s="384">
        <v>52.5</v>
      </c>
      <c r="Y177" s="385">
        <f>IFERROR(IF(X177="",0,CEILING((X177/$H177),1)*$H177),"")</f>
        <v>54</v>
      </c>
      <c r="Z177" s="36">
        <f>IFERROR(IF(Y177=0,"",ROUNDUP(Y177/H177,0)*0.00753),"")</f>
        <v>0.13553999999999999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57.26</v>
      </c>
      <c r="BN177" s="64">
        <f>IFERROR(Y177*I177/H177,"0")</f>
        <v>58.895999999999994</v>
      </c>
      <c r="BO177" s="64">
        <f>IFERROR(1/J177*(X177/H177),"0")</f>
        <v>0.11217948717948717</v>
      </c>
      <c r="BP177" s="64">
        <f>IFERROR(1/J177*(Y177/H177),"0")</f>
        <v>0.11538461538461538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70</v>
      </c>
      <c r="Q178" s="401"/>
      <c r="R178" s="401"/>
      <c r="S178" s="401"/>
      <c r="T178" s="401"/>
      <c r="U178" s="401"/>
      <c r="V178" s="402"/>
      <c r="W178" s="37" t="s">
        <v>71</v>
      </c>
      <c r="X178" s="386">
        <f>IFERROR(X175/H175,"0")+IFERROR(X176/H176,"0")+IFERROR(X177/H177,"0")</f>
        <v>17.5</v>
      </c>
      <c r="Y178" s="386">
        <f>IFERROR(Y175/H175,"0")+IFERROR(Y176/H176,"0")+IFERROR(Y177/H177,"0")</f>
        <v>18</v>
      </c>
      <c r="Z178" s="386">
        <f>IFERROR(IF(Z175="",0,Z175),"0")+IFERROR(IF(Z176="",0,Z176),"0")+IFERROR(IF(Z177="",0,Z177),"0")</f>
        <v>0.13553999999999999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70</v>
      </c>
      <c r="Q179" s="401"/>
      <c r="R179" s="401"/>
      <c r="S179" s="401"/>
      <c r="T179" s="401"/>
      <c r="U179" s="401"/>
      <c r="V179" s="402"/>
      <c r="W179" s="37" t="s">
        <v>69</v>
      </c>
      <c r="X179" s="386">
        <f>IFERROR(SUM(X175:X177),"0")</f>
        <v>52.5</v>
      </c>
      <c r="Y179" s="386">
        <f>IFERROR(SUM(Y175:Y177),"0")</f>
        <v>54</v>
      </c>
      <c r="Z179" s="37"/>
      <c r="AA179" s="387"/>
      <c r="AB179" s="387"/>
      <c r="AC179" s="387"/>
    </row>
    <row r="180" spans="1:68" ht="27.75" customHeight="1" x14ac:dyDescent="0.2">
      <c r="A180" s="411" t="s">
        <v>258</v>
      </c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  <c r="S180" s="412"/>
      <c r="T180" s="412"/>
      <c r="U180" s="412"/>
      <c r="V180" s="412"/>
      <c r="W180" s="412"/>
      <c r="X180" s="412"/>
      <c r="Y180" s="412"/>
      <c r="Z180" s="412"/>
      <c r="AA180" s="48"/>
      <c r="AB180" s="48"/>
      <c r="AC180" s="48"/>
    </row>
    <row r="181" spans="1:68" ht="16.5" customHeight="1" x14ac:dyDescent="0.25">
      <c r="A181" s="390" t="s">
        <v>259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8"/>
      <c r="AB181" s="378"/>
      <c r="AC181" s="378"/>
    </row>
    <row r="182" spans="1:68" ht="14.25" customHeight="1" x14ac:dyDescent="0.25">
      <c r="A182" s="403" t="s">
        <v>64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69</v>
      </c>
      <c r="X183" s="384">
        <v>50</v>
      </c>
      <c r="Y183" s="385">
        <f t="shared" ref="Y183:Y190" si="26">IFERROR(IF(X183="",0,CEILING((X183/$H183),1)*$H183),"")</f>
        <v>50.400000000000006</v>
      </c>
      <c r="Z183" s="36">
        <f>IFERROR(IF(Y183=0,"",ROUNDUP(Y183/H183,0)*0.00753),"")</f>
        <v>9.0359999999999996E-2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53.095238095238095</v>
      </c>
      <c r="BN183" s="64">
        <f t="shared" ref="BN183:BN190" si="28">IFERROR(Y183*I183/H183,"0")</f>
        <v>53.52</v>
      </c>
      <c r="BO183" s="64">
        <f t="shared" ref="BO183:BO190" si="29">IFERROR(1/J183*(X183/H183),"0")</f>
        <v>7.6312576312576319E-2</v>
      </c>
      <c r="BP183" s="64">
        <f t="shared" ref="BP183:BP190" si="30">IFERROR(1/J183*(Y183/H183),"0")</f>
        <v>7.6923076923076927E-2</v>
      </c>
    </row>
    <row r="184" spans="1:68" ht="27" customHeight="1" x14ac:dyDescent="0.25">
      <c r="A184" s="54" t="s">
        <v>262</v>
      </c>
      <c r="B184" s="54" t="s">
        <v>263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69</v>
      </c>
      <c r="X184" s="384">
        <v>20</v>
      </c>
      <c r="Y184" s="385">
        <f t="shared" si="26"/>
        <v>21</v>
      </c>
      <c r="Z184" s="36">
        <f>IFERROR(IF(Y184=0,"",ROUNDUP(Y184/H184,0)*0.00753),"")</f>
        <v>3.7650000000000003E-2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21.238095238095237</v>
      </c>
      <c r="BN184" s="64">
        <f t="shared" si="28"/>
        <v>22.299999999999997</v>
      </c>
      <c r="BO184" s="64">
        <f t="shared" si="29"/>
        <v>3.0525030525030524E-2</v>
      </c>
      <c r="BP184" s="64">
        <f t="shared" si="30"/>
        <v>3.2051282051282048E-2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69</v>
      </c>
      <c r="X185" s="384">
        <v>60</v>
      </c>
      <c r="Y185" s="385">
        <f t="shared" si="26"/>
        <v>63</v>
      </c>
      <c r="Z185" s="36">
        <f>IFERROR(IF(Y185=0,"",ROUNDUP(Y185/H185,0)*0.00753),"")</f>
        <v>0.11295000000000001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62.857142857142854</v>
      </c>
      <c r="BN185" s="64">
        <f t="shared" si="28"/>
        <v>66.000000000000014</v>
      </c>
      <c r="BO185" s="64">
        <f t="shared" si="29"/>
        <v>9.1575091575091569E-2</v>
      </c>
      <c r="BP185" s="64">
        <f t="shared" si="30"/>
        <v>9.6153846153846145E-2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69</v>
      </c>
      <c r="X186" s="384">
        <v>245</v>
      </c>
      <c r="Y186" s="385">
        <f t="shared" si="26"/>
        <v>245.70000000000002</v>
      </c>
      <c r="Z186" s="36">
        <f>IFERROR(IF(Y186=0,"",ROUNDUP(Y186/H186,0)*0.00502),"")</f>
        <v>0.58733999999999997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260.16666666666669</v>
      </c>
      <c r="BN186" s="64">
        <f t="shared" si="28"/>
        <v>260.91000000000003</v>
      </c>
      <c r="BO186" s="64">
        <f t="shared" si="29"/>
        <v>0.4985754985754986</v>
      </c>
      <c r="BP186" s="64">
        <f t="shared" si="30"/>
        <v>0.5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69</v>
      </c>
      <c r="X187" s="384">
        <v>210</v>
      </c>
      <c r="Y187" s="385">
        <f t="shared" si="26"/>
        <v>210</v>
      </c>
      <c r="Z187" s="36">
        <f>IFERROR(IF(Y187=0,"",ROUNDUP(Y187/H187,0)*0.00502),"")</f>
        <v>0.502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223</v>
      </c>
      <c r="BN187" s="64">
        <f t="shared" si="28"/>
        <v>223</v>
      </c>
      <c r="BO187" s="64">
        <f t="shared" si="29"/>
        <v>0.42735042735042739</v>
      </c>
      <c r="BP187" s="64">
        <f t="shared" si="30"/>
        <v>0.42735042735042739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69</v>
      </c>
      <c r="X188" s="384">
        <v>280</v>
      </c>
      <c r="Y188" s="385">
        <f t="shared" si="26"/>
        <v>281.40000000000003</v>
      </c>
      <c r="Z188" s="36">
        <f>IFERROR(IF(Y188=0,"",ROUNDUP(Y188/H188,0)*0.00502),"")</f>
        <v>0.67268000000000006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293.33333333333331</v>
      </c>
      <c r="BN188" s="64">
        <f t="shared" si="28"/>
        <v>294.80000000000007</v>
      </c>
      <c r="BO188" s="64">
        <f t="shared" si="29"/>
        <v>0.56980056980056981</v>
      </c>
      <c r="BP188" s="64">
        <f t="shared" si="30"/>
        <v>0.57264957264957272</v>
      </c>
    </row>
    <row r="189" spans="1:68" ht="27" customHeight="1" x14ac:dyDescent="0.25">
      <c r="A189" s="54" t="s">
        <v>272</v>
      </c>
      <c r="B189" s="54" t="s">
        <v>273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274</v>
      </c>
      <c r="B190" s="54" t="s">
        <v>275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70</v>
      </c>
      <c r="Q191" s="401"/>
      <c r="R191" s="401"/>
      <c r="S191" s="401"/>
      <c r="T191" s="401"/>
      <c r="U191" s="401"/>
      <c r="V191" s="402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380.95238095238096</v>
      </c>
      <c r="Y191" s="386">
        <f>IFERROR(Y183/H183,"0")+IFERROR(Y184/H184,"0")+IFERROR(Y185/H185,"0")+IFERROR(Y186/H186,"0")+IFERROR(Y187/H187,"0")+IFERROR(Y188/H188,"0")+IFERROR(Y189/H189,"0")+IFERROR(Y190/H190,"0")</f>
        <v>383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2.00298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70</v>
      </c>
      <c r="Q192" s="401"/>
      <c r="R192" s="401"/>
      <c r="S192" s="401"/>
      <c r="T192" s="401"/>
      <c r="U192" s="401"/>
      <c r="V192" s="402"/>
      <c r="W192" s="37" t="s">
        <v>69</v>
      </c>
      <c r="X192" s="386">
        <f>IFERROR(SUM(X183:X190),"0")</f>
        <v>865</v>
      </c>
      <c r="Y192" s="386">
        <f>IFERROR(SUM(Y183:Y190),"0")</f>
        <v>871.5</v>
      </c>
      <c r="Z192" s="37"/>
      <c r="AA192" s="387"/>
      <c r="AB192" s="387"/>
      <c r="AC192" s="387"/>
    </row>
    <row r="193" spans="1:68" ht="16.5" customHeight="1" x14ac:dyDescent="0.25">
      <c r="A193" s="390" t="s">
        <v>276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8"/>
      <c r="AB193" s="378"/>
      <c r="AC193" s="378"/>
    </row>
    <row r="194" spans="1:68" ht="14.25" customHeight="1" x14ac:dyDescent="0.25">
      <c r="A194" s="403" t="s">
        <v>105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77"/>
      <c r="AB194" s="377"/>
      <c r="AC194" s="377"/>
    </row>
    <row r="195" spans="1:68" ht="16.5" customHeight="1" x14ac:dyDescent="0.25">
      <c r="A195" s="54" t="s">
        <v>277</v>
      </c>
      <c r="B195" s="54" t="s">
        <v>278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70</v>
      </c>
      <c r="Q197" s="401"/>
      <c r="R197" s="401"/>
      <c r="S197" s="401"/>
      <c r="T197" s="401"/>
      <c r="U197" s="401"/>
      <c r="V197" s="402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70</v>
      </c>
      <c r="Q198" s="401"/>
      <c r="R198" s="401"/>
      <c r="S198" s="401"/>
      <c r="T198" s="401"/>
      <c r="U198" s="401"/>
      <c r="V198" s="402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3" t="s">
        <v>141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77"/>
      <c r="AB199" s="377"/>
      <c r="AC199" s="377"/>
    </row>
    <row r="200" spans="1:68" ht="16.5" customHeight="1" x14ac:dyDescent="0.25">
      <c r="A200" s="54" t="s">
        <v>281</v>
      </c>
      <c r="B200" s="54" t="s">
        <v>282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283</v>
      </c>
      <c r="B201" s="54" t="s">
        <v>284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70</v>
      </c>
      <c r="Q202" s="401"/>
      <c r="R202" s="401"/>
      <c r="S202" s="401"/>
      <c r="T202" s="401"/>
      <c r="U202" s="401"/>
      <c r="V202" s="402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70</v>
      </c>
      <c r="Q203" s="401"/>
      <c r="R203" s="401"/>
      <c r="S203" s="401"/>
      <c r="T203" s="401"/>
      <c r="U203" s="401"/>
      <c r="V203" s="402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3" t="s">
        <v>64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69</v>
      </c>
      <c r="X205" s="384">
        <v>140</v>
      </c>
      <c r="Y205" s="385">
        <f t="shared" ref="Y205:Y212" si="31">IFERROR(IF(X205="",0,CEILING((X205/$H205),1)*$H205),"")</f>
        <v>140.4</v>
      </c>
      <c r="Z205" s="36">
        <f>IFERROR(IF(Y205=0,"",ROUNDUP(Y205/H205,0)*0.00937),"")</f>
        <v>0.24362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145.44444444444446</v>
      </c>
      <c r="BN205" s="64">
        <f t="shared" ref="BN205:BN212" si="33">IFERROR(Y205*I205/H205,"0")</f>
        <v>145.86000000000001</v>
      </c>
      <c r="BO205" s="64">
        <f t="shared" ref="BO205:BO212" si="34">IFERROR(1/J205*(X205/H205),"0")</f>
        <v>0.21604938271604937</v>
      </c>
      <c r="BP205" s="64">
        <f t="shared" ref="BP205:BP212" si="35">IFERROR(1/J205*(Y205/H205),"0")</f>
        <v>0.21666666666666667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69</v>
      </c>
      <c r="X206" s="384">
        <v>170</v>
      </c>
      <c r="Y206" s="385">
        <f t="shared" si="31"/>
        <v>172.8</v>
      </c>
      <c r="Z206" s="36">
        <f>IFERROR(IF(Y206=0,"",ROUNDUP(Y206/H206,0)*0.00937),"")</f>
        <v>0.29984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176.61111111111111</v>
      </c>
      <c r="BN206" s="64">
        <f t="shared" si="33"/>
        <v>179.52</v>
      </c>
      <c r="BO206" s="64">
        <f t="shared" si="34"/>
        <v>0.26234567901234568</v>
      </c>
      <c r="BP206" s="64">
        <f t="shared" si="35"/>
        <v>0.26666666666666666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69</v>
      </c>
      <c r="X207" s="384">
        <v>250</v>
      </c>
      <c r="Y207" s="385">
        <f t="shared" si="31"/>
        <v>253.8</v>
      </c>
      <c r="Z207" s="36">
        <f>IFERROR(IF(Y207=0,"",ROUNDUP(Y207/H207,0)*0.00937),"")</f>
        <v>0.44039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259.72222222222223</v>
      </c>
      <c r="BN207" s="64">
        <f t="shared" si="33"/>
        <v>263.67</v>
      </c>
      <c r="BO207" s="64">
        <f t="shared" si="34"/>
        <v>0.38580246913580241</v>
      </c>
      <c r="BP207" s="64">
        <f t="shared" si="35"/>
        <v>0.39166666666666666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69</v>
      </c>
      <c r="X208" s="384">
        <v>160</v>
      </c>
      <c r="Y208" s="385">
        <f t="shared" si="31"/>
        <v>162</v>
      </c>
      <c r="Z208" s="36">
        <f>IFERROR(IF(Y208=0,"",ROUNDUP(Y208/H208,0)*0.00937),"")</f>
        <v>0.28110000000000002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166.22222222222223</v>
      </c>
      <c r="BN208" s="64">
        <f t="shared" si="33"/>
        <v>168.3</v>
      </c>
      <c r="BO208" s="64">
        <f t="shared" si="34"/>
        <v>0.24691358024691354</v>
      </c>
      <c r="BP208" s="64">
        <f t="shared" si="35"/>
        <v>0.24999999999999997</v>
      </c>
    </row>
    <row r="209" spans="1:68" ht="27" customHeight="1" x14ac:dyDescent="0.25">
      <c r="A209" s="54" t="s">
        <v>293</v>
      </c>
      <c r="B209" s="54" t="s">
        <v>294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295</v>
      </c>
      <c r="B210" s="54" t="s">
        <v>296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297</v>
      </c>
      <c r="B211" s="54" t="s">
        <v>298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299</v>
      </c>
      <c r="B212" s="54" t="s">
        <v>300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70</v>
      </c>
      <c r="Q213" s="401"/>
      <c r="R213" s="401"/>
      <c r="S213" s="401"/>
      <c r="T213" s="401"/>
      <c r="U213" s="401"/>
      <c r="V213" s="402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133.33333333333331</v>
      </c>
      <c r="Y213" s="386">
        <f>IFERROR(Y205/H205,"0")+IFERROR(Y206/H206,"0")+IFERROR(Y207/H207,"0")+IFERROR(Y208/H208,"0")+IFERROR(Y209/H209,"0")+IFERROR(Y210/H210,"0")+IFERROR(Y211/H211,"0")+IFERROR(Y212/H212,"0")</f>
        <v>135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1.2649500000000002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70</v>
      </c>
      <c r="Q214" s="401"/>
      <c r="R214" s="401"/>
      <c r="S214" s="401"/>
      <c r="T214" s="401"/>
      <c r="U214" s="401"/>
      <c r="V214" s="402"/>
      <c r="W214" s="37" t="s">
        <v>69</v>
      </c>
      <c r="X214" s="386">
        <f>IFERROR(SUM(X205:X212),"0")</f>
        <v>720</v>
      </c>
      <c r="Y214" s="386">
        <f>IFERROR(SUM(Y205:Y212),"0")</f>
        <v>729</v>
      </c>
      <c r="Z214" s="37"/>
      <c r="AA214" s="387"/>
      <c r="AB214" s="387"/>
      <c r="AC214" s="387"/>
    </row>
    <row r="215" spans="1:68" ht="14.25" customHeight="1" x14ac:dyDescent="0.25">
      <c r="A215" s="403" t="s">
        <v>72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77"/>
      <c r="AB215" s="377"/>
      <c r="AC215" s="377"/>
    </row>
    <row r="216" spans="1:68" ht="27" customHeight="1" x14ac:dyDescent="0.25">
      <c r="A216" s="54" t="s">
        <v>301</v>
      </c>
      <c r="B216" s="54" t="s">
        <v>302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303</v>
      </c>
      <c r="B217" s="54" t="s">
        <v>304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3"/>
      <c r="R217" s="393"/>
      <c r="S217" s="393"/>
      <c r="T217" s="394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3" t="s">
        <v>310</v>
      </c>
      <c r="Q219" s="393"/>
      <c r="R219" s="393"/>
      <c r="S219" s="393"/>
      <c r="T219" s="394"/>
      <c r="U219" s="34"/>
      <c r="V219" s="34"/>
      <c r="W219" s="35" t="s">
        <v>69</v>
      </c>
      <c r="X219" s="384">
        <v>280</v>
      </c>
      <c r="Y219" s="385">
        <f t="shared" si="36"/>
        <v>287.09999999999997</v>
      </c>
      <c r="Z219" s="36">
        <f>IFERROR(IF(Y219=0,"",ROUNDUP(Y219/H219,0)*0.02175),"")</f>
        <v>0.71775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298.15172413793101</v>
      </c>
      <c r="BN219" s="64">
        <f t="shared" si="38"/>
        <v>305.71199999999993</v>
      </c>
      <c r="BO219" s="64">
        <f t="shared" si="39"/>
        <v>0.57471264367816088</v>
      </c>
      <c r="BP219" s="64">
        <f t="shared" si="40"/>
        <v>0.5892857142857143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69</v>
      </c>
      <c r="X220" s="384">
        <v>440</v>
      </c>
      <c r="Y220" s="385">
        <f t="shared" si="36"/>
        <v>441.59999999999997</v>
      </c>
      <c r="Z220" s="36">
        <f t="shared" ref="Z220:Z226" si="41">IFERROR(IF(Y220=0,"",ROUNDUP(Y220/H220,0)*0.00753),"")</f>
        <v>1.3855200000000001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493.16666666666663</v>
      </c>
      <c r="BN220" s="64">
        <f t="shared" si="38"/>
        <v>494.96000000000004</v>
      </c>
      <c r="BO220" s="64">
        <f t="shared" si="39"/>
        <v>1.1752136752136753</v>
      </c>
      <c r="BP220" s="64">
        <f t="shared" si="40"/>
        <v>1.1794871794871795</v>
      </c>
    </row>
    <row r="221" spans="1:68" ht="27" customHeight="1" x14ac:dyDescent="0.25">
      <c r="A221" s="54" t="s">
        <v>313</v>
      </c>
      <c r="B221" s="54" t="s">
        <v>314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26" t="s">
        <v>315</v>
      </c>
      <c r="Q221" s="393"/>
      <c r="R221" s="393"/>
      <c r="S221" s="393"/>
      <c r="T221" s="394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1" t="s">
        <v>318</v>
      </c>
      <c r="Q222" s="393"/>
      <c r="R222" s="393"/>
      <c r="S222" s="393"/>
      <c r="T222" s="394"/>
      <c r="U222" s="34"/>
      <c r="V222" s="34"/>
      <c r="W222" s="35" t="s">
        <v>69</v>
      </c>
      <c r="X222" s="384">
        <v>520</v>
      </c>
      <c r="Y222" s="385">
        <f t="shared" si="36"/>
        <v>520.79999999999995</v>
      </c>
      <c r="Z222" s="36">
        <f t="shared" si="41"/>
        <v>1.63401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578.93333333333339</v>
      </c>
      <c r="BN222" s="64">
        <f t="shared" si="38"/>
        <v>579.82399999999996</v>
      </c>
      <c r="BO222" s="64">
        <f t="shared" si="39"/>
        <v>1.3888888888888891</v>
      </c>
      <c r="BP222" s="64">
        <f t="shared" si="40"/>
        <v>1.391025641025641</v>
      </c>
    </row>
    <row r="223" spans="1:68" ht="27" customHeight="1" x14ac:dyDescent="0.25">
      <c r="A223" s="54" t="s">
        <v>319</v>
      </c>
      <c r="B223" s="54" t="s">
        <v>320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3"/>
      <c r="R223" s="393"/>
      <c r="S223" s="393"/>
      <c r="T223" s="394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600" t="s">
        <v>324</v>
      </c>
      <c r="Q224" s="393"/>
      <c r="R224" s="393"/>
      <c r="S224" s="393"/>
      <c r="T224" s="394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69" t="s">
        <v>327</v>
      </c>
      <c r="Q225" s="393"/>
      <c r="R225" s="393"/>
      <c r="S225" s="393"/>
      <c r="T225" s="394"/>
      <c r="U225" s="34"/>
      <c r="V225" s="34"/>
      <c r="W225" s="35" t="s">
        <v>69</v>
      </c>
      <c r="X225" s="384">
        <v>280</v>
      </c>
      <c r="Y225" s="385">
        <f t="shared" si="36"/>
        <v>280.8</v>
      </c>
      <c r="Z225" s="36">
        <f t="shared" si="41"/>
        <v>0.88101000000000007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311.73333333333341</v>
      </c>
      <c r="BN225" s="64">
        <f t="shared" si="38"/>
        <v>312.62400000000008</v>
      </c>
      <c r="BO225" s="64">
        <f t="shared" si="39"/>
        <v>0.74786324786324787</v>
      </c>
      <c r="BP225" s="64">
        <f t="shared" si="40"/>
        <v>0.75000000000000011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69</v>
      </c>
      <c r="X226" s="384">
        <v>360</v>
      </c>
      <c r="Y226" s="385">
        <f t="shared" si="36"/>
        <v>360</v>
      </c>
      <c r="Z226" s="36">
        <f t="shared" si="41"/>
        <v>1.1294999999999999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401.7</v>
      </c>
      <c r="BN226" s="64">
        <f t="shared" si="38"/>
        <v>401.7</v>
      </c>
      <c r="BO226" s="64">
        <f t="shared" si="39"/>
        <v>0.96153846153846145</v>
      </c>
      <c r="BP226" s="64">
        <f t="shared" si="40"/>
        <v>0.96153846153846145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70</v>
      </c>
      <c r="Q227" s="401"/>
      <c r="R227" s="401"/>
      <c r="S227" s="401"/>
      <c r="T227" s="401"/>
      <c r="U227" s="401"/>
      <c r="V227" s="402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698.85057471264372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701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5.7477900000000002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70</v>
      </c>
      <c r="Q228" s="401"/>
      <c r="R228" s="401"/>
      <c r="S228" s="401"/>
      <c r="T228" s="401"/>
      <c r="U228" s="401"/>
      <c r="V228" s="402"/>
      <c r="W228" s="37" t="s">
        <v>69</v>
      </c>
      <c r="X228" s="386">
        <f>IFERROR(SUM(X216:X226),"0")</f>
        <v>1880</v>
      </c>
      <c r="Y228" s="386">
        <f>IFERROR(SUM(Y216:Y226),"0")</f>
        <v>1890.3</v>
      </c>
      <c r="Z228" s="37"/>
      <c r="AA228" s="387"/>
      <c r="AB228" s="387"/>
      <c r="AC228" s="387"/>
    </row>
    <row r="229" spans="1:68" ht="14.25" customHeight="1" x14ac:dyDescent="0.25">
      <c r="A229" s="403" t="s">
        <v>171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77"/>
      <c r="AB229" s="377"/>
      <c r="AC229" s="377"/>
    </row>
    <row r="230" spans="1:68" ht="16.5" customHeight="1" x14ac:dyDescent="0.25">
      <c r="A230" s="54" t="s">
        <v>330</v>
      </c>
      <c r="B230" s="54" t="s">
        <v>331</v>
      </c>
      <c r="C230" s="31">
        <v>4301060404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89" t="s">
        <v>332</v>
      </c>
      <c r="Q230" s="393"/>
      <c r="R230" s="393"/>
      <c r="S230" s="393"/>
      <c r="T230" s="394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330</v>
      </c>
      <c r="B231" s="54" t="s">
        <v>333</v>
      </c>
      <c r="C231" s="31">
        <v>4301060360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3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3"/>
      <c r="R231" s="393"/>
      <c r="S231" s="393"/>
      <c r="T231" s="394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334</v>
      </c>
      <c r="B232" s="54" t="s">
        <v>335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1" t="s">
        <v>338</v>
      </c>
      <c r="Q233" s="393"/>
      <c r="R233" s="393"/>
      <c r="S233" s="393"/>
      <c r="T233" s="394"/>
      <c r="U233" s="34"/>
      <c r="V233" s="34"/>
      <c r="W233" s="35" t="s">
        <v>69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49" t="s">
        <v>341</v>
      </c>
      <c r="Q234" s="393"/>
      <c r="R234" s="393"/>
      <c r="S234" s="393"/>
      <c r="T234" s="394"/>
      <c r="U234" s="34"/>
      <c r="V234" s="34"/>
      <c r="W234" s="35" t="s">
        <v>69</v>
      </c>
      <c r="X234" s="384">
        <v>72</v>
      </c>
      <c r="Y234" s="385">
        <f>IFERROR(IF(X234="",0,CEILING((X234/$H234),1)*$H234),"")</f>
        <v>72</v>
      </c>
      <c r="Z234" s="36">
        <f>IFERROR(IF(Y234=0,"",ROUNDUP(Y234/H234,0)*0.00753),"")</f>
        <v>0.22590000000000002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80.160000000000011</v>
      </c>
      <c r="BN234" s="64">
        <f>IFERROR(Y234*I234/H234,"0")</f>
        <v>80.160000000000011</v>
      </c>
      <c r="BO234" s="64">
        <f>IFERROR(1/J234*(X234/H234),"0")</f>
        <v>0.19230769230769229</v>
      </c>
      <c r="BP234" s="64">
        <f>IFERROR(1/J234*(Y234/H234),"0")</f>
        <v>0.19230769230769229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70</v>
      </c>
      <c r="Q235" s="401"/>
      <c r="R235" s="401"/>
      <c r="S235" s="401"/>
      <c r="T235" s="401"/>
      <c r="U235" s="401"/>
      <c r="V235" s="402"/>
      <c r="W235" s="37" t="s">
        <v>71</v>
      </c>
      <c r="X235" s="386">
        <f>IFERROR(X230/H230,"0")+IFERROR(X231/H231,"0")+IFERROR(X232/H232,"0")+IFERROR(X233/H233,"0")+IFERROR(X234/H234,"0")</f>
        <v>30</v>
      </c>
      <c r="Y235" s="386">
        <f>IFERROR(Y230/H230,"0")+IFERROR(Y231/H231,"0")+IFERROR(Y232/H232,"0")+IFERROR(Y233/H233,"0")+IFERROR(Y234/H234,"0")</f>
        <v>30</v>
      </c>
      <c r="Z235" s="386">
        <f>IFERROR(IF(Z230="",0,Z230),"0")+IFERROR(IF(Z231="",0,Z231),"0")+IFERROR(IF(Z232="",0,Z232),"0")+IFERROR(IF(Z233="",0,Z233),"0")+IFERROR(IF(Z234="",0,Z234),"0")</f>
        <v>0.22590000000000002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70</v>
      </c>
      <c r="Q236" s="401"/>
      <c r="R236" s="401"/>
      <c r="S236" s="401"/>
      <c r="T236" s="401"/>
      <c r="U236" s="401"/>
      <c r="V236" s="402"/>
      <c r="W236" s="37" t="s">
        <v>69</v>
      </c>
      <c r="X236" s="386">
        <f>IFERROR(SUM(X230:X234),"0")</f>
        <v>72</v>
      </c>
      <c r="Y236" s="386">
        <f>IFERROR(SUM(Y230:Y234),"0")</f>
        <v>72</v>
      </c>
      <c r="Z236" s="37"/>
      <c r="AA236" s="387"/>
      <c r="AB236" s="387"/>
      <c r="AC236" s="387"/>
    </row>
    <row r="237" spans="1:68" ht="16.5" customHeight="1" x14ac:dyDescent="0.25">
      <c r="A237" s="390" t="s">
        <v>342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8"/>
      <c r="AB237" s="378"/>
      <c r="AC237" s="378"/>
    </row>
    <row r="238" spans="1:68" ht="14.25" customHeight="1" x14ac:dyDescent="0.25">
      <c r="A238" s="403" t="s">
        <v>105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77"/>
      <c r="AB238" s="377"/>
      <c r="AC238" s="377"/>
    </row>
    <row r="239" spans="1:68" ht="27" customHeight="1" x14ac:dyDescent="0.25">
      <c r="A239" s="54" t="s">
        <v>343</v>
      </c>
      <c r="B239" s="54" t="s">
        <v>344</v>
      </c>
      <c r="C239" s="31">
        <v>4301011945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3"/>
      <c r="R239" s="393"/>
      <c r="S239" s="393"/>
      <c r="T239" s="394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343</v>
      </c>
      <c r="B240" s="54" t="s">
        <v>346</v>
      </c>
      <c r="C240" s="31">
        <v>4301011717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3"/>
      <c r="R240" s="393"/>
      <c r="S240" s="393"/>
      <c r="T240" s="394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347</v>
      </c>
      <c r="B241" s="54" t="s">
        <v>348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349</v>
      </c>
      <c r="B242" s="54" t="s">
        <v>350</v>
      </c>
      <c r="C242" s="31">
        <v>4301011944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5" t="s">
        <v>351</v>
      </c>
      <c r="Q242" s="393"/>
      <c r="R242" s="393"/>
      <c r="S242" s="393"/>
      <c r="T242" s="394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349</v>
      </c>
      <c r="B243" s="54" t="s">
        <v>352</v>
      </c>
      <c r="C243" s="31">
        <v>4301011733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3"/>
      <c r="R243" s="393"/>
      <c r="S243" s="393"/>
      <c r="T243" s="394"/>
      <c r="U243" s="34"/>
      <c r="V243" s="34"/>
      <c r="W243" s="35" t="s">
        <v>69</v>
      </c>
      <c r="X243" s="384">
        <v>0</v>
      </c>
      <c r="Y243" s="38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353</v>
      </c>
      <c r="B244" s="54" t="s">
        <v>354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355</v>
      </c>
      <c r="B245" s="54" t="s">
        <v>356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357</v>
      </c>
      <c r="B246" s="54" t="s">
        <v>358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5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69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70</v>
      </c>
      <c r="Q247" s="401"/>
      <c r="R247" s="401"/>
      <c r="S247" s="401"/>
      <c r="T247" s="401"/>
      <c r="U247" s="401"/>
      <c r="V247" s="402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70</v>
      </c>
      <c r="Q248" s="401"/>
      <c r="R248" s="401"/>
      <c r="S248" s="401"/>
      <c r="T248" s="401"/>
      <c r="U248" s="401"/>
      <c r="V248" s="402"/>
      <c r="W248" s="37" t="s">
        <v>69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359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8"/>
      <c r="AB249" s="378"/>
      <c r="AC249" s="378"/>
    </row>
    <row r="250" spans="1:68" ht="14.25" customHeight="1" x14ac:dyDescent="0.25">
      <c r="A250" s="403" t="s">
        <v>105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77"/>
      <c r="AB250" s="377"/>
      <c r="AC250" s="377"/>
    </row>
    <row r="251" spans="1:68" ht="27" customHeight="1" x14ac:dyDescent="0.25">
      <c r="A251" s="54" t="s">
        <v>360</v>
      </c>
      <c r="B251" s="54" t="s">
        <v>361</v>
      </c>
      <c r="C251" s="31">
        <v>4301011942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6" t="s">
        <v>362</v>
      </c>
      <c r="Q251" s="393"/>
      <c r="R251" s="393"/>
      <c r="S251" s="393"/>
      <c r="T251" s="394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3"/>
      <c r="R252" s="393"/>
      <c r="S252" s="393"/>
      <c r="T252" s="394"/>
      <c r="U252" s="34"/>
      <c r="V252" s="34"/>
      <c r="W252" s="35" t="s">
        <v>69</v>
      </c>
      <c r="X252" s="384">
        <v>60</v>
      </c>
      <c r="Y252" s="385">
        <f t="shared" si="47"/>
        <v>69.599999999999994</v>
      </c>
      <c r="Z252" s="36">
        <f>IFERROR(IF(Y252=0,"",ROUNDUP(Y252/H252,0)*0.02175),"")</f>
        <v>0.1305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62.482758620689651</v>
      </c>
      <c r="BN252" s="64">
        <f t="shared" si="49"/>
        <v>72.47999999999999</v>
      </c>
      <c r="BO252" s="64">
        <f t="shared" si="50"/>
        <v>9.2364532019704432E-2</v>
      </c>
      <c r="BP252" s="64">
        <f t="shared" si="51"/>
        <v>0.10714285714285714</v>
      </c>
    </row>
    <row r="253" spans="1:68" ht="27" customHeight="1" x14ac:dyDescent="0.25">
      <c r="A253" s="54" t="s">
        <v>364</v>
      </c>
      <c r="B253" s="54" t="s">
        <v>365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69</v>
      </c>
      <c r="X254" s="384">
        <v>110</v>
      </c>
      <c r="Y254" s="385">
        <f t="shared" si="47"/>
        <v>116</v>
      </c>
      <c r="Z254" s="36">
        <f>IFERROR(IF(Y254=0,"",ROUNDUP(Y254/H254,0)*0.02175),"")</f>
        <v>0.21749999999999997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114.55172413793103</v>
      </c>
      <c r="BN254" s="64">
        <f t="shared" si="49"/>
        <v>120.8</v>
      </c>
      <c r="BO254" s="64">
        <f t="shared" si="50"/>
        <v>0.1693349753694581</v>
      </c>
      <c r="BP254" s="64">
        <f t="shared" si="51"/>
        <v>0.17857142857142855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69</v>
      </c>
      <c r="X255" s="384">
        <v>44</v>
      </c>
      <c r="Y255" s="385">
        <f t="shared" si="47"/>
        <v>44</v>
      </c>
      <c r="Z255" s="36">
        <f>IFERROR(IF(Y255=0,"",ROUNDUP(Y255/H255,0)*0.00937),"")</f>
        <v>0.10306999999999999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46.64</v>
      </c>
      <c r="BN255" s="64">
        <f t="shared" si="49"/>
        <v>46.64</v>
      </c>
      <c r="BO255" s="64">
        <f t="shared" si="50"/>
        <v>9.166666666666666E-2</v>
      </c>
      <c r="BP255" s="64">
        <f t="shared" si="51"/>
        <v>9.166666666666666E-2</v>
      </c>
    </row>
    <row r="256" spans="1:68" ht="27" customHeight="1" x14ac:dyDescent="0.25">
      <c r="A256" s="54" t="s">
        <v>370</v>
      </c>
      <c r="B256" s="54" t="s">
        <v>371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57" t="s">
        <v>372</v>
      </c>
      <c r="Q256" s="393"/>
      <c r="R256" s="393"/>
      <c r="S256" s="393"/>
      <c r="T256" s="394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373</v>
      </c>
      <c r="B257" s="54" t="s">
        <v>374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69</v>
      </c>
      <c r="X258" s="384">
        <v>80</v>
      </c>
      <c r="Y258" s="385">
        <f t="shared" si="47"/>
        <v>80</v>
      </c>
      <c r="Z258" s="36">
        <f>IFERROR(IF(Y258=0,"",ROUNDUP(Y258/H258,0)*0.00937),"")</f>
        <v>0.18740000000000001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84.800000000000011</v>
      </c>
      <c r="BN258" s="64">
        <f t="shared" si="49"/>
        <v>84.800000000000011</v>
      </c>
      <c r="BO258" s="64">
        <f t="shared" si="50"/>
        <v>0.16666666666666666</v>
      </c>
      <c r="BP258" s="64">
        <f t="shared" si="51"/>
        <v>0.16666666666666666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70</v>
      </c>
      <c r="Q259" s="401"/>
      <c r="R259" s="401"/>
      <c r="S259" s="401"/>
      <c r="T259" s="401"/>
      <c r="U259" s="401"/>
      <c r="V259" s="402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45.655172413793103</v>
      </c>
      <c r="Y259" s="386">
        <f>IFERROR(Y251/H251,"0")+IFERROR(Y252/H252,"0")+IFERROR(Y253/H253,"0")+IFERROR(Y254/H254,"0")+IFERROR(Y255/H255,"0")+IFERROR(Y256/H256,"0")+IFERROR(Y257/H257,"0")+IFERROR(Y258/H258,"0")</f>
        <v>47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0.63846999999999998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70</v>
      </c>
      <c r="Q260" s="401"/>
      <c r="R260" s="401"/>
      <c r="S260" s="401"/>
      <c r="T260" s="401"/>
      <c r="U260" s="401"/>
      <c r="V260" s="402"/>
      <c r="W260" s="37" t="s">
        <v>69</v>
      </c>
      <c r="X260" s="386">
        <f>IFERROR(SUM(X251:X258),"0")</f>
        <v>294</v>
      </c>
      <c r="Y260" s="386">
        <f>IFERROR(SUM(Y251:Y258),"0")</f>
        <v>309.60000000000002</v>
      </c>
      <c r="Z260" s="37"/>
      <c r="AA260" s="387"/>
      <c r="AB260" s="387"/>
      <c r="AC260" s="387"/>
    </row>
    <row r="261" spans="1:68" ht="16.5" customHeight="1" x14ac:dyDescent="0.25">
      <c r="A261" s="390" t="s">
        <v>377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8"/>
      <c r="AB261" s="378"/>
      <c r="AC261" s="378"/>
    </row>
    <row r="262" spans="1:68" ht="14.25" customHeight="1" x14ac:dyDescent="0.25">
      <c r="A262" s="403" t="s">
        <v>105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77"/>
      <c r="AB262" s="377"/>
      <c r="AC262" s="377"/>
    </row>
    <row r="263" spans="1:68" ht="27" customHeight="1" x14ac:dyDescent="0.25">
      <c r="A263" s="54" t="s">
        <v>378</v>
      </c>
      <c r="B263" s="54" t="s">
        <v>379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7" t="s">
        <v>380</v>
      </c>
      <c r="Q263" s="393"/>
      <c r="R263" s="393"/>
      <c r="S263" s="393"/>
      <c r="T263" s="394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381</v>
      </c>
      <c r="B264" s="54" t="s">
        <v>382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3"/>
      <c r="R264" s="393"/>
      <c r="S264" s="393"/>
      <c r="T264" s="394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384</v>
      </c>
      <c r="B265" s="54" t="s">
        <v>385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57" t="s">
        <v>386</v>
      </c>
      <c r="Q265" s="393"/>
      <c r="R265" s="393"/>
      <c r="S265" s="393"/>
      <c r="T265" s="394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387</v>
      </c>
      <c r="B266" s="54" t="s">
        <v>388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7" t="s">
        <v>389</v>
      </c>
      <c r="Q266" s="393"/>
      <c r="R266" s="393"/>
      <c r="S266" s="393"/>
      <c r="T266" s="394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8" t="s">
        <v>392</v>
      </c>
      <c r="Q267" s="393"/>
      <c r="R267" s="393"/>
      <c r="S267" s="393"/>
      <c r="T267" s="394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70</v>
      </c>
      <c r="Q268" s="401"/>
      <c r="R268" s="401"/>
      <c r="S268" s="401"/>
      <c r="T268" s="401"/>
      <c r="U268" s="401"/>
      <c r="V268" s="402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70</v>
      </c>
      <c r="Q269" s="401"/>
      <c r="R269" s="401"/>
      <c r="S269" s="401"/>
      <c r="T269" s="401"/>
      <c r="U269" s="401"/>
      <c r="V269" s="402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393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8"/>
      <c r="AB270" s="378"/>
      <c r="AC270" s="378"/>
    </row>
    <row r="271" spans="1:68" ht="14.25" customHeight="1" x14ac:dyDescent="0.25">
      <c r="A271" s="403" t="s">
        <v>105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77"/>
      <c r="AB271" s="377"/>
      <c r="AC271" s="377"/>
    </row>
    <row r="272" spans="1:68" ht="27" customHeight="1" x14ac:dyDescent="0.25">
      <c r="A272" s="54" t="s">
        <v>394</v>
      </c>
      <c r="B272" s="54" t="s">
        <v>395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4" t="s">
        <v>396</v>
      </c>
      <c r="Q272" s="393"/>
      <c r="R272" s="393"/>
      <c r="S272" s="393"/>
      <c r="T272" s="394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70</v>
      </c>
      <c r="Q273" s="401"/>
      <c r="R273" s="401"/>
      <c r="S273" s="401"/>
      <c r="T273" s="401"/>
      <c r="U273" s="401"/>
      <c r="V273" s="402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70</v>
      </c>
      <c r="Q274" s="401"/>
      <c r="R274" s="401"/>
      <c r="S274" s="401"/>
      <c r="T274" s="401"/>
      <c r="U274" s="401"/>
      <c r="V274" s="402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397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8"/>
      <c r="AB275" s="378"/>
      <c r="AC275" s="378"/>
    </row>
    <row r="276" spans="1:68" ht="14.25" customHeight="1" x14ac:dyDescent="0.25">
      <c r="A276" s="403" t="s">
        <v>105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77"/>
      <c r="AB276" s="377"/>
      <c r="AC276" s="377"/>
    </row>
    <row r="277" spans="1:68" ht="27" customHeight="1" x14ac:dyDescent="0.25">
      <c r="A277" s="54" t="s">
        <v>398</v>
      </c>
      <c r="B277" s="54" t="s">
        <v>399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7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400</v>
      </c>
      <c r="B278" s="54" t="s">
        <v>401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9" t="s">
        <v>402</v>
      </c>
      <c r="Q278" s="393"/>
      <c r="R278" s="393"/>
      <c r="S278" s="393"/>
      <c r="T278" s="394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403</v>
      </c>
      <c r="B279" s="54" t="s">
        <v>404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3" t="s">
        <v>405</v>
      </c>
      <c r="Q279" s="393"/>
      <c r="R279" s="393"/>
      <c r="S279" s="393"/>
      <c r="T279" s="394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70</v>
      </c>
      <c r="Q280" s="401"/>
      <c r="R280" s="401"/>
      <c r="S280" s="401"/>
      <c r="T280" s="401"/>
      <c r="U280" s="401"/>
      <c r="V280" s="402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70</v>
      </c>
      <c r="Q281" s="401"/>
      <c r="R281" s="401"/>
      <c r="S281" s="401"/>
      <c r="T281" s="401"/>
      <c r="U281" s="401"/>
      <c r="V281" s="402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406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8"/>
      <c r="AB282" s="378"/>
      <c r="AC282" s="378"/>
    </row>
    <row r="283" spans="1:68" ht="14.25" customHeight="1" x14ac:dyDescent="0.25">
      <c r="A283" s="403" t="s">
        <v>72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77"/>
      <c r="AB283" s="377"/>
      <c r="AC283" s="377"/>
    </row>
    <row r="284" spans="1:68" ht="27" customHeight="1" x14ac:dyDescent="0.25">
      <c r="A284" s="54" t="s">
        <v>407</v>
      </c>
      <c r="B284" s="54" t="s">
        <v>408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69</v>
      </c>
      <c r="X285" s="384">
        <v>440</v>
      </c>
      <c r="Y285" s="385">
        <f>IFERROR(IF(X285="",0,CEILING((X285/$H285),1)*$H285),"")</f>
        <v>441.59999999999997</v>
      </c>
      <c r="Z285" s="36">
        <f>IFERROR(IF(Y285=0,"",ROUNDUP(Y285/H285,0)*0.00753),"")</f>
        <v>1.3855200000000001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489.86666666666673</v>
      </c>
      <c r="BN285" s="64">
        <f>IFERROR(Y285*I285/H285,"0")</f>
        <v>491.64799999999997</v>
      </c>
      <c r="BO285" s="64">
        <f>IFERROR(1/J285*(X285/H285),"0")</f>
        <v>1.1752136752136753</v>
      </c>
      <c r="BP285" s="64">
        <f>IFERROR(1/J285*(Y285/H285),"0")</f>
        <v>1.1794871794871795</v>
      </c>
    </row>
    <row r="286" spans="1:68" ht="27" customHeight="1" x14ac:dyDescent="0.25">
      <c r="A286" s="54" t="s">
        <v>411</v>
      </c>
      <c r="B286" s="54" t="s">
        <v>412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69</v>
      </c>
      <c r="X287" s="384">
        <v>560</v>
      </c>
      <c r="Y287" s="385">
        <f>IFERROR(IF(X287="",0,CEILING((X287/$H287),1)*$H287),"")</f>
        <v>561.6</v>
      </c>
      <c r="Z287" s="36">
        <f>IFERROR(IF(Y287=0,"",ROUNDUP(Y287/H287,0)*0.00753),"")</f>
        <v>1.7620200000000001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606.66666666666674</v>
      </c>
      <c r="BN287" s="64">
        <f>IFERROR(Y287*I287/H287,"0")</f>
        <v>608.40000000000009</v>
      </c>
      <c r="BO287" s="64">
        <f>IFERROR(1/J287*(X287/H287),"0")</f>
        <v>1.4957264957264957</v>
      </c>
      <c r="BP287" s="64">
        <f>IFERROR(1/J287*(Y287/H287),"0")</f>
        <v>1.5000000000000002</v>
      </c>
    </row>
    <row r="288" spans="1:68" ht="27" customHeight="1" x14ac:dyDescent="0.25">
      <c r="A288" s="54" t="s">
        <v>415</v>
      </c>
      <c r="B288" s="54" t="s">
        <v>416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70</v>
      </c>
      <c r="Q289" s="401"/>
      <c r="R289" s="401"/>
      <c r="S289" s="401"/>
      <c r="T289" s="401"/>
      <c r="U289" s="401"/>
      <c r="V289" s="402"/>
      <c r="W289" s="37" t="s">
        <v>71</v>
      </c>
      <c r="X289" s="386">
        <f>IFERROR(X284/H284,"0")+IFERROR(X285/H285,"0")+IFERROR(X286/H286,"0")+IFERROR(X287/H287,"0")+IFERROR(X288/H288,"0")</f>
        <v>416.66666666666669</v>
      </c>
      <c r="Y289" s="386">
        <f>IFERROR(Y284/H284,"0")+IFERROR(Y285/H285,"0")+IFERROR(Y286/H286,"0")+IFERROR(Y287/H287,"0")+IFERROR(Y288/H288,"0")</f>
        <v>418</v>
      </c>
      <c r="Z289" s="386">
        <f>IFERROR(IF(Z284="",0,Z284),"0")+IFERROR(IF(Z285="",0,Z285),"0")+IFERROR(IF(Z286="",0,Z286),"0")+IFERROR(IF(Z287="",0,Z287),"0")+IFERROR(IF(Z288="",0,Z288),"0")</f>
        <v>3.1475400000000002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70</v>
      </c>
      <c r="Q290" s="401"/>
      <c r="R290" s="401"/>
      <c r="S290" s="401"/>
      <c r="T290" s="401"/>
      <c r="U290" s="401"/>
      <c r="V290" s="402"/>
      <c r="W290" s="37" t="s">
        <v>69</v>
      </c>
      <c r="X290" s="386">
        <f>IFERROR(SUM(X284:X288),"0")</f>
        <v>1000</v>
      </c>
      <c r="Y290" s="386">
        <f>IFERROR(SUM(Y284:Y288),"0")</f>
        <v>1003.2</v>
      </c>
      <c r="Z290" s="37"/>
      <c r="AA290" s="387"/>
      <c r="AB290" s="387"/>
      <c r="AC290" s="387"/>
    </row>
    <row r="291" spans="1:68" ht="16.5" customHeight="1" x14ac:dyDescent="0.25">
      <c r="A291" s="390" t="s">
        <v>417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customHeight="1" x14ac:dyDescent="0.25">
      <c r="A292" s="403" t="s">
        <v>72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7"/>
      <c r="AB292" s="377"/>
      <c r="AC292" s="377"/>
    </row>
    <row r="293" spans="1:68" ht="16.5" customHeight="1" x14ac:dyDescent="0.25">
      <c r="A293" s="54" t="s">
        <v>418</v>
      </c>
      <c r="B293" s="54" t="s">
        <v>419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70</v>
      </c>
      <c r="Q294" s="401"/>
      <c r="R294" s="401"/>
      <c r="S294" s="401"/>
      <c r="T294" s="401"/>
      <c r="U294" s="401"/>
      <c r="V294" s="402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70</v>
      </c>
      <c r="Q295" s="401"/>
      <c r="R295" s="401"/>
      <c r="S295" s="401"/>
      <c r="T295" s="401"/>
      <c r="U295" s="401"/>
      <c r="V295" s="402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420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8"/>
      <c r="AB296" s="378"/>
      <c r="AC296" s="378"/>
    </row>
    <row r="297" spans="1:68" ht="14.25" customHeight="1" x14ac:dyDescent="0.25">
      <c r="A297" s="403" t="s">
        <v>105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77"/>
      <c r="AB297" s="377"/>
      <c r="AC297" s="377"/>
    </row>
    <row r="298" spans="1:68" ht="27" customHeight="1" x14ac:dyDescent="0.25">
      <c r="A298" s="54" t="s">
        <v>421</v>
      </c>
      <c r="B298" s="54" t="s">
        <v>422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70</v>
      </c>
      <c r="Q299" s="401"/>
      <c r="R299" s="401"/>
      <c r="S299" s="401"/>
      <c r="T299" s="401"/>
      <c r="U299" s="401"/>
      <c r="V299" s="402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70</v>
      </c>
      <c r="Q300" s="401"/>
      <c r="R300" s="401"/>
      <c r="S300" s="401"/>
      <c r="T300" s="401"/>
      <c r="U300" s="401"/>
      <c r="V300" s="402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3" t="s">
        <v>64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69</v>
      </c>
      <c r="X302" s="384">
        <v>105</v>
      </c>
      <c r="Y302" s="385">
        <f>IFERROR(IF(X302="",0,CEILING((X302/$H302),1)*$H302),"")</f>
        <v>105</v>
      </c>
      <c r="Z302" s="36">
        <f>IFERROR(IF(Y302=0,"",ROUNDUP(Y302/H302,0)*0.00502),"")</f>
        <v>0.251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110.00000000000001</v>
      </c>
      <c r="BN302" s="64">
        <f>IFERROR(Y302*I302/H302,"0")</f>
        <v>110.00000000000001</v>
      </c>
      <c r="BO302" s="64">
        <f>IFERROR(1/J302*(X302/H302),"0")</f>
        <v>0.21367521367521369</v>
      </c>
      <c r="BP302" s="64">
        <f>IFERROR(1/J302*(Y302/H302),"0")</f>
        <v>0.21367521367521369</v>
      </c>
    </row>
    <row r="303" spans="1:68" ht="27" customHeight="1" x14ac:dyDescent="0.25">
      <c r="A303" s="54" t="s">
        <v>425</v>
      </c>
      <c r="B303" s="54" t="s">
        <v>426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70</v>
      </c>
      <c r="Q304" s="401"/>
      <c r="R304" s="401"/>
      <c r="S304" s="401"/>
      <c r="T304" s="401"/>
      <c r="U304" s="401"/>
      <c r="V304" s="402"/>
      <c r="W304" s="37" t="s">
        <v>71</v>
      </c>
      <c r="X304" s="386">
        <f>IFERROR(X302/H302,"0")+IFERROR(X303/H303,"0")</f>
        <v>50</v>
      </c>
      <c r="Y304" s="386">
        <f>IFERROR(Y302/H302,"0")+IFERROR(Y303/H303,"0")</f>
        <v>50</v>
      </c>
      <c r="Z304" s="386">
        <f>IFERROR(IF(Z302="",0,Z302),"0")+IFERROR(IF(Z303="",0,Z303),"0")</f>
        <v>0.251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70</v>
      </c>
      <c r="Q305" s="401"/>
      <c r="R305" s="401"/>
      <c r="S305" s="401"/>
      <c r="T305" s="401"/>
      <c r="U305" s="401"/>
      <c r="V305" s="402"/>
      <c r="W305" s="37" t="s">
        <v>69</v>
      </c>
      <c r="X305" s="386">
        <f>IFERROR(SUM(X302:X303),"0")</f>
        <v>105</v>
      </c>
      <c r="Y305" s="386">
        <f>IFERROR(SUM(Y302:Y303),"0")</f>
        <v>105</v>
      </c>
      <c r="Z305" s="37"/>
      <c r="AA305" s="387"/>
      <c r="AB305" s="387"/>
      <c r="AC305" s="387"/>
    </row>
    <row r="306" spans="1:68" ht="16.5" customHeight="1" x14ac:dyDescent="0.25">
      <c r="A306" s="390" t="s">
        <v>427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8"/>
      <c r="AB306" s="378"/>
      <c r="AC306" s="378"/>
    </row>
    <row r="307" spans="1:68" ht="14.25" customHeight="1" x14ac:dyDescent="0.25">
      <c r="A307" s="403" t="s">
        <v>105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77"/>
      <c r="AB307" s="377"/>
      <c r="AC307" s="377"/>
    </row>
    <row r="308" spans="1:68" ht="27" customHeight="1" x14ac:dyDescent="0.25">
      <c r="A308" s="54" t="s">
        <v>428</v>
      </c>
      <c r="B308" s="54" t="s">
        <v>429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6" t="s">
        <v>430</v>
      </c>
      <c r="Q308" s="393"/>
      <c r="R308" s="393"/>
      <c r="S308" s="393"/>
      <c r="T308" s="394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431</v>
      </c>
      <c r="B309" s="54" t="s">
        <v>432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3" t="s">
        <v>433</v>
      </c>
      <c r="Q309" s="393"/>
      <c r="R309" s="393"/>
      <c r="S309" s="393"/>
      <c r="T309" s="394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434</v>
      </c>
      <c r="B310" s="54" t="s">
        <v>435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8" t="s">
        <v>436</v>
      </c>
      <c r="Q310" s="393"/>
      <c r="R310" s="393"/>
      <c r="S310" s="393"/>
      <c r="T310" s="394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437</v>
      </c>
      <c r="B311" s="54" t="s">
        <v>438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7" t="s">
        <v>439</v>
      </c>
      <c r="Q311" s="393"/>
      <c r="R311" s="393"/>
      <c r="S311" s="393"/>
      <c r="T311" s="394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440</v>
      </c>
      <c r="B312" s="54" t="s">
        <v>441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19" t="s">
        <v>442</v>
      </c>
      <c r="Q312" s="393"/>
      <c r="R312" s="393"/>
      <c r="S312" s="393"/>
      <c r="T312" s="394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445</v>
      </c>
      <c r="B314" s="54" t="s">
        <v>446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3" t="s">
        <v>64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77"/>
      <c r="AB317" s="377"/>
      <c r="AC317" s="377"/>
    </row>
    <row r="318" spans="1:68" ht="27" customHeight="1" x14ac:dyDescent="0.25">
      <c r="A318" s="54" t="s">
        <v>447</v>
      </c>
      <c r="B318" s="54" t="s">
        <v>448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449</v>
      </c>
      <c r="B319" s="54" t="s">
        <v>450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451</v>
      </c>
      <c r="B320" s="54" t="s">
        <v>452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453</v>
      </c>
      <c r="B321" s="54" t="s">
        <v>454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70</v>
      </c>
      <c r="Q322" s="401"/>
      <c r="R322" s="401"/>
      <c r="S322" s="401"/>
      <c r="T322" s="401"/>
      <c r="U322" s="401"/>
      <c r="V322" s="402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70</v>
      </c>
      <c r="Q323" s="401"/>
      <c r="R323" s="401"/>
      <c r="S323" s="401"/>
      <c r="T323" s="401"/>
      <c r="U323" s="401"/>
      <c r="V323" s="402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3" t="s">
        <v>72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77"/>
      <c r="AB324" s="377"/>
      <c r="AC324" s="377"/>
    </row>
    <row r="325" spans="1:68" ht="16.5" customHeight="1" x14ac:dyDescent="0.25">
      <c r="A325" s="54" t="s">
        <v>455</v>
      </c>
      <c r="B325" s="54" t="s">
        <v>456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457</v>
      </c>
      <c r="B326" s="54" t="s">
        <v>458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459</v>
      </c>
      <c r="B327" s="54" t="s">
        <v>460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461</v>
      </c>
      <c r="B328" s="54" t="s">
        <v>462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463</v>
      </c>
      <c r="B329" s="54" t="s">
        <v>464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465</v>
      </c>
      <c r="B330" s="54" t="s">
        <v>466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70</v>
      </c>
      <c r="Q331" s="401"/>
      <c r="R331" s="401"/>
      <c r="S331" s="401"/>
      <c r="T331" s="401"/>
      <c r="U331" s="401"/>
      <c r="V331" s="402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70</v>
      </c>
      <c r="Q332" s="401"/>
      <c r="R332" s="401"/>
      <c r="S332" s="401"/>
      <c r="T332" s="401"/>
      <c r="U332" s="401"/>
      <c r="V332" s="402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3" t="s">
        <v>171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77"/>
      <c r="AB333" s="377"/>
      <c r="AC333" s="377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3" t="s">
        <v>469</v>
      </c>
      <c r="Q334" s="393"/>
      <c r="R334" s="393"/>
      <c r="S334" s="393"/>
      <c r="T334" s="394"/>
      <c r="U334" s="34"/>
      <c r="V334" s="34"/>
      <c r="W334" s="35" t="s">
        <v>69</v>
      </c>
      <c r="X334" s="384">
        <v>10</v>
      </c>
      <c r="Y334" s="385">
        <f>IFERROR(IF(X334="",0,CEILING((X334/$H334),1)*$H334),"")</f>
        <v>16.8</v>
      </c>
      <c r="Z334" s="36">
        <f>IFERROR(IF(Y334=0,"",ROUNDUP(Y334/H334,0)*0.02175),"")</f>
        <v>4.3499999999999997E-2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10.671428571428571</v>
      </c>
      <c r="BN334" s="64">
        <f>IFERROR(Y334*I334/H334,"0")</f>
        <v>17.928000000000001</v>
      </c>
      <c r="BO334" s="64">
        <f>IFERROR(1/J334*(X334/H334),"0")</f>
        <v>2.1258503401360544E-2</v>
      </c>
      <c r="BP334" s="64">
        <f>IFERROR(1/J334*(Y334/H334),"0")</f>
        <v>3.5714285714285712E-2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69</v>
      </c>
      <c r="X335" s="384">
        <v>150</v>
      </c>
      <c r="Y335" s="385">
        <f>IFERROR(IF(X335="",0,CEILING((X335/$H335),1)*$H335),"")</f>
        <v>156</v>
      </c>
      <c r="Z335" s="36">
        <f>IFERROR(IF(Y335=0,"",ROUNDUP(Y335/H335,0)*0.02175),"")</f>
        <v>0.43499999999999994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160.84615384615387</v>
      </c>
      <c r="BN335" s="64">
        <f>IFERROR(Y335*I335/H335,"0")</f>
        <v>167.28000000000003</v>
      </c>
      <c r="BO335" s="64">
        <f>IFERROR(1/J335*(X335/H335),"0")</f>
        <v>0.34340659340659335</v>
      </c>
      <c r="BP335" s="64">
        <f>IFERROR(1/J335*(Y335/H335),"0")</f>
        <v>0.3571428571428571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69</v>
      </c>
      <c r="X336" s="384">
        <v>10</v>
      </c>
      <c r="Y336" s="385">
        <f>IFERROR(IF(X336="",0,CEILING((X336/$H336),1)*$H336),"")</f>
        <v>16.8</v>
      </c>
      <c r="Z336" s="36">
        <f>IFERROR(IF(Y336=0,"",ROUNDUP(Y336/H336,0)*0.02175),"")</f>
        <v>4.3499999999999997E-2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10.671428571428571</v>
      </c>
      <c r="BN336" s="64">
        <f>IFERROR(Y336*I336/H336,"0")</f>
        <v>17.928000000000001</v>
      </c>
      <c r="BO336" s="64">
        <f>IFERROR(1/J336*(X336/H336),"0")</f>
        <v>2.1258503401360544E-2</v>
      </c>
      <c r="BP336" s="64">
        <f>IFERROR(1/J336*(Y336/H336),"0")</f>
        <v>3.5714285714285712E-2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70</v>
      </c>
      <c r="Q337" s="401"/>
      <c r="R337" s="401"/>
      <c r="S337" s="401"/>
      <c r="T337" s="401"/>
      <c r="U337" s="401"/>
      <c r="V337" s="402"/>
      <c r="W337" s="37" t="s">
        <v>71</v>
      </c>
      <c r="X337" s="386">
        <f>IFERROR(X334/H334,"0")+IFERROR(X335/H335,"0")+IFERROR(X336/H336,"0")</f>
        <v>21.61172161172161</v>
      </c>
      <c r="Y337" s="386">
        <f>IFERROR(Y334/H334,"0")+IFERROR(Y335/H335,"0")+IFERROR(Y336/H336,"0")</f>
        <v>24</v>
      </c>
      <c r="Z337" s="386">
        <f>IFERROR(IF(Z334="",0,Z334),"0")+IFERROR(IF(Z335="",0,Z335),"0")+IFERROR(IF(Z336="",0,Z336),"0")</f>
        <v>0.52199999999999991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70</v>
      </c>
      <c r="Q338" s="401"/>
      <c r="R338" s="401"/>
      <c r="S338" s="401"/>
      <c r="T338" s="401"/>
      <c r="U338" s="401"/>
      <c r="V338" s="402"/>
      <c r="W338" s="37" t="s">
        <v>69</v>
      </c>
      <c r="X338" s="386">
        <f>IFERROR(SUM(X334:X336),"0")</f>
        <v>170</v>
      </c>
      <c r="Y338" s="386">
        <f>IFERROR(SUM(Y334:Y336),"0")</f>
        <v>189.60000000000002</v>
      </c>
      <c r="Z338" s="37"/>
      <c r="AA338" s="387"/>
      <c r="AB338" s="387"/>
      <c r="AC338" s="387"/>
    </row>
    <row r="339" spans="1:68" ht="14.25" customHeight="1" x14ac:dyDescent="0.25">
      <c r="A339" s="403" t="s">
        <v>91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77"/>
      <c r="AB339" s="377"/>
      <c r="AC339" s="377"/>
    </row>
    <row r="340" spans="1:68" ht="16.5" customHeight="1" x14ac:dyDescent="0.25">
      <c r="A340" s="54" t="s">
        <v>474</v>
      </c>
      <c r="B340" s="54" t="s">
        <v>475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3"/>
      <c r="R340" s="393"/>
      <c r="S340" s="393"/>
      <c r="T340" s="394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477</v>
      </c>
      <c r="B341" s="54" t="s">
        <v>478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6" t="s">
        <v>479</v>
      </c>
      <c r="Q341" s="393"/>
      <c r="R341" s="393"/>
      <c r="S341" s="393"/>
      <c r="T341" s="394"/>
      <c r="U341" s="34"/>
      <c r="V341" s="34"/>
      <c r="W341" s="35" t="s">
        <v>69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480</v>
      </c>
      <c r="B342" s="54" t="s">
        <v>481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69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482</v>
      </c>
      <c r="B343" s="54" t="s">
        <v>483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69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70</v>
      </c>
      <c r="Q344" s="401"/>
      <c r="R344" s="401"/>
      <c r="S344" s="401"/>
      <c r="T344" s="401"/>
      <c r="U344" s="401"/>
      <c r="V344" s="402"/>
      <c r="W344" s="37" t="s">
        <v>71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70</v>
      </c>
      <c r="Q345" s="401"/>
      <c r="R345" s="401"/>
      <c r="S345" s="401"/>
      <c r="T345" s="401"/>
      <c r="U345" s="401"/>
      <c r="V345" s="402"/>
      <c r="W345" s="37" t="s">
        <v>69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3" t="s">
        <v>484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77"/>
      <c r="AB346" s="377"/>
      <c r="AC346" s="377"/>
    </row>
    <row r="347" spans="1:68" ht="16.5" customHeight="1" x14ac:dyDescent="0.25">
      <c r="A347" s="54" t="s">
        <v>485</v>
      </c>
      <c r="B347" s="54" t="s">
        <v>486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69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489</v>
      </c>
      <c r="B348" s="54" t="s">
        <v>490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491</v>
      </c>
      <c r="B349" s="54" t="s">
        <v>492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69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70</v>
      </c>
      <c r="Q350" s="401"/>
      <c r="R350" s="401"/>
      <c r="S350" s="401"/>
      <c r="T350" s="401"/>
      <c r="U350" s="401"/>
      <c r="V350" s="402"/>
      <c r="W350" s="37" t="s">
        <v>71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70</v>
      </c>
      <c r="Q351" s="401"/>
      <c r="R351" s="401"/>
      <c r="S351" s="401"/>
      <c r="T351" s="401"/>
      <c r="U351" s="401"/>
      <c r="V351" s="402"/>
      <c r="W351" s="37" t="s">
        <v>69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493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8"/>
      <c r="AB352" s="378"/>
      <c r="AC352" s="378"/>
    </row>
    <row r="353" spans="1:68" ht="14.25" customHeight="1" x14ac:dyDescent="0.25">
      <c r="A353" s="403" t="s">
        <v>64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69</v>
      </c>
      <c r="X354" s="384">
        <v>45</v>
      </c>
      <c r="Y354" s="385">
        <f>IFERROR(IF(X354="",0,CEILING((X354/$H354),1)*$H354),"")</f>
        <v>45</v>
      </c>
      <c r="Z354" s="36">
        <f>IFERROR(IF(Y354=0,"",ROUNDUP(Y354/H354,0)*0.00753),"")</f>
        <v>0.18825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51.199999999999996</v>
      </c>
      <c r="BN354" s="64">
        <f>IFERROR(Y354*I354/H354,"0")</f>
        <v>51.199999999999996</v>
      </c>
      <c r="BO354" s="64">
        <f>IFERROR(1/J354*(X354/H354),"0")</f>
        <v>0.16025641025641024</v>
      </c>
      <c r="BP354" s="64">
        <f>IFERROR(1/J354*(Y354/H354),"0")</f>
        <v>0.16025641025641024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70</v>
      </c>
      <c r="Q355" s="401"/>
      <c r="R355" s="401"/>
      <c r="S355" s="401"/>
      <c r="T355" s="401"/>
      <c r="U355" s="401"/>
      <c r="V355" s="402"/>
      <c r="W355" s="37" t="s">
        <v>71</v>
      </c>
      <c r="X355" s="386">
        <f>IFERROR(X354/H354,"0")</f>
        <v>25</v>
      </c>
      <c r="Y355" s="386">
        <f>IFERROR(Y354/H354,"0")</f>
        <v>25</v>
      </c>
      <c r="Z355" s="386">
        <f>IFERROR(IF(Z354="",0,Z354),"0")</f>
        <v>0.18825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70</v>
      </c>
      <c r="Q356" s="401"/>
      <c r="R356" s="401"/>
      <c r="S356" s="401"/>
      <c r="T356" s="401"/>
      <c r="U356" s="401"/>
      <c r="V356" s="402"/>
      <c r="W356" s="37" t="s">
        <v>69</v>
      </c>
      <c r="X356" s="386">
        <f>IFERROR(SUM(X354:X354),"0")</f>
        <v>45</v>
      </c>
      <c r="Y356" s="386">
        <f>IFERROR(SUM(Y354:Y354),"0")</f>
        <v>45</v>
      </c>
      <c r="Z356" s="37"/>
      <c r="AA356" s="387"/>
      <c r="AB356" s="387"/>
      <c r="AC356" s="387"/>
    </row>
    <row r="357" spans="1:68" ht="14.25" customHeight="1" x14ac:dyDescent="0.25">
      <c r="A357" s="403" t="s">
        <v>72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77"/>
      <c r="AB357" s="377"/>
      <c r="AC357" s="377"/>
    </row>
    <row r="358" spans="1:68" ht="27" customHeight="1" x14ac:dyDescent="0.25">
      <c r="A358" s="54" t="s">
        <v>496</v>
      </c>
      <c r="B358" s="54" t="s">
        <v>497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69</v>
      </c>
      <c r="X359" s="384">
        <v>700</v>
      </c>
      <c r="Y359" s="385">
        <f>IFERROR(IF(X359="",0,CEILING((X359/$H359),1)*$H359),"")</f>
        <v>701.4</v>
      </c>
      <c r="Z359" s="36">
        <f>IFERROR(IF(Y359=0,"",ROUNDUP(Y359/H359,0)*0.00753),"")</f>
        <v>2.5150200000000003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790.66666666666652</v>
      </c>
      <c r="BN359" s="64">
        <f>IFERROR(Y359*I359/H359,"0")</f>
        <v>792.24799999999993</v>
      </c>
      <c r="BO359" s="64">
        <f>IFERROR(1/J359*(X359/H359),"0")</f>
        <v>2.1367521367521367</v>
      </c>
      <c r="BP359" s="64">
        <f>IFERROR(1/J359*(Y359/H359),"0")</f>
        <v>2.141025641025641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69</v>
      </c>
      <c r="X360" s="384">
        <v>385</v>
      </c>
      <c r="Y360" s="385">
        <f>IFERROR(IF(X360="",0,CEILING((X360/$H360),1)*$H360),"")</f>
        <v>386.40000000000003</v>
      </c>
      <c r="Z360" s="36">
        <f>IFERROR(IF(Y360=0,"",ROUNDUP(Y360/H360,0)*0.00753),"")</f>
        <v>1.3855200000000001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432.66666666666663</v>
      </c>
      <c r="BN360" s="64">
        <f>IFERROR(Y360*I360/H360,"0")</f>
        <v>434.23999999999995</v>
      </c>
      <c r="BO360" s="64">
        <f>IFERROR(1/J360*(X360/H360),"0")</f>
        <v>1.175213675213675</v>
      </c>
      <c r="BP360" s="64">
        <f>IFERROR(1/J360*(Y360/H360),"0")</f>
        <v>1.1794871794871795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70</v>
      </c>
      <c r="Q361" s="401"/>
      <c r="R361" s="401"/>
      <c r="S361" s="401"/>
      <c r="T361" s="401"/>
      <c r="U361" s="401"/>
      <c r="V361" s="402"/>
      <c r="W361" s="37" t="s">
        <v>71</v>
      </c>
      <c r="X361" s="386">
        <f>IFERROR(X358/H358,"0")+IFERROR(X359/H359,"0")+IFERROR(X360/H360,"0")</f>
        <v>516.66666666666663</v>
      </c>
      <c r="Y361" s="386">
        <f>IFERROR(Y358/H358,"0")+IFERROR(Y359/H359,"0")+IFERROR(Y360/H360,"0")</f>
        <v>518</v>
      </c>
      <c r="Z361" s="386">
        <f>IFERROR(IF(Z358="",0,Z358),"0")+IFERROR(IF(Z359="",0,Z359),"0")+IFERROR(IF(Z360="",0,Z360),"0")</f>
        <v>3.9005400000000003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70</v>
      </c>
      <c r="Q362" s="401"/>
      <c r="R362" s="401"/>
      <c r="S362" s="401"/>
      <c r="T362" s="401"/>
      <c r="U362" s="401"/>
      <c r="V362" s="402"/>
      <c r="W362" s="37" t="s">
        <v>69</v>
      </c>
      <c r="X362" s="386">
        <f>IFERROR(SUM(X358:X360),"0")</f>
        <v>1085</v>
      </c>
      <c r="Y362" s="386">
        <f>IFERROR(SUM(Y358:Y360),"0")</f>
        <v>1087.8</v>
      </c>
      <c r="Z362" s="37"/>
      <c r="AA362" s="387"/>
      <c r="AB362" s="387"/>
      <c r="AC362" s="387"/>
    </row>
    <row r="363" spans="1:68" ht="27.75" customHeight="1" x14ac:dyDescent="0.2">
      <c r="A363" s="411" t="s">
        <v>502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412"/>
      <c r="AA363" s="48"/>
      <c r="AB363" s="48"/>
      <c r="AC363" s="48"/>
    </row>
    <row r="364" spans="1:68" ht="16.5" customHeight="1" x14ac:dyDescent="0.25">
      <c r="A364" s="390" t="s">
        <v>503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8"/>
      <c r="AB364" s="378"/>
      <c r="AC364" s="378"/>
    </row>
    <row r="365" spans="1:68" ht="14.25" customHeight="1" x14ac:dyDescent="0.25">
      <c r="A365" s="403" t="s">
        <v>105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77"/>
      <c r="AB365" s="377"/>
      <c r="AC365" s="377"/>
    </row>
    <row r="366" spans="1:68" ht="27" customHeight="1" x14ac:dyDescent="0.25">
      <c r="A366" s="54" t="s">
        <v>504</v>
      </c>
      <c r="B366" s="54" t="s">
        <v>505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69</v>
      </c>
      <c r="X367" s="384">
        <v>1800</v>
      </c>
      <c r="Y367" s="385">
        <f t="shared" si="62"/>
        <v>1800</v>
      </c>
      <c r="Z367" s="36">
        <f>IFERROR(IF(Y367=0,"",ROUNDUP(Y367/H367,0)*0.02175),"")</f>
        <v>2.61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1857.6</v>
      </c>
      <c r="BN367" s="64">
        <f t="shared" si="64"/>
        <v>1857.6</v>
      </c>
      <c r="BO367" s="64">
        <f t="shared" si="65"/>
        <v>2.5</v>
      </c>
      <c r="BP367" s="64">
        <f t="shared" si="66"/>
        <v>2.5</v>
      </c>
    </row>
    <row r="368" spans="1:68" ht="27" customHeight="1" x14ac:dyDescent="0.25">
      <c r="A368" s="54" t="s">
        <v>507</v>
      </c>
      <c r="B368" s="54" t="s">
        <v>508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69</v>
      </c>
      <c r="X369" s="384">
        <v>1100</v>
      </c>
      <c r="Y369" s="385">
        <f t="shared" si="62"/>
        <v>1110</v>
      </c>
      <c r="Z369" s="36">
        <f>IFERROR(IF(Y369=0,"",ROUNDUP(Y369/H369,0)*0.02175),"")</f>
        <v>1.6094999999999999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1135.2</v>
      </c>
      <c r="BN369" s="64">
        <f t="shared" si="64"/>
        <v>1145.52</v>
      </c>
      <c r="BO369" s="64">
        <f t="shared" si="65"/>
        <v>1.5277777777777777</v>
      </c>
      <c r="BP369" s="64">
        <f t="shared" si="66"/>
        <v>1.5416666666666665</v>
      </c>
    </row>
    <row r="370" spans="1:68" ht="27" customHeight="1" x14ac:dyDescent="0.25">
      <c r="A370" s="54" t="s">
        <v>510</v>
      </c>
      <c r="B370" s="54" t="s">
        <v>511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69</v>
      </c>
      <c r="X371" s="384">
        <v>1100</v>
      </c>
      <c r="Y371" s="385">
        <f t="shared" si="62"/>
        <v>1110</v>
      </c>
      <c r="Z371" s="36">
        <f>IFERROR(IF(Y371=0,"",ROUNDUP(Y371/H371,0)*0.02175),"")</f>
        <v>1.6094999999999999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1135.2</v>
      </c>
      <c r="BN371" s="64">
        <f t="shared" si="64"/>
        <v>1145.52</v>
      </c>
      <c r="BO371" s="64">
        <f t="shared" si="65"/>
        <v>1.5277777777777777</v>
      </c>
      <c r="BP371" s="64">
        <f t="shared" si="66"/>
        <v>1.5416666666666665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69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515</v>
      </c>
      <c r="B373" s="54" t="s">
        <v>516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517</v>
      </c>
      <c r="B374" s="54" t="s">
        <v>518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70</v>
      </c>
      <c r="Q375" s="401"/>
      <c r="R375" s="401"/>
      <c r="S375" s="401"/>
      <c r="T375" s="401"/>
      <c r="U375" s="401"/>
      <c r="V375" s="402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266.66666666666663</v>
      </c>
      <c r="Y375" s="386">
        <f>IFERROR(Y366/H366,"0")+IFERROR(Y367/H367,"0")+IFERROR(Y368/H368,"0")+IFERROR(Y369/H369,"0")+IFERROR(Y370/H370,"0")+IFERROR(Y371/H371,"0")+IFERROR(Y372/H372,"0")+IFERROR(Y373/H373,"0")+IFERROR(Y374/H374,"0")</f>
        <v>268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5.8289999999999997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70</v>
      </c>
      <c r="Q376" s="401"/>
      <c r="R376" s="401"/>
      <c r="S376" s="401"/>
      <c r="T376" s="401"/>
      <c r="U376" s="401"/>
      <c r="V376" s="402"/>
      <c r="W376" s="37" t="s">
        <v>69</v>
      </c>
      <c r="X376" s="386">
        <f>IFERROR(SUM(X366:X374),"0")</f>
        <v>4000</v>
      </c>
      <c r="Y376" s="386">
        <f>IFERROR(SUM(Y366:Y374),"0")</f>
        <v>4020</v>
      </c>
      <c r="Z376" s="37"/>
      <c r="AA376" s="387"/>
      <c r="AB376" s="387"/>
      <c r="AC376" s="387"/>
    </row>
    <row r="377" spans="1:68" ht="14.25" customHeight="1" x14ac:dyDescent="0.25">
      <c r="A377" s="403" t="s">
        <v>141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69</v>
      </c>
      <c r="X378" s="384">
        <v>1000</v>
      </c>
      <c r="Y378" s="385">
        <f>IFERROR(IF(X378="",0,CEILING((X378/$H378),1)*$H378),"")</f>
        <v>1005</v>
      </c>
      <c r="Z378" s="36">
        <f>IFERROR(IF(Y378=0,"",ROUNDUP(Y378/H378,0)*0.02175),"")</f>
        <v>1.4572499999999999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1032</v>
      </c>
      <c r="BN378" s="64">
        <f>IFERROR(Y378*I378/H378,"0")</f>
        <v>1037.1600000000001</v>
      </c>
      <c r="BO378" s="64">
        <f>IFERROR(1/J378*(X378/H378),"0")</f>
        <v>1.3888888888888888</v>
      </c>
      <c r="BP378" s="64">
        <f>IFERROR(1/J378*(Y378/H378),"0")</f>
        <v>1.3958333333333333</v>
      </c>
    </row>
    <row r="379" spans="1:68" ht="27" customHeight="1" x14ac:dyDescent="0.25">
      <c r="A379" s="54" t="s">
        <v>521</v>
      </c>
      <c r="B379" s="54" t="s">
        <v>522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69</v>
      </c>
      <c r="X379" s="384">
        <v>8</v>
      </c>
      <c r="Y379" s="385">
        <f>IFERROR(IF(X379="",0,CEILING((X379/$H379),1)*$H379),"")</f>
        <v>8</v>
      </c>
      <c r="Z379" s="36">
        <f>IFERROR(IF(Y379=0,"",ROUNDUP(Y379/H379,0)*0.00937),"")</f>
        <v>1.874E-2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8.48</v>
      </c>
      <c r="BN379" s="64">
        <f>IFERROR(Y379*I379/H379,"0")</f>
        <v>8.48</v>
      </c>
      <c r="BO379" s="64">
        <f>IFERROR(1/J379*(X379/H379),"0")</f>
        <v>1.6666666666666666E-2</v>
      </c>
      <c r="BP379" s="64">
        <f>IFERROR(1/J379*(Y379/H379),"0")</f>
        <v>1.6666666666666666E-2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70</v>
      </c>
      <c r="Q380" s="401"/>
      <c r="R380" s="401"/>
      <c r="S380" s="401"/>
      <c r="T380" s="401"/>
      <c r="U380" s="401"/>
      <c r="V380" s="402"/>
      <c r="W380" s="37" t="s">
        <v>71</v>
      </c>
      <c r="X380" s="386">
        <f>IFERROR(X378/H378,"0")+IFERROR(X379/H379,"0")</f>
        <v>68.666666666666671</v>
      </c>
      <c r="Y380" s="386">
        <f>IFERROR(Y378/H378,"0")+IFERROR(Y379/H379,"0")</f>
        <v>69</v>
      </c>
      <c r="Z380" s="386">
        <f>IFERROR(IF(Z378="",0,Z378),"0")+IFERROR(IF(Z379="",0,Z379),"0")</f>
        <v>1.4759899999999999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70</v>
      </c>
      <c r="Q381" s="401"/>
      <c r="R381" s="401"/>
      <c r="S381" s="401"/>
      <c r="T381" s="401"/>
      <c r="U381" s="401"/>
      <c r="V381" s="402"/>
      <c r="W381" s="37" t="s">
        <v>69</v>
      </c>
      <c r="X381" s="386">
        <f>IFERROR(SUM(X378:X379),"0")</f>
        <v>1008</v>
      </c>
      <c r="Y381" s="386">
        <f>IFERROR(SUM(Y378:Y379),"0")</f>
        <v>1013</v>
      </c>
      <c r="Z381" s="37"/>
      <c r="AA381" s="387"/>
      <c r="AB381" s="387"/>
      <c r="AC381" s="387"/>
    </row>
    <row r="382" spans="1:68" ht="14.25" customHeight="1" x14ac:dyDescent="0.25">
      <c r="A382" s="403" t="s">
        <v>72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77"/>
      <c r="AB382" s="377"/>
      <c r="AC382" s="377"/>
    </row>
    <row r="383" spans="1:68" ht="27" customHeight="1" x14ac:dyDescent="0.25">
      <c r="A383" s="54" t="s">
        <v>523</v>
      </c>
      <c r="B383" s="54" t="s">
        <v>524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523</v>
      </c>
      <c r="B384" s="54" t="s">
        <v>525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69</v>
      </c>
      <c r="X385" s="384">
        <v>140</v>
      </c>
      <c r="Y385" s="385">
        <f>IFERROR(IF(X385="",0,CEILING((X385/$H385),1)*$H385),"")</f>
        <v>140.4</v>
      </c>
      <c r="Z385" s="36">
        <f>IFERROR(IF(Y385=0,"",ROUNDUP(Y385/H385,0)*0.02175),"")</f>
        <v>0.39149999999999996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150.12307692307692</v>
      </c>
      <c r="BN385" s="64">
        <f>IFERROR(Y385*I385/H385,"0")</f>
        <v>150.55200000000002</v>
      </c>
      <c r="BO385" s="64">
        <f>IFERROR(1/J385*(X385/H385),"0")</f>
        <v>0.32051282051282048</v>
      </c>
      <c r="BP385" s="64">
        <f>IFERROR(1/J385*(Y385/H385),"0")</f>
        <v>0.3214285714285714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70</v>
      </c>
      <c r="Q386" s="401"/>
      <c r="R386" s="401"/>
      <c r="S386" s="401"/>
      <c r="T386" s="401"/>
      <c r="U386" s="401"/>
      <c r="V386" s="402"/>
      <c r="W386" s="37" t="s">
        <v>71</v>
      </c>
      <c r="X386" s="386">
        <f>IFERROR(X383/H383,"0")+IFERROR(X384/H384,"0")+IFERROR(X385/H385,"0")</f>
        <v>17.948717948717949</v>
      </c>
      <c r="Y386" s="386">
        <f>IFERROR(Y383/H383,"0")+IFERROR(Y384/H384,"0")+IFERROR(Y385/H385,"0")</f>
        <v>18</v>
      </c>
      <c r="Z386" s="386">
        <f>IFERROR(IF(Z383="",0,Z383),"0")+IFERROR(IF(Z384="",0,Z384),"0")+IFERROR(IF(Z385="",0,Z385),"0")</f>
        <v>0.39149999999999996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70</v>
      </c>
      <c r="Q387" s="401"/>
      <c r="R387" s="401"/>
      <c r="S387" s="401"/>
      <c r="T387" s="401"/>
      <c r="U387" s="401"/>
      <c r="V387" s="402"/>
      <c r="W387" s="37" t="s">
        <v>69</v>
      </c>
      <c r="X387" s="386">
        <f>IFERROR(SUM(X383:X385),"0")</f>
        <v>140</v>
      </c>
      <c r="Y387" s="386">
        <f>IFERROR(SUM(Y383:Y385),"0")</f>
        <v>140.4</v>
      </c>
      <c r="Z387" s="37"/>
      <c r="AA387" s="387"/>
      <c r="AB387" s="387"/>
      <c r="AC387" s="387"/>
    </row>
    <row r="388" spans="1:68" ht="14.25" customHeight="1" x14ac:dyDescent="0.25">
      <c r="A388" s="403" t="s">
        <v>171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77"/>
      <c r="AB388" s="377"/>
      <c r="AC388" s="377"/>
    </row>
    <row r="389" spans="1:68" ht="16.5" customHeight="1" x14ac:dyDescent="0.25">
      <c r="A389" s="54" t="s">
        <v>528</v>
      </c>
      <c r="B389" s="54" t="s">
        <v>529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69</v>
      </c>
      <c r="X389" s="384">
        <v>120</v>
      </c>
      <c r="Y389" s="385">
        <f>IFERROR(IF(X389="",0,CEILING((X389/$H389),1)*$H389),"")</f>
        <v>124.8</v>
      </c>
      <c r="Z389" s="36">
        <f>IFERROR(IF(Y389=0,"",ROUNDUP(Y389/H389,0)*0.02175),"")</f>
        <v>0.34799999999999998</v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128.67692307692309</v>
      </c>
      <c r="BN389" s="64">
        <f>IFERROR(Y389*I389/H389,"0")</f>
        <v>133.82400000000001</v>
      </c>
      <c r="BO389" s="64">
        <f>IFERROR(1/J389*(X389/H389),"0")</f>
        <v>0.27472527472527469</v>
      </c>
      <c r="BP389" s="64">
        <f>IFERROR(1/J389*(Y389/H389),"0")</f>
        <v>0.2857142857142857</v>
      </c>
    </row>
    <row r="390" spans="1:68" ht="16.5" customHeight="1" x14ac:dyDescent="0.25">
      <c r="A390" s="54" t="s">
        <v>528</v>
      </c>
      <c r="B390" s="54" t="s">
        <v>530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70</v>
      </c>
      <c r="Q391" s="401"/>
      <c r="R391" s="401"/>
      <c r="S391" s="401"/>
      <c r="T391" s="401"/>
      <c r="U391" s="401"/>
      <c r="V391" s="402"/>
      <c r="W391" s="37" t="s">
        <v>71</v>
      </c>
      <c r="X391" s="386">
        <f>IFERROR(X389/H389,"0")+IFERROR(X390/H390,"0")</f>
        <v>15.384615384615385</v>
      </c>
      <c r="Y391" s="386">
        <f>IFERROR(Y389/H389,"0")+IFERROR(Y390/H390,"0")</f>
        <v>16</v>
      </c>
      <c r="Z391" s="386">
        <f>IFERROR(IF(Z389="",0,Z389),"0")+IFERROR(IF(Z390="",0,Z390),"0")</f>
        <v>0.34799999999999998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70</v>
      </c>
      <c r="Q392" s="401"/>
      <c r="R392" s="401"/>
      <c r="S392" s="401"/>
      <c r="T392" s="401"/>
      <c r="U392" s="401"/>
      <c r="V392" s="402"/>
      <c r="W392" s="37" t="s">
        <v>69</v>
      </c>
      <c r="X392" s="386">
        <f>IFERROR(SUM(X389:X390),"0")</f>
        <v>120</v>
      </c>
      <c r="Y392" s="386">
        <f>IFERROR(SUM(Y389:Y390),"0")</f>
        <v>124.8</v>
      </c>
      <c r="Z392" s="37"/>
      <c r="AA392" s="387"/>
      <c r="AB392" s="387"/>
      <c r="AC392" s="387"/>
    </row>
    <row r="393" spans="1:68" ht="16.5" customHeight="1" x14ac:dyDescent="0.25">
      <c r="A393" s="390" t="s">
        <v>531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8"/>
      <c r="AB393" s="378"/>
      <c r="AC393" s="378"/>
    </row>
    <row r="394" spans="1:68" ht="14.25" customHeight="1" x14ac:dyDescent="0.25">
      <c r="A394" s="403" t="s">
        <v>105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77"/>
      <c r="AB394" s="377"/>
      <c r="AC394" s="377"/>
    </row>
    <row r="395" spans="1:68" ht="27" customHeight="1" x14ac:dyDescent="0.25">
      <c r="A395" s="54" t="s">
        <v>532</v>
      </c>
      <c r="B395" s="54" t="s">
        <v>533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69</v>
      </c>
      <c r="X395" s="384">
        <v>30</v>
      </c>
      <c r="Y395" s="385">
        <f>IFERROR(IF(X395="",0,CEILING((X395/$H395),1)*$H395),"")</f>
        <v>36</v>
      </c>
      <c r="Z395" s="36">
        <f>IFERROR(IF(Y395=0,"",ROUNDUP(Y395/H395,0)*0.02175),"")</f>
        <v>6.5250000000000002E-2</v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31.200000000000003</v>
      </c>
      <c r="BN395" s="64">
        <f>IFERROR(Y395*I395/H395,"0")</f>
        <v>37.440000000000005</v>
      </c>
      <c r="BO395" s="64">
        <f>IFERROR(1/J395*(X395/H395),"0")</f>
        <v>4.4642857142857137E-2</v>
      </c>
      <c r="BP395" s="64">
        <f>IFERROR(1/J395*(Y395/H395),"0")</f>
        <v>5.3571428571428568E-2</v>
      </c>
    </row>
    <row r="396" spans="1:68" ht="37.5" customHeight="1" x14ac:dyDescent="0.25">
      <c r="A396" s="54" t="s">
        <v>534</v>
      </c>
      <c r="B396" s="54" t="s">
        <v>535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536</v>
      </c>
      <c r="B397" s="54" t="s">
        <v>537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6" t="s">
        <v>538</v>
      </c>
      <c r="Q397" s="393"/>
      <c r="R397" s="393"/>
      <c r="S397" s="393"/>
      <c r="T397" s="394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539</v>
      </c>
      <c r="B398" s="54" t="s">
        <v>540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70</v>
      </c>
      <c r="Q399" s="401"/>
      <c r="R399" s="401"/>
      <c r="S399" s="401"/>
      <c r="T399" s="401"/>
      <c r="U399" s="401"/>
      <c r="V399" s="402"/>
      <c r="W399" s="37" t="s">
        <v>71</v>
      </c>
      <c r="X399" s="386">
        <f>IFERROR(X395/H395,"0")+IFERROR(X396/H396,"0")+IFERROR(X397/H397,"0")+IFERROR(X398/H398,"0")</f>
        <v>2.5</v>
      </c>
      <c r="Y399" s="386">
        <f>IFERROR(Y395/H395,"0")+IFERROR(Y396/H396,"0")+IFERROR(Y397/H397,"0")+IFERROR(Y398/H398,"0")</f>
        <v>3</v>
      </c>
      <c r="Z399" s="386">
        <f>IFERROR(IF(Z395="",0,Z395),"0")+IFERROR(IF(Z396="",0,Z396),"0")+IFERROR(IF(Z397="",0,Z397),"0")+IFERROR(IF(Z398="",0,Z398),"0")</f>
        <v>6.5250000000000002E-2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70</v>
      </c>
      <c r="Q400" s="401"/>
      <c r="R400" s="401"/>
      <c r="S400" s="401"/>
      <c r="T400" s="401"/>
      <c r="U400" s="401"/>
      <c r="V400" s="402"/>
      <c r="W400" s="37" t="s">
        <v>69</v>
      </c>
      <c r="X400" s="386">
        <f>IFERROR(SUM(X395:X398),"0")</f>
        <v>30</v>
      </c>
      <c r="Y400" s="386">
        <f>IFERROR(SUM(Y395:Y398),"0")</f>
        <v>36</v>
      </c>
      <c r="Z400" s="37"/>
      <c r="AA400" s="387"/>
      <c r="AB400" s="387"/>
      <c r="AC400" s="387"/>
    </row>
    <row r="401" spans="1:68" ht="14.25" customHeight="1" x14ac:dyDescent="0.25">
      <c r="A401" s="403" t="s">
        <v>64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77"/>
      <c r="AB401" s="377"/>
      <c r="AC401" s="377"/>
    </row>
    <row r="402" spans="1:68" ht="27" customHeight="1" x14ac:dyDescent="0.25">
      <c r="A402" s="54" t="s">
        <v>541</v>
      </c>
      <c r="B402" s="54" t="s">
        <v>542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541</v>
      </c>
      <c r="B403" s="54" t="s">
        <v>543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544</v>
      </c>
      <c r="B404" s="54" t="s">
        <v>545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70</v>
      </c>
      <c r="Q405" s="401"/>
      <c r="R405" s="401"/>
      <c r="S405" s="401"/>
      <c r="T405" s="401"/>
      <c r="U405" s="401"/>
      <c r="V405" s="402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70</v>
      </c>
      <c r="Q406" s="401"/>
      <c r="R406" s="401"/>
      <c r="S406" s="401"/>
      <c r="T406" s="401"/>
      <c r="U406" s="401"/>
      <c r="V406" s="402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3" t="s">
        <v>72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77"/>
      <c r="AB407" s="377"/>
      <c r="AC407" s="377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69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548</v>
      </c>
      <c r="B409" s="54" t="s">
        <v>549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550</v>
      </c>
      <c r="B410" s="54" t="s">
        <v>551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550</v>
      </c>
      <c r="B411" s="54" t="s">
        <v>552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553</v>
      </c>
      <c r="B412" s="54" t="s">
        <v>554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70</v>
      </c>
      <c r="Q413" s="401"/>
      <c r="R413" s="401"/>
      <c r="S413" s="401"/>
      <c r="T413" s="401"/>
      <c r="U413" s="401"/>
      <c r="V413" s="402"/>
      <c r="W413" s="37" t="s">
        <v>71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70</v>
      </c>
      <c r="Q414" s="401"/>
      <c r="R414" s="401"/>
      <c r="S414" s="401"/>
      <c r="T414" s="401"/>
      <c r="U414" s="401"/>
      <c r="V414" s="402"/>
      <c r="W414" s="37" t="s">
        <v>69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customHeight="1" x14ac:dyDescent="0.25">
      <c r="A415" s="403" t="s">
        <v>171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77"/>
      <c r="AB415" s="377"/>
      <c r="AC415" s="377"/>
    </row>
    <row r="416" spans="1:68" ht="27" customHeight="1" x14ac:dyDescent="0.25">
      <c r="A416" s="54" t="s">
        <v>555</v>
      </c>
      <c r="B416" s="54" t="s">
        <v>556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555</v>
      </c>
      <c r="B417" s="54" t="s">
        <v>557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1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70</v>
      </c>
      <c r="Q418" s="401"/>
      <c r="R418" s="401"/>
      <c r="S418" s="401"/>
      <c r="T418" s="401"/>
      <c r="U418" s="401"/>
      <c r="V418" s="402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70</v>
      </c>
      <c r="Q419" s="401"/>
      <c r="R419" s="401"/>
      <c r="S419" s="401"/>
      <c r="T419" s="401"/>
      <c r="U419" s="401"/>
      <c r="V419" s="402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1" t="s">
        <v>558</v>
      </c>
      <c r="B420" s="412"/>
      <c r="C420" s="412"/>
      <c r="D420" s="412"/>
      <c r="E420" s="412"/>
      <c r="F420" s="412"/>
      <c r="G420" s="412"/>
      <c r="H420" s="412"/>
      <c r="I420" s="412"/>
      <c r="J420" s="412"/>
      <c r="K420" s="412"/>
      <c r="L420" s="412"/>
      <c r="M420" s="412"/>
      <c r="N420" s="412"/>
      <c r="O420" s="412"/>
      <c r="P420" s="412"/>
      <c r="Q420" s="412"/>
      <c r="R420" s="412"/>
      <c r="S420" s="412"/>
      <c r="T420" s="412"/>
      <c r="U420" s="412"/>
      <c r="V420" s="412"/>
      <c r="W420" s="412"/>
      <c r="X420" s="412"/>
      <c r="Y420" s="412"/>
      <c r="Z420" s="412"/>
      <c r="AA420" s="48"/>
      <c r="AB420" s="48"/>
      <c r="AC420" s="48"/>
    </row>
    <row r="421" spans="1:68" ht="16.5" customHeight="1" x14ac:dyDescent="0.25">
      <c r="A421" s="390" t="s">
        <v>559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8"/>
      <c r="AB421" s="378"/>
      <c r="AC421" s="378"/>
    </row>
    <row r="422" spans="1:68" ht="14.25" customHeight="1" x14ac:dyDescent="0.25">
      <c r="A422" s="403" t="s">
        <v>105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77"/>
      <c r="AB422" s="377"/>
      <c r="AC422" s="377"/>
    </row>
    <row r="423" spans="1:68" ht="27" customHeight="1" x14ac:dyDescent="0.25">
      <c r="A423" s="54" t="s">
        <v>560</v>
      </c>
      <c r="B423" s="54" t="s">
        <v>561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3" t="s">
        <v>64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77"/>
      <c r="AB426" s="377"/>
      <c r="AC426" s="377"/>
    </row>
    <row r="427" spans="1:68" ht="27" customHeight="1" x14ac:dyDescent="0.25">
      <c r="A427" s="54" t="s">
        <v>562</v>
      </c>
      <c r="B427" s="54" t="s">
        <v>563</v>
      </c>
      <c r="C427" s="31">
        <v>4301031322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8" t="s">
        <v>564</v>
      </c>
      <c r="Q427" s="393"/>
      <c r="R427" s="393"/>
      <c r="S427" s="393"/>
      <c r="T427" s="394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562</v>
      </c>
      <c r="B428" s="54" t="s">
        <v>565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94" t="s">
        <v>566</v>
      </c>
      <c r="Q428" s="393"/>
      <c r="R428" s="393"/>
      <c r="S428" s="393"/>
      <c r="T428" s="394"/>
      <c r="U428" s="34"/>
      <c r="V428" s="34"/>
      <c r="W428" s="35" t="s">
        <v>69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562</v>
      </c>
      <c r="B429" s="54" t="s">
        <v>567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69</v>
      </c>
      <c r="X429" s="384">
        <v>50</v>
      </c>
      <c r="Y429" s="385">
        <f t="shared" si="67"/>
        <v>50.400000000000006</v>
      </c>
      <c r="Z429" s="36">
        <f t="shared" si="68"/>
        <v>9.0359999999999996E-2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52.738095238095234</v>
      </c>
      <c r="BN429" s="64">
        <f t="shared" si="70"/>
        <v>53.160000000000004</v>
      </c>
      <c r="BO429" s="64">
        <f t="shared" si="71"/>
        <v>7.6312576312576319E-2</v>
      </c>
      <c r="BP429" s="64">
        <f t="shared" si="72"/>
        <v>7.6923076923076927E-2</v>
      </c>
    </row>
    <row r="430" spans="1:68" ht="27" customHeight="1" x14ac:dyDescent="0.25">
      <c r="A430" s="54" t="s">
        <v>568</v>
      </c>
      <c r="B430" s="54" t="s">
        <v>569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13" t="s">
        <v>570</v>
      </c>
      <c r="Q430" s="393"/>
      <c r="R430" s="393"/>
      <c r="S430" s="393"/>
      <c r="T430" s="394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568</v>
      </c>
      <c r="B431" s="54" t="s">
        <v>571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8" t="s">
        <v>574</v>
      </c>
      <c r="Q432" s="393"/>
      <c r="R432" s="393"/>
      <c r="S432" s="393"/>
      <c r="T432" s="394"/>
      <c r="U432" s="34"/>
      <c r="V432" s="34"/>
      <c r="W432" s="35" t="s">
        <v>69</v>
      </c>
      <c r="X432" s="384">
        <v>70</v>
      </c>
      <c r="Y432" s="385">
        <f t="shared" si="67"/>
        <v>71.400000000000006</v>
      </c>
      <c r="Z432" s="36">
        <f t="shared" si="68"/>
        <v>0.12801000000000001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73.833333333333329</v>
      </c>
      <c r="BN432" s="64">
        <f t="shared" si="70"/>
        <v>75.31</v>
      </c>
      <c r="BO432" s="64">
        <f t="shared" si="71"/>
        <v>0.10683760683760682</v>
      </c>
      <c r="BP432" s="64">
        <f t="shared" si="72"/>
        <v>0.10897435897435898</v>
      </c>
    </row>
    <row r="433" spans="1:68" ht="27" customHeight="1" x14ac:dyDescent="0.25">
      <c r="A433" s="54" t="s">
        <v>572</v>
      </c>
      <c r="B433" s="54" t="s">
        <v>575</v>
      </c>
      <c r="C433" s="31">
        <v>4301031356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49" t="s">
        <v>574</v>
      </c>
      <c r="Q433" s="393"/>
      <c r="R433" s="393"/>
      <c r="S433" s="393"/>
      <c r="T433" s="394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69</v>
      </c>
      <c r="X434" s="384">
        <v>84.000000000000014</v>
      </c>
      <c r="Y434" s="385">
        <f t="shared" si="67"/>
        <v>84</v>
      </c>
      <c r="Z434" s="36">
        <f t="shared" si="68"/>
        <v>0.3765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130.00000000000003</v>
      </c>
      <c r="BN434" s="64">
        <f t="shared" si="70"/>
        <v>130</v>
      </c>
      <c r="BO434" s="64">
        <f t="shared" si="71"/>
        <v>0.32051282051282054</v>
      </c>
      <c r="BP434" s="64">
        <f t="shared" si="72"/>
        <v>0.32051282051282048</v>
      </c>
    </row>
    <row r="435" spans="1:68" ht="27" customHeight="1" x14ac:dyDescent="0.25">
      <c r="A435" s="54" t="s">
        <v>578</v>
      </c>
      <c r="B435" s="54" t="s">
        <v>579</v>
      </c>
      <c r="C435" s="31">
        <v>4301031335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52" t="s">
        <v>580</v>
      </c>
      <c r="Q435" s="393"/>
      <c r="R435" s="393"/>
      <c r="S435" s="393"/>
      <c r="T435" s="394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578</v>
      </c>
      <c r="B436" s="54" t="s">
        <v>581</v>
      </c>
      <c r="C436" s="31">
        <v>4301031257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3"/>
      <c r="R436" s="393"/>
      <c r="S436" s="393"/>
      <c r="T436" s="394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582</v>
      </c>
      <c r="B437" s="54" t="s">
        <v>583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5" t="s">
        <v>584</v>
      </c>
      <c r="Q437" s="393"/>
      <c r="R437" s="393"/>
      <c r="S437" s="393"/>
      <c r="T437" s="394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69</v>
      </c>
      <c r="X438" s="384">
        <v>35</v>
      </c>
      <c r="Y438" s="385">
        <f t="shared" si="67"/>
        <v>35.700000000000003</v>
      </c>
      <c r="Z438" s="36">
        <f t="shared" si="73"/>
        <v>8.5339999999999999E-2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37.166666666666664</v>
      </c>
      <c r="BN438" s="64">
        <f t="shared" si="70"/>
        <v>37.910000000000004</v>
      </c>
      <c r="BO438" s="64">
        <f t="shared" si="71"/>
        <v>7.1225071225071226E-2</v>
      </c>
      <c r="BP438" s="64">
        <f t="shared" si="72"/>
        <v>7.2649572649572655E-2</v>
      </c>
    </row>
    <row r="439" spans="1:68" ht="37.5" customHeight="1" x14ac:dyDescent="0.25">
      <c r="A439" s="54" t="s">
        <v>586</v>
      </c>
      <c r="B439" s="54" t="s">
        <v>587</v>
      </c>
      <c r="C439" s="31">
        <v>4301031336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48" t="s">
        <v>588</v>
      </c>
      <c r="Q439" s="393"/>
      <c r="R439" s="393"/>
      <c r="S439" s="393"/>
      <c r="T439" s="394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586</v>
      </c>
      <c r="B440" s="54" t="s">
        <v>589</v>
      </c>
      <c r="C440" s="31">
        <v>4301031254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3"/>
      <c r="R440" s="393"/>
      <c r="S440" s="393"/>
      <c r="T440" s="394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590</v>
      </c>
      <c r="B441" s="54" t="s">
        <v>591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6" t="s">
        <v>592</v>
      </c>
      <c r="Q441" s="393"/>
      <c r="R441" s="393"/>
      <c r="S441" s="393"/>
      <c r="T441" s="394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69</v>
      </c>
      <c r="X442" s="384">
        <v>35</v>
      </c>
      <c r="Y442" s="385">
        <f t="shared" si="67"/>
        <v>35.700000000000003</v>
      </c>
      <c r="Z442" s="36">
        <f t="shared" si="73"/>
        <v>8.5339999999999999E-2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37.166666666666664</v>
      </c>
      <c r="BN442" s="64">
        <f t="shared" si="70"/>
        <v>37.910000000000004</v>
      </c>
      <c r="BO442" s="64">
        <f t="shared" si="71"/>
        <v>7.1225071225071226E-2</v>
      </c>
      <c r="BP442" s="64">
        <f t="shared" si="72"/>
        <v>7.2649572649572655E-2</v>
      </c>
    </row>
    <row r="443" spans="1:68" ht="27" customHeight="1" x14ac:dyDescent="0.25">
      <c r="A443" s="54" t="s">
        <v>594</v>
      </c>
      <c r="B443" s="54" t="s">
        <v>595</v>
      </c>
      <c r="C443" s="31">
        <v>4301031337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5" t="s">
        <v>596</v>
      </c>
      <c r="Q443" s="393"/>
      <c r="R443" s="393"/>
      <c r="S443" s="393"/>
      <c r="T443" s="394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594</v>
      </c>
      <c r="B444" s="54" t="s">
        <v>597</v>
      </c>
      <c r="C444" s="31">
        <v>4301031258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3"/>
      <c r="R444" s="393"/>
      <c r="S444" s="393"/>
      <c r="T444" s="394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598</v>
      </c>
      <c r="B445" s="54" t="s">
        <v>599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8" t="s">
        <v>600</v>
      </c>
      <c r="Q445" s="393"/>
      <c r="R445" s="393"/>
      <c r="S445" s="393"/>
      <c r="T445" s="394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601</v>
      </c>
      <c r="B446" s="54" t="s">
        <v>602</v>
      </c>
      <c r="C446" s="31">
        <v>4301031333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3"/>
      <c r="R446" s="393"/>
      <c r="S446" s="393"/>
      <c r="T446" s="394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601</v>
      </c>
      <c r="B447" s="54" t="s">
        <v>604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8" t="s">
        <v>603</v>
      </c>
      <c r="Q447" s="393"/>
      <c r="R447" s="393"/>
      <c r="S447" s="393"/>
      <c r="T447" s="394"/>
      <c r="U447" s="34"/>
      <c r="V447" s="34"/>
      <c r="W447" s="35" t="s">
        <v>69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601</v>
      </c>
      <c r="B448" s="54" t="s">
        <v>605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69</v>
      </c>
      <c r="X448" s="384">
        <v>105</v>
      </c>
      <c r="Y448" s="385">
        <f t="shared" si="67"/>
        <v>105</v>
      </c>
      <c r="Z448" s="36">
        <f t="shared" si="73"/>
        <v>0.251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111.5</v>
      </c>
      <c r="BN448" s="64">
        <f t="shared" si="70"/>
        <v>111.5</v>
      </c>
      <c r="BO448" s="64">
        <f t="shared" si="71"/>
        <v>0.21367521367521369</v>
      </c>
      <c r="BP448" s="64">
        <f t="shared" si="72"/>
        <v>0.21367521367521369</v>
      </c>
    </row>
    <row r="449" spans="1:68" ht="27" customHeight="1" x14ac:dyDescent="0.25">
      <c r="A449" s="54" t="s">
        <v>606</v>
      </c>
      <c r="B449" s="54" t="s">
        <v>607</v>
      </c>
      <c r="C449" s="31">
        <v>4301031338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608</v>
      </c>
      <c r="Q449" s="393"/>
      <c r="R449" s="393"/>
      <c r="S449" s="393"/>
      <c r="T449" s="394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606</v>
      </c>
      <c r="B450" s="54" t="s">
        <v>609</v>
      </c>
      <c r="C450" s="31">
        <v>4301031255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3"/>
      <c r="R450" s="393"/>
      <c r="S450" s="393"/>
      <c r="T450" s="394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70</v>
      </c>
      <c r="Q451" s="401"/>
      <c r="R451" s="401"/>
      <c r="S451" s="401"/>
      <c r="T451" s="401"/>
      <c r="U451" s="401"/>
      <c r="V451" s="402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161.9047619047619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163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1.0165500000000001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70</v>
      </c>
      <c r="Q452" s="401"/>
      <c r="R452" s="401"/>
      <c r="S452" s="401"/>
      <c r="T452" s="401"/>
      <c r="U452" s="401"/>
      <c r="V452" s="402"/>
      <c r="W452" s="37" t="s">
        <v>69</v>
      </c>
      <c r="X452" s="386">
        <f>IFERROR(SUM(X427:X450),"0")</f>
        <v>379</v>
      </c>
      <c r="Y452" s="386">
        <f>IFERROR(SUM(Y427:Y450),"0")</f>
        <v>382.2</v>
      </c>
      <c r="Z452" s="37"/>
      <c r="AA452" s="387"/>
      <c r="AB452" s="387"/>
      <c r="AC452" s="387"/>
    </row>
    <row r="453" spans="1:68" ht="14.25" customHeight="1" x14ac:dyDescent="0.25">
      <c r="A453" s="403" t="s">
        <v>72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77"/>
      <c r="AB453" s="377"/>
      <c r="AC453" s="377"/>
    </row>
    <row r="454" spans="1:68" ht="27" customHeight="1" x14ac:dyDescent="0.25">
      <c r="A454" s="54" t="s">
        <v>610</v>
      </c>
      <c r="B454" s="54" t="s">
        <v>611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612</v>
      </c>
      <c r="B455" s="54" t="s">
        <v>613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70</v>
      </c>
      <c r="Q456" s="401"/>
      <c r="R456" s="401"/>
      <c r="S456" s="401"/>
      <c r="T456" s="401"/>
      <c r="U456" s="401"/>
      <c r="V456" s="402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70</v>
      </c>
      <c r="Q457" s="401"/>
      <c r="R457" s="401"/>
      <c r="S457" s="401"/>
      <c r="T457" s="401"/>
      <c r="U457" s="401"/>
      <c r="V457" s="402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3" t="s">
        <v>91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69</v>
      </c>
      <c r="X459" s="384">
        <v>15</v>
      </c>
      <c r="Y459" s="385">
        <f>IFERROR(IF(X459="",0,CEILING((X459/$H459),1)*$H459),"")</f>
        <v>15.6</v>
      </c>
      <c r="Z459" s="36">
        <f>IFERROR(IF(Y459=0,"",ROUNDUP(Y459/H459,0)*0.00627),"")</f>
        <v>8.1509999999999999E-2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22.5</v>
      </c>
      <c r="BN459" s="64">
        <f>IFERROR(Y459*I459/H459,"0")</f>
        <v>23.4</v>
      </c>
      <c r="BO459" s="64">
        <f>IFERROR(1/J459*(X459/H459),"0")</f>
        <v>6.25E-2</v>
      </c>
      <c r="BP459" s="64">
        <f>IFERROR(1/J459*(Y459/H459),"0")</f>
        <v>6.5000000000000002E-2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69</v>
      </c>
      <c r="X460" s="384">
        <v>6</v>
      </c>
      <c r="Y460" s="385">
        <f>IFERROR(IF(X460="",0,CEILING((X460/$H460),1)*$H460),"")</f>
        <v>6</v>
      </c>
      <c r="Z460" s="36">
        <f>IFERROR(IF(Y460=0,"",ROUNDUP(Y460/H460,0)*0.00627),"")</f>
        <v>3.1350000000000003E-2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9.0000000000000018</v>
      </c>
      <c r="BN460" s="64">
        <f>IFERROR(Y460*I460/H460,"0")</f>
        <v>9.0000000000000018</v>
      </c>
      <c r="BO460" s="64">
        <f>IFERROR(1/J460*(X460/H460),"0")</f>
        <v>2.5000000000000001E-2</v>
      </c>
      <c r="BP460" s="64">
        <f>IFERROR(1/J460*(Y460/H460),"0")</f>
        <v>2.5000000000000001E-2</v>
      </c>
    </row>
    <row r="461" spans="1:68" ht="27" customHeight="1" x14ac:dyDescent="0.25">
      <c r="A461" s="54" t="s">
        <v>620</v>
      </c>
      <c r="B461" s="54" t="s">
        <v>621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69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70</v>
      </c>
      <c r="Q462" s="401"/>
      <c r="R462" s="401"/>
      <c r="S462" s="401"/>
      <c r="T462" s="401"/>
      <c r="U462" s="401"/>
      <c r="V462" s="402"/>
      <c r="W462" s="37" t="s">
        <v>71</v>
      </c>
      <c r="X462" s="386">
        <f>IFERROR(X459/H459,"0")+IFERROR(X460/H460,"0")+IFERROR(X461/H461,"0")</f>
        <v>17.5</v>
      </c>
      <c r="Y462" s="386">
        <f>IFERROR(Y459/H459,"0")+IFERROR(Y460/H460,"0")+IFERROR(Y461/H461,"0")</f>
        <v>18</v>
      </c>
      <c r="Z462" s="386">
        <f>IFERROR(IF(Z459="",0,Z459),"0")+IFERROR(IF(Z460="",0,Z460),"0")+IFERROR(IF(Z461="",0,Z461),"0")</f>
        <v>0.11286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70</v>
      </c>
      <c r="Q463" s="401"/>
      <c r="R463" s="401"/>
      <c r="S463" s="401"/>
      <c r="T463" s="401"/>
      <c r="U463" s="401"/>
      <c r="V463" s="402"/>
      <c r="W463" s="37" t="s">
        <v>69</v>
      </c>
      <c r="X463" s="386">
        <f>IFERROR(SUM(X459:X461),"0")</f>
        <v>21</v>
      </c>
      <c r="Y463" s="386">
        <f>IFERROR(SUM(Y459:Y461),"0")</f>
        <v>21.6</v>
      </c>
      <c r="Z463" s="37"/>
      <c r="AA463" s="387"/>
      <c r="AB463" s="387"/>
      <c r="AC463" s="387"/>
    </row>
    <row r="464" spans="1:68" ht="16.5" customHeight="1" x14ac:dyDescent="0.25">
      <c r="A464" s="390" t="s">
        <v>622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8"/>
      <c r="AB464" s="378"/>
      <c r="AC464" s="378"/>
    </row>
    <row r="465" spans="1:68" ht="14.25" customHeight="1" x14ac:dyDescent="0.25">
      <c r="A465" s="403" t="s">
        <v>141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77"/>
      <c r="AB465" s="377"/>
      <c r="AC465" s="377"/>
    </row>
    <row r="466" spans="1:68" ht="27" customHeight="1" x14ac:dyDescent="0.25">
      <c r="A466" s="54" t="s">
        <v>623</v>
      </c>
      <c r="B466" s="54" t="s">
        <v>624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2" t="s">
        <v>625</v>
      </c>
      <c r="Q466" s="393"/>
      <c r="R466" s="393"/>
      <c r="S466" s="393"/>
      <c r="T466" s="394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3" t="s">
        <v>64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705" t="s">
        <v>628</v>
      </c>
      <c r="Q470" s="393"/>
      <c r="R470" s="393"/>
      <c r="S470" s="393"/>
      <c r="T470" s="394"/>
      <c r="U470" s="34"/>
      <c r="V470" s="34"/>
      <c r="W470" s="35" t="s">
        <v>69</v>
      </c>
      <c r="X470" s="384">
        <v>60</v>
      </c>
      <c r="Y470" s="385">
        <f t="shared" ref="Y470:Y476" si="74">IFERROR(IF(X470="",0,CEILING((X470/$H470),1)*$H470),"")</f>
        <v>63</v>
      </c>
      <c r="Z470" s="36">
        <f>IFERROR(IF(Y470=0,"",ROUNDUP(Y470/H470,0)*0.00753),"")</f>
        <v>0.11295000000000001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63.28571428571427</v>
      </c>
      <c r="BN470" s="64">
        <f t="shared" ref="BN470:BN476" si="76">IFERROR(Y470*I470/H470,"0")</f>
        <v>66.449999999999989</v>
      </c>
      <c r="BO470" s="64">
        <f t="shared" ref="BO470:BO476" si="77">IFERROR(1/J470*(X470/H470),"0")</f>
        <v>9.1575091575091569E-2</v>
      </c>
      <c r="BP470" s="64">
        <f t="shared" ref="BP470:BP476" si="78">IFERROR(1/J470*(Y470/H470),"0")</f>
        <v>9.6153846153846145E-2</v>
      </c>
    </row>
    <row r="471" spans="1:68" ht="27" customHeight="1" x14ac:dyDescent="0.25">
      <c r="A471" s="54" t="s">
        <v>626</v>
      </c>
      <c r="B471" s="54" t="s">
        <v>629</v>
      </c>
      <c r="C471" s="31">
        <v>4301031212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3"/>
      <c r="R471" s="393"/>
      <c r="S471" s="393"/>
      <c r="T471" s="394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630</v>
      </c>
      <c r="B472" s="54" t="s">
        <v>631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4" t="s">
        <v>632</v>
      </c>
      <c r="Q472" s="393"/>
      <c r="R472" s="393"/>
      <c r="S472" s="393"/>
      <c r="T472" s="394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633</v>
      </c>
      <c r="B473" s="54" t="s">
        <v>634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4" t="s">
        <v>635</v>
      </c>
      <c r="Q473" s="393"/>
      <c r="R473" s="393"/>
      <c r="S473" s="393"/>
      <c r="T473" s="394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633</v>
      </c>
      <c r="B474" s="54" t="s">
        <v>636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8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637</v>
      </c>
      <c r="B475" s="54" t="s">
        <v>638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2" t="s">
        <v>639</v>
      </c>
      <c r="Q475" s="393"/>
      <c r="R475" s="393"/>
      <c r="S475" s="393"/>
      <c r="T475" s="394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637</v>
      </c>
      <c r="B476" s="54" t="s">
        <v>640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69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70</v>
      </c>
      <c r="Q477" s="401"/>
      <c r="R477" s="401"/>
      <c r="S477" s="401"/>
      <c r="T477" s="401"/>
      <c r="U477" s="401"/>
      <c r="V477" s="402"/>
      <c r="W477" s="37" t="s">
        <v>71</v>
      </c>
      <c r="X477" s="386">
        <f>IFERROR(X470/H470,"0")+IFERROR(X471/H471,"0")+IFERROR(X472/H472,"0")+IFERROR(X473/H473,"0")+IFERROR(X474/H474,"0")+IFERROR(X475/H475,"0")+IFERROR(X476/H476,"0")</f>
        <v>14.285714285714285</v>
      </c>
      <c r="Y477" s="386">
        <f>IFERROR(Y470/H470,"0")+IFERROR(Y471/H471,"0")+IFERROR(Y472/H472,"0")+IFERROR(Y473/H473,"0")+IFERROR(Y474/H474,"0")+IFERROR(Y475/H475,"0")+IFERROR(Y476/H476,"0")</f>
        <v>15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0.11295000000000001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70</v>
      </c>
      <c r="Q478" s="401"/>
      <c r="R478" s="401"/>
      <c r="S478" s="401"/>
      <c r="T478" s="401"/>
      <c r="U478" s="401"/>
      <c r="V478" s="402"/>
      <c r="W478" s="37" t="s">
        <v>69</v>
      </c>
      <c r="X478" s="386">
        <f>IFERROR(SUM(X470:X476),"0")</f>
        <v>60</v>
      </c>
      <c r="Y478" s="386">
        <f>IFERROR(SUM(Y470:Y476),"0")</f>
        <v>63</v>
      </c>
      <c r="Z478" s="37"/>
      <c r="AA478" s="387"/>
      <c r="AB478" s="387"/>
      <c r="AC478" s="387"/>
    </row>
    <row r="479" spans="1:68" ht="14.25" customHeight="1" x14ac:dyDescent="0.25">
      <c r="A479" s="403" t="s">
        <v>91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69</v>
      </c>
      <c r="X480" s="384">
        <v>6</v>
      </c>
      <c r="Y480" s="385">
        <f>IFERROR(IF(X480="",0,CEILING((X480/$H480),1)*$H480),"")</f>
        <v>6</v>
      </c>
      <c r="Z480" s="36">
        <f>IFERROR(IF(Y480=0,"",ROUNDUP(Y480/H480,0)*0.00627),"")</f>
        <v>3.1350000000000003E-2</v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9.0000000000000018</v>
      </c>
      <c r="BN480" s="64">
        <f>IFERROR(Y480*I480/H480,"0")</f>
        <v>9.0000000000000018</v>
      </c>
      <c r="BO480" s="64">
        <f>IFERROR(1/J480*(X480/H480),"0")</f>
        <v>2.5000000000000001E-2</v>
      </c>
      <c r="BP480" s="64">
        <f>IFERROR(1/J480*(Y480/H480),"0")</f>
        <v>2.5000000000000001E-2</v>
      </c>
    </row>
    <row r="481" spans="1:68" ht="27" customHeight="1" x14ac:dyDescent="0.25">
      <c r="A481" s="54" t="s">
        <v>643</v>
      </c>
      <c r="B481" s="54" t="s">
        <v>644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70</v>
      </c>
      <c r="Q482" s="401"/>
      <c r="R482" s="401"/>
      <c r="S482" s="401"/>
      <c r="T482" s="401"/>
      <c r="U482" s="401"/>
      <c r="V482" s="402"/>
      <c r="W482" s="37" t="s">
        <v>71</v>
      </c>
      <c r="X482" s="386">
        <f>IFERROR(X480/H480,"0")+IFERROR(X481/H481,"0")</f>
        <v>5</v>
      </c>
      <c r="Y482" s="386">
        <f>IFERROR(Y480/H480,"0")+IFERROR(Y481/H481,"0")</f>
        <v>5</v>
      </c>
      <c r="Z482" s="386">
        <f>IFERROR(IF(Z480="",0,Z480),"0")+IFERROR(IF(Z481="",0,Z481),"0")</f>
        <v>3.1350000000000003E-2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70</v>
      </c>
      <c r="Q483" s="401"/>
      <c r="R483" s="401"/>
      <c r="S483" s="401"/>
      <c r="T483" s="401"/>
      <c r="U483" s="401"/>
      <c r="V483" s="402"/>
      <c r="W483" s="37" t="s">
        <v>69</v>
      </c>
      <c r="X483" s="386">
        <f>IFERROR(SUM(X480:X481),"0")</f>
        <v>6</v>
      </c>
      <c r="Y483" s="386">
        <f>IFERROR(SUM(Y480:Y481),"0")</f>
        <v>6</v>
      </c>
      <c r="Z483" s="37"/>
      <c r="AA483" s="387"/>
      <c r="AB483" s="387"/>
      <c r="AC483" s="387"/>
    </row>
    <row r="484" spans="1:68" ht="14.25" customHeight="1" x14ac:dyDescent="0.25">
      <c r="A484" s="403" t="s">
        <v>100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77"/>
      <c r="AB484" s="377"/>
      <c r="AC484" s="377"/>
    </row>
    <row r="485" spans="1:68" ht="27" customHeight="1" x14ac:dyDescent="0.25">
      <c r="A485" s="54" t="s">
        <v>645</v>
      </c>
      <c r="B485" s="54" t="s">
        <v>646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69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70</v>
      </c>
      <c r="Q486" s="401"/>
      <c r="R486" s="401"/>
      <c r="S486" s="401"/>
      <c r="T486" s="401"/>
      <c r="U486" s="401"/>
      <c r="V486" s="402"/>
      <c r="W486" s="37" t="s">
        <v>71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70</v>
      </c>
      <c r="Q487" s="401"/>
      <c r="R487" s="401"/>
      <c r="S487" s="401"/>
      <c r="T487" s="401"/>
      <c r="U487" s="401"/>
      <c r="V487" s="402"/>
      <c r="W487" s="37" t="s">
        <v>69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3" t="s">
        <v>647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77"/>
      <c r="AB488" s="377"/>
      <c r="AC488" s="377"/>
    </row>
    <row r="489" spans="1:68" ht="27" customHeight="1" x14ac:dyDescent="0.25">
      <c r="A489" s="54" t="s">
        <v>648</v>
      </c>
      <c r="B489" s="54" t="s">
        <v>649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69</v>
      </c>
      <c r="X489" s="384">
        <v>7.5</v>
      </c>
      <c r="Y489" s="385">
        <f>IFERROR(IF(X489="",0,CEILING((X489/$H489),1)*$H489),"")</f>
        <v>9</v>
      </c>
      <c r="Z489" s="36">
        <f>IFERROR(IF(Y489=0,"",ROUNDUP(Y489/H489,0)*0.00627),"")</f>
        <v>1.881E-2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9</v>
      </c>
      <c r="BN489" s="64">
        <f>IFERROR(Y489*I489/H489,"0")</f>
        <v>10.799999999999999</v>
      </c>
      <c r="BO489" s="64">
        <f>IFERROR(1/J489*(X489/H489),"0")</f>
        <v>1.2500000000000001E-2</v>
      </c>
      <c r="BP489" s="64">
        <f>IFERROR(1/J489*(Y489/H489),"0")</f>
        <v>1.4999999999999999E-2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70</v>
      </c>
      <c r="Q490" s="401"/>
      <c r="R490" s="401"/>
      <c r="S490" s="401"/>
      <c r="T490" s="401"/>
      <c r="U490" s="401"/>
      <c r="V490" s="402"/>
      <c r="W490" s="37" t="s">
        <v>71</v>
      </c>
      <c r="X490" s="386">
        <f>IFERROR(X489/H489,"0")</f>
        <v>2.5</v>
      </c>
      <c r="Y490" s="386">
        <f>IFERROR(Y489/H489,"0")</f>
        <v>3</v>
      </c>
      <c r="Z490" s="386">
        <f>IFERROR(IF(Z489="",0,Z489),"0")</f>
        <v>1.881E-2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70</v>
      </c>
      <c r="Q491" s="401"/>
      <c r="R491" s="401"/>
      <c r="S491" s="401"/>
      <c r="T491" s="401"/>
      <c r="U491" s="401"/>
      <c r="V491" s="402"/>
      <c r="W491" s="37" t="s">
        <v>69</v>
      </c>
      <c r="X491" s="386">
        <f>IFERROR(SUM(X489:X489),"0")</f>
        <v>7.5</v>
      </c>
      <c r="Y491" s="386">
        <f>IFERROR(SUM(Y489:Y489),"0")</f>
        <v>9</v>
      </c>
      <c r="Z491" s="37"/>
      <c r="AA491" s="387"/>
      <c r="AB491" s="387"/>
      <c r="AC491" s="387"/>
    </row>
    <row r="492" spans="1:68" ht="16.5" customHeight="1" x14ac:dyDescent="0.25">
      <c r="A492" s="390" t="s">
        <v>650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customHeight="1" x14ac:dyDescent="0.25">
      <c r="A493" s="403" t="s">
        <v>64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7"/>
      <c r="AB493" s="377"/>
      <c r="AC493" s="377"/>
    </row>
    <row r="494" spans="1:68" ht="27" customHeight="1" x14ac:dyDescent="0.25">
      <c r="A494" s="54" t="s">
        <v>651</v>
      </c>
      <c r="B494" s="54" t="s">
        <v>652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69</v>
      </c>
      <c r="X494" s="384">
        <v>8</v>
      </c>
      <c r="Y494" s="385">
        <f>IFERROR(IF(X494="",0,CEILING((X494/$H494),1)*$H494),"")</f>
        <v>8.4</v>
      </c>
      <c r="Z494" s="36">
        <f>IFERROR(IF(Y494=0,"",ROUNDUP(Y494/H494,0)*0.00502),"")</f>
        <v>3.5140000000000005E-2</v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9.1466666666666683</v>
      </c>
      <c r="BN494" s="64">
        <f>IFERROR(Y494*I494/H494,"0")</f>
        <v>9.604000000000001</v>
      </c>
      <c r="BO494" s="64">
        <f>IFERROR(1/J494*(X494/H494),"0")</f>
        <v>2.8490028490028494E-2</v>
      </c>
      <c r="BP494" s="64">
        <f>IFERROR(1/J494*(Y494/H494),"0")</f>
        <v>2.9914529914529923E-2</v>
      </c>
    </row>
    <row r="495" spans="1:68" ht="27" customHeight="1" x14ac:dyDescent="0.25">
      <c r="A495" s="54" t="s">
        <v>653</v>
      </c>
      <c r="B495" s="54" t="s">
        <v>654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69</v>
      </c>
      <c r="X495" s="384">
        <v>14</v>
      </c>
      <c r="Y495" s="385">
        <f>IFERROR(IF(X495="",0,CEILING((X495/$H495),1)*$H495),"")</f>
        <v>14.399999999999999</v>
      </c>
      <c r="Z495" s="36">
        <f>IFERROR(IF(Y495=0,"",ROUNDUP(Y495/H495,0)*0.00502),"")</f>
        <v>6.0240000000000002E-2</v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15.166666666666666</v>
      </c>
      <c r="BN495" s="64">
        <f>IFERROR(Y495*I495/H495,"0")</f>
        <v>15.6</v>
      </c>
      <c r="BO495" s="64">
        <f>IFERROR(1/J495*(X495/H495),"0")</f>
        <v>4.9857549857549865E-2</v>
      </c>
      <c r="BP495" s="64">
        <f>IFERROR(1/J495*(Y495/H495),"0")</f>
        <v>5.1282051282051287E-2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69</v>
      </c>
      <c r="X496" s="384">
        <v>28</v>
      </c>
      <c r="Y496" s="385">
        <f>IFERROR(IF(X496="",0,CEILING((X496/$H496),1)*$H496),"")</f>
        <v>28.799999999999997</v>
      </c>
      <c r="Z496" s="36">
        <f>IFERROR(IF(Y496=0,"",ROUNDUP(Y496/H496,0)*0.00502),"")</f>
        <v>0.12048</v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47.13333333333334</v>
      </c>
      <c r="BN496" s="64">
        <f>IFERROR(Y496*I496/H496,"0")</f>
        <v>48.48</v>
      </c>
      <c r="BO496" s="64">
        <f>IFERROR(1/J496*(X496/H496),"0")</f>
        <v>9.9715099715099731E-2</v>
      </c>
      <c r="BP496" s="64">
        <f>IFERROR(1/J496*(Y496/H496),"0")</f>
        <v>0.10256410256410257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6">
        <f>IFERROR(X494/H494,"0")+IFERROR(X495/H495,"0")+IFERROR(X496/H496,"0")</f>
        <v>41.666666666666671</v>
      </c>
      <c r="Y497" s="386">
        <f>IFERROR(Y494/H494,"0")+IFERROR(Y495/H495,"0")+IFERROR(Y496/H496,"0")</f>
        <v>43</v>
      </c>
      <c r="Z497" s="386">
        <f>IFERROR(IF(Z494="",0,Z494),"0")+IFERROR(IF(Z495="",0,Z495),"0")+IFERROR(IF(Z496="",0,Z496),"0")</f>
        <v>0.21586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6">
        <f>IFERROR(SUM(X494:X496),"0")</f>
        <v>50</v>
      </c>
      <c r="Y498" s="386">
        <f>IFERROR(SUM(Y494:Y496),"0")</f>
        <v>51.599999999999994</v>
      </c>
      <c r="Z498" s="37"/>
      <c r="AA498" s="387"/>
      <c r="AB498" s="387"/>
      <c r="AC498" s="387"/>
    </row>
    <row r="499" spans="1:68" ht="16.5" customHeight="1" x14ac:dyDescent="0.25">
      <c r="A499" s="390" t="s">
        <v>657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8"/>
      <c r="AB499" s="378"/>
      <c r="AC499" s="378"/>
    </row>
    <row r="500" spans="1:68" ht="14.25" customHeight="1" x14ac:dyDescent="0.25">
      <c r="A500" s="403" t="s">
        <v>64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77"/>
      <c r="AB500" s="377"/>
      <c r="AC500" s="377"/>
    </row>
    <row r="501" spans="1:68" ht="27" customHeight="1" x14ac:dyDescent="0.25">
      <c r="A501" s="54" t="s">
        <v>658</v>
      </c>
      <c r="B501" s="54" t="s">
        <v>659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5" t="s">
        <v>660</v>
      </c>
      <c r="Q501" s="393"/>
      <c r="R501" s="393"/>
      <c r="S501" s="393"/>
      <c r="T501" s="394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661</v>
      </c>
      <c r="B502" s="54" t="s">
        <v>662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69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70</v>
      </c>
      <c r="Q503" s="401"/>
      <c r="R503" s="401"/>
      <c r="S503" s="401"/>
      <c r="T503" s="401"/>
      <c r="U503" s="401"/>
      <c r="V503" s="402"/>
      <c r="W503" s="37" t="s">
        <v>71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70</v>
      </c>
      <c r="Q504" s="401"/>
      <c r="R504" s="401"/>
      <c r="S504" s="401"/>
      <c r="T504" s="401"/>
      <c r="U504" s="401"/>
      <c r="V504" s="402"/>
      <c r="W504" s="37" t="s">
        <v>69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3" t="s">
        <v>171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77"/>
      <c r="AB505" s="377"/>
      <c r="AC505" s="377"/>
    </row>
    <row r="506" spans="1:68" ht="27" customHeight="1" x14ac:dyDescent="0.25">
      <c r="A506" s="54" t="s">
        <v>663</v>
      </c>
      <c r="B506" s="54" t="s">
        <v>664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7" t="s">
        <v>665</v>
      </c>
      <c r="Q506" s="393"/>
      <c r="R506" s="393"/>
      <c r="S506" s="393"/>
      <c r="T506" s="394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70</v>
      </c>
      <c r="Q507" s="401"/>
      <c r="R507" s="401"/>
      <c r="S507" s="401"/>
      <c r="T507" s="401"/>
      <c r="U507" s="401"/>
      <c r="V507" s="402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70</v>
      </c>
      <c r="Q508" s="401"/>
      <c r="R508" s="401"/>
      <c r="S508" s="401"/>
      <c r="T508" s="401"/>
      <c r="U508" s="401"/>
      <c r="V508" s="402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1" t="s">
        <v>666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412"/>
      <c r="AA509" s="48"/>
      <c r="AB509" s="48"/>
      <c r="AC509" s="48"/>
    </row>
    <row r="510" spans="1:68" ht="16.5" customHeight="1" x14ac:dyDescent="0.25">
      <c r="A510" s="390" t="s">
        <v>666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8"/>
      <c r="AB510" s="378"/>
      <c r="AC510" s="378"/>
    </row>
    <row r="511" spans="1:68" ht="14.25" customHeight="1" x14ac:dyDescent="0.25">
      <c r="A511" s="403" t="s">
        <v>105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69</v>
      </c>
      <c r="X512" s="384">
        <v>100</v>
      </c>
      <c r="Y512" s="385">
        <f t="shared" ref="Y512:Y520" si="79">IFERROR(IF(X512="",0,CEILING((X512/$H512),1)*$H512),"")</f>
        <v>100.32000000000001</v>
      </c>
      <c r="Z512" s="36">
        <f t="shared" ref="Z512:Z517" si="80">IFERROR(IF(Y512=0,"",ROUNDUP(Y512/H512,0)*0.01196),"")</f>
        <v>0.22724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106.81818181818181</v>
      </c>
      <c r="BN512" s="64">
        <f t="shared" ref="BN512:BN520" si="82">IFERROR(Y512*I512/H512,"0")</f>
        <v>107.16</v>
      </c>
      <c r="BO512" s="64">
        <f t="shared" ref="BO512:BO520" si="83">IFERROR(1/J512*(X512/H512),"0")</f>
        <v>0.18210955710955709</v>
      </c>
      <c r="BP512" s="64">
        <f t="shared" ref="BP512:BP520" si="84">IFERROR(1/J512*(Y512/H512),"0")</f>
        <v>0.18269230769230771</v>
      </c>
    </row>
    <row r="513" spans="1:68" ht="27" customHeight="1" x14ac:dyDescent="0.25">
      <c r="A513" s="54" t="s">
        <v>669</v>
      </c>
      <c r="B513" s="54" t="s">
        <v>670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69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671</v>
      </c>
      <c r="B514" s="54" t="s">
        <v>672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6" t="s">
        <v>673</v>
      </c>
      <c r="Q514" s="393"/>
      <c r="R514" s="393"/>
      <c r="S514" s="393"/>
      <c r="T514" s="394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674</v>
      </c>
      <c r="B515" s="54" t="s">
        <v>675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69</v>
      </c>
      <c r="X516" s="384">
        <v>140</v>
      </c>
      <c r="Y516" s="385">
        <f t="shared" si="79"/>
        <v>142.56</v>
      </c>
      <c r="Z516" s="36">
        <f t="shared" si="80"/>
        <v>0.32291999999999998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149.54545454545453</v>
      </c>
      <c r="BN516" s="64">
        <f t="shared" si="82"/>
        <v>152.27999999999997</v>
      </c>
      <c r="BO516" s="64">
        <f t="shared" si="83"/>
        <v>0.25495337995337997</v>
      </c>
      <c r="BP516" s="64">
        <f t="shared" si="84"/>
        <v>0.25961538461538464</v>
      </c>
    </row>
    <row r="517" spans="1:68" ht="16.5" customHeight="1" x14ac:dyDescent="0.25">
      <c r="A517" s="54" t="s">
        <v>678</v>
      </c>
      <c r="B517" s="54" t="s">
        <v>679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680</v>
      </c>
      <c r="B518" s="54" t="s">
        <v>681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69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682</v>
      </c>
      <c r="B519" s="54" t="s">
        <v>683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69</v>
      </c>
      <c r="X520" s="384">
        <v>180</v>
      </c>
      <c r="Y520" s="385">
        <f t="shared" si="79"/>
        <v>180</v>
      </c>
      <c r="Z520" s="36">
        <f>IFERROR(IF(Y520=0,"",ROUNDUP(Y520/H520,0)*0.00937),"")</f>
        <v>0.46849999999999997</v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191.99999999999997</v>
      </c>
      <c r="BN520" s="64">
        <f t="shared" si="82"/>
        <v>191.99999999999997</v>
      </c>
      <c r="BO520" s="64">
        <f t="shared" si="83"/>
        <v>0.41666666666666669</v>
      </c>
      <c r="BP520" s="64">
        <f t="shared" si="84"/>
        <v>0.41666666666666669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70</v>
      </c>
      <c r="Q521" s="401"/>
      <c r="R521" s="401"/>
      <c r="S521" s="401"/>
      <c r="T521" s="401"/>
      <c r="U521" s="401"/>
      <c r="V521" s="402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95.454545454545453</v>
      </c>
      <c r="Y521" s="386">
        <f>IFERROR(Y512/H512,"0")+IFERROR(Y513/H513,"0")+IFERROR(Y514/H514,"0")+IFERROR(Y515/H515,"0")+IFERROR(Y516/H516,"0")+IFERROR(Y517/H517,"0")+IFERROR(Y518/H518,"0")+IFERROR(Y519/H519,"0")+IFERROR(Y520/H520,"0")</f>
        <v>96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1.0186599999999999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70</v>
      </c>
      <c r="Q522" s="401"/>
      <c r="R522" s="401"/>
      <c r="S522" s="401"/>
      <c r="T522" s="401"/>
      <c r="U522" s="401"/>
      <c r="V522" s="402"/>
      <c r="W522" s="37" t="s">
        <v>69</v>
      </c>
      <c r="X522" s="386">
        <f>IFERROR(SUM(X512:X520),"0")</f>
        <v>420</v>
      </c>
      <c r="Y522" s="386">
        <f>IFERROR(SUM(Y512:Y520),"0")</f>
        <v>422.88</v>
      </c>
      <c r="Z522" s="37"/>
      <c r="AA522" s="387"/>
      <c r="AB522" s="387"/>
      <c r="AC522" s="387"/>
    </row>
    <row r="523" spans="1:68" ht="14.25" customHeight="1" x14ac:dyDescent="0.25">
      <c r="A523" s="403" t="s">
        <v>141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69</v>
      </c>
      <c r="X524" s="384">
        <v>50</v>
      </c>
      <c r="Y524" s="385">
        <f>IFERROR(IF(X524="",0,CEILING((X524/$H524),1)*$H524),"")</f>
        <v>52.800000000000004</v>
      </c>
      <c r="Z524" s="36">
        <f>IFERROR(IF(Y524=0,"",ROUNDUP(Y524/H524,0)*0.01196),"")</f>
        <v>0.1196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53.409090909090907</v>
      </c>
      <c r="BN524" s="64">
        <f>IFERROR(Y524*I524/H524,"0")</f>
        <v>56.400000000000006</v>
      </c>
      <c r="BO524" s="64">
        <f>IFERROR(1/J524*(X524/H524),"0")</f>
        <v>9.1054778554778545E-2</v>
      </c>
      <c r="BP524" s="64">
        <f>IFERROR(1/J524*(Y524/H524),"0")</f>
        <v>9.6153846153846159E-2</v>
      </c>
    </row>
    <row r="525" spans="1:68" ht="16.5" customHeight="1" x14ac:dyDescent="0.25">
      <c r="A525" s="54" t="s">
        <v>688</v>
      </c>
      <c r="B525" s="54" t="s">
        <v>689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70</v>
      </c>
      <c r="Q526" s="401"/>
      <c r="R526" s="401"/>
      <c r="S526" s="401"/>
      <c r="T526" s="401"/>
      <c r="U526" s="401"/>
      <c r="V526" s="402"/>
      <c r="W526" s="37" t="s">
        <v>71</v>
      </c>
      <c r="X526" s="386">
        <f>IFERROR(X524/H524,"0")+IFERROR(X525/H525,"0")</f>
        <v>9.4696969696969688</v>
      </c>
      <c r="Y526" s="386">
        <f>IFERROR(Y524/H524,"0")+IFERROR(Y525/H525,"0")</f>
        <v>10</v>
      </c>
      <c r="Z526" s="386">
        <f>IFERROR(IF(Z524="",0,Z524),"0")+IFERROR(IF(Z525="",0,Z525),"0")</f>
        <v>0.1196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70</v>
      </c>
      <c r="Q527" s="401"/>
      <c r="R527" s="401"/>
      <c r="S527" s="401"/>
      <c r="T527" s="401"/>
      <c r="U527" s="401"/>
      <c r="V527" s="402"/>
      <c r="W527" s="37" t="s">
        <v>69</v>
      </c>
      <c r="X527" s="386">
        <f>IFERROR(SUM(X524:X525),"0")</f>
        <v>50</v>
      </c>
      <c r="Y527" s="386">
        <f>IFERROR(SUM(Y524:Y525),"0")</f>
        <v>52.800000000000004</v>
      </c>
      <c r="Z527" s="37"/>
      <c r="AA527" s="387"/>
      <c r="AB527" s="387"/>
      <c r="AC527" s="387"/>
    </row>
    <row r="528" spans="1:68" ht="14.25" customHeight="1" x14ac:dyDescent="0.25">
      <c r="A528" s="403" t="s">
        <v>64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69</v>
      </c>
      <c r="X529" s="384">
        <v>90</v>
      </c>
      <c r="Y529" s="385">
        <f t="shared" ref="Y529:Y534" si="85">IFERROR(IF(X529="",0,CEILING((X529/$H529),1)*$H529),"")</f>
        <v>95.04</v>
      </c>
      <c r="Z529" s="36">
        <f>IFERROR(IF(Y529=0,"",ROUNDUP(Y529/H529,0)*0.01196),"")</f>
        <v>0.21528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96.136363636363626</v>
      </c>
      <c r="BN529" s="64">
        <f t="shared" ref="BN529:BN534" si="87">IFERROR(Y529*I529/H529,"0")</f>
        <v>101.52000000000001</v>
      </c>
      <c r="BO529" s="64">
        <f t="shared" ref="BO529:BO534" si="88">IFERROR(1/J529*(X529/H529),"0")</f>
        <v>0.16389860139860138</v>
      </c>
      <c r="BP529" s="64">
        <f t="shared" ref="BP529:BP534" si="89">IFERROR(1/J529*(Y529/H529),"0")</f>
        <v>0.17307692307692307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69</v>
      </c>
      <c r="X530" s="384">
        <v>70</v>
      </c>
      <c r="Y530" s="385">
        <f t="shared" si="85"/>
        <v>73.92</v>
      </c>
      <c r="Z530" s="36">
        <f>IFERROR(IF(Y530=0,"",ROUNDUP(Y530/H530,0)*0.01196),"")</f>
        <v>0.16744000000000001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74.772727272727266</v>
      </c>
      <c r="BN530" s="64">
        <f t="shared" si="87"/>
        <v>78.959999999999994</v>
      </c>
      <c r="BO530" s="64">
        <f t="shared" si="88"/>
        <v>0.12747668997668998</v>
      </c>
      <c r="BP530" s="64">
        <f t="shared" si="89"/>
        <v>0.13461538461538464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69</v>
      </c>
      <c r="X531" s="384">
        <v>160</v>
      </c>
      <c r="Y531" s="385">
        <f t="shared" si="85"/>
        <v>163.68</v>
      </c>
      <c r="Z531" s="36">
        <f>IFERROR(IF(Y531=0,"",ROUNDUP(Y531/H531,0)*0.01196),"")</f>
        <v>0.37075999999999998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170.90909090909091</v>
      </c>
      <c r="BN531" s="64">
        <f t="shared" si="87"/>
        <v>174.84</v>
      </c>
      <c r="BO531" s="64">
        <f t="shared" si="88"/>
        <v>0.29137529137529139</v>
      </c>
      <c r="BP531" s="64">
        <f t="shared" si="89"/>
        <v>0.29807692307692307</v>
      </c>
    </row>
    <row r="532" spans="1:68" ht="27" customHeight="1" x14ac:dyDescent="0.25">
      <c r="A532" s="54" t="s">
        <v>696</v>
      </c>
      <c r="B532" s="54" t="s">
        <v>697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69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698</v>
      </c>
      <c r="B533" s="54" t="s">
        <v>699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69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700</v>
      </c>
      <c r="B534" s="54" t="s">
        <v>701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69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6">
        <f>IFERROR(X529/H529,"0")+IFERROR(X530/H530,"0")+IFERROR(X531/H531,"0")+IFERROR(X532/H532,"0")+IFERROR(X533/H533,"0")+IFERROR(X534/H534,"0")</f>
        <v>60.606060606060602</v>
      </c>
      <c r="Y535" s="386">
        <f>IFERROR(Y529/H529,"0")+IFERROR(Y530/H530,"0")+IFERROR(Y531/H531,"0")+IFERROR(Y532/H532,"0")+IFERROR(Y533/H533,"0")+IFERROR(Y534/H534,"0")</f>
        <v>63</v>
      </c>
      <c r="Z535" s="386">
        <f>IFERROR(IF(Z529="",0,Z529),"0")+IFERROR(IF(Z530="",0,Z530),"0")+IFERROR(IF(Z531="",0,Z531),"0")+IFERROR(IF(Z532="",0,Z532),"0")+IFERROR(IF(Z533="",0,Z533),"0")+IFERROR(IF(Z534="",0,Z534),"0")</f>
        <v>0.75347999999999993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6">
        <f>IFERROR(SUM(X529:X534),"0")</f>
        <v>320</v>
      </c>
      <c r="Y536" s="386">
        <f>IFERROR(SUM(Y529:Y534),"0")</f>
        <v>332.64</v>
      </c>
      <c r="Z536" s="37"/>
      <c r="AA536" s="387"/>
      <c r="AB536" s="387"/>
      <c r="AC536" s="387"/>
    </row>
    <row r="537" spans="1:68" ht="14.25" customHeight="1" x14ac:dyDescent="0.25">
      <c r="A537" s="403" t="s">
        <v>72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77"/>
      <c r="AB537" s="377"/>
      <c r="AC537" s="377"/>
    </row>
    <row r="538" spans="1:68" ht="16.5" customHeight="1" x14ac:dyDescent="0.25">
      <c r="A538" s="54" t="s">
        <v>702</v>
      </c>
      <c r="B538" s="54" t="s">
        <v>703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704</v>
      </c>
      <c r="B539" s="54" t="s">
        <v>705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706</v>
      </c>
      <c r="B540" s="54" t="s">
        <v>707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70</v>
      </c>
      <c r="Q541" s="401"/>
      <c r="R541" s="401"/>
      <c r="S541" s="401"/>
      <c r="T541" s="401"/>
      <c r="U541" s="401"/>
      <c r="V541" s="402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70</v>
      </c>
      <c r="Q542" s="401"/>
      <c r="R542" s="401"/>
      <c r="S542" s="401"/>
      <c r="T542" s="401"/>
      <c r="U542" s="401"/>
      <c r="V542" s="402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3" t="s">
        <v>171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77"/>
      <c r="AB543" s="377"/>
      <c r="AC543" s="377"/>
    </row>
    <row r="544" spans="1:68" ht="16.5" customHeight="1" x14ac:dyDescent="0.25">
      <c r="A544" s="54" t="s">
        <v>708</v>
      </c>
      <c r="B544" s="54" t="s">
        <v>709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70</v>
      </c>
      <c r="Q545" s="401"/>
      <c r="R545" s="401"/>
      <c r="S545" s="401"/>
      <c r="T545" s="401"/>
      <c r="U545" s="401"/>
      <c r="V545" s="402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70</v>
      </c>
      <c r="Q546" s="401"/>
      <c r="R546" s="401"/>
      <c r="S546" s="401"/>
      <c r="T546" s="401"/>
      <c r="U546" s="401"/>
      <c r="V546" s="402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1" t="s">
        <v>710</v>
      </c>
      <c r="B547" s="412"/>
      <c r="C547" s="412"/>
      <c r="D547" s="412"/>
      <c r="E547" s="412"/>
      <c r="F547" s="412"/>
      <c r="G547" s="412"/>
      <c r="H547" s="412"/>
      <c r="I547" s="412"/>
      <c r="J547" s="412"/>
      <c r="K547" s="412"/>
      <c r="L547" s="412"/>
      <c r="M547" s="412"/>
      <c r="N547" s="412"/>
      <c r="O547" s="412"/>
      <c r="P547" s="412"/>
      <c r="Q547" s="412"/>
      <c r="R547" s="412"/>
      <c r="S547" s="412"/>
      <c r="T547" s="412"/>
      <c r="U547" s="412"/>
      <c r="V547" s="412"/>
      <c r="W547" s="412"/>
      <c r="X547" s="412"/>
      <c r="Y547" s="412"/>
      <c r="Z547" s="412"/>
      <c r="AA547" s="48"/>
      <c r="AB547" s="48"/>
      <c r="AC547" s="48"/>
    </row>
    <row r="548" spans="1:68" ht="16.5" customHeight="1" x14ac:dyDescent="0.25">
      <c r="A548" s="390" t="s">
        <v>710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8"/>
      <c r="AB548" s="378"/>
      <c r="AC548" s="378"/>
    </row>
    <row r="549" spans="1:68" ht="14.25" customHeight="1" x14ac:dyDescent="0.25">
      <c r="A549" s="403" t="s">
        <v>105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77"/>
      <c r="AB549" s="377"/>
      <c r="AC549" s="377"/>
    </row>
    <row r="550" spans="1:68" ht="27" customHeight="1" x14ac:dyDescent="0.25">
      <c r="A550" s="54" t="s">
        <v>711</v>
      </c>
      <c r="B550" s="54" t="s">
        <v>712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2" t="s">
        <v>713</v>
      </c>
      <c r="Q550" s="393"/>
      <c r="R550" s="393"/>
      <c r="S550" s="393"/>
      <c r="T550" s="394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714</v>
      </c>
      <c r="B551" s="54" t="s">
        <v>715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6" t="s">
        <v>716</v>
      </c>
      <c r="Q551" s="393"/>
      <c r="R551" s="393"/>
      <c r="S551" s="393"/>
      <c r="T551" s="394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717</v>
      </c>
      <c r="B552" s="54" t="s">
        <v>718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46" t="s">
        <v>719</v>
      </c>
      <c r="Q552" s="393"/>
      <c r="R552" s="393"/>
      <c r="S552" s="393"/>
      <c r="T552" s="394"/>
      <c r="U552" s="34"/>
      <c r="V552" s="34"/>
      <c r="W552" s="35" t="s">
        <v>69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720</v>
      </c>
      <c r="B553" s="54" t="s">
        <v>721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78" t="s">
        <v>722</v>
      </c>
      <c r="Q553" s="393"/>
      <c r="R553" s="393"/>
      <c r="S553" s="393"/>
      <c r="T553" s="394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723</v>
      </c>
      <c r="B554" s="54" t="s">
        <v>724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58" t="s">
        <v>725</v>
      </c>
      <c r="Q554" s="393"/>
      <c r="R554" s="393"/>
      <c r="S554" s="393"/>
      <c r="T554" s="394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726</v>
      </c>
      <c r="B555" s="54" t="s">
        <v>727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92" t="s">
        <v>728</v>
      </c>
      <c r="Q555" s="393"/>
      <c r="R555" s="393"/>
      <c r="S555" s="393"/>
      <c r="T555" s="394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729</v>
      </c>
      <c r="B556" s="54" t="s">
        <v>730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3"/>
      <c r="R556" s="393"/>
      <c r="S556" s="393"/>
      <c r="T556" s="394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70</v>
      </c>
      <c r="Q557" s="401"/>
      <c r="R557" s="401"/>
      <c r="S557" s="401"/>
      <c r="T557" s="401"/>
      <c r="U557" s="401"/>
      <c r="V557" s="402"/>
      <c r="W557" s="37" t="s">
        <v>71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70</v>
      </c>
      <c r="Q558" s="401"/>
      <c r="R558" s="401"/>
      <c r="S558" s="401"/>
      <c r="T558" s="401"/>
      <c r="U558" s="401"/>
      <c r="V558" s="402"/>
      <c r="W558" s="37" t="s">
        <v>69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3" t="s">
        <v>141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77"/>
      <c r="AB559" s="377"/>
      <c r="AC559" s="377"/>
    </row>
    <row r="560" spans="1:68" ht="27" customHeight="1" x14ac:dyDescent="0.25">
      <c r="A560" s="54" t="s">
        <v>732</v>
      </c>
      <c r="B560" s="54" t="s">
        <v>733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2" t="s">
        <v>734</v>
      </c>
      <c r="Q560" s="393"/>
      <c r="R560" s="393"/>
      <c r="S560" s="393"/>
      <c r="T560" s="394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735</v>
      </c>
      <c r="B561" s="54" t="s">
        <v>736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4" t="s">
        <v>737</v>
      </c>
      <c r="Q561" s="393"/>
      <c r="R561" s="393"/>
      <c r="S561" s="393"/>
      <c r="T561" s="394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738</v>
      </c>
      <c r="B562" s="54" t="s">
        <v>739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4" t="s">
        <v>740</v>
      </c>
      <c r="Q562" s="393"/>
      <c r="R562" s="393"/>
      <c r="S562" s="393"/>
      <c r="T562" s="394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741</v>
      </c>
      <c r="B563" s="54" t="s">
        <v>742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61" t="s">
        <v>743</v>
      </c>
      <c r="Q563" s="393"/>
      <c r="R563" s="393"/>
      <c r="S563" s="393"/>
      <c r="T563" s="394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3" t="s">
        <v>64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77"/>
      <c r="AB566" s="377"/>
      <c r="AC566" s="377"/>
    </row>
    <row r="567" spans="1:68" ht="27" customHeight="1" x14ac:dyDescent="0.25">
      <c r="A567" s="54" t="s">
        <v>744</v>
      </c>
      <c r="B567" s="54" t="s">
        <v>745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68" t="s">
        <v>746</v>
      </c>
      <c r="Q567" s="393"/>
      <c r="R567" s="393"/>
      <c r="S567" s="393"/>
      <c r="T567" s="394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747</v>
      </c>
      <c r="B568" s="54" t="s">
        <v>748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54" t="s">
        <v>749</v>
      </c>
      <c r="Q568" s="393"/>
      <c r="R568" s="393"/>
      <c r="S568" s="393"/>
      <c r="T568" s="394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750</v>
      </c>
      <c r="B569" s="54" t="s">
        <v>751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79" t="s">
        <v>752</v>
      </c>
      <c r="Q569" s="393"/>
      <c r="R569" s="393"/>
      <c r="S569" s="393"/>
      <c r="T569" s="394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753</v>
      </c>
      <c r="B570" s="54" t="s">
        <v>754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54" t="s">
        <v>755</v>
      </c>
      <c r="Q570" s="393"/>
      <c r="R570" s="393"/>
      <c r="S570" s="393"/>
      <c r="T570" s="394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756</v>
      </c>
      <c r="B571" s="54" t="s">
        <v>757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3"/>
      <c r="R571" s="393"/>
      <c r="S571" s="393"/>
      <c r="T571" s="394"/>
      <c r="U571" s="34"/>
      <c r="V571" s="34"/>
      <c r="W571" s="35" t="s">
        <v>69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759</v>
      </c>
      <c r="B572" s="54" t="s">
        <v>760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490" t="s">
        <v>761</v>
      </c>
      <c r="Q572" s="393"/>
      <c r="R572" s="393"/>
      <c r="S572" s="393"/>
      <c r="T572" s="394"/>
      <c r="U572" s="34"/>
      <c r="V572" s="34"/>
      <c r="W572" s="35" t="s">
        <v>69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70</v>
      </c>
      <c r="Q573" s="401"/>
      <c r="R573" s="401"/>
      <c r="S573" s="401"/>
      <c r="T573" s="401"/>
      <c r="U573" s="401"/>
      <c r="V573" s="402"/>
      <c r="W573" s="37" t="s">
        <v>71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70</v>
      </c>
      <c r="Q574" s="401"/>
      <c r="R574" s="401"/>
      <c r="S574" s="401"/>
      <c r="T574" s="401"/>
      <c r="U574" s="401"/>
      <c r="V574" s="402"/>
      <c r="W574" s="37" t="s">
        <v>69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3" t="s">
        <v>72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1" t="s">
        <v>764</v>
      </c>
      <c r="Q576" s="393"/>
      <c r="R576" s="393"/>
      <c r="S576" s="393"/>
      <c r="T576" s="394"/>
      <c r="U576" s="34"/>
      <c r="V576" s="34"/>
      <c r="W576" s="35" t="s">
        <v>69</v>
      </c>
      <c r="X576" s="384">
        <v>500</v>
      </c>
      <c r="Y576" s="385">
        <f>IFERROR(IF(X576="",0,CEILING((X576/$H576),1)*$H576),"")</f>
        <v>507</v>
      </c>
      <c r="Z576" s="36">
        <f>IFERROR(IF(Y576=0,"",ROUNDUP(Y576/H576,0)*0.02175),"")</f>
        <v>1.4137499999999998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536.15384615384619</v>
      </c>
      <c r="BN576" s="64">
        <f>IFERROR(Y576*I576/H576,"0")</f>
        <v>543.66000000000008</v>
      </c>
      <c r="BO576" s="64">
        <f>IFERROR(1/J576*(X576/H576),"0")</f>
        <v>1.1446886446886446</v>
      </c>
      <c r="BP576" s="64">
        <f>IFERROR(1/J576*(Y576/H576),"0")</f>
        <v>1.1607142857142856</v>
      </c>
    </row>
    <row r="577" spans="1:68" ht="27" customHeight="1" x14ac:dyDescent="0.25">
      <c r="A577" s="54" t="s">
        <v>765</v>
      </c>
      <c r="B577" s="54" t="s">
        <v>766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7" t="s">
        <v>767</v>
      </c>
      <c r="Q577" s="393"/>
      <c r="R577" s="393"/>
      <c r="S577" s="393"/>
      <c r="T577" s="394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6">
        <f>IFERROR(X576/H576,"0")+IFERROR(X577/H577,"0")</f>
        <v>64.102564102564102</v>
      </c>
      <c r="Y578" s="386">
        <f>IFERROR(Y576/H576,"0")+IFERROR(Y577/H577,"0")</f>
        <v>65</v>
      </c>
      <c r="Z578" s="386">
        <f>IFERROR(IF(Z576="",0,Z576),"0")+IFERROR(IF(Z577="",0,Z577),"0")</f>
        <v>1.4137499999999998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6">
        <f>IFERROR(SUM(X576:X577),"0")</f>
        <v>500</v>
      </c>
      <c r="Y579" s="386">
        <f>IFERROR(SUM(Y576:Y577),"0")</f>
        <v>507</v>
      </c>
      <c r="Z579" s="37"/>
      <c r="AA579" s="387"/>
      <c r="AB579" s="387"/>
      <c r="AC579" s="387"/>
    </row>
    <row r="580" spans="1:68" ht="14.25" customHeight="1" x14ac:dyDescent="0.25">
      <c r="A580" s="403" t="s">
        <v>171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77"/>
      <c r="AB580" s="377"/>
      <c r="AC580" s="377"/>
    </row>
    <row r="581" spans="1:68" ht="27" customHeight="1" x14ac:dyDescent="0.25">
      <c r="A581" s="54" t="s">
        <v>768</v>
      </c>
      <c r="B581" s="54" t="s">
        <v>769</v>
      </c>
      <c r="C581" s="31">
        <v>4301060408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572" t="s">
        <v>770</v>
      </c>
      <c r="Q581" s="393"/>
      <c r="R581" s="393"/>
      <c r="S581" s="393"/>
      <c r="T581" s="394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768</v>
      </c>
      <c r="B582" s="54" t="s">
        <v>771</v>
      </c>
      <c r="C582" s="31">
        <v>4301060354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94" t="s">
        <v>772</v>
      </c>
      <c r="Q582" s="393"/>
      <c r="R582" s="393"/>
      <c r="S582" s="393"/>
      <c r="T582" s="394"/>
      <c r="U582" s="34"/>
      <c r="V582" s="34"/>
      <c r="W582" s="35" t="s">
        <v>69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773</v>
      </c>
      <c r="B583" s="54" t="s">
        <v>774</v>
      </c>
      <c r="C583" s="31">
        <v>4301060407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6" t="s">
        <v>775</v>
      </c>
      <c r="Q583" s="393"/>
      <c r="R583" s="393"/>
      <c r="S583" s="393"/>
      <c r="T583" s="394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773</v>
      </c>
      <c r="B584" s="54" t="s">
        <v>776</v>
      </c>
      <c r="C584" s="31">
        <v>4301060355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3"/>
      <c r="R584" s="393"/>
      <c r="S584" s="393"/>
      <c r="T584" s="394"/>
      <c r="U584" s="34"/>
      <c r="V584" s="34"/>
      <c r="W584" s="35" t="s">
        <v>69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70</v>
      </c>
      <c r="Q585" s="401"/>
      <c r="R585" s="401"/>
      <c r="S585" s="401"/>
      <c r="T585" s="401"/>
      <c r="U585" s="401"/>
      <c r="V585" s="402"/>
      <c r="W585" s="37" t="s">
        <v>71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70</v>
      </c>
      <c r="Q586" s="401"/>
      <c r="R586" s="401"/>
      <c r="S586" s="401"/>
      <c r="T586" s="401"/>
      <c r="U586" s="401"/>
      <c r="V586" s="402"/>
      <c r="W586" s="37" t="s">
        <v>69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778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8"/>
      <c r="AB587" s="378"/>
      <c r="AC587" s="378"/>
    </row>
    <row r="588" spans="1:68" ht="14.25" customHeight="1" x14ac:dyDescent="0.25">
      <c r="A588" s="403" t="s">
        <v>105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77"/>
      <c r="AB588" s="377"/>
      <c r="AC588" s="377"/>
    </row>
    <row r="589" spans="1:68" ht="27" customHeight="1" x14ac:dyDescent="0.25">
      <c r="A589" s="54" t="s">
        <v>779</v>
      </c>
      <c r="B589" s="54" t="s">
        <v>780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55" t="s">
        <v>781</v>
      </c>
      <c r="Q589" s="393"/>
      <c r="R589" s="393"/>
      <c r="S589" s="393"/>
      <c r="T589" s="394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782</v>
      </c>
      <c r="B590" s="54" t="s">
        <v>783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91" t="s">
        <v>784</v>
      </c>
      <c r="Q590" s="393"/>
      <c r="R590" s="393"/>
      <c r="S590" s="393"/>
      <c r="T590" s="394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70</v>
      </c>
      <c r="Q591" s="401"/>
      <c r="R591" s="401"/>
      <c r="S591" s="401"/>
      <c r="T591" s="401"/>
      <c r="U591" s="401"/>
      <c r="V591" s="402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70</v>
      </c>
      <c r="Q592" s="401"/>
      <c r="R592" s="401"/>
      <c r="S592" s="401"/>
      <c r="T592" s="401"/>
      <c r="U592" s="401"/>
      <c r="V592" s="402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3" t="s">
        <v>141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77"/>
      <c r="AB593" s="377"/>
      <c r="AC593" s="377"/>
    </row>
    <row r="594" spans="1:68" ht="27" customHeight="1" x14ac:dyDescent="0.25">
      <c r="A594" s="54" t="s">
        <v>785</v>
      </c>
      <c r="B594" s="54" t="s">
        <v>786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4" t="s">
        <v>787</v>
      </c>
      <c r="Q594" s="393"/>
      <c r="R594" s="393"/>
      <c r="S594" s="393"/>
      <c r="T594" s="394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70</v>
      </c>
      <c r="Q595" s="401"/>
      <c r="R595" s="401"/>
      <c r="S595" s="401"/>
      <c r="T595" s="401"/>
      <c r="U595" s="401"/>
      <c r="V595" s="402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70</v>
      </c>
      <c r="Q596" s="401"/>
      <c r="R596" s="401"/>
      <c r="S596" s="401"/>
      <c r="T596" s="401"/>
      <c r="U596" s="401"/>
      <c r="V596" s="402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3" t="s">
        <v>64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77"/>
      <c r="AB597" s="377"/>
      <c r="AC597" s="377"/>
    </row>
    <row r="598" spans="1:68" ht="27" customHeight="1" x14ac:dyDescent="0.25">
      <c r="A598" s="54" t="s">
        <v>788</v>
      </c>
      <c r="B598" s="54" t="s">
        <v>789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4" t="s">
        <v>790</v>
      </c>
      <c r="Q598" s="393"/>
      <c r="R598" s="393"/>
      <c r="S598" s="393"/>
      <c r="T598" s="394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70</v>
      </c>
      <c r="Q599" s="401"/>
      <c r="R599" s="401"/>
      <c r="S599" s="401"/>
      <c r="T599" s="401"/>
      <c r="U599" s="401"/>
      <c r="V599" s="402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70</v>
      </c>
      <c r="Q600" s="401"/>
      <c r="R600" s="401"/>
      <c r="S600" s="401"/>
      <c r="T600" s="401"/>
      <c r="U600" s="401"/>
      <c r="V600" s="402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3" t="s">
        <v>72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77"/>
      <c r="AB601" s="377"/>
      <c r="AC601" s="377"/>
    </row>
    <row r="602" spans="1:68" ht="27" customHeight="1" x14ac:dyDescent="0.25">
      <c r="A602" s="54" t="s">
        <v>791</v>
      </c>
      <c r="B602" s="54" t="s">
        <v>792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4" t="s">
        <v>793</v>
      </c>
      <c r="Q602" s="393"/>
      <c r="R602" s="393"/>
      <c r="S602" s="393"/>
      <c r="T602" s="394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70</v>
      </c>
      <c r="Q603" s="401"/>
      <c r="R603" s="401"/>
      <c r="S603" s="401"/>
      <c r="T603" s="401"/>
      <c r="U603" s="401"/>
      <c r="V603" s="402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70</v>
      </c>
      <c r="Q604" s="401"/>
      <c r="R604" s="401"/>
      <c r="S604" s="401"/>
      <c r="T604" s="401"/>
      <c r="U604" s="401"/>
      <c r="V604" s="402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3"/>
      <c r="P605" s="415" t="s">
        <v>794</v>
      </c>
      <c r="Q605" s="416"/>
      <c r="R605" s="416"/>
      <c r="S605" s="416"/>
      <c r="T605" s="416"/>
      <c r="U605" s="416"/>
      <c r="V605" s="417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16960.3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17128.98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3"/>
      <c r="P606" s="415" t="s">
        <v>795</v>
      </c>
      <c r="Q606" s="416"/>
      <c r="R606" s="416"/>
      <c r="S606" s="416"/>
      <c r="T606" s="416"/>
      <c r="U606" s="416"/>
      <c r="V606" s="417"/>
      <c r="W606" s="37" t="s">
        <v>69</v>
      </c>
      <c r="X606" s="386">
        <f>IFERROR(SUM(BM22:BM602),"0")</f>
        <v>18151.735846146203</v>
      </c>
      <c r="Y606" s="386">
        <f>IFERROR(SUM(BN22:BN602),"0")</f>
        <v>18331.101999999999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3"/>
      <c r="P607" s="415" t="s">
        <v>796</v>
      </c>
      <c r="Q607" s="416"/>
      <c r="R607" s="416"/>
      <c r="S607" s="416"/>
      <c r="T607" s="416"/>
      <c r="U607" s="416"/>
      <c r="V607" s="417"/>
      <c r="W607" s="37" t="s">
        <v>797</v>
      </c>
      <c r="X607" s="38">
        <f>ROUNDUP(SUM(BO22:BO602),0)</f>
        <v>35</v>
      </c>
      <c r="Y607" s="38">
        <f>ROUNDUP(SUM(BP22:BP602),0)</f>
        <v>35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3"/>
      <c r="P608" s="415" t="s">
        <v>798</v>
      </c>
      <c r="Q608" s="416"/>
      <c r="R608" s="416"/>
      <c r="S608" s="416"/>
      <c r="T608" s="416"/>
      <c r="U608" s="416"/>
      <c r="V608" s="417"/>
      <c r="W608" s="37" t="s">
        <v>69</v>
      </c>
      <c r="X608" s="386">
        <f>GrossWeightTotal+PalletQtyTotal*25</f>
        <v>19026.735846146203</v>
      </c>
      <c r="Y608" s="386">
        <f>GrossWeightTotalR+PalletQtyTotalR*25</f>
        <v>19206.101999999999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3"/>
      <c r="P609" s="415" t="s">
        <v>799</v>
      </c>
      <c r="Q609" s="416"/>
      <c r="R609" s="416"/>
      <c r="S609" s="416"/>
      <c r="T609" s="416"/>
      <c r="U609" s="416"/>
      <c r="V609" s="417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4107.4064205271097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4136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3"/>
      <c r="P610" s="415" t="s">
        <v>800</v>
      </c>
      <c r="Q610" s="416"/>
      <c r="R610" s="416"/>
      <c r="S610" s="416"/>
      <c r="T610" s="416"/>
      <c r="U610" s="416"/>
      <c r="V610" s="417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39.751490000000004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30" t="s">
        <v>103</v>
      </c>
      <c r="D612" s="561"/>
      <c r="E612" s="561"/>
      <c r="F612" s="561"/>
      <c r="G612" s="561"/>
      <c r="H612" s="562"/>
      <c r="I612" s="430" t="s">
        <v>258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502</v>
      </c>
      <c r="X612" s="562"/>
      <c r="Y612" s="430" t="s">
        <v>558</v>
      </c>
      <c r="Z612" s="561"/>
      <c r="AA612" s="561"/>
      <c r="AB612" s="562"/>
      <c r="AC612" s="375" t="s">
        <v>666</v>
      </c>
      <c r="AD612" s="430" t="s">
        <v>710</v>
      </c>
      <c r="AE612" s="562"/>
      <c r="AF612" s="376"/>
    </row>
    <row r="613" spans="1:32" ht="14.25" customHeight="1" thickTop="1" x14ac:dyDescent="0.2">
      <c r="A613" s="739" t="s">
        <v>803</v>
      </c>
      <c r="B613" s="430" t="s">
        <v>63</v>
      </c>
      <c r="C613" s="430" t="s">
        <v>104</v>
      </c>
      <c r="D613" s="430" t="s">
        <v>126</v>
      </c>
      <c r="E613" s="430" t="s">
        <v>177</v>
      </c>
      <c r="F613" s="430" t="s">
        <v>194</v>
      </c>
      <c r="G613" s="430" t="s">
        <v>226</v>
      </c>
      <c r="H613" s="430" t="s">
        <v>103</v>
      </c>
      <c r="I613" s="430" t="s">
        <v>259</v>
      </c>
      <c r="J613" s="430" t="s">
        <v>276</v>
      </c>
      <c r="K613" s="430" t="s">
        <v>342</v>
      </c>
      <c r="L613" s="376"/>
      <c r="M613" s="430" t="s">
        <v>359</v>
      </c>
      <c r="N613" s="376"/>
      <c r="O613" s="430" t="s">
        <v>377</v>
      </c>
      <c r="P613" s="430" t="s">
        <v>393</v>
      </c>
      <c r="Q613" s="430" t="s">
        <v>397</v>
      </c>
      <c r="R613" s="430" t="s">
        <v>406</v>
      </c>
      <c r="S613" s="430" t="s">
        <v>417</v>
      </c>
      <c r="T613" s="430" t="s">
        <v>420</v>
      </c>
      <c r="U613" s="430" t="s">
        <v>427</v>
      </c>
      <c r="V613" s="430" t="s">
        <v>493</v>
      </c>
      <c r="W613" s="430" t="s">
        <v>503</v>
      </c>
      <c r="X613" s="430" t="s">
        <v>531</v>
      </c>
      <c r="Y613" s="430" t="s">
        <v>559</v>
      </c>
      <c r="Z613" s="430" t="s">
        <v>622</v>
      </c>
      <c r="AA613" s="430" t="s">
        <v>650</v>
      </c>
      <c r="AB613" s="430" t="s">
        <v>657</v>
      </c>
      <c r="AC613" s="430" t="s">
        <v>666</v>
      </c>
      <c r="AD613" s="430" t="s">
        <v>710</v>
      </c>
      <c r="AE613" s="430" t="s">
        <v>778</v>
      </c>
      <c r="AF613" s="376"/>
    </row>
    <row r="614" spans="1:32" ht="13.5" customHeight="1" thickBot="1" x14ac:dyDescent="0.25">
      <c r="A614" s="740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76"/>
      <c r="M614" s="431"/>
      <c r="N614" s="376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398.8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540.9</v>
      </c>
      <c r="E615" s="46">
        <f>IFERROR(Y101*1,"0")+IFERROR(Y102*1,"0")+IFERROR(Y103*1,"0")+IFERROR(Y107*1,"0")+IFERROR(Y108*1,"0")+IFERROR(Y109*1,"0")+IFERROR(Y110*1,"0")+IFERROR(Y111*1,"0")</f>
        <v>1474.8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811</v>
      </c>
      <c r="G615" s="46">
        <f>IFERROR(Y145*1,"0")+IFERROR(Y146*1,"0")+IFERROR(Y150*1,"0")+IFERROR(Y151*1,"0")+IFERROR(Y155*1,"0")+IFERROR(Y156*1,"0")</f>
        <v>288.56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129</v>
      </c>
      <c r="I615" s="46">
        <f>IFERROR(Y183*1,"0")+IFERROR(Y184*1,"0")+IFERROR(Y185*1,"0")+IFERROR(Y186*1,"0")+IFERROR(Y187*1,"0")+IFERROR(Y188*1,"0")+IFERROR(Y189*1,"0")+IFERROR(Y190*1,"0")</f>
        <v>871.5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2691.2999999999997</v>
      </c>
      <c r="K615" s="46">
        <f>IFERROR(Y239*1,"0")+IFERROR(Y240*1,"0")+IFERROR(Y241*1,"0")+IFERROR(Y242*1,"0")+IFERROR(Y243*1,"0")+IFERROR(Y244*1,"0")+IFERROR(Y245*1,"0")+IFERROR(Y246*1,"0")</f>
        <v>0</v>
      </c>
      <c r="L615" s="376"/>
      <c r="M615" s="46">
        <f>IFERROR(Y251*1,"0")+IFERROR(Y252*1,"0")+IFERROR(Y253*1,"0")+IFERROR(Y254*1,"0")+IFERROR(Y255*1,"0")+IFERROR(Y256*1,"0")+IFERROR(Y257*1,"0")+IFERROR(Y258*1,"0")</f>
        <v>309.60000000000002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1003.2</v>
      </c>
      <c r="S615" s="46">
        <f>IFERROR(Y293*1,"0")</f>
        <v>0</v>
      </c>
      <c r="T615" s="46">
        <f>IFERROR(Y298*1,"0")+IFERROR(Y302*1,"0")+IFERROR(Y303*1,"0")</f>
        <v>105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189.60000000000002</v>
      </c>
      <c r="V615" s="46">
        <f>IFERROR(Y354*1,"0")+IFERROR(Y358*1,"0")+IFERROR(Y359*1,"0")+IFERROR(Y360*1,"0")</f>
        <v>1132.8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5298.2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36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403.8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78</v>
      </c>
      <c r="AA615" s="46">
        <f>IFERROR(Y494*1,"0")+IFERROR(Y495*1,"0")+IFERROR(Y496*1,"0")</f>
        <v>51.599999999999994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808.31999999999994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507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170:E170"/>
    <mergeCell ref="D341:E341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G17:G18"/>
    <mergeCell ref="P57:V5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P33:T33"/>
    <mergeCell ref="P475:T475"/>
    <mergeCell ref="P226:T226"/>
    <mergeCell ref="A294:O295"/>
    <mergeCell ref="P27:T27"/>
    <mergeCell ref="D75:E75"/>
    <mergeCell ref="P325:T325"/>
    <mergeCell ref="D206:E206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D525:E525"/>
    <mergeCell ref="D320:E320"/>
    <mergeCell ref="P470:T470"/>
    <mergeCell ref="D447:E44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D41:E41"/>
    <mergeCell ref="A315:O316"/>
    <mergeCell ref="D277:E277"/>
    <mergeCell ref="A486:O487"/>
    <mergeCell ref="P519:T519"/>
    <mergeCell ref="A543:Z543"/>
    <mergeCell ref="P581:T581"/>
    <mergeCell ref="P497:V497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513:T513"/>
    <mergeCell ref="D52:E52"/>
    <mergeCell ref="P604:V604"/>
    <mergeCell ref="D27:E27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O613:O614"/>
    <mergeCell ref="D31:E31"/>
    <mergeCell ref="A166:Z166"/>
    <mergeCell ref="A482:O483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A545:O546"/>
    <mergeCell ref="P323:V323"/>
    <mergeCell ref="P34:V34"/>
    <mergeCell ref="A301:Z301"/>
    <mergeCell ref="P214:V21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116:T116"/>
    <mergeCell ref="D224:E224"/>
    <mergeCell ref="P103:T103"/>
    <mergeCell ref="P474:T474"/>
    <mergeCell ref="A227:O228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D8:M8"/>
    <mergeCell ref="D379:E379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D429:E429"/>
    <mergeCell ref="P29:T29"/>
    <mergeCell ref="A97:O98"/>
    <mergeCell ref="P535:V535"/>
    <mergeCell ref="D81:E81"/>
    <mergeCell ref="P94:T94"/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265:T265"/>
    <mergeCell ref="D208:E208"/>
    <mergeCell ref="P119:T119"/>
    <mergeCell ref="P246:T246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2024-08-01T10:23:33Z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