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4 Симф КИ\"/>
    </mc:Choice>
  </mc:AlternateContent>
  <xr:revisionPtr revIDLastSave="0" documentId="13_ncr:1_{818C423D-CF2A-4B22-B5B9-14298CEC74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AE602" i="1" s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Y525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Y526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N471" i="1"/>
  <c r="BM471" i="1"/>
  <c r="Z471" i="1"/>
  <c r="Y471" i="1"/>
  <c r="BP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Y368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602" i="1" s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Y295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Y286" i="1" s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602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K602" i="1" s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Y241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Y233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X208" i="1"/>
  <c r="Y207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3" i="1"/>
  <c r="X202" i="1"/>
  <c r="BO201" i="1"/>
  <c r="BM201" i="1"/>
  <c r="Y201" i="1"/>
  <c r="P201" i="1"/>
  <c r="BP200" i="1"/>
  <c r="BO200" i="1"/>
  <c r="BN200" i="1"/>
  <c r="BM200" i="1"/>
  <c r="Z200" i="1"/>
  <c r="Y200" i="1"/>
  <c r="P200" i="1"/>
  <c r="X197" i="1"/>
  <c r="X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69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42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BO128" i="1"/>
  <c r="BM128" i="1"/>
  <c r="Y128" i="1"/>
  <c r="BP128" i="1" s="1"/>
  <c r="P128" i="1"/>
  <c r="BP127" i="1"/>
  <c r="BO127" i="1"/>
  <c r="BN127" i="1"/>
  <c r="BM127" i="1"/>
  <c r="Z127" i="1"/>
  <c r="Y127" i="1"/>
  <c r="Y132" i="1" s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02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E602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P93" i="1"/>
  <c r="BP92" i="1"/>
  <c r="BO92" i="1"/>
  <c r="BN92" i="1"/>
  <c r="BM92" i="1"/>
  <c r="Z92" i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602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602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6" i="1" s="1"/>
  <c r="BO22" i="1"/>
  <c r="X594" i="1" s="1"/>
  <c r="BM22" i="1"/>
  <c r="X593" i="1" s="1"/>
  <c r="X595" i="1" s="1"/>
  <c r="Y22" i="1"/>
  <c r="B602" i="1" s="1"/>
  <c r="P22" i="1"/>
  <c r="H10" i="1"/>
  <c r="A9" i="1"/>
  <c r="F10" i="1" s="1"/>
  <c r="D7" i="1"/>
  <c r="Q6" i="1"/>
  <c r="P2" i="1"/>
  <c r="Z94" i="1" l="1"/>
  <c r="Z36" i="1"/>
  <c r="Y49" i="1"/>
  <c r="Y59" i="1"/>
  <c r="Y65" i="1"/>
  <c r="Y75" i="1"/>
  <c r="Y81" i="1"/>
  <c r="Y89" i="1"/>
  <c r="Y95" i="1"/>
  <c r="Y101" i="1"/>
  <c r="Y108" i="1"/>
  <c r="Y116" i="1"/>
  <c r="Y125" i="1"/>
  <c r="Y133" i="1"/>
  <c r="Y141" i="1"/>
  <c r="Y147" i="1"/>
  <c r="Y152" i="1"/>
  <c r="Y158" i="1"/>
  <c r="Y162" i="1"/>
  <c r="Z168" i="1"/>
  <c r="BN168" i="1"/>
  <c r="BP174" i="1"/>
  <c r="BN174" i="1"/>
  <c r="Z174" i="1"/>
  <c r="BP182" i="1"/>
  <c r="BN182" i="1"/>
  <c r="Z182" i="1"/>
  <c r="I602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Y218" i="1"/>
  <c r="H9" i="1"/>
  <c r="A10" i="1"/>
  <c r="Y24" i="1"/>
  <c r="Y37" i="1"/>
  <c r="Y41" i="1"/>
  <c r="Y45" i="1"/>
  <c r="F9" i="1"/>
  <c r="J9" i="1"/>
  <c r="Z22" i="1"/>
  <c r="Z23" i="1" s="1"/>
  <c r="BN22" i="1"/>
  <c r="BP22" i="1"/>
  <c r="Y23" i="1"/>
  <c r="X592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Z68" i="1"/>
  <c r="Z75" i="1" s="1"/>
  <c r="BN68" i="1"/>
  <c r="BP68" i="1"/>
  <c r="Z70" i="1"/>
  <c r="BN70" i="1"/>
  <c r="Z73" i="1"/>
  <c r="BN73" i="1"/>
  <c r="Y76" i="1"/>
  <c r="Z79" i="1"/>
  <c r="Z80" i="1" s="1"/>
  <c r="BN79" i="1"/>
  <c r="Z83" i="1"/>
  <c r="Z89" i="1" s="1"/>
  <c r="BN83" i="1"/>
  <c r="BP83" i="1"/>
  <c r="Z85" i="1"/>
  <c r="BN85" i="1"/>
  <c r="Z87" i="1"/>
  <c r="BN87" i="1"/>
  <c r="Z93" i="1"/>
  <c r="BN93" i="1"/>
  <c r="Z97" i="1"/>
  <c r="BN97" i="1"/>
  <c r="BP97" i="1"/>
  <c r="Z99" i="1"/>
  <c r="BN99" i="1"/>
  <c r="Z104" i="1"/>
  <c r="Z107" i="1" s="1"/>
  <c r="BN104" i="1"/>
  <c r="BP104" i="1"/>
  <c r="Z106" i="1"/>
  <c r="BN106" i="1"/>
  <c r="Y107" i="1"/>
  <c r="Z110" i="1"/>
  <c r="Z115" i="1" s="1"/>
  <c r="BN110" i="1"/>
  <c r="BP110" i="1"/>
  <c r="Z112" i="1"/>
  <c r="BN112" i="1"/>
  <c r="Z114" i="1"/>
  <c r="BN114" i="1"/>
  <c r="Z119" i="1"/>
  <c r="BN119" i="1"/>
  <c r="BP119" i="1"/>
  <c r="Z121" i="1"/>
  <c r="BN121" i="1"/>
  <c r="Z123" i="1"/>
  <c r="BN123" i="1"/>
  <c r="Y124" i="1"/>
  <c r="Z128" i="1"/>
  <c r="Z132" i="1" s="1"/>
  <c r="BN128" i="1"/>
  <c r="Z129" i="1"/>
  <c r="BN129" i="1"/>
  <c r="Z131" i="1"/>
  <c r="BN131" i="1"/>
  <c r="Z135" i="1"/>
  <c r="BN135" i="1"/>
  <c r="BP135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H602" i="1"/>
  <c r="Z167" i="1"/>
  <c r="Z169" i="1" s="1"/>
  <c r="BN167" i="1"/>
  <c r="Y170" i="1"/>
  <c r="Y177" i="1"/>
  <c r="BP172" i="1"/>
  <c r="BN172" i="1"/>
  <c r="Z172" i="1"/>
  <c r="Z177" i="1" s="1"/>
  <c r="BP176" i="1"/>
  <c r="BN176" i="1"/>
  <c r="Z176" i="1"/>
  <c r="Y178" i="1"/>
  <c r="Y183" i="1"/>
  <c r="BP180" i="1"/>
  <c r="BN180" i="1"/>
  <c r="Z180" i="1"/>
  <c r="Z183" i="1" s="1"/>
  <c r="BP190" i="1"/>
  <c r="BN190" i="1"/>
  <c r="Z190" i="1"/>
  <c r="BP194" i="1"/>
  <c r="BN194" i="1"/>
  <c r="Z194" i="1"/>
  <c r="Y219" i="1"/>
  <c r="BP211" i="1"/>
  <c r="BN211" i="1"/>
  <c r="Z211" i="1"/>
  <c r="Z218" i="1" s="1"/>
  <c r="Z510" i="1"/>
  <c r="J602" i="1"/>
  <c r="Y202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Y232" i="1"/>
  <c r="Z235" i="1"/>
  <c r="BN235" i="1"/>
  <c r="BP235" i="1"/>
  <c r="Z237" i="1"/>
  <c r="BN237" i="1"/>
  <c r="Z239" i="1"/>
  <c r="BN239" i="1"/>
  <c r="Y240" i="1"/>
  <c r="Z244" i="1"/>
  <c r="BN244" i="1"/>
  <c r="BP244" i="1"/>
  <c r="Z246" i="1"/>
  <c r="BN246" i="1"/>
  <c r="Z248" i="1"/>
  <c r="BN248" i="1"/>
  <c r="Z250" i="1"/>
  <c r="BN250" i="1"/>
  <c r="Y253" i="1"/>
  <c r="M602" i="1"/>
  <c r="Z257" i="1"/>
  <c r="Z264" i="1" s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Y311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57" i="1"/>
  <c r="BP355" i="1"/>
  <c r="BN355" i="1"/>
  <c r="Z355" i="1"/>
  <c r="BP374" i="1"/>
  <c r="BN374" i="1"/>
  <c r="Z374" i="1"/>
  <c r="BP378" i="1"/>
  <c r="BN378" i="1"/>
  <c r="Z378" i="1"/>
  <c r="Z382" i="1" s="1"/>
  <c r="Y382" i="1"/>
  <c r="BP386" i="1"/>
  <c r="BN386" i="1"/>
  <c r="Z386" i="1"/>
  <c r="Z387" i="1" s="1"/>
  <c r="Y388" i="1"/>
  <c r="Y393" i="1"/>
  <c r="BP390" i="1"/>
  <c r="BN390" i="1"/>
  <c r="Z390" i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Z602" i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Y252" i="1"/>
  <c r="Y265" i="1"/>
  <c r="Z272" i="1"/>
  <c r="BN272" i="1"/>
  <c r="Y275" i="1"/>
  <c r="Y280" i="1"/>
  <c r="Q602" i="1"/>
  <c r="Z284" i="1"/>
  <c r="Z286" i="1" s="1"/>
  <c r="BN284" i="1"/>
  <c r="Y287" i="1"/>
  <c r="R602" i="1"/>
  <c r="Z291" i="1"/>
  <c r="Z295" i="1" s="1"/>
  <c r="BN291" i="1"/>
  <c r="Z293" i="1"/>
  <c r="BN293" i="1"/>
  <c r="Y296" i="1"/>
  <c r="Y301" i="1"/>
  <c r="T602" i="1"/>
  <c r="Y306" i="1"/>
  <c r="Z309" i="1"/>
  <c r="Z310" i="1" s="1"/>
  <c r="BN309" i="1"/>
  <c r="Z314" i="1"/>
  <c r="Z322" i="1" s="1"/>
  <c r="BN314" i="1"/>
  <c r="BP314" i="1"/>
  <c r="Z317" i="1"/>
  <c r="BN317" i="1"/>
  <c r="Z319" i="1"/>
  <c r="BP327" i="1"/>
  <c r="BN327" i="1"/>
  <c r="Z327" i="1"/>
  <c r="Y338" i="1"/>
  <c r="BP335" i="1"/>
  <c r="BN335" i="1"/>
  <c r="Z335" i="1"/>
  <c r="BP343" i="1"/>
  <c r="BN343" i="1"/>
  <c r="Z343" i="1"/>
  <c r="Y345" i="1"/>
  <c r="BP349" i="1"/>
  <c r="BN349" i="1"/>
  <c r="Z349" i="1"/>
  <c r="Z351" i="1" s="1"/>
  <c r="Y358" i="1"/>
  <c r="Y357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BP499" i="1"/>
  <c r="BN499" i="1"/>
  <c r="Z499" i="1"/>
  <c r="BP503" i="1"/>
  <c r="BN503" i="1"/>
  <c r="Z503" i="1"/>
  <c r="Y510" i="1"/>
  <c r="BP515" i="1"/>
  <c r="BN515" i="1"/>
  <c r="Z515" i="1"/>
  <c r="BP523" i="1"/>
  <c r="BN523" i="1"/>
  <c r="Z523" i="1"/>
  <c r="Z525" i="1" s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519" i="1" l="1"/>
  <c r="Z505" i="1"/>
  <c r="Z572" i="1"/>
  <c r="Z558" i="1"/>
  <c r="Z453" i="1"/>
  <c r="Z406" i="1"/>
  <c r="Y594" i="1"/>
  <c r="Y592" i="1"/>
  <c r="Z196" i="1"/>
  <c r="Z541" i="1"/>
  <c r="Z476" i="1"/>
  <c r="Z419" i="1"/>
  <c r="Z393" i="1"/>
  <c r="Z344" i="1"/>
  <c r="Z329" i="1"/>
  <c r="Z274" i="1"/>
  <c r="Z252" i="1"/>
  <c r="Z240" i="1"/>
  <c r="Z232" i="1"/>
  <c r="Z141" i="1"/>
  <c r="Z124" i="1"/>
  <c r="Z100" i="1"/>
  <c r="Z597" i="1" s="1"/>
  <c r="Y596" i="1"/>
  <c r="Y593" i="1"/>
  <c r="Y595" i="1" s="1"/>
</calcChain>
</file>

<file path=xl/sharedStrings.xml><?xml version="1.0" encoding="utf-8"?>
<sst xmlns="http://schemas.openxmlformats.org/spreadsheetml/2006/main" count="2429" uniqueCount="764">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</sst>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9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9" t="s">
        <v>0</v>
      </c>
      <c r="E1" s="418"/>
      <c r="F1" s="418"/>
      <c r="G1" s="12" t="s">
        <v>1</v>
      </c>
      <c r="H1" s="469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33" t="s">
        <v>8</v>
      </c>
      <c r="B5" s="534"/>
      <c r="C5" s="535"/>
      <c r="D5" s="473"/>
      <c r="E5" s="474"/>
      <c r="F5" s="724" t="s">
        <v>9</v>
      </c>
      <c r="G5" s="535"/>
      <c r="H5" s="473"/>
      <c r="I5" s="657"/>
      <c r="J5" s="657"/>
      <c r="K5" s="657"/>
      <c r="L5" s="657"/>
      <c r="M5" s="474"/>
      <c r="N5" s="58"/>
      <c r="P5" s="24" t="s">
        <v>10</v>
      </c>
      <c r="Q5" s="741">
        <v>45555</v>
      </c>
      <c r="R5" s="529"/>
      <c r="T5" s="575" t="s">
        <v>11</v>
      </c>
      <c r="U5" s="480"/>
      <c r="V5" s="577" t="s">
        <v>12</v>
      </c>
      <c r="W5" s="529"/>
      <c r="AB5" s="51"/>
      <c r="AC5" s="51"/>
      <c r="AD5" s="51"/>
      <c r="AE5" s="51"/>
    </row>
    <row r="6" spans="1:32" s="373" customFormat="1" ht="24" customHeight="1" x14ac:dyDescent="0.2">
      <c r="A6" s="533" t="s">
        <v>13</v>
      </c>
      <c r="B6" s="534"/>
      <c r="C6" s="535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Пятница</v>
      </c>
      <c r="R6" s="385"/>
      <c r="T6" s="582" t="s">
        <v>16</v>
      </c>
      <c r="U6" s="480"/>
      <c r="V6" s="644" t="s">
        <v>17</v>
      </c>
      <c r="W6" s="440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50" t="str">
        <f>IFERROR(VLOOKUP(DeliveryAddress,Table,3,0),1)</f>
        <v>1</v>
      </c>
      <c r="E7" s="451"/>
      <c r="F7" s="451"/>
      <c r="G7" s="451"/>
      <c r="H7" s="451"/>
      <c r="I7" s="451"/>
      <c r="J7" s="451"/>
      <c r="K7" s="451"/>
      <c r="L7" s="451"/>
      <c r="M7" s="452"/>
      <c r="N7" s="60"/>
      <c r="P7" s="24"/>
      <c r="Q7" s="42"/>
      <c r="R7" s="42"/>
      <c r="T7" s="398"/>
      <c r="U7" s="480"/>
      <c r="V7" s="645"/>
      <c r="W7" s="646"/>
      <c r="AB7" s="51"/>
      <c r="AC7" s="51"/>
      <c r="AD7" s="51"/>
      <c r="AE7" s="51"/>
    </row>
    <row r="8" spans="1:32" s="373" customFormat="1" ht="25.5" customHeight="1" x14ac:dyDescent="0.2">
      <c r="A8" s="772" t="s">
        <v>18</v>
      </c>
      <c r="B8" s="402"/>
      <c r="C8" s="403"/>
      <c r="D8" s="461"/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19</v>
      </c>
      <c r="Q8" s="542">
        <v>0.375</v>
      </c>
      <c r="R8" s="452"/>
      <c r="T8" s="398"/>
      <c r="U8" s="480"/>
      <c r="V8" s="645"/>
      <c r="W8" s="646"/>
      <c r="AB8" s="51"/>
      <c r="AC8" s="51"/>
      <c r="AD8" s="51"/>
      <c r="AE8" s="51"/>
    </row>
    <row r="9" spans="1:32" s="373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9"/>
      <c r="E9" s="400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1"/>
      <c r="P9" s="26" t="s">
        <v>20</v>
      </c>
      <c r="Q9" s="525"/>
      <c r="R9" s="526"/>
      <c r="T9" s="398"/>
      <c r="U9" s="480"/>
      <c r="V9" s="647"/>
      <c r="W9" s="648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9"/>
      <c r="E10" s="400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7" t="str">
        <f>IFERROR(VLOOKUP($D$10,Proxy,2,FALSE),"")</f>
        <v/>
      </c>
      <c r="I10" s="398"/>
      <c r="J10" s="398"/>
      <c r="K10" s="398"/>
      <c r="L10" s="398"/>
      <c r="M10" s="398"/>
      <c r="N10" s="372"/>
      <c r="P10" s="26" t="s">
        <v>21</v>
      </c>
      <c r="Q10" s="583"/>
      <c r="R10" s="584"/>
      <c r="U10" s="24" t="s">
        <v>22</v>
      </c>
      <c r="V10" s="439" t="s">
        <v>23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86" t="s">
        <v>27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1" t="s">
        <v>28</v>
      </c>
      <c r="B12" s="534"/>
      <c r="C12" s="534"/>
      <c r="D12" s="534"/>
      <c r="E12" s="534"/>
      <c r="F12" s="534"/>
      <c r="G12" s="534"/>
      <c r="H12" s="534"/>
      <c r="I12" s="534"/>
      <c r="J12" s="534"/>
      <c r="K12" s="534"/>
      <c r="L12" s="534"/>
      <c r="M12" s="535"/>
      <c r="N12" s="62"/>
      <c r="P12" s="24" t="s">
        <v>29</v>
      </c>
      <c r="Q12" s="542"/>
      <c r="R12" s="452"/>
      <c r="S12" s="23"/>
      <c r="U12" s="24"/>
      <c r="V12" s="418"/>
      <c r="W12" s="398"/>
      <c r="AB12" s="51"/>
      <c r="AC12" s="51"/>
      <c r="AD12" s="51"/>
      <c r="AE12" s="51"/>
    </row>
    <row r="13" spans="1:32" s="373" customFormat="1" ht="23.25" customHeight="1" x14ac:dyDescent="0.2">
      <c r="A13" s="571" t="s">
        <v>30</v>
      </c>
      <c r="B13" s="534"/>
      <c r="C13" s="534"/>
      <c r="D13" s="534"/>
      <c r="E13" s="534"/>
      <c r="F13" s="534"/>
      <c r="G13" s="534"/>
      <c r="H13" s="534"/>
      <c r="I13" s="534"/>
      <c r="J13" s="534"/>
      <c r="K13" s="534"/>
      <c r="L13" s="534"/>
      <c r="M13" s="535"/>
      <c r="N13" s="62"/>
      <c r="O13" s="26"/>
      <c r="P13" s="26" t="s">
        <v>31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1" t="s">
        <v>32</v>
      </c>
      <c r="B14" s="534"/>
      <c r="C14" s="534"/>
      <c r="D14" s="534"/>
      <c r="E14" s="534"/>
      <c r="F14" s="534"/>
      <c r="G14" s="534"/>
      <c r="H14" s="534"/>
      <c r="I14" s="534"/>
      <c r="J14" s="534"/>
      <c r="K14" s="534"/>
      <c r="L14" s="534"/>
      <c r="M14" s="53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602" t="s">
        <v>33</v>
      </c>
      <c r="B15" s="534"/>
      <c r="C15" s="534"/>
      <c r="D15" s="534"/>
      <c r="E15" s="534"/>
      <c r="F15" s="534"/>
      <c r="G15" s="534"/>
      <c r="H15" s="534"/>
      <c r="I15" s="534"/>
      <c r="J15" s="534"/>
      <c r="K15" s="534"/>
      <c r="L15" s="534"/>
      <c r="M15" s="535"/>
      <c r="N15" s="63"/>
      <c r="P15" s="559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35</v>
      </c>
      <c r="B17" s="434" t="s">
        <v>36</v>
      </c>
      <c r="C17" s="547" t="s">
        <v>37</v>
      </c>
      <c r="D17" s="434" t="s">
        <v>38</v>
      </c>
      <c r="E17" s="502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34" t="s">
        <v>49</v>
      </c>
      <c r="Q17" s="501"/>
      <c r="R17" s="501"/>
      <c r="S17" s="501"/>
      <c r="T17" s="502"/>
      <c r="U17" s="771" t="s">
        <v>50</v>
      </c>
      <c r="V17" s="535"/>
      <c r="W17" s="434" t="s">
        <v>51</v>
      </c>
      <c r="X17" s="434" t="s">
        <v>52</v>
      </c>
      <c r="Y17" s="769" t="s">
        <v>53</v>
      </c>
      <c r="Z17" s="434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9"/>
      <c r="AF17" s="720"/>
      <c r="AG17" s="517"/>
      <c r="BD17" s="619" t="s">
        <v>59</v>
      </c>
    </row>
    <row r="18" spans="1:68" ht="14.25" customHeight="1" x14ac:dyDescent="0.2">
      <c r="A18" s="435"/>
      <c r="B18" s="435"/>
      <c r="C18" s="435"/>
      <c r="D18" s="503"/>
      <c r="E18" s="505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3"/>
      <c r="Q18" s="504"/>
      <c r="R18" s="504"/>
      <c r="S18" s="504"/>
      <c r="T18" s="505"/>
      <c r="U18" s="374" t="s">
        <v>60</v>
      </c>
      <c r="V18" s="374" t="s">
        <v>61</v>
      </c>
      <c r="W18" s="435"/>
      <c r="X18" s="435"/>
      <c r="Y18" s="770"/>
      <c r="Z18" s="435"/>
      <c r="AA18" s="636"/>
      <c r="AB18" s="636"/>
      <c r="AC18" s="636"/>
      <c r="AD18" s="721"/>
      <c r="AE18" s="722"/>
      <c r="AF18" s="723"/>
      <c r="AG18" s="518"/>
      <c r="BD18" s="398"/>
    </row>
    <row r="19" spans="1:68" ht="27.75" customHeight="1" x14ac:dyDescent="0.2">
      <c r="A19" s="404" t="s">
        <v>62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62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5"/>
      <c r="AB20" s="375"/>
      <c r="AC20" s="375"/>
    </row>
    <row r="21" spans="1:68" ht="14.25" customHeight="1" x14ac:dyDescent="0.25">
      <c r="A21" s="431" t="s">
        <v>63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6"/>
      <c r="AB21" s="376"/>
      <c r="AC21" s="376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69</v>
      </c>
      <c r="Q23" s="402"/>
      <c r="R23" s="402"/>
      <c r="S23" s="402"/>
      <c r="T23" s="402"/>
      <c r="U23" s="402"/>
      <c r="V23" s="403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69</v>
      </c>
      <c r="Q24" s="402"/>
      <c r="R24" s="402"/>
      <c r="S24" s="402"/>
      <c r="T24" s="402"/>
      <c r="U24" s="402"/>
      <c r="V24" s="403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1" t="s">
        <v>71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6"/>
      <c r="AB25" s="376"/>
      <c r="AC25" s="376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9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7"/>
      <c r="R32" s="387"/>
      <c r="S32" s="387"/>
      <c r="T32" s="388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7" t="s">
        <v>90</v>
      </c>
      <c r="Q33" s="387"/>
      <c r="R33" s="387"/>
      <c r="S33" s="387"/>
      <c r="T33" s="388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69</v>
      </c>
      <c r="Q36" s="402"/>
      <c r="R36" s="402"/>
      <c r="S36" s="402"/>
      <c r="T36" s="402"/>
      <c r="U36" s="402"/>
      <c r="V36" s="403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69</v>
      </c>
      <c r="Q37" s="402"/>
      <c r="R37" s="402"/>
      <c r="S37" s="402"/>
      <c r="T37" s="402"/>
      <c r="U37" s="402"/>
      <c r="V37" s="403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1" t="s">
        <v>95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6"/>
      <c r="AB38" s="376"/>
      <c r="AC38" s="376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69</v>
      </c>
      <c r="Q40" s="402"/>
      <c r="R40" s="402"/>
      <c r="S40" s="402"/>
      <c r="T40" s="402"/>
      <c r="U40" s="402"/>
      <c r="V40" s="403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69</v>
      </c>
      <c r="Q41" s="402"/>
      <c r="R41" s="402"/>
      <c r="S41" s="402"/>
      <c r="T41" s="402"/>
      <c r="U41" s="402"/>
      <c r="V41" s="403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1" t="s">
        <v>100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6"/>
      <c r="AB42" s="376"/>
      <c r="AC42" s="376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69</v>
      </c>
      <c r="Q44" s="402"/>
      <c r="R44" s="402"/>
      <c r="S44" s="402"/>
      <c r="T44" s="402"/>
      <c r="U44" s="402"/>
      <c r="V44" s="403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69</v>
      </c>
      <c r="Q45" s="402"/>
      <c r="R45" s="402"/>
      <c r="S45" s="402"/>
      <c r="T45" s="402"/>
      <c r="U45" s="402"/>
      <c r="V45" s="403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1" t="s">
        <v>104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6"/>
      <c r="AB46" s="376"/>
      <c r="AC46" s="376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69</v>
      </c>
      <c r="Q48" s="402"/>
      <c r="R48" s="402"/>
      <c r="S48" s="402"/>
      <c r="T48" s="402"/>
      <c r="U48" s="402"/>
      <c r="V48" s="403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69</v>
      </c>
      <c r="Q49" s="402"/>
      <c r="R49" s="402"/>
      <c r="S49" s="402"/>
      <c r="T49" s="402"/>
      <c r="U49" s="402"/>
      <c r="V49" s="403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107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108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5"/>
      <c r="AB51" s="375"/>
      <c r="AC51" s="375"/>
    </row>
    <row r="52" spans="1:68" ht="14.25" customHeight="1" x14ac:dyDescent="0.25">
      <c r="A52" s="431" t="s">
        <v>109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0">
        <v>200</v>
      </c>
      <c r="Y53" s="381">
        <f t="shared" ref="Y53:Y58" si="6">IFERROR(IF(X53="",0,CEILING((X53/$H53),1)*$H53),"")</f>
        <v>205.20000000000002</v>
      </c>
      <c r="Z53" s="36">
        <f>IFERROR(IF(Y53=0,"",ROUNDUP(Y53/H53,0)*0.02175),"")</f>
        <v>0.41324999999999995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208.88888888888889</v>
      </c>
      <c r="BN53" s="64">
        <f t="shared" ref="BN53:BN58" si="8">IFERROR(Y53*I53/H53,"0")</f>
        <v>214.32</v>
      </c>
      <c r="BO53" s="64">
        <f t="shared" ref="BO53:BO58" si="9">IFERROR(1/J53*(X53/H53),"0")</f>
        <v>0.3306878306878307</v>
      </c>
      <c r="BP53" s="64">
        <f t="shared" ref="BP53:BP58" si="10">IFERROR(1/J53*(Y53/H53),"0")</f>
        <v>0.33928571428571425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0">
        <v>160</v>
      </c>
      <c r="Y56" s="381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69</v>
      </c>
      <c r="Q59" s="402"/>
      <c r="R59" s="402"/>
      <c r="S59" s="402"/>
      <c r="T59" s="402"/>
      <c r="U59" s="402"/>
      <c r="V59" s="403"/>
      <c r="W59" s="37" t="s">
        <v>70</v>
      </c>
      <c r="X59" s="382">
        <f>IFERROR(X53/H53,"0")+IFERROR(X54/H54,"0")+IFERROR(X55/H55,"0")+IFERROR(X56/H56,"0")+IFERROR(X57/H57,"0")+IFERROR(X58/H58,"0")</f>
        <v>58.518518518518519</v>
      </c>
      <c r="Y59" s="382">
        <f>IFERROR(Y53/H53,"0")+IFERROR(Y54/H54,"0")+IFERROR(Y55/H55,"0")+IFERROR(Y56/H56,"0")+IFERROR(Y57/H57,"0")+IFERROR(Y58/H58,"0")</f>
        <v>59</v>
      </c>
      <c r="Z59" s="382">
        <f>IFERROR(IF(Z53="",0,Z53),"0")+IFERROR(IF(Z54="",0,Z54),"0")+IFERROR(IF(Z55="",0,Z55),"0")+IFERROR(IF(Z56="",0,Z56),"0")+IFERROR(IF(Z57="",0,Z57),"0")+IFERROR(IF(Z58="",0,Z58),"0")</f>
        <v>0.78804999999999992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69</v>
      </c>
      <c r="Q60" s="402"/>
      <c r="R60" s="402"/>
      <c r="S60" s="402"/>
      <c r="T60" s="402"/>
      <c r="U60" s="402"/>
      <c r="V60" s="403"/>
      <c r="W60" s="37" t="s">
        <v>68</v>
      </c>
      <c r="X60" s="382">
        <f>IFERROR(SUM(X53:X58),"0")</f>
        <v>360</v>
      </c>
      <c r="Y60" s="382">
        <f>IFERROR(SUM(Y53:Y58),"0")</f>
        <v>365.20000000000005</v>
      </c>
      <c r="Z60" s="37"/>
      <c r="AA60" s="383"/>
      <c r="AB60" s="383"/>
      <c r="AC60" s="383"/>
    </row>
    <row r="61" spans="1:68" ht="14.25" customHeight="1" x14ac:dyDescent="0.25">
      <c r="A61" s="431" t="s">
        <v>71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6"/>
      <c r="AB61" s="376"/>
      <c r="AC61" s="376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69</v>
      </c>
      <c r="Q64" s="402"/>
      <c r="R64" s="402"/>
      <c r="S64" s="402"/>
      <c r="T64" s="402"/>
      <c r="U64" s="402"/>
      <c r="V64" s="403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69</v>
      </c>
      <c r="Q65" s="402"/>
      <c r="R65" s="402"/>
      <c r="S65" s="402"/>
      <c r="T65" s="402"/>
      <c r="U65" s="402"/>
      <c r="V65" s="403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128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5"/>
      <c r="AB66" s="375"/>
      <c r="AC66" s="375"/>
    </row>
    <row r="67" spans="1:68" ht="14.25" customHeight="1" x14ac:dyDescent="0.25">
      <c r="A67" s="431" t="s">
        <v>109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0">
        <v>350</v>
      </c>
      <c r="Y68" s="381">
        <f t="shared" ref="Y68:Y74" si="11">IFERROR(IF(X68="",0,CEILING((X68/$H68),1)*$H68),"")</f>
        <v>356.40000000000003</v>
      </c>
      <c r="Z68" s="36">
        <f>IFERROR(IF(Y68=0,"",ROUNDUP(Y68/H68,0)*0.02175),"")</f>
        <v>0.71775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365.55555555555554</v>
      </c>
      <c r="BN68" s="64">
        <f t="shared" ref="BN68:BN74" si="13">IFERROR(Y68*I68/H68,"0")</f>
        <v>372.23999999999995</v>
      </c>
      <c r="BO68" s="64">
        <f t="shared" ref="BO68:BO74" si="14">IFERROR(1/J68*(X68/H68),"0")</f>
        <v>0.57870370370370361</v>
      </c>
      <c r="BP68" s="64">
        <f t="shared" ref="BP68:BP74" si="15">IFERROR(1/J68*(Y68/H68),"0")</f>
        <v>0.5892857142857143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137</v>
      </c>
      <c r="B72" s="54" t="s">
        <v>138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40" t="s">
        <v>140</v>
      </c>
      <c r="Q72" s="387"/>
      <c r="R72" s="387"/>
      <c r="S72" s="387"/>
      <c r="T72" s="388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141</v>
      </c>
      <c r="B73" s="54" t="s">
        <v>142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0">
        <v>360</v>
      </c>
      <c r="Y74" s="381">
        <f t="shared" si="11"/>
        <v>360</v>
      </c>
      <c r="Z74" s="36">
        <f>IFERROR(IF(Y74=0,"",ROUNDUP(Y74/H74,0)*0.00937),"")</f>
        <v>0.74960000000000004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379.20000000000005</v>
      </c>
      <c r="BN74" s="64">
        <f t="shared" si="13"/>
        <v>379.20000000000005</v>
      </c>
      <c r="BO74" s="64">
        <f t="shared" si="14"/>
        <v>0.66666666666666663</v>
      </c>
      <c r="BP74" s="64">
        <f t="shared" si="15"/>
        <v>0.66666666666666663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69</v>
      </c>
      <c r="Q75" s="402"/>
      <c r="R75" s="402"/>
      <c r="S75" s="402"/>
      <c r="T75" s="402"/>
      <c r="U75" s="402"/>
      <c r="V75" s="403"/>
      <c r="W75" s="37" t="s">
        <v>70</v>
      </c>
      <c r="X75" s="382">
        <f>IFERROR(X68/H68,"0")+IFERROR(X69/H69,"0")+IFERROR(X70/H70,"0")+IFERROR(X71/H71,"0")+IFERROR(X72/H72,"0")+IFERROR(X73/H73,"0")+IFERROR(X74/H74,"0")</f>
        <v>112.4074074074074</v>
      </c>
      <c r="Y75" s="382">
        <f>IFERROR(Y68/H68,"0")+IFERROR(Y69/H69,"0")+IFERROR(Y70/H70,"0")+IFERROR(Y71/H71,"0")+IFERROR(Y72/H72,"0")+IFERROR(Y73/H73,"0")+IFERROR(Y74/H74,"0")</f>
        <v>113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1.4673500000000002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69</v>
      </c>
      <c r="Q76" s="402"/>
      <c r="R76" s="402"/>
      <c r="S76" s="402"/>
      <c r="T76" s="402"/>
      <c r="U76" s="402"/>
      <c r="V76" s="403"/>
      <c r="W76" s="37" t="s">
        <v>68</v>
      </c>
      <c r="X76" s="382">
        <f>IFERROR(SUM(X68:X74),"0")</f>
        <v>710</v>
      </c>
      <c r="Y76" s="382">
        <f>IFERROR(SUM(Y68:Y74),"0")</f>
        <v>716.40000000000009</v>
      </c>
      <c r="Z76" s="37"/>
      <c r="AA76" s="383"/>
      <c r="AB76" s="383"/>
      <c r="AC76" s="383"/>
    </row>
    <row r="77" spans="1:68" ht="14.25" customHeight="1" x14ac:dyDescent="0.25">
      <c r="A77" s="431" t="s">
        <v>145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0">
        <v>120</v>
      </c>
      <c r="Y78" s="381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0">
        <v>135</v>
      </c>
      <c r="Y79" s="381">
        <f>IFERROR(IF(X79="",0,CEILING((X79/$H79),1)*$H79),"")</f>
        <v>135</v>
      </c>
      <c r="Z79" s="36">
        <f>IFERROR(IF(Y79=0,"",ROUNDUP(Y79/H79,0)*0.00753),"")</f>
        <v>0.3765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145</v>
      </c>
      <c r="BN79" s="64">
        <f>IFERROR(Y79*I79/H79,"0")</f>
        <v>145</v>
      </c>
      <c r="BO79" s="64">
        <f>IFERROR(1/J79*(X79/H79),"0")</f>
        <v>0.32051282051282048</v>
      </c>
      <c r="BP79" s="64">
        <f>IFERROR(1/J79*(Y79/H79),"0")</f>
        <v>0.32051282051282048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69</v>
      </c>
      <c r="Q80" s="402"/>
      <c r="R80" s="402"/>
      <c r="S80" s="402"/>
      <c r="T80" s="402"/>
      <c r="U80" s="402"/>
      <c r="V80" s="403"/>
      <c r="W80" s="37" t="s">
        <v>70</v>
      </c>
      <c r="X80" s="382">
        <f>IFERROR(X78/H78,"0")+IFERROR(X79/H79,"0")</f>
        <v>61.111111111111114</v>
      </c>
      <c r="Y80" s="382">
        <f>IFERROR(Y78/H78,"0")+IFERROR(Y79/H79,"0")</f>
        <v>62</v>
      </c>
      <c r="Z80" s="382">
        <f>IFERROR(IF(Z78="",0,Z78),"0")+IFERROR(IF(Z79="",0,Z79),"0")</f>
        <v>0.63749999999999996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69</v>
      </c>
      <c r="Q81" s="402"/>
      <c r="R81" s="402"/>
      <c r="S81" s="402"/>
      <c r="T81" s="402"/>
      <c r="U81" s="402"/>
      <c r="V81" s="403"/>
      <c r="W81" s="37" t="s">
        <v>68</v>
      </c>
      <c r="X81" s="382">
        <f>IFERROR(SUM(X78:X79),"0")</f>
        <v>255</v>
      </c>
      <c r="Y81" s="382">
        <f>IFERROR(SUM(Y78:Y79),"0")</f>
        <v>264.60000000000002</v>
      </c>
      <c r="Z81" s="37"/>
      <c r="AA81" s="383"/>
      <c r="AB81" s="383"/>
      <c r="AC81" s="383"/>
    </row>
    <row r="82" spans="1:68" ht="14.25" customHeight="1" x14ac:dyDescent="0.25">
      <c r="A82" s="431" t="s">
        <v>63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6"/>
      <c r="AB82" s="376"/>
      <c r="AC82" s="376"/>
    </row>
    <row r="83" spans="1:68" ht="16.5" customHeight="1" x14ac:dyDescent="0.25">
      <c r="A83" s="54" t="s">
        <v>150</v>
      </c>
      <c r="B83" s="54" t="s">
        <v>151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154</v>
      </c>
      <c r="B85" s="54" t="s">
        <v>155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80">
        <v>30</v>
      </c>
      <c r="Y88" s="381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69</v>
      </c>
      <c r="Q89" s="402"/>
      <c r="R89" s="402"/>
      <c r="S89" s="402"/>
      <c r="T89" s="402"/>
      <c r="U89" s="402"/>
      <c r="V89" s="403"/>
      <c r="W89" s="37" t="s">
        <v>70</v>
      </c>
      <c r="X89" s="382">
        <f>IFERROR(X83/H83,"0")+IFERROR(X84/H84,"0")+IFERROR(X85/H85,"0")+IFERROR(X86/H86,"0")+IFERROR(X87/H87,"0")+IFERROR(X88/H88,"0")</f>
        <v>50</v>
      </c>
      <c r="Y89" s="382">
        <f>IFERROR(Y83/H83,"0")+IFERROR(Y84/H84,"0")+IFERROR(Y85/H85,"0")+IFERROR(Y86/H86,"0")+IFERROR(Y87/H87,"0")+IFERROR(Y88/H88,"0")</f>
        <v>51</v>
      </c>
      <c r="Z89" s="382">
        <f>IFERROR(IF(Z83="",0,Z83),"0")+IFERROR(IF(Z84="",0,Z84),"0")+IFERROR(IF(Z85="",0,Z85),"0")+IFERROR(IF(Z86="",0,Z86),"0")+IFERROR(IF(Z87="",0,Z87),"0")+IFERROR(IF(Z88="",0,Z88),"0")</f>
        <v>0.25602000000000003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69</v>
      </c>
      <c r="Q90" s="402"/>
      <c r="R90" s="402"/>
      <c r="S90" s="402"/>
      <c r="T90" s="402"/>
      <c r="U90" s="402"/>
      <c r="V90" s="403"/>
      <c r="W90" s="37" t="s">
        <v>68</v>
      </c>
      <c r="X90" s="382">
        <f>IFERROR(SUM(X83:X88),"0")</f>
        <v>90</v>
      </c>
      <c r="Y90" s="382">
        <f>IFERROR(SUM(Y83:Y88),"0")</f>
        <v>91.800000000000011</v>
      </c>
      <c r="Z90" s="37"/>
      <c r="AA90" s="383"/>
      <c r="AB90" s="383"/>
      <c r="AC90" s="383"/>
    </row>
    <row r="91" spans="1:68" ht="14.25" customHeight="1" x14ac:dyDescent="0.25">
      <c r="A91" s="431" t="s">
        <v>71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6"/>
      <c r="AB91" s="376"/>
      <c r="AC91" s="376"/>
    </row>
    <row r="92" spans="1:68" ht="16.5" customHeight="1" x14ac:dyDescent="0.25">
      <c r="A92" s="54" t="s">
        <v>162</v>
      </c>
      <c r="B92" s="54" t="s">
        <v>163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164</v>
      </c>
      <c r="B93" s="54" t="s">
        <v>165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69</v>
      </c>
      <c r="Q94" s="402"/>
      <c r="R94" s="402"/>
      <c r="S94" s="402"/>
      <c r="T94" s="402"/>
      <c r="U94" s="402"/>
      <c r="V94" s="403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69</v>
      </c>
      <c r="Q95" s="402"/>
      <c r="R95" s="402"/>
      <c r="S95" s="402"/>
      <c r="T95" s="402"/>
      <c r="U95" s="402"/>
      <c r="V95" s="403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1" t="s">
        <v>166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6"/>
      <c r="AB96" s="376"/>
      <c r="AC96" s="376"/>
    </row>
    <row r="97" spans="1:68" ht="27" customHeight="1" x14ac:dyDescent="0.25">
      <c r="A97" s="54" t="s">
        <v>167</v>
      </c>
      <c r="B97" s="54" t="s">
        <v>168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0">
        <v>70</v>
      </c>
      <c r="Y98" s="381">
        <f>IFERROR(IF(X98="",0,CEILING((X98/$H98),1)*$H98),"")</f>
        <v>75.600000000000009</v>
      </c>
      <c r="Z98" s="36">
        <f>IFERROR(IF(Y98=0,"",ROUNDUP(Y98/H98,0)*0.02175),"")</f>
        <v>0.19574999999999998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74.7</v>
      </c>
      <c r="BN98" s="64">
        <f>IFERROR(Y98*I98/H98,"0")</f>
        <v>80.676000000000016</v>
      </c>
      <c r="BO98" s="64">
        <f>IFERROR(1/J98*(X98/H98),"0")</f>
        <v>0.14880952380952378</v>
      </c>
      <c r="BP98" s="64">
        <f>IFERROR(1/J98*(Y98/H98),"0")</f>
        <v>0.1607142857142857</v>
      </c>
    </row>
    <row r="99" spans="1:68" ht="27" customHeight="1" x14ac:dyDescent="0.25">
      <c r="A99" s="54" t="s">
        <v>170</v>
      </c>
      <c r="B99" s="54" t="s">
        <v>171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4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69</v>
      </c>
      <c r="Q100" s="402"/>
      <c r="R100" s="402"/>
      <c r="S100" s="402"/>
      <c r="T100" s="402"/>
      <c r="U100" s="402"/>
      <c r="V100" s="403"/>
      <c r="W100" s="37" t="s">
        <v>70</v>
      </c>
      <c r="X100" s="382">
        <f>IFERROR(X97/H97,"0")+IFERROR(X98/H98,"0")+IFERROR(X99/H99,"0")</f>
        <v>8.3333333333333321</v>
      </c>
      <c r="Y100" s="382">
        <f>IFERROR(Y97/H97,"0")+IFERROR(Y98/H98,"0")+IFERROR(Y99/H99,"0")</f>
        <v>9</v>
      </c>
      <c r="Z100" s="382">
        <f>IFERROR(IF(Z97="",0,Z97),"0")+IFERROR(IF(Z98="",0,Z98),"0")+IFERROR(IF(Z99="",0,Z99),"0")</f>
        <v>0.19574999999999998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69</v>
      </c>
      <c r="Q101" s="402"/>
      <c r="R101" s="402"/>
      <c r="S101" s="402"/>
      <c r="T101" s="402"/>
      <c r="U101" s="402"/>
      <c r="V101" s="403"/>
      <c r="W101" s="37" t="s">
        <v>68</v>
      </c>
      <c r="X101" s="382">
        <f>IFERROR(SUM(X97:X99),"0")</f>
        <v>70</v>
      </c>
      <c r="Y101" s="382">
        <f>IFERROR(SUM(Y97:Y99),"0")</f>
        <v>75.600000000000009</v>
      </c>
      <c r="Z101" s="37"/>
      <c r="AA101" s="383"/>
      <c r="AB101" s="383"/>
      <c r="AC101" s="383"/>
    </row>
    <row r="102" spans="1:68" ht="16.5" customHeight="1" x14ac:dyDescent="0.25">
      <c r="A102" s="397" t="s">
        <v>172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5"/>
      <c r="AB102" s="375"/>
      <c r="AC102" s="375"/>
    </row>
    <row r="103" spans="1:68" ht="14.25" customHeight="1" x14ac:dyDescent="0.25">
      <c r="A103" s="431" t="s">
        <v>109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0">
        <v>250</v>
      </c>
      <c r="Y104" s="381">
        <f>IFERROR(IF(X104="",0,CEILING((X104/$H104),1)*$H104),"")</f>
        <v>259.20000000000005</v>
      </c>
      <c r="Z104" s="36">
        <f>IFERROR(IF(Y104=0,"",ROUNDUP(Y104/H104,0)*0.02175),"")</f>
        <v>0.52200000000000002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261.11111111111109</v>
      </c>
      <c r="BN104" s="64">
        <f>IFERROR(Y104*I104/H104,"0")</f>
        <v>270.72000000000003</v>
      </c>
      <c r="BO104" s="64">
        <f>IFERROR(1/J104*(X104/H104),"0")</f>
        <v>0.41335978835978826</v>
      </c>
      <c r="BP104" s="64">
        <f>IFERROR(1/J104*(Y104/H104),"0")</f>
        <v>0.4285714285714286</v>
      </c>
    </row>
    <row r="105" spans="1:68" ht="16.5" customHeight="1" x14ac:dyDescent="0.25">
      <c r="A105" s="54" t="s">
        <v>175</v>
      </c>
      <c r="B105" s="54" t="s">
        <v>176</v>
      </c>
      <c r="C105" s="31">
        <v>4301011476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68</v>
      </c>
      <c r="X106" s="380">
        <v>225</v>
      </c>
      <c r="Y106" s="381">
        <f>IFERROR(IF(X106="",0,CEILING((X106/$H106),1)*$H106),"")</f>
        <v>225</v>
      </c>
      <c r="Z106" s="36">
        <f>IFERROR(IF(Y106=0,"",ROUNDUP(Y106/H106,0)*0.00937),"")</f>
        <v>0.46849999999999997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235.5</v>
      </c>
      <c r="BN106" s="64">
        <f>IFERROR(Y106*I106/H106,"0")</f>
        <v>235.5</v>
      </c>
      <c r="BO106" s="64">
        <f>IFERROR(1/J106*(X106/H106),"0")</f>
        <v>0.41666666666666669</v>
      </c>
      <c r="BP106" s="64">
        <f>IFERROR(1/J106*(Y106/H106),"0")</f>
        <v>0.41666666666666669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69</v>
      </c>
      <c r="Q107" s="402"/>
      <c r="R107" s="402"/>
      <c r="S107" s="402"/>
      <c r="T107" s="402"/>
      <c r="U107" s="402"/>
      <c r="V107" s="403"/>
      <c r="W107" s="37" t="s">
        <v>70</v>
      </c>
      <c r="X107" s="382">
        <f>IFERROR(X104/H104,"0")+IFERROR(X105/H105,"0")+IFERROR(X106/H106,"0")</f>
        <v>73.148148148148152</v>
      </c>
      <c r="Y107" s="382">
        <f>IFERROR(Y104/H104,"0")+IFERROR(Y105/H105,"0")+IFERROR(Y106/H106,"0")</f>
        <v>74</v>
      </c>
      <c r="Z107" s="382">
        <f>IFERROR(IF(Z104="",0,Z104),"0")+IFERROR(IF(Z105="",0,Z105),"0")+IFERROR(IF(Z106="",0,Z106),"0")</f>
        <v>0.99049999999999994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69</v>
      </c>
      <c r="Q108" s="402"/>
      <c r="R108" s="402"/>
      <c r="S108" s="402"/>
      <c r="T108" s="402"/>
      <c r="U108" s="402"/>
      <c r="V108" s="403"/>
      <c r="W108" s="37" t="s">
        <v>68</v>
      </c>
      <c r="X108" s="382">
        <f>IFERROR(SUM(X104:X106),"0")</f>
        <v>475</v>
      </c>
      <c r="Y108" s="382">
        <f>IFERROR(SUM(Y104:Y106),"0")</f>
        <v>484.20000000000005</v>
      </c>
      <c r="Z108" s="37"/>
      <c r="AA108" s="383"/>
      <c r="AB108" s="383"/>
      <c r="AC108" s="383"/>
    </row>
    <row r="109" spans="1:68" ht="14.25" customHeight="1" x14ac:dyDescent="0.25">
      <c r="A109" s="431" t="s">
        <v>71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6"/>
      <c r="AB109" s="376"/>
      <c r="AC109" s="376"/>
    </row>
    <row r="110" spans="1:68" ht="27" customHeight="1" x14ac:dyDescent="0.25">
      <c r="A110" s="54" t="s">
        <v>179</v>
      </c>
      <c r="B110" s="54" t="s">
        <v>180</v>
      </c>
      <c r="C110" s="31">
        <v>4301051437</v>
      </c>
      <c r="D110" s="384">
        <v>4607091386967</v>
      </c>
      <c r="E110" s="385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4">
        <v>4607091386967</v>
      </c>
      <c r="E111" s="385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0">
        <v>180</v>
      </c>
      <c r="Y111" s="381">
        <f>IFERROR(IF(X111="",0,CEILING((X111/$H111),1)*$H111),"")</f>
        <v>184.8</v>
      </c>
      <c r="Z111" s="36">
        <f>IFERROR(IF(Y111=0,"",ROUNDUP(Y111/H111,0)*0.02175),"")</f>
        <v>0.47849999999999998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192.08571428571429</v>
      </c>
      <c r="BN111" s="64">
        <f>IFERROR(Y111*I111/H111,"0")</f>
        <v>197.20800000000003</v>
      </c>
      <c r="BO111" s="64">
        <f>IFERROR(1/J111*(X111/H111),"0")</f>
        <v>0.38265306122448972</v>
      </c>
      <c r="BP111" s="64">
        <f>IFERROR(1/J111*(Y111/H111),"0")</f>
        <v>0.39285714285714285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0">
        <v>360</v>
      </c>
      <c r="Y112" s="381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customHeight="1" x14ac:dyDescent="0.25">
      <c r="A113" s="54" t="s">
        <v>184</v>
      </c>
      <c r="B113" s="54" t="s">
        <v>185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186</v>
      </c>
      <c r="B114" s="54" t="s">
        <v>187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69</v>
      </c>
      <c r="Q115" s="402"/>
      <c r="R115" s="402"/>
      <c r="S115" s="402"/>
      <c r="T115" s="402"/>
      <c r="U115" s="402"/>
      <c r="V115" s="403"/>
      <c r="W115" s="37" t="s">
        <v>70</v>
      </c>
      <c r="X115" s="382">
        <f>IFERROR(X110/H110,"0")+IFERROR(X111/H111,"0")+IFERROR(X112/H112,"0")+IFERROR(X113/H113,"0")+IFERROR(X114/H114,"0")</f>
        <v>154.76190476190473</v>
      </c>
      <c r="Y115" s="382">
        <f>IFERROR(Y110/H110,"0")+IFERROR(Y111/H111,"0")+IFERROR(Y112/H112,"0")+IFERROR(Y113/H113,"0")+IFERROR(Y114/H114,"0")</f>
        <v>156</v>
      </c>
      <c r="Z115" s="382">
        <f>IFERROR(IF(Z110="",0,Z110),"0")+IFERROR(IF(Z111="",0,Z111),"0")+IFERROR(IF(Z112="",0,Z112),"0")+IFERROR(IF(Z113="",0,Z113),"0")+IFERROR(IF(Z114="",0,Z114),"0")</f>
        <v>1.48752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69</v>
      </c>
      <c r="Q116" s="402"/>
      <c r="R116" s="402"/>
      <c r="S116" s="402"/>
      <c r="T116" s="402"/>
      <c r="U116" s="402"/>
      <c r="V116" s="403"/>
      <c r="W116" s="37" t="s">
        <v>68</v>
      </c>
      <c r="X116" s="382">
        <f>IFERROR(SUM(X110:X114),"0")</f>
        <v>540</v>
      </c>
      <c r="Y116" s="382">
        <f>IFERROR(SUM(Y110:Y114),"0")</f>
        <v>546.6</v>
      </c>
      <c r="Z116" s="37"/>
      <c r="AA116" s="383"/>
      <c r="AB116" s="383"/>
      <c r="AC116" s="383"/>
    </row>
    <row r="117" spans="1:68" ht="16.5" customHeight="1" x14ac:dyDescent="0.25">
      <c r="A117" s="397" t="s">
        <v>188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5"/>
      <c r="AB117" s="375"/>
      <c r="AC117" s="375"/>
    </row>
    <row r="118" spans="1:68" ht="14.25" customHeight="1" x14ac:dyDescent="0.25">
      <c r="A118" s="431" t="s">
        <v>109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6"/>
      <c r="AB118" s="376"/>
      <c r="AC118" s="376"/>
    </row>
    <row r="119" spans="1:68" ht="16.5" customHeight="1" x14ac:dyDescent="0.25">
      <c r="A119" s="54" t="s">
        <v>189</v>
      </c>
      <c r="B119" s="54" t="s">
        <v>190</v>
      </c>
      <c r="C119" s="31">
        <v>4301011514</v>
      </c>
      <c r="D119" s="384">
        <v>4680115882133</v>
      </c>
      <c r="E119" s="385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4">
        <v>4680115882133</v>
      </c>
      <c r="E120" s="385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0">
        <v>80</v>
      </c>
      <c r="Y120" s="381">
        <f>IFERROR(IF(X120="",0,CEILING((X120/$H120),1)*$H120),"")</f>
        <v>89.6</v>
      </c>
      <c r="Z120" s="36">
        <f>IFERROR(IF(Y120=0,"",ROUNDUP(Y120/H120,0)*0.02175),"")</f>
        <v>0.17399999999999999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83.428571428571431</v>
      </c>
      <c r="BN120" s="64">
        <f>IFERROR(Y120*I120/H120,"0")</f>
        <v>93.440000000000012</v>
      </c>
      <c r="BO120" s="64">
        <f>IFERROR(1/J120*(X120/H120),"0")</f>
        <v>0.12755102040816327</v>
      </c>
      <c r="BP120" s="64">
        <f>IFERROR(1/J120*(Y120/H120),"0")</f>
        <v>0.14285714285714285</v>
      </c>
    </row>
    <row r="121" spans="1:68" ht="16.5" customHeight="1" x14ac:dyDescent="0.25">
      <c r="A121" s="54" t="s">
        <v>192</v>
      </c>
      <c r="B121" s="54" t="s">
        <v>193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0">
        <v>405</v>
      </c>
      <c r="Y122" s="381">
        <f>IFERROR(IF(X122="",0,CEILING((X122/$H122),1)*$H122),"")</f>
        <v>405</v>
      </c>
      <c r="Z122" s="36">
        <f>IFERROR(IF(Y122=0,"",ROUNDUP(Y122/H122,0)*0.00937),"")</f>
        <v>0.84329999999999994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426.6</v>
      </c>
      <c r="BN122" s="64">
        <f>IFERROR(Y122*I122/H122,"0")</f>
        <v>426.6</v>
      </c>
      <c r="BO122" s="64">
        <f>IFERROR(1/J122*(X122/H122),"0")</f>
        <v>0.75</v>
      </c>
      <c r="BP122" s="64">
        <f>IFERROR(1/J122*(Y122/H122),"0")</f>
        <v>0.75</v>
      </c>
    </row>
    <row r="123" spans="1:68" ht="16.5" customHeight="1" x14ac:dyDescent="0.25">
      <c r="A123" s="54" t="s">
        <v>196</v>
      </c>
      <c r="B123" s="54" t="s">
        <v>197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69</v>
      </c>
      <c r="Q124" s="402"/>
      <c r="R124" s="402"/>
      <c r="S124" s="402"/>
      <c r="T124" s="402"/>
      <c r="U124" s="402"/>
      <c r="V124" s="403"/>
      <c r="W124" s="37" t="s">
        <v>70</v>
      </c>
      <c r="X124" s="382">
        <f>IFERROR(X119/H119,"0")+IFERROR(X120/H120,"0")+IFERROR(X121/H121,"0")+IFERROR(X122/H122,"0")+IFERROR(X123/H123,"0")</f>
        <v>97.142857142857139</v>
      </c>
      <c r="Y124" s="382">
        <f>IFERROR(Y119/H119,"0")+IFERROR(Y120/H120,"0")+IFERROR(Y121/H121,"0")+IFERROR(Y122/H122,"0")+IFERROR(Y123/H123,"0")</f>
        <v>98</v>
      </c>
      <c r="Z124" s="382">
        <f>IFERROR(IF(Z119="",0,Z119),"0")+IFERROR(IF(Z120="",0,Z120),"0")+IFERROR(IF(Z121="",0,Z121),"0")+IFERROR(IF(Z122="",0,Z122),"0")+IFERROR(IF(Z123="",0,Z123),"0")</f>
        <v>1.0172999999999999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69</v>
      </c>
      <c r="Q125" s="402"/>
      <c r="R125" s="402"/>
      <c r="S125" s="402"/>
      <c r="T125" s="402"/>
      <c r="U125" s="402"/>
      <c r="V125" s="403"/>
      <c r="W125" s="37" t="s">
        <v>68</v>
      </c>
      <c r="X125" s="382">
        <f>IFERROR(SUM(X119:X123),"0")</f>
        <v>485</v>
      </c>
      <c r="Y125" s="382">
        <f>IFERROR(SUM(Y119:Y123),"0")</f>
        <v>494.6</v>
      </c>
      <c r="Z125" s="37"/>
      <c r="AA125" s="383"/>
      <c r="AB125" s="383"/>
      <c r="AC125" s="383"/>
    </row>
    <row r="126" spans="1:68" ht="14.25" customHeight="1" x14ac:dyDescent="0.25">
      <c r="A126" s="431" t="s">
        <v>145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6"/>
      <c r="AB126" s="376"/>
      <c r="AC126" s="376"/>
    </row>
    <row r="127" spans="1:68" ht="16.5" customHeight="1" x14ac:dyDescent="0.25">
      <c r="A127" s="54" t="s">
        <v>198</v>
      </c>
      <c r="B127" s="54" t="s">
        <v>199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11" t="s">
        <v>200</v>
      </c>
      <c r="Q127" s="387"/>
      <c r="R127" s="387"/>
      <c r="S127" s="387"/>
      <c r="T127" s="388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198</v>
      </c>
      <c r="B128" s="54" t="s">
        <v>201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202</v>
      </c>
      <c r="B129" s="54" t="s">
        <v>203</v>
      </c>
      <c r="C129" s="31">
        <v>4301020346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6" t="s">
        <v>204</v>
      </c>
      <c r="Q129" s="387"/>
      <c r="R129" s="387"/>
      <c r="S129" s="387"/>
      <c r="T129" s="388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202</v>
      </c>
      <c r="B130" s="54" t="s">
        <v>205</v>
      </c>
      <c r="C130" s="31">
        <v>4301020258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7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87"/>
      <c r="R130" s="387"/>
      <c r="S130" s="387"/>
      <c r="T130" s="388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69</v>
      </c>
      <c r="Q132" s="402"/>
      <c r="R132" s="402"/>
      <c r="S132" s="402"/>
      <c r="T132" s="402"/>
      <c r="U132" s="402"/>
      <c r="V132" s="403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69</v>
      </c>
      <c r="Q133" s="402"/>
      <c r="R133" s="402"/>
      <c r="S133" s="402"/>
      <c r="T133" s="402"/>
      <c r="U133" s="402"/>
      <c r="V133" s="403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customHeight="1" x14ac:dyDescent="0.25">
      <c r="A134" s="431" t="s">
        <v>71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6"/>
      <c r="AB134" s="376"/>
      <c r="AC134" s="376"/>
    </row>
    <row r="135" spans="1:68" ht="16.5" customHeight="1" x14ac:dyDescent="0.25">
      <c r="A135" s="54" t="s">
        <v>208</v>
      </c>
      <c r="B135" s="54" t="s">
        <v>209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80">
        <v>600</v>
      </c>
      <c r="Y136" s="381">
        <f t="shared" si="21"/>
        <v>604.80000000000007</v>
      </c>
      <c r="Z136" s="36">
        <f>IFERROR(IF(Y136=0,"",ROUNDUP(Y136/H136,0)*0.02175),"")</f>
        <v>1.5659999999999998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639.85714285714289</v>
      </c>
      <c r="BN136" s="64">
        <f t="shared" si="23"/>
        <v>644.976</v>
      </c>
      <c r="BO136" s="64">
        <f t="shared" si="24"/>
        <v>1.2755102040816326</v>
      </c>
      <c r="BP136" s="64">
        <f t="shared" si="25"/>
        <v>1.2857142857142856</v>
      </c>
    </row>
    <row r="137" spans="1:68" ht="16.5" customHeight="1" x14ac:dyDescent="0.25">
      <c r="A137" s="54" t="s">
        <v>211</v>
      </c>
      <c r="B137" s="54" t="s">
        <v>212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80">
        <v>360</v>
      </c>
      <c r="Y138" s="381">
        <f t="shared" si="21"/>
        <v>361.8</v>
      </c>
      <c r="Z138" s="36">
        <f>IFERROR(IF(Y138=0,"",ROUNDUP(Y138/H138,0)*0.00753),"")</f>
        <v>1.00902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80">
        <v>15</v>
      </c>
      <c r="Y139" s="381">
        <f t="shared" si="21"/>
        <v>16.2</v>
      </c>
      <c r="Z139" s="36">
        <f>IFERROR(IF(Y139=0,"",ROUNDUP(Y139/H139,0)*0.00753),"")</f>
        <v>6.7769999999999997E-2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16.666666666666668</v>
      </c>
      <c r="BN139" s="64">
        <f t="shared" si="23"/>
        <v>18</v>
      </c>
      <c r="BO139" s="64">
        <f t="shared" si="24"/>
        <v>5.3418803418803423E-2</v>
      </c>
      <c r="BP139" s="64">
        <f t="shared" si="25"/>
        <v>5.7692307692307689E-2</v>
      </c>
    </row>
    <row r="140" spans="1:68" ht="16.5" customHeight="1" x14ac:dyDescent="0.25">
      <c r="A140" s="54" t="s">
        <v>217</v>
      </c>
      <c r="B140" s="54" t="s">
        <v>218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69</v>
      </c>
      <c r="Q141" s="402"/>
      <c r="R141" s="402"/>
      <c r="S141" s="402"/>
      <c r="T141" s="402"/>
      <c r="U141" s="402"/>
      <c r="V141" s="403"/>
      <c r="W141" s="37" t="s">
        <v>70</v>
      </c>
      <c r="X141" s="382">
        <f>IFERROR(X135/H135,"0")+IFERROR(X136/H136,"0")+IFERROR(X137/H137,"0")+IFERROR(X138/H138,"0")+IFERROR(X139/H139,"0")+IFERROR(X140/H140,"0")</f>
        <v>213.0952380952381</v>
      </c>
      <c r="Y141" s="382">
        <f>IFERROR(Y135/H135,"0")+IFERROR(Y136/H136,"0")+IFERROR(Y137/H137,"0")+IFERROR(Y138/H138,"0")+IFERROR(Y139/H139,"0")+IFERROR(Y140/H140,"0")</f>
        <v>215</v>
      </c>
      <c r="Z141" s="382">
        <f>IFERROR(IF(Z135="",0,Z135),"0")+IFERROR(IF(Z136="",0,Z136),"0")+IFERROR(IF(Z137="",0,Z137),"0")+IFERROR(IF(Z138="",0,Z138),"0")+IFERROR(IF(Z139="",0,Z139),"0")+IFERROR(IF(Z140="",0,Z140),"0")</f>
        <v>2.6427899999999998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69</v>
      </c>
      <c r="Q142" s="402"/>
      <c r="R142" s="402"/>
      <c r="S142" s="402"/>
      <c r="T142" s="402"/>
      <c r="U142" s="402"/>
      <c r="V142" s="403"/>
      <c r="W142" s="37" t="s">
        <v>68</v>
      </c>
      <c r="X142" s="382">
        <f>IFERROR(SUM(X135:X140),"0")</f>
        <v>975</v>
      </c>
      <c r="Y142" s="382">
        <f>IFERROR(SUM(Y135:Y140),"0")</f>
        <v>982.80000000000018</v>
      </c>
      <c r="Z142" s="37"/>
      <c r="AA142" s="383"/>
      <c r="AB142" s="383"/>
      <c r="AC142" s="383"/>
    </row>
    <row r="143" spans="1:68" ht="14.25" customHeight="1" x14ac:dyDescent="0.25">
      <c r="A143" s="431" t="s">
        <v>166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6"/>
      <c r="AB143" s="376"/>
      <c r="AC143" s="376"/>
    </row>
    <row r="144" spans="1:68" ht="27" customHeight="1" x14ac:dyDescent="0.25">
      <c r="A144" s="54" t="s">
        <v>219</v>
      </c>
      <c r="B144" s="54" t="s">
        <v>220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221</v>
      </c>
      <c r="B145" s="54" t="s">
        <v>222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80">
        <v>23.1</v>
      </c>
      <c r="Y145" s="381">
        <f>IFERROR(IF(X145="",0,CEILING((X145/$H145),1)*$H145),"")</f>
        <v>23.759999999999998</v>
      </c>
      <c r="Z145" s="36">
        <f>IFERROR(IF(Y145=0,"",ROUNDUP(Y145/H145,0)*0.00753),"")</f>
        <v>9.0359999999999996E-2</v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26.343333333333337</v>
      </c>
      <c r="BN145" s="64">
        <f>IFERROR(Y145*I145/H145,"0")</f>
        <v>27.095999999999997</v>
      </c>
      <c r="BO145" s="64">
        <f>IFERROR(1/J145*(X145/H145),"0")</f>
        <v>7.4786324786324798E-2</v>
      </c>
      <c r="BP145" s="64">
        <f>IFERROR(1/J145*(Y145/H145),"0")</f>
        <v>7.6923076923076913E-2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69</v>
      </c>
      <c r="Q146" s="402"/>
      <c r="R146" s="402"/>
      <c r="S146" s="402"/>
      <c r="T146" s="402"/>
      <c r="U146" s="402"/>
      <c r="V146" s="403"/>
      <c r="W146" s="37" t="s">
        <v>70</v>
      </c>
      <c r="X146" s="382">
        <f>IFERROR(X144/H144,"0")+IFERROR(X145/H145,"0")</f>
        <v>11.666666666666668</v>
      </c>
      <c r="Y146" s="382">
        <f>IFERROR(Y144/H144,"0")+IFERROR(Y145/H145,"0")</f>
        <v>11.999999999999998</v>
      </c>
      <c r="Z146" s="382">
        <f>IFERROR(IF(Z144="",0,Z144),"0")+IFERROR(IF(Z145="",0,Z145),"0")</f>
        <v>9.0359999999999996E-2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69</v>
      </c>
      <c r="Q147" s="402"/>
      <c r="R147" s="402"/>
      <c r="S147" s="402"/>
      <c r="T147" s="402"/>
      <c r="U147" s="402"/>
      <c r="V147" s="403"/>
      <c r="W147" s="37" t="s">
        <v>68</v>
      </c>
      <c r="X147" s="382">
        <f>IFERROR(SUM(X144:X145),"0")</f>
        <v>23.1</v>
      </c>
      <c r="Y147" s="382">
        <f>IFERROR(SUM(Y144:Y145),"0")</f>
        <v>23.759999999999998</v>
      </c>
      <c r="Z147" s="37"/>
      <c r="AA147" s="383"/>
      <c r="AB147" s="383"/>
      <c r="AC147" s="383"/>
    </row>
    <row r="148" spans="1:68" ht="16.5" customHeight="1" x14ac:dyDescent="0.25">
      <c r="A148" s="397" t="s">
        <v>223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5"/>
      <c r="AB148" s="375"/>
      <c r="AC148" s="375"/>
    </row>
    <row r="149" spans="1:68" ht="14.25" customHeight="1" x14ac:dyDescent="0.25">
      <c r="A149" s="431" t="s">
        <v>109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customHeight="1" x14ac:dyDescent="0.25">
      <c r="A151" s="54" t="s">
        <v>224</v>
      </c>
      <c r="B151" s="54" t="s">
        <v>226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69</v>
      </c>
      <c r="Q152" s="402"/>
      <c r="R152" s="402"/>
      <c r="S152" s="402"/>
      <c r="T152" s="402"/>
      <c r="U152" s="402"/>
      <c r="V152" s="403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69</v>
      </c>
      <c r="Q153" s="402"/>
      <c r="R153" s="402"/>
      <c r="S153" s="402"/>
      <c r="T153" s="402"/>
      <c r="U153" s="402"/>
      <c r="V153" s="403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customHeight="1" x14ac:dyDescent="0.25">
      <c r="A154" s="431" t="s">
        <v>63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customHeight="1" x14ac:dyDescent="0.25">
      <c r="A156" s="54" t="s">
        <v>227</v>
      </c>
      <c r="B156" s="54" t="s">
        <v>229</v>
      </c>
      <c r="C156" s="31">
        <v>4301031235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69</v>
      </c>
      <c r="Q157" s="402"/>
      <c r="R157" s="402"/>
      <c r="S157" s="402"/>
      <c r="T157" s="402"/>
      <c r="U157" s="402"/>
      <c r="V157" s="403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69</v>
      </c>
      <c r="Q158" s="402"/>
      <c r="R158" s="402"/>
      <c r="S158" s="402"/>
      <c r="T158" s="402"/>
      <c r="U158" s="402"/>
      <c r="V158" s="403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customHeight="1" x14ac:dyDescent="0.25">
      <c r="A159" s="431" t="s">
        <v>71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6"/>
      <c r="AB159" s="376"/>
      <c r="AC159" s="376"/>
    </row>
    <row r="160" spans="1:68" ht="16.5" customHeight="1" x14ac:dyDescent="0.25">
      <c r="A160" s="54" t="s">
        <v>230</v>
      </c>
      <c r="B160" s="54" t="s">
        <v>231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69</v>
      </c>
      <c r="Q162" s="402"/>
      <c r="R162" s="402"/>
      <c r="S162" s="402"/>
      <c r="T162" s="402"/>
      <c r="U162" s="402"/>
      <c r="V162" s="403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69</v>
      </c>
      <c r="Q163" s="402"/>
      <c r="R163" s="402"/>
      <c r="S163" s="402"/>
      <c r="T163" s="402"/>
      <c r="U163" s="402"/>
      <c r="V163" s="403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customHeight="1" x14ac:dyDescent="0.25">
      <c r="A164" s="397" t="s">
        <v>107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5"/>
      <c r="AB164" s="375"/>
      <c r="AC164" s="375"/>
    </row>
    <row r="165" spans="1:68" ht="14.25" customHeight="1" x14ac:dyDescent="0.25">
      <c r="A165" s="431" t="s">
        <v>109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6"/>
      <c r="AB165" s="376"/>
      <c r="AC165" s="376"/>
    </row>
    <row r="166" spans="1:68" ht="27" customHeight="1" x14ac:dyDescent="0.25">
      <c r="A166" s="54" t="s">
        <v>233</v>
      </c>
      <c r="B166" s="54" t="s">
        <v>234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80">
        <v>25</v>
      </c>
      <c r="Y167" s="381">
        <f>IFERROR(IF(X167="",0,CEILING((X167/$H167),1)*$H167),"")</f>
        <v>27</v>
      </c>
      <c r="Z167" s="36">
        <f>IFERROR(IF(Y167=0,"",ROUNDUP(Y167/H167,0)*0.00753),"")</f>
        <v>6.7769999999999997E-2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26.666666666666668</v>
      </c>
      <c r="BN167" s="64">
        <f>IFERROR(Y167*I167/H167,"0")</f>
        <v>28.8</v>
      </c>
      <c r="BO167" s="64">
        <f>IFERROR(1/J167*(X167/H167),"0")</f>
        <v>5.3418803418803423E-2</v>
      </c>
      <c r="BP167" s="64">
        <f>IFERROR(1/J167*(Y167/H167),"0")</f>
        <v>5.7692307692307689E-2</v>
      </c>
    </row>
    <row r="168" spans="1:68" ht="27" customHeight="1" x14ac:dyDescent="0.25">
      <c r="A168" s="54" t="s">
        <v>237</v>
      </c>
      <c r="B168" s="54" t="s">
        <v>238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9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69</v>
      </c>
      <c r="Q169" s="402"/>
      <c r="R169" s="402"/>
      <c r="S169" s="402"/>
      <c r="T169" s="402"/>
      <c r="U169" s="402"/>
      <c r="V169" s="403"/>
      <c r="W169" s="37" t="s">
        <v>70</v>
      </c>
      <c r="X169" s="382">
        <f>IFERROR(X166/H166,"0")+IFERROR(X167/H167,"0")+IFERROR(X168/H168,"0")</f>
        <v>8.3333333333333339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6.7769999999999997E-2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69</v>
      </c>
      <c r="Q170" s="402"/>
      <c r="R170" s="402"/>
      <c r="S170" s="402"/>
      <c r="T170" s="402"/>
      <c r="U170" s="402"/>
      <c r="V170" s="403"/>
      <c r="W170" s="37" t="s">
        <v>68</v>
      </c>
      <c r="X170" s="382">
        <f>IFERROR(SUM(X166:X168),"0")</f>
        <v>25</v>
      </c>
      <c r="Y170" s="382">
        <f>IFERROR(SUM(Y166:Y168),"0")</f>
        <v>27</v>
      </c>
      <c r="Z170" s="37"/>
      <c r="AA170" s="383"/>
      <c r="AB170" s="383"/>
      <c r="AC170" s="383"/>
    </row>
    <row r="171" spans="1:68" ht="14.25" customHeight="1" x14ac:dyDescent="0.25">
      <c r="A171" s="431" t="s">
        <v>63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6"/>
      <c r="AB171" s="376"/>
      <c r="AC171" s="376"/>
    </row>
    <row r="172" spans="1:68" ht="16.5" customHeight="1" x14ac:dyDescent="0.25">
      <c r="A172" s="54" t="s">
        <v>239</v>
      </c>
      <c r="B172" s="54" t="s">
        <v>240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241</v>
      </c>
      <c r="B173" s="54" t="s">
        <v>242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243</v>
      </c>
      <c r="B174" s="54" t="s">
        <v>244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245</v>
      </c>
      <c r="B175" s="54" t="s">
        <v>246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247</v>
      </c>
      <c r="B176" s="54" t="s">
        <v>248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69</v>
      </c>
      <c r="Q177" s="402"/>
      <c r="R177" s="402"/>
      <c r="S177" s="402"/>
      <c r="T177" s="402"/>
      <c r="U177" s="402"/>
      <c r="V177" s="403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69</v>
      </c>
      <c r="Q178" s="402"/>
      <c r="R178" s="402"/>
      <c r="S178" s="402"/>
      <c r="T178" s="402"/>
      <c r="U178" s="402"/>
      <c r="V178" s="403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1" t="s">
        <v>71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80">
        <v>40</v>
      </c>
      <c r="Y180" s="381">
        <f>IFERROR(IF(X180="",0,CEILING((X180/$H180),1)*$H180),"")</f>
        <v>42</v>
      </c>
      <c r="Z180" s="36">
        <f>IFERROR(IF(Y180=0,"",ROUNDUP(Y180/H180,0)*0.02175),"")</f>
        <v>0.10874999999999999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42.685714285714283</v>
      </c>
      <c r="BN180" s="64">
        <f>IFERROR(Y180*I180/H180,"0")</f>
        <v>44.82</v>
      </c>
      <c r="BO180" s="64">
        <f>IFERROR(1/J180*(X180/H180),"0")</f>
        <v>8.5034013605442174E-2</v>
      </c>
      <c r="BP180" s="64">
        <f>IFERROR(1/J180*(Y180/H180),"0")</f>
        <v>8.9285714285714274E-2</v>
      </c>
    </row>
    <row r="181" spans="1:68" ht="16.5" customHeight="1" x14ac:dyDescent="0.25">
      <c r="A181" s="54" t="s">
        <v>251</v>
      </c>
      <c r="B181" s="54" t="s">
        <v>252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80">
        <v>25</v>
      </c>
      <c r="Y182" s="381">
        <f>IFERROR(IF(X182="",0,CEILING((X182/$H182),1)*$H182),"")</f>
        <v>27</v>
      </c>
      <c r="Z182" s="36">
        <f>IFERROR(IF(Y182=0,"",ROUNDUP(Y182/H182,0)*0.00753),"")</f>
        <v>6.7769999999999997E-2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27.266666666666666</v>
      </c>
      <c r="BN182" s="64">
        <f>IFERROR(Y182*I182/H182,"0")</f>
        <v>29.447999999999997</v>
      </c>
      <c r="BO182" s="64">
        <f>IFERROR(1/J182*(X182/H182),"0")</f>
        <v>5.3418803418803423E-2</v>
      </c>
      <c r="BP182" s="64">
        <f>IFERROR(1/J182*(Y182/H182),"0")</f>
        <v>5.7692307692307689E-2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69</v>
      </c>
      <c r="Q183" s="402"/>
      <c r="R183" s="402"/>
      <c r="S183" s="402"/>
      <c r="T183" s="402"/>
      <c r="U183" s="402"/>
      <c r="V183" s="403"/>
      <c r="W183" s="37" t="s">
        <v>70</v>
      </c>
      <c r="X183" s="382">
        <f>IFERROR(X180/H180,"0")+IFERROR(X181/H181,"0")+IFERROR(X182/H182,"0")</f>
        <v>13.095238095238095</v>
      </c>
      <c r="Y183" s="382">
        <f>IFERROR(Y180/H180,"0")+IFERROR(Y181/H181,"0")+IFERROR(Y182/H182,"0")</f>
        <v>14</v>
      </c>
      <c r="Z183" s="382">
        <f>IFERROR(IF(Z180="",0,Z180),"0")+IFERROR(IF(Z181="",0,Z181),"0")+IFERROR(IF(Z182="",0,Z182),"0")</f>
        <v>0.17651999999999998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69</v>
      </c>
      <c r="Q184" s="402"/>
      <c r="R184" s="402"/>
      <c r="S184" s="402"/>
      <c r="T184" s="402"/>
      <c r="U184" s="402"/>
      <c r="V184" s="403"/>
      <c r="W184" s="37" t="s">
        <v>68</v>
      </c>
      <c r="X184" s="382">
        <f>IFERROR(SUM(X180:X182),"0")</f>
        <v>65</v>
      </c>
      <c r="Y184" s="382">
        <f>IFERROR(SUM(Y180:Y182),"0")</f>
        <v>69</v>
      </c>
      <c r="Z184" s="37"/>
      <c r="AA184" s="383"/>
      <c r="AB184" s="383"/>
      <c r="AC184" s="383"/>
    </row>
    <row r="185" spans="1:68" ht="27.75" customHeight="1" x14ac:dyDescent="0.2">
      <c r="A185" s="404" t="s">
        <v>255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256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5"/>
      <c r="AB186" s="375"/>
      <c r="AC186" s="375"/>
    </row>
    <row r="187" spans="1:68" ht="14.25" customHeight="1" x14ac:dyDescent="0.25">
      <c r="A187" s="431" t="s">
        <v>63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80">
        <v>80</v>
      </c>
      <c r="Y188" s="381">
        <f t="shared" ref="Y188:Y195" si="26">IFERROR(IF(X188="",0,CEILING((X188/$H188),1)*$H188),"")</f>
        <v>84</v>
      </c>
      <c r="Z188" s="36">
        <f>IFERROR(IF(Y188=0,"",ROUNDUP(Y188/H188,0)*0.00753),"")</f>
        <v>0.15060000000000001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84.952380952380949</v>
      </c>
      <c r="BN188" s="64">
        <f t="shared" ref="BN188:BN195" si="28">IFERROR(Y188*I188/H188,"0")</f>
        <v>89.199999999999989</v>
      </c>
      <c r="BO188" s="64">
        <f t="shared" ref="BO188:BO195" si="29">IFERROR(1/J188*(X188/H188),"0")</f>
        <v>0.1221001221001221</v>
      </c>
      <c r="BP188" s="64">
        <f t="shared" ref="BP188:BP195" si="30">IFERROR(1/J188*(Y188/H188),"0")</f>
        <v>0.12820512820512819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80">
        <v>40</v>
      </c>
      <c r="Y189" s="381">
        <f t="shared" si="26"/>
        <v>42</v>
      </c>
      <c r="Z189" s="36">
        <f>IFERROR(IF(Y189=0,"",ROUNDUP(Y189/H189,0)*0.00753),"")</f>
        <v>7.5300000000000006E-2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42.476190476190474</v>
      </c>
      <c r="BN189" s="64">
        <f t="shared" si="28"/>
        <v>44.599999999999994</v>
      </c>
      <c r="BO189" s="64">
        <f t="shared" si="29"/>
        <v>6.1050061050061048E-2</v>
      </c>
      <c r="BP189" s="64">
        <f t="shared" si="30"/>
        <v>6.4102564102564097E-2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0">
        <v>80</v>
      </c>
      <c r="Y190" s="381">
        <f t="shared" si="26"/>
        <v>84</v>
      </c>
      <c r="Z190" s="36">
        <f>IFERROR(IF(Y190=0,"",ROUNDUP(Y190/H190,0)*0.00753),"")</f>
        <v>0.15060000000000001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83.80952380952381</v>
      </c>
      <c r="BN190" s="64">
        <f t="shared" si="28"/>
        <v>88</v>
      </c>
      <c r="BO190" s="64">
        <f t="shared" si="29"/>
        <v>0.1221001221001221</v>
      </c>
      <c r="BP190" s="64">
        <f t="shared" si="30"/>
        <v>0.12820512820512819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80">
        <v>105</v>
      </c>
      <c r="Y191" s="381">
        <f t="shared" si="26"/>
        <v>105</v>
      </c>
      <c r="Z191" s="36">
        <f>IFERROR(IF(Y191=0,"",ROUNDUP(Y191/H191,0)*0.00502),"")</f>
        <v>0.251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111.5</v>
      </c>
      <c r="BN191" s="64">
        <f t="shared" si="28"/>
        <v>111.5</v>
      </c>
      <c r="BO191" s="64">
        <f t="shared" si="29"/>
        <v>0.21367521367521369</v>
      </c>
      <c r="BP191" s="64">
        <f t="shared" si="30"/>
        <v>0.21367521367521369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0">
        <v>122.5</v>
      </c>
      <c r="Y192" s="381">
        <f t="shared" si="26"/>
        <v>123.9</v>
      </c>
      <c r="Z192" s="36">
        <f>IFERROR(IF(Y192=0,"",ROUNDUP(Y192/H192,0)*0.00502),"")</f>
        <v>0.29618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130.08333333333334</v>
      </c>
      <c r="BN192" s="64">
        <f t="shared" si="28"/>
        <v>131.57</v>
      </c>
      <c r="BO192" s="64">
        <f t="shared" si="29"/>
        <v>0.2492877492877493</v>
      </c>
      <c r="BP192" s="64">
        <f t="shared" si="30"/>
        <v>0.25213675213675218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80">
        <v>157.5</v>
      </c>
      <c r="Y193" s="381">
        <f t="shared" si="26"/>
        <v>157.5</v>
      </c>
      <c r="Z193" s="36">
        <f>IFERROR(IF(Y193=0,"",ROUNDUP(Y193/H193,0)*0.00502),"")</f>
        <v>0.3765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165</v>
      </c>
      <c r="BN193" s="64">
        <f t="shared" si="28"/>
        <v>165</v>
      </c>
      <c r="BO193" s="64">
        <f t="shared" si="29"/>
        <v>0.32051282051282054</v>
      </c>
      <c r="BP193" s="64">
        <f t="shared" si="30"/>
        <v>0.32051282051282054</v>
      </c>
    </row>
    <row r="194" spans="1:68" ht="27" customHeight="1" x14ac:dyDescent="0.25">
      <c r="A194" s="54" t="s">
        <v>269</v>
      </c>
      <c r="B194" s="54" t="s">
        <v>270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271</v>
      </c>
      <c r="B195" s="54" t="s">
        <v>272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69</v>
      </c>
      <c r="Q196" s="402"/>
      <c r="R196" s="402"/>
      <c r="S196" s="402"/>
      <c r="T196" s="402"/>
      <c r="U196" s="402"/>
      <c r="V196" s="403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230.95238095238096</v>
      </c>
      <c r="Y196" s="382">
        <f>IFERROR(Y188/H188,"0")+IFERROR(Y189/H189,"0")+IFERROR(Y190/H190,"0")+IFERROR(Y191/H191,"0")+IFERROR(Y192/H192,"0")+IFERROR(Y193/H193,"0")+IFERROR(Y194/H194,"0")+IFERROR(Y195/H195,"0")</f>
        <v>234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1.3001800000000001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69</v>
      </c>
      <c r="Q197" s="402"/>
      <c r="R197" s="402"/>
      <c r="S197" s="402"/>
      <c r="T197" s="402"/>
      <c r="U197" s="402"/>
      <c r="V197" s="403"/>
      <c r="W197" s="37" t="s">
        <v>68</v>
      </c>
      <c r="X197" s="382">
        <f>IFERROR(SUM(X188:X195),"0")</f>
        <v>585</v>
      </c>
      <c r="Y197" s="382">
        <f>IFERROR(SUM(Y188:Y195),"0")</f>
        <v>596.4</v>
      </c>
      <c r="Z197" s="37"/>
      <c r="AA197" s="383"/>
      <c r="AB197" s="383"/>
      <c r="AC197" s="383"/>
    </row>
    <row r="198" spans="1:68" ht="16.5" customHeight="1" x14ac:dyDescent="0.25">
      <c r="A198" s="397" t="s">
        <v>273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5"/>
      <c r="AB198" s="375"/>
      <c r="AC198" s="375"/>
    </row>
    <row r="199" spans="1:68" ht="14.25" customHeight="1" x14ac:dyDescent="0.25">
      <c r="A199" s="431" t="s">
        <v>109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6"/>
      <c r="AB199" s="376"/>
      <c r="AC199" s="376"/>
    </row>
    <row r="200" spans="1:68" ht="16.5" customHeight="1" x14ac:dyDescent="0.25">
      <c r="A200" s="54" t="s">
        <v>274</v>
      </c>
      <c r="B200" s="54" t="s">
        <v>275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276</v>
      </c>
      <c r="B201" s="54" t="s">
        <v>277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69</v>
      </c>
      <c r="Q202" s="402"/>
      <c r="R202" s="402"/>
      <c r="S202" s="402"/>
      <c r="T202" s="402"/>
      <c r="U202" s="402"/>
      <c r="V202" s="403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69</v>
      </c>
      <c r="Q203" s="402"/>
      <c r="R203" s="402"/>
      <c r="S203" s="402"/>
      <c r="T203" s="402"/>
      <c r="U203" s="402"/>
      <c r="V203" s="403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1" t="s">
        <v>145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6"/>
      <c r="AB204" s="376"/>
      <c r="AC204" s="376"/>
    </row>
    <row r="205" spans="1:68" ht="16.5" customHeight="1" x14ac:dyDescent="0.25">
      <c r="A205" s="54" t="s">
        <v>278</v>
      </c>
      <c r="B205" s="54" t="s">
        <v>279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280</v>
      </c>
      <c r="B206" s="54" t="s">
        <v>281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69</v>
      </c>
      <c r="Q207" s="402"/>
      <c r="R207" s="402"/>
      <c r="S207" s="402"/>
      <c r="T207" s="402"/>
      <c r="U207" s="402"/>
      <c r="V207" s="403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69</v>
      </c>
      <c r="Q208" s="402"/>
      <c r="R208" s="402"/>
      <c r="S208" s="402"/>
      <c r="T208" s="402"/>
      <c r="U208" s="402"/>
      <c r="V208" s="403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1" t="s">
        <v>63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0">
        <v>140</v>
      </c>
      <c r="Y210" s="381">
        <f t="shared" ref="Y210:Y217" si="31">IFERROR(IF(X210="",0,CEILING((X210/$H210),1)*$H210),"")</f>
        <v>140.4</v>
      </c>
      <c r="Z210" s="36">
        <f>IFERROR(IF(Y210=0,"",ROUNDUP(Y210/H210,0)*0.00937),"")</f>
        <v>0.24362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145.44444444444446</v>
      </c>
      <c r="BN210" s="64">
        <f t="shared" ref="BN210:BN217" si="33">IFERROR(Y210*I210/H210,"0")</f>
        <v>145.86000000000001</v>
      </c>
      <c r="BO210" s="64">
        <f t="shared" ref="BO210:BO217" si="34">IFERROR(1/J210*(X210/H210),"0")</f>
        <v>0.21604938271604937</v>
      </c>
      <c r="BP210" s="64">
        <f t="shared" ref="BP210:BP217" si="35">IFERROR(1/J210*(Y210/H210),"0")</f>
        <v>0.21666666666666667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0">
        <v>100</v>
      </c>
      <c r="Y211" s="381">
        <f t="shared" si="31"/>
        <v>102.60000000000001</v>
      </c>
      <c r="Z211" s="36">
        <f>IFERROR(IF(Y211=0,"",ROUNDUP(Y211/H211,0)*0.00937),"")</f>
        <v>0.17802999999999999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103.88888888888889</v>
      </c>
      <c r="BN211" s="64">
        <f t="shared" si="33"/>
        <v>106.59000000000002</v>
      </c>
      <c r="BO211" s="64">
        <f t="shared" si="34"/>
        <v>0.15432098765432098</v>
      </c>
      <c r="BP211" s="64">
        <f t="shared" si="35"/>
        <v>0.15833333333333333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0">
        <v>200</v>
      </c>
      <c r="Y212" s="381">
        <f t="shared" si="31"/>
        <v>205.20000000000002</v>
      </c>
      <c r="Z212" s="36">
        <f>IFERROR(IF(Y212=0,"",ROUNDUP(Y212/H212,0)*0.00937),"")</f>
        <v>0.35605999999999999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207.77777777777777</v>
      </c>
      <c r="BN212" s="64">
        <f t="shared" si="33"/>
        <v>213.18000000000004</v>
      </c>
      <c r="BO212" s="64">
        <f t="shared" si="34"/>
        <v>0.30864197530864196</v>
      </c>
      <c r="BP212" s="64">
        <f t="shared" si="35"/>
        <v>0.31666666666666665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0">
        <v>130</v>
      </c>
      <c r="Y213" s="381">
        <f t="shared" si="31"/>
        <v>135</v>
      </c>
      <c r="Z213" s="36">
        <f>IFERROR(IF(Y213=0,"",ROUNDUP(Y213/H213,0)*0.00937),"")</f>
        <v>0.23424999999999999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135.05555555555557</v>
      </c>
      <c r="BN213" s="64">
        <f t="shared" si="33"/>
        <v>140.25</v>
      </c>
      <c r="BO213" s="64">
        <f t="shared" si="34"/>
        <v>0.20061728395061726</v>
      </c>
      <c r="BP213" s="64">
        <f t="shared" si="35"/>
        <v>0.20833333333333334</v>
      </c>
    </row>
    <row r="214" spans="1:68" ht="27" customHeight="1" x14ac:dyDescent="0.25">
      <c r="A214" s="54" t="s">
        <v>290</v>
      </c>
      <c r="B214" s="54" t="s">
        <v>291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292</v>
      </c>
      <c r="B215" s="54" t="s">
        <v>293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294</v>
      </c>
      <c r="B216" s="54" t="s">
        <v>295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296</v>
      </c>
      <c r="B217" s="54" t="s">
        <v>297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69</v>
      </c>
      <c r="Q218" s="402"/>
      <c r="R218" s="402"/>
      <c r="S218" s="402"/>
      <c r="T218" s="402"/>
      <c r="U218" s="402"/>
      <c r="V218" s="403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105.55555555555556</v>
      </c>
      <c r="Y218" s="382">
        <f>IFERROR(Y210/H210,"0")+IFERROR(Y211/H211,"0")+IFERROR(Y212/H212,"0")+IFERROR(Y213/H213,"0")+IFERROR(Y214/H214,"0")+IFERROR(Y215/H215,"0")+IFERROR(Y216/H216,"0")+IFERROR(Y217/H217,"0")</f>
        <v>108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1.01196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69</v>
      </c>
      <c r="Q219" s="402"/>
      <c r="R219" s="402"/>
      <c r="S219" s="402"/>
      <c r="T219" s="402"/>
      <c r="U219" s="402"/>
      <c r="V219" s="403"/>
      <c r="W219" s="37" t="s">
        <v>68</v>
      </c>
      <c r="X219" s="382">
        <f>IFERROR(SUM(X210:X217),"0")</f>
        <v>570</v>
      </c>
      <c r="Y219" s="382">
        <f>IFERROR(SUM(Y210:Y217),"0")</f>
        <v>583.20000000000005</v>
      </c>
      <c r="Z219" s="37"/>
      <c r="AA219" s="383"/>
      <c r="AB219" s="383"/>
      <c r="AC219" s="383"/>
    </row>
    <row r="220" spans="1:68" ht="14.25" customHeight="1" x14ac:dyDescent="0.25">
      <c r="A220" s="431" t="s">
        <v>71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6"/>
      <c r="AB220" s="376"/>
      <c r="AC220" s="376"/>
    </row>
    <row r="221" spans="1:68" ht="27" customHeight="1" x14ac:dyDescent="0.25">
      <c r="A221" s="54" t="s">
        <v>298</v>
      </c>
      <c r="B221" s="54" t="s">
        <v>299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300</v>
      </c>
      <c r="B222" s="54" t="s">
        <v>301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302</v>
      </c>
      <c r="B223" s="54" t="s">
        <v>303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80">
        <v>200</v>
      </c>
      <c r="Y224" s="381">
        <f t="shared" si="36"/>
        <v>200.1</v>
      </c>
      <c r="Z224" s="36">
        <f>IFERROR(IF(Y224=0,"",ROUNDUP(Y224/H224,0)*0.02175),"")</f>
        <v>0.50024999999999997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212.96551724137933</v>
      </c>
      <c r="BN224" s="64">
        <f t="shared" si="38"/>
        <v>213.072</v>
      </c>
      <c r="BO224" s="64">
        <f t="shared" si="39"/>
        <v>0.41050903119868637</v>
      </c>
      <c r="BP224" s="64">
        <f t="shared" si="40"/>
        <v>0.4107142857142857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80">
        <v>240</v>
      </c>
      <c r="Y225" s="381">
        <f t="shared" si="36"/>
        <v>240</v>
      </c>
      <c r="Z225" s="36">
        <f t="shared" ref="Z225:Z231" si="41">IFERROR(IF(Y225=0,"",ROUNDUP(Y225/H225,0)*0.00753),"")</f>
        <v>0.753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269</v>
      </c>
      <c r="BN225" s="64">
        <f t="shared" si="38"/>
        <v>269</v>
      </c>
      <c r="BO225" s="64">
        <f t="shared" si="39"/>
        <v>0.64102564102564097</v>
      </c>
      <c r="BP225" s="64">
        <f t="shared" si="40"/>
        <v>0.64102564102564097</v>
      </c>
    </row>
    <row r="226" spans="1:68" ht="27" customHeight="1" x14ac:dyDescent="0.25">
      <c r="A226" s="54" t="s">
        <v>308</v>
      </c>
      <c r="B226" s="54" t="s">
        <v>309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6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80">
        <v>360</v>
      </c>
      <c r="Y227" s="381">
        <f t="shared" si="36"/>
        <v>360</v>
      </c>
      <c r="Z227" s="36">
        <f t="shared" si="41"/>
        <v>1.1294999999999999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400.80000000000007</v>
      </c>
      <c r="BN227" s="64">
        <f t="shared" si="38"/>
        <v>400.80000000000007</v>
      </c>
      <c r="BO227" s="64">
        <f t="shared" si="39"/>
        <v>0.96153846153846145</v>
      </c>
      <c r="BP227" s="64">
        <f t="shared" si="40"/>
        <v>0.96153846153846145</v>
      </c>
    </row>
    <row r="228" spans="1:68" ht="27" customHeight="1" x14ac:dyDescent="0.25">
      <c r="A228" s="54" t="s">
        <v>312</v>
      </c>
      <c r="B228" s="54" t="s">
        <v>313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314</v>
      </c>
      <c r="B229" s="54" t="s">
        <v>315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9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80">
        <v>100</v>
      </c>
      <c r="Y230" s="381">
        <f t="shared" si="36"/>
        <v>100.8</v>
      </c>
      <c r="Z230" s="36">
        <f t="shared" si="41"/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111.33333333333333</v>
      </c>
      <c r="BN230" s="64">
        <f t="shared" si="38"/>
        <v>112.224</v>
      </c>
      <c r="BO230" s="64">
        <f t="shared" si="39"/>
        <v>0.26709401709401709</v>
      </c>
      <c r="BP230" s="64">
        <f t="shared" si="40"/>
        <v>0.26923076923076922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80">
        <v>200</v>
      </c>
      <c r="Y231" s="381">
        <f t="shared" si="36"/>
        <v>201.6</v>
      </c>
      <c r="Z231" s="36">
        <f t="shared" si="41"/>
        <v>0.63251999999999997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223.16666666666669</v>
      </c>
      <c r="BN231" s="64">
        <f t="shared" si="38"/>
        <v>224.95199999999997</v>
      </c>
      <c r="BO231" s="64">
        <f t="shared" si="39"/>
        <v>0.53418803418803418</v>
      </c>
      <c r="BP231" s="64">
        <f t="shared" si="40"/>
        <v>0.53846153846153844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69</v>
      </c>
      <c r="Q232" s="402"/>
      <c r="R232" s="402"/>
      <c r="S232" s="402"/>
      <c r="T232" s="402"/>
      <c r="U232" s="402"/>
      <c r="V232" s="403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397.98850574712651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399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3.3315299999999994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69</v>
      </c>
      <c r="Q233" s="402"/>
      <c r="R233" s="402"/>
      <c r="S233" s="402"/>
      <c r="T233" s="402"/>
      <c r="U233" s="402"/>
      <c r="V233" s="403"/>
      <c r="W233" s="37" t="s">
        <v>68</v>
      </c>
      <c r="X233" s="382">
        <f>IFERROR(SUM(X221:X231),"0")</f>
        <v>1100</v>
      </c>
      <c r="Y233" s="382">
        <f>IFERROR(SUM(Y221:Y231),"0")</f>
        <v>1102.5</v>
      </c>
      <c r="Z233" s="37"/>
      <c r="AA233" s="383"/>
      <c r="AB233" s="383"/>
      <c r="AC233" s="383"/>
    </row>
    <row r="234" spans="1:68" ht="14.25" customHeight="1" x14ac:dyDescent="0.25">
      <c r="A234" s="431" t="s">
        <v>166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6"/>
      <c r="AB234" s="376"/>
      <c r="AC234" s="376"/>
    </row>
    <row r="235" spans="1:68" ht="16.5" customHeight="1" x14ac:dyDescent="0.25">
      <c r="A235" s="54" t="s">
        <v>320</v>
      </c>
      <c r="B235" s="54" t="s">
        <v>321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320</v>
      </c>
      <c r="B236" s="54" t="s">
        <v>322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323</v>
      </c>
      <c r="B237" s="54" t="s">
        <v>324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80">
        <v>40</v>
      </c>
      <c r="Y238" s="381">
        <f>IFERROR(IF(X238="",0,CEILING((X238/$H238),1)*$H238),"")</f>
        <v>40.799999999999997</v>
      </c>
      <c r="Z238" s="36">
        <f>IFERROR(IF(Y238=0,"",ROUNDUP(Y238/H238,0)*0.00753),"")</f>
        <v>0.12801000000000001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44.533333333333339</v>
      </c>
      <c r="BN238" s="64">
        <f>IFERROR(Y238*I238/H238,"0")</f>
        <v>45.423999999999999</v>
      </c>
      <c r="BO238" s="64">
        <f>IFERROR(1/J238*(X238/H238),"0")</f>
        <v>0.10683760683760685</v>
      </c>
      <c r="BP238" s="64">
        <f>IFERROR(1/J238*(Y238/H238),"0")</f>
        <v>0.10897435897435898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80">
        <v>40</v>
      </c>
      <c r="Y239" s="381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69</v>
      </c>
      <c r="Q240" s="402"/>
      <c r="R240" s="402"/>
      <c r="S240" s="402"/>
      <c r="T240" s="402"/>
      <c r="U240" s="402"/>
      <c r="V240" s="403"/>
      <c r="W240" s="37" t="s">
        <v>70</v>
      </c>
      <c r="X240" s="382">
        <f>IFERROR(X235/H235,"0")+IFERROR(X236/H236,"0")+IFERROR(X237/H237,"0")+IFERROR(X238/H238,"0")+IFERROR(X239/H239,"0")</f>
        <v>33.333333333333336</v>
      </c>
      <c r="Y240" s="382">
        <f>IFERROR(Y235/H235,"0")+IFERROR(Y236/H236,"0")+IFERROR(Y237/H237,"0")+IFERROR(Y238/H238,"0")+IFERROR(Y239/H239,"0")</f>
        <v>34</v>
      </c>
      <c r="Z240" s="382">
        <f>IFERROR(IF(Z235="",0,Z235),"0")+IFERROR(IF(Z236="",0,Z236),"0")+IFERROR(IF(Z237="",0,Z237),"0")+IFERROR(IF(Z238="",0,Z238),"0")+IFERROR(IF(Z239="",0,Z239),"0")</f>
        <v>0.25602000000000003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69</v>
      </c>
      <c r="Q241" s="402"/>
      <c r="R241" s="402"/>
      <c r="S241" s="402"/>
      <c r="T241" s="402"/>
      <c r="U241" s="402"/>
      <c r="V241" s="403"/>
      <c r="W241" s="37" t="s">
        <v>68</v>
      </c>
      <c r="X241" s="382">
        <f>IFERROR(SUM(X235:X239),"0")</f>
        <v>80</v>
      </c>
      <c r="Y241" s="382">
        <f>IFERROR(SUM(Y235:Y239),"0")</f>
        <v>81.599999999999994</v>
      </c>
      <c r="Z241" s="37"/>
      <c r="AA241" s="383"/>
      <c r="AB241" s="383"/>
      <c r="AC241" s="383"/>
    </row>
    <row r="242" spans="1:68" ht="16.5" customHeight="1" x14ac:dyDescent="0.25">
      <c r="A242" s="397" t="s">
        <v>329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5"/>
      <c r="AB242" s="375"/>
      <c r="AC242" s="375"/>
    </row>
    <row r="243" spans="1:68" ht="14.25" customHeight="1" x14ac:dyDescent="0.25">
      <c r="A243" s="431" t="s">
        <v>109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6"/>
      <c r="AB243" s="376"/>
      <c r="AC243" s="376"/>
    </row>
    <row r="244" spans="1:68" ht="27" customHeight="1" x14ac:dyDescent="0.25">
      <c r="A244" s="54" t="s">
        <v>330</v>
      </c>
      <c r="B244" s="54" t="s">
        <v>331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3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335</v>
      </c>
      <c r="B248" s="54" t="s">
        <v>337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338</v>
      </c>
      <c r="B249" s="54" t="s">
        <v>339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340</v>
      </c>
      <c r="B250" s="54" t="s">
        <v>341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80">
        <v>28</v>
      </c>
      <c r="Y251" s="381">
        <f t="shared" si="42"/>
        <v>28</v>
      </c>
      <c r="Z251" s="36">
        <f>IFERROR(IF(Y251=0,"",ROUNDUP(Y251/H251,0)*0.00937),"")</f>
        <v>6.5589999999999996E-2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29.68</v>
      </c>
      <c r="BN251" s="64">
        <f t="shared" si="44"/>
        <v>29.68</v>
      </c>
      <c r="BO251" s="64">
        <f t="shared" si="45"/>
        <v>5.8333333333333334E-2</v>
      </c>
      <c r="BP251" s="64">
        <f t="shared" si="46"/>
        <v>5.8333333333333334E-2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69</v>
      </c>
      <c r="Q252" s="402"/>
      <c r="R252" s="402"/>
      <c r="S252" s="402"/>
      <c r="T252" s="402"/>
      <c r="U252" s="402"/>
      <c r="V252" s="403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7</v>
      </c>
      <c r="Y252" s="382">
        <f>IFERROR(Y244/H244,"0")+IFERROR(Y245/H245,"0")+IFERROR(Y246/H246,"0")+IFERROR(Y247/H247,"0")+IFERROR(Y248/H248,"0")+IFERROR(Y249/H249,"0")+IFERROR(Y250/H250,"0")+IFERROR(Y251/H251,"0")</f>
        <v>7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6.5589999999999996E-2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69</v>
      </c>
      <c r="Q253" s="402"/>
      <c r="R253" s="402"/>
      <c r="S253" s="402"/>
      <c r="T253" s="402"/>
      <c r="U253" s="402"/>
      <c r="V253" s="403"/>
      <c r="W253" s="37" t="s">
        <v>68</v>
      </c>
      <c r="X253" s="382">
        <f>IFERROR(SUM(X244:X251),"0")</f>
        <v>28</v>
      </c>
      <c r="Y253" s="382">
        <f>IFERROR(SUM(Y244:Y251),"0")</f>
        <v>28</v>
      </c>
      <c r="Z253" s="37"/>
      <c r="AA253" s="383"/>
      <c r="AB253" s="383"/>
      <c r="AC253" s="383"/>
    </row>
    <row r="254" spans="1:68" ht="16.5" customHeight="1" x14ac:dyDescent="0.25">
      <c r="A254" s="397" t="s">
        <v>344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5"/>
      <c r="AB254" s="375"/>
      <c r="AC254" s="375"/>
    </row>
    <row r="255" spans="1:68" ht="14.25" customHeight="1" x14ac:dyDescent="0.25">
      <c r="A255" s="431" t="s">
        <v>109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6"/>
      <c r="AB255" s="376"/>
      <c r="AC255" s="376"/>
    </row>
    <row r="256" spans="1:68" ht="27" customHeight="1" x14ac:dyDescent="0.25">
      <c r="A256" s="54" t="s">
        <v>345</v>
      </c>
      <c r="B256" s="54" t="s">
        <v>346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4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0">
        <v>40</v>
      </c>
      <c r="Y257" s="381">
        <f t="shared" si="47"/>
        <v>46.4</v>
      </c>
      <c r="Z257" s="36">
        <f>IFERROR(IF(Y257=0,"",ROUNDUP(Y257/H257,0)*0.02175),"")</f>
        <v>8.6999999999999994E-2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41.655172413793103</v>
      </c>
      <c r="BN257" s="64">
        <f t="shared" si="49"/>
        <v>48.319999999999993</v>
      </c>
      <c r="BO257" s="64">
        <f t="shared" si="50"/>
        <v>6.1576354679802957E-2</v>
      </c>
      <c r="BP257" s="64">
        <f t="shared" si="51"/>
        <v>7.1428571428571425E-2</v>
      </c>
    </row>
    <row r="258" spans="1:68" ht="27" customHeight="1" x14ac:dyDescent="0.25">
      <c r="A258" s="54" t="s">
        <v>348</v>
      </c>
      <c r="B258" s="54" t="s">
        <v>349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80">
        <v>40</v>
      </c>
      <c r="Y259" s="381">
        <f t="shared" si="47"/>
        <v>46.4</v>
      </c>
      <c r="Z259" s="36">
        <f>IFERROR(IF(Y259=0,"",ROUNDUP(Y259/H259,0)*0.02175),"")</f>
        <v>8.6999999999999994E-2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41.655172413793103</v>
      </c>
      <c r="BN259" s="64">
        <f t="shared" si="49"/>
        <v>48.319999999999993</v>
      </c>
      <c r="BO259" s="64">
        <f t="shared" si="50"/>
        <v>6.1576354679802957E-2</v>
      </c>
      <c r="BP259" s="64">
        <f t="shared" si="51"/>
        <v>7.1428571428571425E-2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0">
        <v>20</v>
      </c>
      <c r="Y260" s="381">
        <f t="shared" si="47"/>
        <v>20</v>
      </c>
      <c r="Z260" s="36">
        <f>IFERROR(IF(Y260=0,"",ROUNDUP(Y260/H260,0)*0.00937),"")</f>
        <v>4.6850000000000003E-2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21.200000000000003</v>
      </c>
      <c r="BN260" s="64">
        <f t="shared" si="49"/>
        <v>21.200000000000003</v>
      </c>
      <c r="BO260" s="64">
        <f t="shared" si="50"/>
        <v>4.1666666666666664E-2</v>
      </c>
      <c r="BP260" s="64">
        <f t="shared" si="51"/>
        <v>4.1666666666666664E-2</v>
      </c>
    </row>
    <row r="261" spans="1:68" ht="27" customHeight="1" x14ac:dyDescent="0.25">
      <c r="A261" s="54" t="s">
        <v>354</v>
      </c>
      <c r="B261" s="54" t="s">
        <v>355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356</v>
      </c>
      <c r="B262" s="54" t="s">
        <v>357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80">
        <v>68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72.08</v>
      </c>
      <c r="BN263" s="64">
        <f t="shared" si="49"/>
        <v>72.08</v>
      </c>
      <c r="BO263" s="64">
        <f t="shared" si="50"/>
        <v>0.14166666666666666</v>
      </c>
      <c r="BP263" s="64">
        <f t="shared" si="51"/>
        <v>0.14166666666666666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69</v>
      </c>
      <c r="Q264" s="402"/>
      <c r="R264" s="402"/>
      <c r="S264" s="402"/>
      <c r="T264" s="402"/>
      <c r="U264" s="402"/>
      <c r="V264" s="403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28.896551724137932</v>
      </c>
      <c r="Y264" s="382">
        <f>IFERROR(Y256/H256,"0")+IFERROR(Y257/H257,"0")+IFERROR(Y258/H258,"0")+IFERROR(Y259/H259,"0")+IFERROR(Y260/H260,"0")+IFERROR(Y261/H261,"0")+IFERROR(Y262/H262,"0")+IFERROR(Y263/H263,"0")</f>
        <v>30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0.38013999999999998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69</v>
      </c>
      <c r="Q265" s="402"/>
      <c r="R265" s="402"/>
      <c r="S265" s="402"/>
      <c r="T265" s="402"/>
      <c r="U265" s="402"/>
      <c r="V265" s="403"/>
      <c r="W265" s="37" t="s">
        <v>68</v>
      </c>
      <c r="X265" s="382">
        <f>IFERROR(SUM(X256:X263),"0")</f>
        <v>168</v>
      </c>
      <c r="Y265" s="382">
        <f>IFERROR(SUM(Y256:Y263),"0")</f>
        <v>180.8</v>
      </c>
      <c r="Z265" s="37"/>
      <c r="AA265" s="383"/>
      <c r="AB265" s="383"/>
      <c r="AC265" s="383"/>
    </row>
    <row r="266" spans="1:68" ht="16.5" customHeight="1" x14ac:dyDescent="0.25">
      <c r="A266" s="397" t="s">
        <v>360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5"/>
      <c r="AB266" s="375"/>
      <c r="AC266" s="375"/>
    </row>
    <row r="267" spans="1:68" ht="14.25" customHeight="1" x14ac:dyDescent="0.25">
      <c r="A267" s="431" t="s">
        <v>109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6"/>
      <c r="AB267" s="376"/>
      <c r="AC267" s="376"/>
    </row>
    <row r="268" spans="1:68" ht="27" customHeight="1" x14ac:dyDescent="0.25">
      <c r="A268" s="54" t="s">
        <v>361</v>
      </c>
      <c r="B268" s="54" t="s">
        <v>362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363</v>
      </c>
      <c r="B269" s="54" t="s">
        <v>364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72" t="s">
        <v>365</v>
      </c>
      <c r="Q269" s="387"/>
      <c r="R269" s="387"/>
      <c r="S269" s="387"/>
      <c r="T269" s="388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363</v>
      </c>
      <c r="B270" s="54" t="s">
        <v>366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367</v>
      </c>
      <c r="B271" s="54" t="s">
        <v>368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369</v>
      </c>
      <c r="B272" s="54" t="s">
        <v>370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371</v>
      </c>
      <c r="B273" s="54" t="s">
        <v>372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69</v>
      </c>
      <c r="Q274" s="402"/>
      <c r="R274" s="402"/>
      <c r="S274" s="402"/>
      <c r="T274" s="402"/>
      <c r="U274" s="402"/>
      <c r="V274" s="403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69</v>
      </c>
      <c r="Q275" s="402"/>
      <c r="R275" s="402"/>
      <c r="S275" s="402"/>
      <c r="T275" s="402"/>
      <c r="U275" s="402"/>
      <c r="V275" s="403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373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5"/>
      <c r="AB276" s="375"/>
      <c r="AC276" s="375"/>
    </row>
    <row r="277" spans="1:68" ht="14.25" customHeight="1" x14ac:dyDescent="0.25">
      <c r="A277" s="431" t="s">
        <v>109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6"/>
      <c r="AB277" s="376"/>
      <c r="AC277" s="376"/>
    </row>
    <row r="278" spans="1:68" ht="27" customHeight="1" x14ac:dyDescent="0.25">
      <c r="A278" s="54" t="s">
        <v>374</v>
      </c>
      <c r="B278" s="54" t="s">
        <v>375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69</v>
      </c>
      <c r="Q279" s="402"/>
      <c r="R279" s="402"/>
      <c r="S279" s="402"/>
      <c r="T279" s="402"/>
      <c r="U279" s="402"/>
      <c r="V279" s="403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69</v>
      </c>
      <c r="Q280" s="402"/>
      <c r="R280" s="402"/>
      <c r="S280" s="402"/>
      <c r="T280" s="402"/>
      <c r="U280" s="402"/>
      <c r="V280" s="403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376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5"/>
      <c r="AB281" s="375"/>
      <c r="AC281" s="375"/>
    </row>
    <row r="282" spans="1:68" ht="14.25" customHeight="1" x14ac:dyDescent="0.25">
      <c r="A282" s="431" t="s">
        <v>109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6"/>
      <c r="AB282" s="376"/>
      <c r="AC282" s="376"/>
    </row>
    <row r="283" spans="1:68" ht="27" customHeight="1" x14ac:dyDescent="0.25">
      <c r="A283" s="54" t="s">
        <v>377</v>
      </c>
      <c r="B283" s="54" t="s">
        <v>378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379</v>
      </c>
      <c r="B284" s="54" t="s">
        <v>380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381</v>
      </c>
      <c r="B285" s="54" t="s">
        <v>382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69</v>
      </c>
      <c r="Q286" s="402"/>
      <c r="R286" s="402"/>
      <c r="S286" s="402"/>
      <c r="T286" s="402"/>
      <c r="U286" s="402"/>
      <c r="V286" s="403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69</v>
      </c>
      <c r="Q287" s="402"/>
      <c r="R287" s="402"/>
      <c r="S287" s="402"/>
      <c r="T287" s="402"/>
      <c r="U287" s="402"/>
      <c r="V287" s="403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383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5"/>
      <c r="AB288" s="375"/>
      <c r="AC288" s="375"/>
    </row>
    <row r="289" spans="1:68" ht="14.25" customHeight="1" x14ac:dyDescent="0.25">
      <c r="A289" s="431" t="s">
        <v>71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6"/>
      <c r="AB289" s="376"/>
      <c r="AC289" s="376"/>
    </row>
    <row r="290" spans="1:68" ht="27" customHeight="1" x14ac:dyDescent="0.25">
      <c r="A290" s="54" t="s">
        <v>384</v>
      </c>
      <c r="B290" s="54" t="s">
        <v>385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386</v>
      </c>
      <c r="B291" s="54" t="s">
        <v>387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80">
        <v>160</v>
      </c>
      <c r="Y292" s="381">
        <f>IFERROR(IF(X292="",0,CEILING((X292/$H292),1)*$H292),"")</f>
        <v>160.79999999999998</v>
      </c>
      <c r="Z292" s="36">
        <f>IFERROR(IF(Y292=0,"",ROUNDUP(Y292/H292,0)*0.00753),"")</f>
        <v>0.50451000000000001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178.13333333333335</v>
      </c>
      <c r="BN292" s="64">
        <f>IFERROR(Y292*I292/H292,"0")</f>
        <v>179.024</v>
      </c>
      <c r="BO292" s="64">
        <f>IFERROR(1/J292*(X292/H292),"0")</f>
        <v>0.42735042735042739</v>
      </c>
      <c r="BP292" s="64">
        <f>IFERROR(1/J292*(Y292/H292),"0")</f>
        <v>0.42948717948717946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80">
        <v>240</v>
      </c>
      <c r="Y293" s="381">
        <f>IFERROR(IF(X293="",0,CEILING((X293/$H293),1)*$H293),"")</f>
        <v>240</v>
      </c>
      <c r="Z293" s="36">
        <f>IFERROR(IF(Y293=0,"",ROUNDUP(Y293/H293,0)*0.00753),"")</f>
        <v>0.753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260</v>
      </c>
      <c r="BN293" s="64">
        <f>IFERROR(Y293*I293/H293,"0")</f>
        <v>260</v>
      </c>
      <c r="BO293" s="64">
        <f>IFERROR(1/J293*(X293/H293),"0")</f>
        <v>0.64102564102564097</v>
      </c>
      <c r="BP293" s="64">
        <f>IFERROR(1/J293*(Y293/H293),"0")</f>
        <v>0.64102564102564097</v>
      </c>
    </row>
    <row r="294" spans="1:68" ht="27" customHeight="1" x14ac:dyDescent="0.25">
      <c r="A294" s="54" t="s">
        <v>392</v>
      </c>
      <c r="B294" s="54" t="s">
        <v>393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69</v>
      </c>
      <c r="Q295" s="402"/>
      <c r="R295" s="402"/>
      <c r="S295" s="402"/>
      <c r="T295" s="402"/>
      <c r="U295" s="402"/>
      <c r="V295" s="403"/>
      <c r="W295" s="37" t="s">
        <v>70</v>
      </c>
      <c r="X295" s="382">
        <f>IFERROR(X290/H290,"0")+IFERROR(X291/H291,"0")+IFERROR(X292/H292,"0")+IFERROR(X293/H293,"0")+IFERROR(X294/H294,"0")</f>
        <v>166.66666666666669</v>
      </c>
      <c r="Y295" s="382">
        <f>IFERROR(Y290/H290,"0")+IFERROR(Y291/H291,"0")+IFERROR(Y292/H292,"0")+IFERROR(Y293/H293,"0")+IFERROR(Y294/H294,"0")</f>
        <v>167</v>
      </c>
      <c r="Z295" s="382">
        <f>IFERROR(IF(Z290="",0,Z290),"0")+IFERROR(IF(Z291="",0,Z291),"0")+IFERROR(IF(Z292="",0,Z292),"0")+IFERROR(IF(Z293="",0,Z293),"0")+IFERROR(IF(Z294="",0,Z294),"0")</f>
        <v>1.2575099999999999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69</v>
      </c>
      <c r="Q296" s="402"/>
      <c r="R296" s="402"/>
      <c r="S296" s="402"/>
      <c r="T296" s="402"/>
      <c r="U296" s="402"/>
      <c r="V296" s="403"/>
      <c r="W296" s="37" t="s">
        <v>68</v>
      </c>
      <c r="X296" s="382">
        <f>IFERROR(SUM(X290:X294),"0")</f>
        <v>400</v>
      </c>
      <c r="Y296" s="382">
        <f>IFERROR(SUM(Y290:Y294),"0")</f>
        <v>400.79999999999995</v>
      </c>
      <c r="Z296" s="37"/>
      <c r="AA296" s="383"/>
      <c r="AB296" s="383"/>
      <c r="AC296" s="383"/>
    </row>
    <row r="297" spans="1:68" ht="16.5" customHeight="1" x14ac:dyDescent="0.25">
      <c r="A297" s="397" t="s">
        <v>394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5"/>
      <c r="AB297" s="375"/>
      <c r="AC297" s="375"/>
    </row>
    <row r="298" spans="1:68" ht="14.25" customHeight="1" x14ac:dyDescent="0.25">
      <c r="A298" s="431" t="s">
        <v>71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6"/>
      <c r="AB298" s="376"/>
      <c r="AC298" s="376"/>
    </row>
    <row r="299" spans="1:68" ht="27" customHeight="1" x14ac:dyDescent="0.25">
      <c r="A299" s="54" t="s">
        <v>395</v>
      </c>
      <c r="B299" s="54" t="s">
        <v>396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69</v>
      </c>
      <c r="Q300" s="402"/>
      <c r="R300" s="402"/>
      <c r="S300" s="402"/>
      <c r="T300" s="402"/>
      <c r="U300" s="402"/>
      <c r="V300" s="403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69</v>
      </c>
      <c r="Q301" s="402"/>
      <c r="R301" s="402"/>
      <c r="S301" s="402"/>
      <c r="T301" s="402"/>
      <c r="U301" s="402"/>
      <c r="V301" s="403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397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5"/>
      <c r="AB302" s="375"/>
      <c r="AC302" s="375"/>
    </row>
    <row r="303" spans="1:68" ht="14.25" customHeight="1" x14ac:dyDescent="0.25">
      <c r="A303" s="431" t="s">
        <v>109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6"/>
      <c r="AB303" s="376"/>
      <c r="AC303" s="376"/>
    </row>
    <row r="304" spans="1:68" ht="27" customHeight="1" x14ac:dyDescent="0.25">
      <c r="A304" s="54" t="s">
        <v>398</v>
      </c>
      <c r="B304" s="54" t="s">
        <v>399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69</v>
      </c>
      <c r="Q305" s="402"/>
      <c r="R305" s="402"/>
      <c r="S305" s="402"/>
      <c r="T305" s="402"/>
      <c r="U305" s="402"/>
      <c r="V305" s="403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69</v>
      </c>
      <c r="Q306" s="402"/>
      <c r="R306" s="402"/>
      <c r="S306" s="402"/>
      <c r="T306" s="402"/>
      <c r="U306" s="402"/>
      <c r="V306" s="403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1" t="s">
        <v>63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80">
        <v>157.5</v>
      </c>
      <c r="Y308" s="381">
        <f>IFERROR(IF(X308="",0,CEILING((X308/$H308),1)*$H308),"")</f>
        <v>157.5</v>
      </c>
      <c r="Z308" s="36">
        <f>IFERROR(IF(Y308=0,"",ROUNDUP(Y308/H308,0)*0.00502),"")</f>
        <v>0.3765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165</v>
      </c>
      <c r="BN308" s="64">
        <f>IFERROR(Y308*I308/H308,"0")</f>
        <v>165</v>
      </c>
      <c r="BO308" s="64">
        <f>IFERROR(1/J308*(X308/H308),"0")</f>
        <v>0.32051282051282054</v>
      </c>
      <c r="BP308" s="64">
        <f>IFERROR(1/J308*(Y308/H308),"0")</f>
        <v>0.32051282051282054</v>
      </c>
    </row>
    <row r="309" spans="1:68" ht="27" customHeight="1" x14ac:dyDescent="0.25">
      <c r="A309" s="54" t="s">
        <v>402</v>
      </c>
      <c r="B309" s="54" t="s">
        <v>403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69</v>
      </c>
      <c r="Q310" s="402"/>
      <c r="R310" s="402"/>
      <c r="S310" s="402"/>
      <c r="T310" s="402"/>
      <c r="U310" s="402"/>
      <c r="V310" s="403"/>
      <c r="W310" s="37" t="s">
        <v>70</v>
      </c>
      <c r="X310" s="382">
        <f>IFERROR(X308/H308,"0")+IFERROR(X309/H309,"0")</f>
        <v>75</v>
      </c>
      <c r="Y310" s="382">
        <f>IFERROR(Y308/H308,"0")+IFERROR(Y309/H309,"0")</f>
        <v>75</v>
      </c>
      <c r="Z310" s="382">
        <f>IFERROR(IF(Z308="",0,Z308),"0")+IFERROR(IF(Z309="",0,Z309),"0")</f>
        <v>0.3765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69</v>
      </c>
      <c r="Q311" s="402"/>
      <c r="R311" s="402"/>
      <c r="S311" s="402"/>
      <c r="T311" s="402"/>
      <c r="U311" s="402"/>
      <c r="V311" s="403"/>
      <c r="W311" s="37" t="s">
        <v>68</v>
      </c>
      <c r="X311" s="382">
        <f>IFERROR(SUM(X308:X309),"0")</f>
        <v>157.5</v>
      </c>
      <c r="Y311" s="382">
        <f>IFERROR(SUM(Y308:Y309),"0")</f>
        <v>157.5</v>
      </c>
      <c r="Z311" s="37"/>
      <c r="AA311" s="383"/>
      <c r="AB311" s="383"/>
      <c r="AC311" s="383"/>
    </row>
    <row r="312" spans="1:68" ht="16.5" customHeight="1" x14ac:dyDescent="0.25">
      <c r="A312" s="397" t="s">
        <v>404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5"/>
      <c r="AB312" s="375"/>
      <c r="AC312" s="375"/>
    </row>
    <row r="313" spans="1:68" ht="14.25" customHeight="1" x14ac:dyDescent="0.25">
      <c r="A313" s="431" t="s">
        <v>109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6"/>
      <c r="AB313" s="376"/>
      <c r="AC313" s="376"/>
    </row>
    <row r="314" spans="1:68" ht="27" customHeight="1" x14ac:dyDescent="0.25">
      <c r="A314" s="54" t="s">
        <v>405</v>
      </c>
      <c r="B314" s="54" t="s">
        <v>406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407</v>
      </c>
      <c r="B315" s="54" t="s">
        <v>408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409</v>
      </c>
      <c r="B316" s="54" t="s">
        <v>410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43" t="s">
        <v>411</v>
      </c>
      <c r="Q316" s="387"/>
      <c r="R316" s="387"/>
      <c r="S316" s="387"/>
      <c r="T316" s="388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409</v>
      </c>
      <c r="B317" s="54" t="s">
        <v>412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4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80">
        <v>40</v>
      </c>
      <c r="Y318" s="381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customHeight="1" x14ac:dyDescent="0.25">
      <c r="A319" s="54" t="s">
        <v>415</v>
      </c>
      <c r="B319" s="54" t="s">
        <v>416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418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80">
        <v>40</v>
      </c>
      <c r="Y321" s="381">
        <f t="shared" si="57"/>
        <v>40</v>
      </c>
      <c r="Z321" s="36">
        <f>IFERROR(IF(Y321=0,"",ROUNDUP(Y321/H321,0)*0.00937),"")</f>
        <v>9.3700000000000006E-2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42.400000000000006</v>
      </c>
      <c r="BN321" s="64">
        <f t="shared" si="59"/>
        <v>42.400000000000006</v>
      </c>
      <c r="BO321" s="64">
        <f t="shared" si="60"/>
        <v>8.3333333333333329E-2</v>
      </c>
      <c r="BP321" s="64">
        <f t="shared" si="61"/>
        <v>8.3333333333333329E-2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69</v>
      </c>
      <c r="Q322" s="402"/>
      <c r="R322" s="402"/>
      <c r="S322" s="402"/>
      <c r="T322" s="402"/>
      <c r="U322" s="402"/>
      <c r="V322" s="403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20</v>
      </c>
      <c r="Y322" s="382">
        <f>IFERROR(Y314/H314,"0")+IFERROR(Y315/H315,"0")+IFERROR(Y316/H316,"0")+IFERROR(Y317/H317,"0")+IFERROR(Y318/H318,"0")+IFERROR(Y319/H319,"0")+IFERROR(Y320/H320,"0")+IFERROR(Y321/H321,"0")</f>
        <v>20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0.18740000000000001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69</v>
      </c>
      <c r="Q323" s="402"/>
      <c r="R323" s="402"/>
      <c r="S323" s="402"/>
      <c r="T323" s="402"/>
      <c r="U323" s="402"/>
      <c r="V323" s="403"/>
      <c r="W323" s="37" t="s">
        <v>68</v>
      </c>
      <c r="X323" s="382">
        <f>IFERROR(SUM(X314:X321),"0")</f>
        <v>80</v>
      </c>
      <c r="Y323" s="382">
        <f>IFERROR(SUM(Y314:Y321),"0")</f>
        <v>80</v>
      </c>
      <c r="Z323" s="37"/>
      <c r="AA323" s="383"/>
      <c r="AB323" s="383"/>
      <c r="AC323" s="383"/>
    </row>
    <row r="324" spans="1:68" ht="14.25" customHeight="1" x14ac:dyDescent="0.25">
      <c r="A324" s="431" t="s">
        <v>63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6"/>
      <c r="AB324" s="376"/>
      <c r="AC324" s="376"/>
    </row>
    <row r="325" spans="1:68" ht="27" customHeight="1" x14ac:dyDescent="0.25">
      <c r="A325" s="54" t="s">
        <v>421</v>
      </c>
      <c r="B325" s="54" t="s">
        <v>422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423</v>
      </c>
      <c r="B326" s="54" t="s">
        <v>424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425</v>
      </c>
      <c r="B327" s="54" t="s">
        <v>426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427</v>
      </c>
      <c r="B328" s="54" t="s">
        <v>428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69</v>
      </c>
      <c r="Q329" s="402"/>
      <c r="R329" s="402"/>
      <c r="S329" s="402"/>
      <c r="T329" s="402"/>
      <c r="U329" s="402"/>
      <c r="V329" s="403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69</v>
      </c>
      <c r="Q330" s="402"/>
      <c r="R330" s="402"/>
      <c r="S330" s="402"/>
      <c r="T330" s="402"/>
      <c r="U330" s="402"/>
      <c r="V330" s="403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1" t="s">
        <v>71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6"/>
      <c r="AB331" s="376"/>
      <c r="AC331" s="376"/>
    </row>
    <row r="332" spans="1:68" ht="16.5" customHeight="1" x14ac:dyDescent="0.25">
      <c r="A332" s="54" t="s">
        <v>429</v>
      </c>
      <c r="B332" s="54" t="s">
        <v>430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431</v>
      </c>
      <c r="B333" s="54" t="s">
        <v>432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433</v>
      </c>
      <c r="B334" s="54" t="s">
        <v>434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435</v>
      </c>
      <c r="B335" s="54" t="s">
        <v>436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437</v>
      </c>
      <c r="B336" s="54" t="s">
        <v>438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439</v>
      </c>
      <c r="B337" s="54" t="s">
        <v>440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69</v>
      </c>
      <c r="Q338" s="402"/>
      <c r="R338" s="402"/>
      <c r="S338" s="402"/>
      <c r="T338" s="402"/>
      <c r="U338" s="402"/>
      <c r="V338" s="403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69</v>
      </c>
      <c r="Q339" s="402"/>
      <c r="R339" s="402"/>
      <c r="S339" s="402"/>
      <c r="T339" s="402"/>
      <c r="U339" s="402"/>
      <c r="V339" s="403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1" t="s">
        <v>166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80">
        <v>30</v>
      </c>
      <c r="Y341" s="381">
        <f>IFERROR(IF(X341="",0,CEILING((X341/$H341),1)*$H341),"")</f>
        <v>33.6</v>
      </c>
      <c r="Z341" s="36">
        <f>IFERROR(IF(Y341=0,"",ROUNDUP(Y341/H341,0)*0.02175),"")</f>
        <v>8.6999999999999994E-2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32.014285714285712</v>
      </c>
      <c r="BN341" s="64">
        <f>IFERROR(Y341*I341/H341,"0")</f>
        <v>35.856000000000002</v>
      </c>
      <c r="BO341" s="64">
        <f>IFERROR(1/J341*(X341/H341),"0")</f>
        <v>6.377551020408162E-2</v>
      </c>
      <c r="BP341" s="64">
        <f>IFERROR(1/J341*(Y341/H341),"0")</f>
        <v>7.1428571428571425E-2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80">
        <v>300</v>
      </c>
      <c r="Y342" s="381">
        <f>IFERROR(IF(X342="",0,CEILING((X342/$H342),1)*$H342),"")</f>
        <v>304.2</v>
      </c>
      <c r="Z342" s="36">
        <f>IFERROR(IF(Y342=0,"",ROUNDUP(Y342/H342,0)*0.02175),"")</f>
        <v>0.84824999999999995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321.69230769230774</v>
      </c>
      <c r="BN342" s="64">
        <f>IFERROR(Y342*I342/H342,"0")</f>
        <v>326.19600000000003</v>
      </c>
      <c r="BO342" s="64">
        <f>IFERROR(1/J342*(X342/H342),"0")</f>
        <v>0.6868131868131867</v>
      </c>
      <c r="BP342" s="64">
        <f>IFERROR(1/J342*(Y342/H342),"0")</f>
        <v>0.6964285714285714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80">
        <v>20</v>
      </c>
      <c r="Y343" s="381">
        <f>IFERROR(IF(X343="",0,CEILING((X343/$H343),1)*$H343),"")</f>
        <v>25.200000000000003</v>
      </c>
      <c r="Z343" s="36">
        <f>IFERROR(IF(Y343=0,"",ROUNDUP(Y343/H343,0)*0.02175),"")</f>
        <v>6.5250000000000002E-2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21.342857142857142</v>
      </c>
      <c r="BN343" s="64">
        <f>IFERROR(Y343*I343/H343,"0")</f>
        <v>26.892000000000003</v>
      </c>
      <c r="BO343" s="64">
        <f>IFERROR(1/J343*(X343/H343),"0")</f>
        <v>4.2517006802721087E-2</v>
      </c>
      <c r="BP343" s="64">
        <f>IFERROR(1/J343*(Y343/H343),"0")</f>
        <v>5.3571428571428568E-2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69</v>
      </c>
      <c r="Q344" s="402"/>
      <c r="R344" s="402"/>
      <c r="S344" s="402"/>
      <c r="T344" s="402"/>
      <c r="U344" s="402"/>
      <c r="V344" s="403"/>
      <c r="W344" s="37" t="s">
        <v>70</v>
      </c>
      <c r="X344" s="382">
        <f>IFERROR(X341/H341,"0")+IFERROR(X342/H342,"0")+IFERROR(X343/H343,"0")</f>
        <v>44.413919413919409</v>
      </c>
      <c r="Y344" s="382">
        <f>IFERROR(Y341/H341,"0")+IFERROR(Y342/H342,"0")+IFERROR(Y343/H343,"0")</f>
        <v>46</v>
      </c>
      <c r="Z344" s="382">
        <f>IFERROR(IF(Z341="",0,Z341),"0")+IFERROR(IF(Z342="",0,Z342),"0")+IFERROR(IF(Z343="",0,Z343),"0")</f>
        <v>1.0004999999999999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69</v>
      </c>
      <c r="Q345" s="402"/>
      <c r="R345" s="402"/>
      <c r="S345" s="402"/>
      <c r="T345" s="402"/>
      <c r="U345" s="402"/>
      <c r="V345" s="403"/>
      <c r="W345" s="37" t="s">
        <v>68</v>
      </c>
      <c r="X345" s="382">
        <f>IFERROR(SUM(X341:X343),"0")</f>
        <v>350</v>
      </c>
      <c r="Y345" s="382">
        <f>IFERROR(SUM(Y341:Y343),"0")</f>
        <v>363</v>
      </c>
      <c r="Z345" s="37"/>
      <c r="AA345" s="383"/>
      <c r="AB345" s="383"/>
      <c r="AC345" s="383"/>
    </row>
    <row r="346" spans="1:68" ht="14.25" customHeight="1" x14ac:dyDescent="0.25">
      <c r="A346" s="431" t="s">
        <v>95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6"/>
      <c r="AB346" s="376"/>
      <c r="AC346" s="376"/>
    </row>
    <row r="347" spans="1:68" ht="16.5" customHeight="1" x14ac:dyDescent="0.25">
      <c r="A347" s="54" t="s">
        <v>447</v>
      </c>
      <c r="B347" s="54" t="s">
        <v>448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12" t="s">
        <v>449</v>
      </c>
      <c r="Q347" s="387"/>
      <c r="R347" s="387"/>
      <c r="S347" s="387"/>
      <c r="T347" s="388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450</v>
      </c>
      <c r="B348" s="54" t="s">
        <v>451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5" t="s">
        <v>452</v>
      </c>
      <c r="Q348" s="387"/>
      <c r="R348" s="387"/>
      <c r="S348" s="387"/>
      <c r="T348" s="388"/>
      <c r="U348" s="34"/>
      <c r="V348" s="34"/>
      <c r="W348" s="35" t="s">
        <v>68</v>
      </c>
      <c r="X348" s="380">
        <v>20</v>
      </c>
      <c r="Y348" s="381">
        <f>IFERROR(IF(X348="",0,CEILING((X348/$H348),1)*$H348),"")</f>
        <v>21.28</v>
      </c>
      <c r="Z348" s="36">
        <f>IFERROR(IF(Y348=0,"",ROUNDUP(Y348/H348,0)*0.00753),"")</f>
        <v>5.271E-2</v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21.84210526315789</v>
      </c>
      <c r="BN348" s="64">
        <f>IFERROR(Y348*I348/H348,"0")</f>
        <v>23.240000000000002</v>
      </c>
      <c r="BO348" s="64">
        <f>IFERROR(1/J348*(X348/H348),"0")</f>
        <v>4.2172739541160589E-2</v>
      </c>
      <c r="BP348" s="64">
        <f>IFERROR(1/J348*(Y348/H348),"0")</f>
        <v>4.4871794871794872E-2</v>
      </c>
    </row>
    <row r="349" spans="1:68" ht="27" customHeight="1" x14ac:dyDescent="0.25">
      <c r="A349" s="54" t="s">
        <v>453</v>
      </c>
      <c r="B349" s="54" t="s">
        <v>454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80">
        <v>51.000000000000007</v>
      </c>
      <c r="Y349" s="381">
        <f>IFERROR(IF(X349="",0,CEILING((X349/$H349),1)*$H349),"")</f>
        <v>51</v>
      </c>
      <c r="Z349" s="36">
        <f>IFERROR(IF(Y349=0,"",ROUNDUP(Y349/H349,0)*0.00753),"")</f>
        <v>0.15060000000000001</v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59.500000000000014</v>
      </c>
      <c r="BN349" s="64">
        <f>IFERROR(Y349*I349/H349,"0")</f>
        <v>59.5</v>
      </c>
      <c r="BO349" s="64">
        <f>IFERROR(1/J349*(X349/H349),"0")</f>
        <v>0.12820512820512822</v>
      </c>
      <c r="BP349" s="64">
        <f>IFERROR(1/J349*(Y349/H349),"0")</f>
        <v>0.12820512820512819</v>
      </c>
    </row>
    <row r="350" spans="1:68" ht="27" customHeight="1" x14ac:dyDescent="0.25">
      <c r="A350" s="54" t="s">
        <v>455</v>
      </c>
      <c r="B350" s="54" t="s">
        <v>456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80">
        <v>272</v>
      </c>
      <c r="Y350" s="381">
        <f>IFERROR(IF(X350="",0,CEILING((X350/$H350),1)*$H350),"")</f>
        <v>272.84999999999997</v>
      </c>
      <c r="Z350" s="36">
        <f>IFERROR(IF(Y350=0,"",ROUNDUP(Y350/H350,0)*0.00753),"")</f>
        <v>0.80571000000000004</v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309.33333333333331</v>
      </c>
      <c r="BN350" s="64">
        <f>IFERROR(Y350*I350/H350,"0")</f>
        <v>310.29999999999995</v>
      </c>
      <c r="BO350" s="64">
        <f>IFERROR(1/J350*(X350/H350),"0")</f>
        <v>0.68376068376068377</v>
      </c>
      <c r="BP350" s="64">
        <f>IFERROR(1/J350*(Y350/H350),"0")</f>
        <v>0.6858974358974359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69</v>
      </c>
      <c r="Q351" s="402"/>
      <c r="R351" s="402"/>
      <c r="S351" s="402"/>
      <c r="T351" s="402"/>
      <c r="U351" s="402"/>
      <c r="V351" s="403"/>
      <c r="W351" s="37" t="s">
        <v>70</v>
      </c>
      <c r="X351" s="382">
        <f>IFERROR(X347/H347,"0")+IFERROR(X348/H348,"0")+IFERROR(X349/H349,"0")+IFERROR(X350/H350,"0")</f>
        <v>133.24561403508773</v>
      </c>
      <c r="Y351" s="382">
        <f>IFERROR(Y347/H347,"0")+IFERROR(Y348/H348,"0")+IFERROR(Y349/H349,"0")+IFERROR(Y350/H350,"0")</f>
        <v>134</v>
      </c>
      <c r="Z351" s="382">
        <f>IFERROR(IF(Z347="",0,Z347),"0")+IFERROR(IF(Z348="",0,Z348),"0")+IFERROR(IF(Z349="",0,Z349),"0")+IFERROR(IF(Z350="",0,Z350),"0")</f>
        <v>1.00902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69</v>
      </c>
      <c r="Q352" s="402"/>
      <c r="R352" s="402"/>
      <c r="S352" s="402"/>
      <c r="T352" s="402"/>
      <c r="U352" s="402"/>
      <c r="V352" s="403"/>
      <c r="W352" s="37" t="s">
        <v>68</v>
      </c>
      <c r="X352" s="382">
        <f>IFERROR(SUM(X347:X350),"0")</f>
        <v>343</v>
      </c>
      <c r="Y352" s="382">
        <f>IFERROR(SUM(Y347:Y350),"0")</f>
        <v>345.13</v>
      </c>
      <c r="Z352" s="37"/>
      <c r="AA352" s="383"/>
      <c r="AB352" s="383"/>
      <c r="AC352" s="383"/>
    </row>
    <row r="353" spans="1:68" ht="14.25" customHeight="1" x14ac:dyDescent="0.25">
      <c r="A353" s="431" t="s">
        <v>457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6"/>
      <c r="AB353" s="376"/>
      <c r="AC353" s="376"/>
    </row>
    <row r="354" spans="1:68" ht="16.5" customHeight="1" x14ac:dyDescent="0.25">
      <c r="A354" s="54" t="s">
        <v>458</v>
      </c>
      <c r="B354" s="54" t="s">
        <v>459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80">
        <v>30</v>
      </c>
      <c r="Y354" s="381">
        <f>IFERROR(IF(X354="",0,CEILING((X354/$H354),1)*$H354),"")</f>
        <v>30</v>
      </c>
      <c r="Z354" s="36">
        <f>IFERROR(IF(Y354=0,"",ROUNDUP(Y354/H354,0)*0.00474),"")</f>
        <v>7.110000000000001E-2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33.6</v>
      </c>
      <c r="BN354" s="64">
        <f>IFERROR(Y354*I354/H354,"0")</f>
        <v>33.6</v>
      </c>
      <c r="BO354" s="64">
        <f>IFERROR(1/J354*(X354/H354),"0")</f>
        <v>6.3025210084033612E-2</v>
      </c>
      <c r="BP354" s="64">
        <f>IFERROR(1/J354*(Y354/H354),"0")</f>
        <v>6.3025210084033612E-2</v>
      </c>
    </row>
    <row r="355" spans="1:68" ht="27" customHeight="1" x14ac:dyDescent="0.25">
      <c r="A355" s="54" t="s">
        <v>462</v>
      </c>
      <c r="B355" s="54" t="s">
        <v>463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464</v>
      </c>
      <c r="B356" s="54" t="s">
        <v>465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80">
        <v>100</v>
      </c>
      <c r="Y356" s="381">
        <f>IFERROR(IF(X356="",0,CEILING((X356/$H356),1)*$H356),"")</f>
        <v>100</v>
      </c>
      <c r="Z356" s="36">
        <f>IFERROR(IF(Y356=0,"",ROUNDUP(Y356/H356,0)*0.00474),"")</f>
        <v>0.23700000000000002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112.00000000000001</v>
      </c>
      <c r="BN356" s="64">
        <f>IFERROR(Y356*I356/H356,"0")</f>
        <v>112.00000000000001</v>
      </c>
      <c r="BO356" s="64">
        <f>IFERROR(1/J356*(X356/H356),"0")</f>
        <v>0.21008403361344538</v>
      </c>
      <c r="BP356" s="64">
        <f>IFERROR(1/J356*(Y356/H356),"0")</f>
        <v>0.21008403361344538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69</v>
      </c>
      <c r="Q357" s="402"/>
      <c r="R357" s="402"/>
      <c r="S357" s="402"/>
      <c r="T357" s="402"/>
      <c r="U357" s="402"/>
      <c r="V357" s="403"/>
      <c r="W357" s="37" t="s">
        <v>70</v>
      </c>
      <c r="X357" s="382">
        <f>IFERROR(X354/H354,"0")+IFERROR(X355/H355,"0")+IFERROR(X356/H356,"0")</f>
        <v>65</v>
      </c>
      <c r="Y357" s="382">
        <f>IFERROR(Y354/H354,"0")+IFERROR(Y355/H355,"0")+IFERROR(Y356/H356,"0")</f>
        <v>65</v>
      </c>
      <c r="Z357" s="382">
        <f>IFERROR(IF(Z354="",0,Z354),"0")+IFERROR(IF(Z355="",0,Z355),"0")+IFERROR(IF(Z356="",0,Z356),"0")</f>
        <v>0.30810000000000004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69</v>
      </c>
      <c r="Q358" s="402"/>
      <c r="R358" s="402"/>
      <c r="S358" s="402"/>
      <c r="T358" s="402"/>
      <c r="U358" s="402"/>
      <c r="V358" s="403"/>
      <c r="W358" s="37" t="s">
        <v>68</v>
      </c>
      <c r="X358" s="382">
        <f>IFERROR(SUM(X354:X356),"0")</f>
        <v>130</v>
      </c>
      <c r="Y358" s="382">
        <f>IFERROR(SUM(Y354:Y356),"0")</f>
        <v>130</v>
      </c>
      <c r="Z358" s="37"/>
      <c r="AA358" s="383"/>
      <c r="AB358" s="383"/>
      <c r="AC358" s="383"/>
    </row>
    <row r="359" spans="1:68" ht="16.5" customHeight="1" x14ac:dyDescent="0.25">
      <c r="A359" s="397" t="s">
        <v>466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5"/>
      <c r="AB359" s="375"/>
      <c r="AC359" s="375"/>
    </row>
    <row r="360" spans="1:68" ht="14.25" customHeight="1" x14ac:dyDescent="0.25">
      <c r="A360" s="431" t="s">
        <v>63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0">
        <v>21</v>
      </c>
      <c r="Y361" s="381">
        <f>IFERROR(IF(X361="",0,CEILING((X361/$H361),1)*$H361),"")</f>
        <v>21.6</v>
      </c>
      <c r="Z361" s="36">
        <f>IFERROR(IF(Y361=0,"",ROUNDUP(Y361/H361,0)*0.00753),"")</f>
        <v>9.0359999999999996E-2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23.893333333333334</v>
      </c>
      <c r="BN361" s="64">
        <f>IFERROR(Y361*I361/H361,"0")</f>
        <v>24.576000000000001</v>
      </c>
      <c r="BO361" s="64">
        <f>IFERROR(1/J361*(X361/H361),"0")</f>
        <v>7.4786324786324784E-2</v>
      </c>
      <c r="BP361" s="64">
        <f>IFERROR(1/J361*(Y361/H361),"0")</f>
        <v>7.6923076923076927E-2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69</v>
      </c>
      <c r="Q362" s="402"/>
      <c r="R362" s="402"/>
      <c r="S362" s="402"/>
      <c r="T362" s="402"/>
      <c r="U362" s="402"/>
      <c r="V362" s="403"/>
      <c r="W362" s="37" t="s">
        <v>70</v>
      </c>
      <c r="X362" s="382">
        <f>IFERROR(X361/H361,"0")</f>
        <v>11.666666666666666</v>
      </c>
      <c r="Y362" s="382">
        <f>IFERROR(Y361/H361,"0")</f>
        <v>12</v>
      </c>
      <c r="Z362" s="382">
        <f>IFERROR(IF(Z361="",0,Z361),"0")</f>
        <v>9.0359999999999996E-2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69</v>
      </c>
      <c r="Q363" s="402"/>
      <c r="R363" s="402"/>
      <c r="S363" s="402"/>
      <c r="T363" s="402"/>
      <c r="U363" s="402"/>
      <c r="V363" s="403"/>
      <c r="W363" s="37" t="s">
        <v>68</v>
      </c>
      <c r="X363" s="382">
        <f>IFERROR(SUM(X361:X361),"0")</f>
        <v>21</v>
      </c>
      <c r="Y363" s="382">
        <f>IFERROR(SUM(Y361:Y361),"0")</f>
        <v>21.6</v>
      </c>
      <c r="Z363" s="37"/>
      <c r="AA363" s="383"/>
      <c r="AB363" s="383"/>
      <c r="AC363" s="383"/>
    </row>
    <row r="364" spans="1:68" ht="14.25" customHeight="1" x14ac:dyDescent="0.25">
      <c r="A364" s="431" t="s">
        <v>71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6"/>
      <c r="AB364" s="376"/>
      <c r="AC364" s="376"/>
    </row>
    <row r="365" spans="1:68" ht="16.5" customHeight="1" x14ac:dyDescent="0.25">
      <c r="A365" s="54" t="s">
        <v>469</v>
      </c>
      <c r="B365" s="54" t="s">
        <v>470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80">
        <v>385</v>
      </c>
      <c r="Y366" s="381">
        <f>IFERROR(IF(X366="",0,CEILING((X366/$H366),1)*$H366),"")</f>
        <v>386.40000000000003</v>
      </c>
      <c r="Z366" s="36">
        <f>IFERROR(IF(Y366=0,"",ROUNDUP(Y366/H366,0)*0.00753),"")</f>
        <v>1.3855200000000001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434.86666666666662</v>
      </c>
      <c r="BN366" s="64">
        <f>IFERROR(Y366*I366/H366,"0")</f>
        <v>436.44799999999998</v>
      </c>
      <c r="BO366" s="64">
        <f>IFERROR(1/J366*(X366/H366),"0")</f>
        <v>1.175213675213675</v>
      </c>
      <c r="BP366" s="64">
        <f>IFERROR(1/J366*(Y366/H366),"0")</f>
        <v>1.1794871794871795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80">
        <v>315</v>
      </c>
      <c r="Y367" s="381">
        <f>IFERROR(IF(X367="",0,CEILING((X367/$H367),1)*$H367),"")</f>
        <v>315</v>
      </c>
      <c r="Z367" s="36">
        <f>IFERROR(IF(Y367=0,"",ROUNDUP(Y367/H367,0)*0.00753),"")</f>
        <v>1.1294999999999999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354</v>
      </c>
      <c r="BN367" s="64">
        <f>IFERROR(Y367*I367/H367,"0")</f>
        <v>354</v>
      </c>
      <c r="BO367" s="64">
        <f>IFERROR(1/J367*(X367/H367),"0")</f>
        <v>0.96153846153846145</v>
      </c>
      <c r="BP367" s="64">
        <f>IFERROR(1/J367*(Y367/H367),"0")</f>
        <v>0.96153846153846145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69</v>
      </c>
      <c r="Q368" s="402"/>
      <c r="R368" s="402"/>
      <c r="S368" s="402"/>
      <c r="T368" s="402"/>
      <c r="U368" s="402"/>
      <c r="V368" s="403"/>
      <c r="W368" s="37" t="s">
        <v>70</v>
      </c>
      <c r="X368" s="382">
        <f>IFERROR(X365/H365,"0")+IFERROR(X366/H366,"0")+IFERROR(X367/H367,"0")</f>
        <v>333.33333333333331</v>
      </c>
      <c r="Y368" s="382">
        <f>IFERROR(Y365/H365,"0")+IFERROR(Y366/H366,"0")+IFERROR(Y367/H367,"0")</f>
        <v>334</v>
      </c>
      <c r="Z368" s="382">
        <f>IFERROR(IF(Z365="",0,Z365),"0")+IFERROR(IF(Z366="",0,Z366),"0")+IFERROR(IF(Z367="",0,Z367),"0")</f>
        <v>2.5150199999999998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69</v>
      </c>
      <c r="Q369" s="402"/>
      <c r="R369" s="402"/>
      <c r="S369" s="402"/>
      <c r="T369" s="402"/>
      <c r="U369" s="402"/>
      <c r="V369" s="403"/>
      <c r="W369" s="37" t="s">
        <v>68</v>
      </c>
      <c r="X369" s="382">
        <f>IFERROR(SUM(X365:X367),"0")</f>
        <v>700</v>
      </c>
      <c r="Y369" s="382">
        <f>IFERROR(SUM(Y365:Y367),"0")</f>
        <v>701.40000000000009</v>
      </c>
      <c r="Z369" s="37"/>
      <c r="AA369" s="383"/>
      <c r="AB369" s="383"/>
      <c r="AC369" s="383"/>
    </row>
    <row r="370" spans="1:68" ht="27.75" customHeight="1" x14ac:dyDescent="0.2">
      <c r="A370" s="404" t="s">
        <v>475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476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5"/>
      <c r="AB371" s="375"/>
      <c r="AC371" s="375"/>
    </row>
    <row r="372" spans="1:68" ht="14.25" customHeight="1" x14ac:dyDescent="0.25">
      <c r="A372" s="431" t="s">
        <v>109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0">
        <v>1000</v>
      </c>
      <c r="Y373" s="381">
        <f t="shared" ref="Y373:Y381" si="67">IFERROR(IF(X373="",0,CEILING((X373/$H373),1)*$H373),"")</f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1032</v>
      </c>
      <c r="BN373" s="64">
        <f t="shared" ref="BN373:BN381" si="69">IFERROR(Y373*I373/H373,"0")</f>
        <v>1037.1600000000001</v>
      </c>
      <c r="BO373" s="64">
        <f t="shared" ref="BO373:BO381" si="70">IFERROR(1/J373*(X373/H373),"0")</f>
        <v>1.3888888888888888</v>
      </c>
      <c r="BP373" s="64">
        <f t="shared" ref="BP373:BP381" si="71">IFERROR(1/J373*(Y373/H373),"0")</f>
        <v>1.3958333333333333</v>
      </c>
    </row>
    <row r="374" spans="1:68" ht="27" customHeight="1" x14ac:dyDescent="0.25">
      <c r="A374" s="54" t="s">
        <v>477</v>
      </c>
      <c r="B374" s="54" t="s">
        <v>479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80">
        <v>1200</v>
      </c>
      <c r="Y375" s="381">
        <f t="shared" si="67"/>
        <v>1200</v>
      </c>
      <c r="Z375" s="36">
        <f>IFERROR(IF(Y375=0,"",ROUNDUP(Y375/H375,0)*0.02175),"")</f>
        <v>1.7399999999999998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1238.4000000000001</v>
      </c>
      <c r="BN375" s="64">
        <f t="shared" si="69"/>
        <v>1238.4000000000001</v>
      </c>
      <c r="BO375" s="64">
        <f t="shared" si="70"/>
        <v>1.6666666666666665</v>
      </c>
      <c r="BP375" s="64">
        <f t="shared" si="71"/>
        <v>1.6666666666666665</v>
      </c>
    </row>
    <row r="376" spans="1:68" ht="27" customHeight="1" x14ac:dyDescent="0.25">
      <c r="A376" s="54" t="s">
        <v>480</v>
      </c>
      <c r="B376" s="54" t="s">
        <v>482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483</v>
      </c>
      <c r="B377" s="54" t="s">
        <v>484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80">
        <v>1500</v>
      </c>
      <c r="Y378" s="381">
        <f t="shared" si="67"/>
        <v>1500</v>
      </c>
      <c r="Z378" s="36">
        <f>IFERROR(IF(Y378=0,"",ROUNDUP(Y378/H378,0)*0.02175),"")</f>
        <v>2.1749999999999998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1548</v>
      </c>
      <c r="BN378" s="64">
        <f t="shared" si="69"/>
        <v>1548</v>
      </c>
      <c r="BO378" s="64">
        <f t="shared" si="70"/>
        <v>2.083333333333333</v>
      </c>
      <c r="BP378" s="64">
        <f t="shared" si="71"/>
        <v>2.083333333333333</v>
      </c>
    </row>
    <row r="379" spans="1:68" ht="27" customHeight="1" x14ac:dyDescent="0.25">
      <c r="A379" s="54" t="s">
        <v>486</v>
      </c>
      <c r="B379" s="54" t="s">
        <v>487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488</v>
      </c>
      <c r="B380" s="54" t="s">
        <v>489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80">
        <v>25</v>
      </c>
      <c r="Y381" s="381">
        <f t="shared" si="67"/>
        <v>25</v>
      </c>
      <c r="Z381" s="36">
        <f>IFERROR(IF(Y381=0,"",ROUNDUP(Y381/H381,0)*0.00937),"")</f>
        <v>4.6850000000000003E-2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26.05</v>
      </c>
      <c r="BN381" s="64">
        <f t="shared" si="69"/>
        <v>26.05</v>
      </c>
      <c r="BO381" s="64">
        <f t="shared" si="70"/>
        <v>4.1666666666666664E-2</v>
      </c>
      <c r="BP381" s="64">
        <f t="shared" si="71"/>
        <v>4.1666666666666664E-2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69</v>
      </c>
      <c r="Q382" s="402"/>
      <c r="R382" s="402"/>
      <c r="S382" s="402"/>
      <c r="T382" s="402"/>
      <c r="U382" s="402"/>
      <c r="V382" s="403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251.66666666666669</v>
      </c>
      <c r="Y382" s="382">
        <f>IFERROR(Y373/H373,"0")+IFERROR(Y374/H374,"0")+IFERROR(Y375/H375,"0")+IFERROR(Y376/H376,"0")+IFERROR(Y377/H377,"0")+IFERROR(Y378/H378,"0")+IFERROR(Y379/H379,"0")+IFERROR(Y380/H380,"0")+IFERROR(Y381/H381,"0")</f>
        <v>252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5.4190999999999994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69</v>
      </c>
      <c r="Q383" s="402"/>
      <c r="R383" s="402"/>
      <c r="S383" s="402"/>
      <c r="T383" s="402"/>
      <c r="U383" s="402"/>
      <c r="V383" s="403"/>
      <c r="W383" s="37" t="s">
        <v>68</v>
      </c>
      <c r="X383" s="382">
        <f>IFERROR(SUM(X373:X381),"0")</f>
        <v>3725</v>
      </c>
      <c r="Y383" s="382">
        <f>IFERROR(SUM(Y373:Y381),"0")</f>
        <v>3730</v>
      </c>
      <c r="Z383" s="37"/>
      <c r="AA383" s="383"/>
      <c r="AB383" s="383"/>
      <c r="AC383" s="383"/>
    </row>
    <row r="384" spans="1:68" ht="14.25" customHeight="1" x14ac:dyDescent="0.25">
      <c r="A384" s="431" t="s">
        <v>145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80">
        <v>1600</v>
      </c>
      <c r="Y385" s="381">
        <f>IFERROR(IF(X385="",0,CEILING((X385/$H385),1)*$H385),"")</f>
        <v>1605</v>
      </c>
      <c r="Z385" s="36">
        <f>IFERROR(IF(Y385=0,"",ROUNDUP(Y385/H385,0)*0.02175),"")</f>
        <v>2.3272499999999998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1651.2</v>
      </c>
      <c r="BN385" s="64">
        <f>IFERROR(Y385*I385/H385,"0")</f>
        <v>1656.3600000000001</v>
      </c>
      <c r="BO385" s="64">
        <f>IFERROR(1/J385*(X385/H385),"0")</f>
        <v>2.2222222222222223</v>
      </c>
      <c r="BP385" s="64">
        <f>IFERROR(1/J385*(Y385/H385),"0")</f>
        <v>2.2291666666666665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80">
        <v>8</v>
      </c>
      <c r="Y386" s="381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69</v>
      </c>
      <c r="Q387" s="402"/>
      <c r="R387" s="402"/>
      <c r="S387" s="402"/>
      <c r="T387" s="402"/>
      <c r="U387" s="402"/>
      <c r="V387" s="403"/>
      <c r="W387" s="37" t="s">
        <v>70</v>
      </c>
      <c r="X387" s="382">
        <f>IFERROR(X385/H385,"0")+IFERROR(X386/H386,"0")</f>
        <v>108.66666666666667</v>
      </c>
      <c r="Y387" s="382">
        <f>IFERROR(Y385/H385,"0")+IFERROR(Y386/H386,"0")</f>
        <v>109</v>
      </c>
      <c r="Z387" s="382">
        <f>IFERROR(IF(Z385="",0,Z385),"0")+IFERROR(IF(Z386="",0,Z386),"0")</f>
        <v>2.34599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69</v>
      </c>
      <c r="Q388" s="402"/>
      <c r="R388" s="402"/>
      <c r="S388" s="402"/>
      <c r="T388" s="402"/>
      <c r="U388" s="402"/>
      <c r="V388" s="403"/>
      <c r="W388" s="37" t="s">
        <v>68</v>
      </c>
      <c r="X388" s="382">
        <f>IFERROR(SUM(X385:X386),"0")</f>
        <v>1608</v>
      </c>
      <c r="Y388" s="382">
        <f>IFERROR(SUM(Y385:Y386),"0")</f>
        <v>1613</v>
      </c>
      <c r="Z388" s="37"/>
      <c r="AA388" s="383"/>
      <c r="AB388" s="383"/>
      <c r="AC388" s="383"/>
    </row>
    <row r="389" spans="1:68" ht="14.25" customHeight="1" x14ac:dyDescent="0.25">
      <c r="A389" s="431" t="s">
        <v>71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6"/>
      <c r="AB389" s="376"/>
      <c r="AC389" s="376"/>
    </row>
    <row r="390" spans="1:68" ht="27" customHeight="1" x14ac:dyDescent="0.25">
      <c r="A390" s="54" t="s">
        <v>496</v>
      </c>
      <c r="B390" s="54" t="s">
        <v>497</v>
      </c>
      <c r="C390" s="31">
        <v>4301051639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496</v>
      </c>
      <c r="B391" s="54" t="s">
        <v>498</v>
      </c>
      <c r="C391" s="31">
        <v>4301051560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80">
        <v>7</v>
      </c>
      <c r="Y392" s="381">
        <f>IFERROR(IF(X392="",0,CEILING((X392/$H392),1)*$H392),"")</f>
        <v>7.8</v>
      </c>
      <c r="Z392" s="36">
        <f>IFERROR(IF(Y392=0,"",ROUNDUP(Y392/H392,0)*0.02175),"")</f>
        <v>2.1749999999999999E-2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7.5061538461538468</v>
      </c>
      <c r="BN392" s="64">
        <f>IFERROR(Y392*I392/H392,"0")</f>
        <v>8.3640000000000008</v>
      </c>
      <c r="BO392" s="64">
        <f>IFERROR(1/J392*(X392/H392),"0")</f>
        <v>1.6025641025641024E-2</v>
      </c>
      <c r="BP392" s="64">
        <f>IFERROR(1/J392*(Y392/H392),"0")</f>
        <v>1.7857142857142856E-2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69</v>
      </c>
      <c r="Q393" s="402"/>
      <c r="R393" s="402"/>
      <c r="S393" s="402"/>
      <c r="T393" s="402"/>
      <c r="U393" s="402"/>
      <c r="V393" s="403"/>
      <c r="W393" s="37" t="s">
        <v>70</v>
      </c>
      <c r="X393" s="382">
        <f>IFERROR(X390/H390,"0")+IFERROR(X391/H391,"0")+IFERROR(X392/H392,"0")</f>
        <v>0.89743589743589747</v>
      </c>
      <c r="Y393" s="382">
        <f>IFERROR(Y390/H390,"0")+IFERROR(Y391/H391,"0")+IFERROR(Y392/H392,"0")</f>
        <v>1</v>
      </c>
      <c r="Z393" s="382">
        <f>IFERROR(IF(Z390="",0,Z390),"0")+IFERROR(IF(Z391="",0,Z391),"0")+IFERROR(IF(Z392="",0,Z392),"0")</f>
        <v>2.1749999999999999E-2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69</v>
      </c>
      <c r="Q394" s="402"/>
      <c r="R394" s="402"/>
      <c r="S394" s="402"/>
      <c r="T394" s="402"/>
      <c r="U394" s="402"/>
      <c r="V394" s="403"/>
      <c r="W394" s="37" t="s">
        <v>68</v>
      </c>
      <c r="X394" s="382">
        <f>IFERROR(SUM(X390:X392),"0")</f>
        <v>7</v>
      </c>
      <c r="Y394" s="382">
        <f>IFERROR(SUM(Y390:Y392),"0")</f>
        <v>7.8</v>
      </c>
      <c r="Z394" s="37"/>
      <c r="AA394" s="383"/>
      <c r="AB394" s="383"/>
      <c r="AC394" s="383"/>
    </row>
    <row r="395" spans="1:68" ht="14.25" customHeight="1" x14ac:dyDescent="0.25">
      <c r="A395" s="431" t="s">
        <v>166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80">
        <v>40</v>
      </c>
      <c r="Y396" s="381">
        <f>IFERROR(IF(X396="",0,CEILING((X396/$H396),1)*$H396),"")</f>
        <v>46.8</v>
      </c>
      <c r="Z396" s="36">
        <f>IFERROR(IF(Y396=0,"",ROUNDUP(Y396/H396,0)*0.02175),"")</f>
        <v>0.1305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42.892307692307703</v>
      </c>
      <c r="BN396" s="64">
        <f>IFERROR(Y396*I396/H396,"0")</f>
        <v>50.184000000000005</v>
      </c>
      <c r="BO396" s="64">
        <f>IFERROR(1/J396*(X396/H396),"0")</f>
        <v>9.1575091575091583E-2</v>
      </c>
      <c r="BP396" s="64">
        <f>IFERROR(1/J396*(Y396/H396),"0")</f>
        <v>0.10714285714285714</v>
      </c>
    </row>
    <row r="397" spans="1:68" ht="16.5" customHeight="1" x14ac:dyDescent="0.25">
      <c r="A397" s="54" t="s">
        <v>501</v>
      </c>
      <c r="B397" s="54" t="s">
        <v>503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69</v>
      </c>
      <c r="Q398" s="402"/>
      <c r="R398" s="402"/>
      <c r="S398" s="402"/>
      <c r="T398" s="402"/>
      <c r="U398" s="402"/>
      <c r="V398" s="403"/>
      <c r="W398" s="37" t="s">
        <v>70</v>
      </c>
      <c r="X398" s="382">
        <f>IFERROR(X396/H396,"0")+IFERROR(X397/H397,"0")</f>
        <v>5.1282051282051286</v>
      </c>
      <c r="Y398" s="382">
        <f>IFERROR(Y396/H396,"0")+IFERROR(Y397/H397,"0")</f>
        <v>6</v>
      </c>
      <c r="Z398" s="382">
        <f>IFERROR(IF(Z396="",0,Z396),"0")+IFERROR(IF(Z397="",0,Z397),"0")</f>
        <v>0.1305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69</v>
      </c>
      <c r="Q399" s="402"/>
      <c r="R399" s="402"/>
      <c r="S399" s="402"/>
      <c r="T399" s="402"/>
      <c r="U399" s="402"/>
      <c r="V399" s="403"/>
      <c r="W399" s="37" t="s">
        <v>68</v>
      </c>
      <c r="X399" s="382">
        <f>IFERROR(SUM(X396:X397),"0")</f>
        <v>40</v>
      </c>
      <c r="Y399" s="382">
        <f>IFERROR(SUM(Y396:Y397),"0")</f>
        <v>46.8</v>
      </c>
      <c r="Z399" s="37"/>
      <c r="AA399" s="383"/>
      <c r="AB399" s="383"/>
      <c r="AC399" s="383"/>
    </row>
    <row r="400" spans="1:68" ht="16.5" customHeight="1" x14ac:dyDescent="0.25">
      <c r="A400" s="397" t="s">
        <v>504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5"/>
      <c r="AB400" s="375"/>
      <c r="AC400" s="375"/>
    </row>
    <row r="401" spans="1:68" ht="14.25" customHeight="1" x14ac:dyDescent="0.25">
      <c r="A401" s="431" t="s">
        <v>109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6"/>
      <c r="AB401" s="376"/>
      <c r="AC401" s="376"/>
    </row>
    <row r="402" spans="1:68" ht="27" customHeight="1" x14ac:dyDescent="0.25">
      <c r="A402" s="54" t="s">
        <v>505</v>
      </c>
      <c r="B402" s="54" t="s">
        <v>506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8" t="s">
        <v>507</v>
      </c>
      <c r="Q402" s="387"/>
      <c r="R402" s="387"/>
      <c r="S402" s="387"/>
      <c r="T402" s="388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508</v>
      </c>
      <c r="B403" s="54" t="s">
        <v>509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80">
        <v>50</v>
      </c>
      <c r="Y404" s="381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52</v>
      </c>
      <c r="BN404" s="64">
        <f>IFERROR(Y404*I404/H404,"0")</f>
        <v>62.400000000000006</v>
      </c>
      <c r="BO404" s="64">
        <f>IFERROR(1/J404*(X404/H404),"0")</f>
        <v>7.4404761904761904E-2</v>
      </c>
      <c r="BP404" s="64">
        <f>IFERROR(1/J404*(Y404/H404),"0")</f>
        <v>8.9285714285714274E-2</v>
      </c>
    </row>
    <row r="405" spans="1:68" ht="37.5" customHeight="1" x14ac:dyDescent="0.25">
      <c r="A405" s="54" t="s">
        <v>512</v>
      </c>
      <c r="B405" s="54" t="s">
        <v>513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69</v>
      </c>
      <c r="Q406" s="402"/>
      <c r="R406" s="402"/>
      <c r="S406" s="402"/>
      <c r="T406" s="402"/>
      <c r="U406" s="402"/>
      <c r="V406" s="403"/>
      <c r="W406" s="37" t="s">
        <v>70</v>
      </c>
      <c r="X406" s="382">
        <f>IFERROR(X402/H402,"0")+IFERROR(X403/H403,"0")+IFERROR(X404/H404,"0")+IFERROR(X405/H405,"0")</f>
        <v>4.166666666666667</v>
      </c>
      <c r="Y406" s="382">
        <f>IFERROR(Y402/H402,"0")+IFERROR(Y403/H403,"0")+IFERROR(Y404/H404,"0")+IFERROR(Y405/H405,"0")</f>
        <v>5</v>
      </c>
      <c r="Z406" s="382">
        <f>IFERROR(IF(Z402="",0,Z402),"0")+IFERROR(IF(Z403="",0,Z403),"0")+IFERROR(IF(Z404="",0,Z404),"0")+IFERROR(IF(Z405="",0,Z405),"0")</f>
        <v>0.10874999999999999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69</v>
      </c>
      <c r="Q407" s="402"/>
      <c r="R407" s="402"/>
      <c r="S407" s="402"/>
      <c r="T407" s="402"/>
      <c r="U407" s="402"/>
      <c r="V407" s="403"/>
      <c r="W407" s="37" t="s">
        <v>68</v>
      </c>
      <c r="X407" s="382">
        <f>IFERROR(SUM(X402:X405),"0")</f>
        <v>50</v>
      </c>
      <c r="Y407" s="382">
        <f>IFERROR(SUM(Y402:Y405),"0")</f>
        <v>60</v>
      </c>
      <c r="Z407" s="37"/>
      <c r="AA407" s="383"/>
      <c r="AB407" s="383"/>
      <c r="AC407" s="383"/>
    </row>
    <row r="408" spans="1:68" ht="14.25" customHeight="1" x14ac:dyDescent="0.25">
      <c r="A408" s="431" t="s">
        <v>63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6"/>
      <c r="AB408" s="376"/>
      <c r="AC408" s="376"/>
    </row>
    <row r="409" spans="1:68" ht="27" customHeight="1" x14ac:dyDescent="0.25">
      <c r="A409" s="54" t="s">
        <v>514</v>
      </c>
      <c r="B409" s="54" t="s">
        <v>515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516</v>
      </c>
      <c r="B410" s="54" t="s">
        <v>517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69</v>
      </c>
      <c r="Q411" s="402"/>
      <c r="R411" s="402"/>
      <c r="S411" s="402"/>
      <c r="T411" s="402"/>
      <c r="U411" s="402"/>
      <c r="V411" s="403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69</v>
      </c>
      <c r="Q412" s="402"/>
      <c r="R412" s="402"/>
      <c r="S412" s="402"/>
      <c r="T412" s="402"/>
      <c r="U412" s="402"/>
      <c r="V412" s="403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1" t="s">
        <v>71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6"/>
      <c r="AB413" s="376"/>
      <c r="AC413" s="376"/>
    </row>
    <row r="414" spans="1:68" ht="27" customHeight="1" x14ac:dyDescent="0.25">
      <c r="A414" s="54" t="s">
        <v>518</v>
      </c>
      <c r="B414" s="54" t="s">
        <v>519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2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0">
        <v>40</v>
      </c>
      <c r="Y414" s="381">
        <f>IFERROR(IF(X414="",0,CEILING((X414/$H414),1)*$H414),"")</f>
        <v>46.8</v>
      </c>
      <c r="Z414" s="36">
        <f>IFERROR(IF(Y414=0,"",ROUNDUP(Y414/H414,0)*0.02175),"")</f>
        <v>0.1305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42.892307692307703</v>
      </c>
      <c r="BN414" s="64">
        <f>IFERROR(Y414*I414/H414,"0")</f>
        <v>50.184000000000005</v>
      </c>
      <c r="BO414" s="64">
        <f>IFERROR(1/J414*(X414/H414),"0")</f>
        <v>9.1575091575091583E-2</v>
      </c>
      <c r="BP414" s="64">
        <f>IFERROR(1/J414*(Y414/H414),"0")</f>
        <v>0.10714285714285714</v>
      </c>
    </row>
    <row r="415" spans="1:68" ht="27" customHeight="1" x14ac:dyDescent="0.25">
      <c r="A415" s="54" t="s">
        <v>520</v>
      </c>
      <c r="B415" s="54" t="s">
        <v>521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522</v>
      </c>
      <c r="B416" s="54" t="s">
        <v>523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522</v>
      </c>
      <c r="B417" s="54" t="s">
        <v>524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525</v>
      </c>
      <c r="B418" s="54" t="s">
        <v>526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69</v>
      </c>
      <c r="Q419" s="402"/>
      <c r="R419" s="402"/>
      <c r="S419" s="402"/>
      <c r="T419" s="402"/>
      <c r="U419" s="402"/>
      <c r="V419" s="403"/>
      <c r="W419" s="37" t="s">
        <v>70</v>
      </c>
      <c r="X419" s="382">
        <f>IFERROR(X414/H414,"0")+IFERROR(X415/H415,"0")+IFERROR(X416/H416,"0")+IFERROR(X417/H417,"0")+IFERROR(X418/H418,"0")</f>
        <v>5.1282051282051286</v>
      </c>
      <c r="Y419" s="382">
        <f>IFERROR(Y414/H414,"0")+IFERROR(Y415/H415,"0")+IFERROR(Y416/H416,"0")+IFERROR(Y417/H417,"0")+IFERROR(Y418/H418,"0")</f>
        <v>6</v>
      </c>
      <c r="Z419" s="382">
        <f>IFERROR(IF(Z414="",0,Z414),"0")+IFERROR(IF(Z415="",0,Z415),"0")+IFERROR(IF(Z416="",0,Z416),"0")+IFERROR(IF(Z417="",0,Z417),"0")+IFERROR(IF(Z418="",0,Z418),"0")</f>
        <v>0.1305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69</v>
      </c>
      <c r="Q420" s="402"/>
      <c r="R420" s="402"/>
      <c r="S420" s="402"/>
      <c r="T420" s="402"/>
      <c r="U420" s="402"/>
      <c r="V420" s="403"/>
      <c r="W420" s="37" t="s">
        <v>68</v>
      </c>
      <c r="X420" s="382">
        <f>IFERROR(SUM(X414:X418),"0")</f>
        <v>40</v>
      </c>
      <c r="Y420" s="382">
        <f>IFERROR(SUM(Y414:Y418),"0")</f>
        <v>46.8</v>
      </c>
      <c r="Z420" s="37"/>
      <c r="AA420" s="383"/>
      <c r="AB420" s="383"/>
      <c r="AC420" s="383"/>
    </row>
    <row r="421" spans="1:68" ht="14.25" customHeight="1" x14ac:dyDescent="0.25">
      <c r="A421" s="431" t="s">
        <v>166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6"/>
      <c r="AB421" s="376"/>
      <c r="AC421" s="376"/>
    </row>
    <row r="422" spans="1:68" ht="27" customHeight="1" x14ac:dyDescent="0.25">
      <c r="A422" s="54" t="s">
        <v>527</v>
      </c>
      <c r="B422" s="54" t="s">
        <v>528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69</v>
      </c>
      <c r="Q423" s="402"/>
      <c r="R423" s="402"/>
      <c r="S423" s="402"/>
      <c r="T423" s="402"/>
      <c r="U423" s="402"/>
      <c r="V423" s="403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69</v>
      </c>
      <c r="Q424" s="402"/>
      <c r="R424" s="402"/>
      <c r="S424" s="402"/>
      <c r="T424" s="402"/>
      <c r="U424" s="402"/>
      <c r="V424" s="403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529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530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5"/>
      <c r="AB426" s="375"/>
      <c r="AC426" s="375"/>
    </row>
    <row r="427" spans="1:68" ht="14.25" customHeight="1" x14ac:dyDescent="0.25">
      <c r="A427" s="431" t="s">
        <v>109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6"/>
      <c r="AB427" s="376"/>
      <c r="AC427" s="376"/>
    </row>
    <row r="428" spans="1:68" ht="27" customHeight="1" x14ac:dyDescent="0.25">
      <c r="A428" s="54" t="s">
        <v>531</v>
      </c>
      <c r="B428" s="54" t="s">
        <v>532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69</v>
      </c>
      <c r="Q429" s="402"/>
      <c r="R429" s="402"/>
      <c r="S429" s="402"/>
      <c r="T429" s="402"/>
      <c r="U429" s="402"/>
      <c r="V429" s="403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69</v>
      </c>
      <c r="Q430" s="402"/>
      <c r="R430" s="402"/>
      <c r="S430" s="402"/>
      <c r="T430" s="402"/>
      <c r="U430" s="402"/>
      <c r="V430" s="403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1" t="s">
        <v>63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6"/>
      <c r="AB431" s="376"/>
      <c r="AC431" s="376"/>
    </row>
    <row r="432" spans="1:68" ht="27" customHeight="1" x14ac:dyDescent="0.25">
      <c r="A432" s="54" t="s">
        <v>533</v>
      </c>
      <c r="B432" s="54" t="s">
        <v>534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80">
        <v>50</v>
      </c>
      <c r="Y433" s="381">
        <f t="shared" si="72"/>
        <v>50.400000000000006</v>
      </c>
      <c r="Z433" s="36">
        <f>IFERROR(IF(Y433=0,"",ROUNDUP(Y433/H433,0)*0.00753),"")</f>
        <v>9.0359999999999996E-2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52.738095238095234</v>
      </c>
      <c r="BN433" s="64">
        <f t="shared" si="74"/>
        <v>53.160000000000004</v>
      </c>
      <c r="BO433" s="64">
        <f t="shared" si="75"/>
        <v>7.6312576312576319E-2</v>
      </c>
      <c r="BP433" s="64">
        <f t="shared" si="76"/>
        <v>7.6923076923076927E-2</v>
      </c>
    </row>
    <row r="434" spans="1:68" ht="27" customHeight="1" x14ac:dyDescent="0.25">
      <c r="A434" s="54" t="s">
        <v>536</v>
      </c>
      <c r="B434" s="54" t="s">
        <v>537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80">
        <v>60</v>
      </c>
      <c r="Y435" s="381">
        <f t="shared" si="72"/>
        <v>63</v>
      </c>
      <c r="Z435" s="36">
        <f>IFERROR(IF(Y435=0,"",ROUNDUP(Y435/H435,0)*0.00753),"")</f>
        <v>0.11295000000000001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63.28571428571427</v>
      </c>
      <c r="BN435" s="64">
        <f t="shared" si="74"/>
        <v>66.449999999999989</v>
      </c>
      <c r="BO435" s="64">
        <f t="shared" si="75"/>
        <v>9.1575091575091569E-2</v>
      </c>
      <c r="BP435" s="64">
        <f t="shared" si="76"/>
        <v>9.6153846153846145E-2</v>
      </c>
    </row>
    <row r="436" spans="1:68" ht="27" customHeight="1" x14ac:dyDescent="0.25">
      <c r="A436" s="54" t="s">
        <v>538</v>
      </c>
      <c r="B436" s="54" t="s">
        <v>540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541</v>
      </c>
      <c r="B437" s="54" t="s">
        <v>542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541</v>
      </c>
      <c r="B438" s="54" t="s">
        <v>543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544</v>
      </c>
      <c r="B439" s="54" t="s">
        <v>545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0">
        <v>52.5</v>
      </c>
      <c r="Y440" s="381">
        <f t="shared" si="72"/>
        <v>52.5</v>
      </c>
      <c r="Z440" s="36">
        <f t="shared" si="77"/>
        <v>0.1255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55.75</v>
      </c>
      <c r="BN440" s="64">
        <f t="shared" si="74"/>
        <v>55.75</v>
      </c>
      <c r="BO440" s="64">
        <f t="shared" si="75"/>
        <v>0.10683760683760685</v>
      </c>
      <c r="BP440" s="64">
        <f t="shared" si="76"/>
        <v>0.10683760683760685</v>
      </c>
    </row>
    <row r="441" spans="1:68" ht="37.5" customHeight="1" x14ac:dyDescent="0.25">
      <c r="A441" s="54" t="s">
        <v>547</v>
      </c>
      <c r="B441" s="54" t="s">
        <v>548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547</v>
      </c>
      <c r="B442" s="54" t="s">
        <v>549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80">
        <v>24.5</v>
      </c>
      <c r="Y443" s="381">
        <f t="shared" si="72"/>
        <v>25.200000000000003</v>
      </c>
      <c r="Z443" s="36">
        <f t="shared" si="77"/>
        <v>6.0240000000000002E-2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26.016666666666666</v>
      </c>
      <c r="BN443" s="64">
        <f t="shared" si="74"/>
        <v>26.76</v>
      </c>
      <c r="BO443" s="64">
        <f t="shared" si="75"/>
        <v>4.9857549857549859E-2</v>
      </c>
      <c r="BP443" s="64">
        <f t="shared" si="76"/>
        <v>5.1282051282051287E-2</v>
      </c>
    </row>
    <row r="444" spans="1:68" ht="37.5" customHeight="1" x14ac:dyDescent="0.25">
      <c r="A444" s="54" t="s">
        <v>550</v>
      </c>
      <c r="B444" s="54" t="s">
        <v>552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8" t="s">
        <v>553</v>
      </c>
      <c r="Q444" s="387"/>
      <c r="R444" s="387"/>
      <c r="S444" s="387"/>
      <c r="T444" s="388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554</v>
      </c>
      <c r="B445" s="54" t="s">
        <v>555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554</v>
      </c>
      <c r="B446" s="54" t="s">
        <v>556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557</v>
      </c>
      <c r="B447" s="54" t="s">
        <v>558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0">
        <v>87.5</v>
      </c>
      <c r="Y448" s="381">
        <f t="shared" si="72"/>
        <v>88.2</v>
      </c>
      <c r="Z448" s="36">
        <f t="shared" si="77"/>
        <v>0.21084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92.916666666666657</v>
      </c>
      <c r="BN448" s="64">
        <f t="shared" si="74"/>
        <v>93.66</v>
      </c>
      <c r="BO448" s="64">
        <f t="shared" si="75"/>
        <v>0.17806267806267806</v>
      </c>
      <c r="BP448" s="64">
        <f t="shared" si="76"/>
        <v>0.17948717948717952</v>
      </c>
    </row>
    <row r="449" spans="1:68" ht="37.5" customHeight="1" x14ac:dyDescent="0.25">
      <c r="A449" s="54" t="s">
        <v>560</v>
      </c>
      <c r="B449" s="54" t="s">
        <v>561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562</v>
      </c>
      <c r="B450" s="54" t="s">
        <v>563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562</v>
      </c>
      <c r="B451" s="54" t="s">
        <v>564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80">
        <v>84.000000000000014</v>
      </c>
      <c r="Y452" s="381">
        <f t="shared" si="72"/>
        <v>84</v>
      </c>
      <c r="Z452" s="36">
        <f>IFERROR(IF(Y452=0,"",ROUNDUP(Y452/H452,0)*0.00753),"")</f>
        <v>0.3765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130.00000000000003</v>
      </c>
      <c r="BN452" s="64">
        <f t="shared" si="74"/>
        <v>130</v>
      </c>
      <c r="BO452" s="64">
        <f t="shared" si="75"/>
        <v>0.32051282051282054</v>
      </c>
      <c r="BP452" s="64">
        <f t="shared" si="76"/>
        <v>0.32051282051282048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69</v>
      </c>
      <c r="Q453" s="402"/>
      <c r="R453" s="402"/>
      <c r="S453" s="402"/>
      <c r="T453" s="402"/>
      <c r="U453" s="402"/>
      <c r="V453" s="403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154.52380952380952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156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0.97639000000000009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69</v>
      </c>
      <c r="Q454" s="402"/>
      <c r="R454" s="402"/>
      <c r="S454" s="402"/>
      <c r="T454" s="402"/>
      <c r="U454" s="402"/>
      <c r="V454" s="403"/>
      <c r="W454" s="37" t="s">
        <v>68</v>
      </c>
      <c r="X454" s="382">
        <f>IFERROR(SUM(X432:X452),"0")</f>
        <v>358.5</v>
      </c>
      <c r="Y454" s="382">
        <f>IFERROR(SUM(Y432:Y452),"0")</f>
        <v>363.3</v>
      </c>
      <c r="Z454" s="37"/>
      <c r="AA454" s="383"/>
      <c r="AB454" s="383"/>
      <c r="AC454" s="383"/>
    </row>
    <row r="455" spans="1:68" ht="14.25" customHeight="1" x14ac:dyDescent="0.25">
      <c r="A455" s="431" t="s">
        <v>71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6"/>
      <c r="AB455" s="376"/>
      <c r="AC455" s="376"/>
    </row>
    <row r="456" spans="1:68" ht="27" customHeight="1" x14ac:dyDescent="0.25">
      <c r="A456" s="54" t="s">
        <v>567</v>
      </c>
      <c r="B456" s="54" t="s">
        <v>568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569</v>
      </c>
      <c r="B457" s="54" t="s">
        <v>570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69</v>
      </c>
      <c r="Q458" s="402"/>
      <c r="R458" s="402"/>
      <c r="S458" s="402"/>
      <c r="T458" s="402"/>
      <c r="U458" s="402"/>
      <c r="V458" s="403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69</v>
      </c>
      <c r="Q459" s="402"/>
      <c r="R459" s="402"/>
      <c r="S459" s="402"/>
      <c r="T459" s="402"/>
      <c r="U459" s="402"/>
      <c r="V459" s="403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1" t="s">
        <v>95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5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80">
        <v>1.8</v>
      </c>
      <c r="Y461" s="381">
        <f>IFERROR(IF(X461="",0,CEILING((X461/$H461),1)*$H461),"")</f>
        <v>2.4</v>
      </c>
      <c r="Z461" s="36">
        <f>IFERROR(IF(Y461=0,"",ROUNDUP(Y461/H461,0)*0.00627),"")</f>
        <v>1.2540000000000001E-2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2.7</v>
      </c>
      <c r="BN461" s="64">
        <f>IFERROR(Y461*I461/H461,"0")</f>
        <v>3.6000000000000005</v>
      </c>
      <c r="BO461" s="64">
        <f>IFERROR(1/J461*(X461/H461),"0")</f>
        <v>7.4999999999999997E-3</v>
      </c>
      <c r="BP461" s="64">
        <f>IFERROR(1/J461*(Y461/H461),"0")</f>
        <v>0.01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69</v>
      </c>
      <c r="Q462" s="402"/>
      <c r="R462" s="402"/>
      <c r="S462" s="402"/>
      <c r="T462" s="402"/>
      <c r="U462" s="402"/>
      <c r="V462" s="403"/>
      <c r="W462" s="37" t="s">
        <v>70</v>
      </c>
      <c r="X462" s="382">
        <f>IFERROR(X461/H461,"0")</f>
        <v>1.5</v>
      </c>
      <c r="Y462" s="382">
        <f>IFERROR(Y461/H461,"0")</f>
        <v>2</v>
      </c>
      <c r="Z462" s="382">
        <f>IFERROR(IF(Z461="",0,Z461),"0")</f>
        <v>1.2540000000000001E-2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69</v>
      </c>
      <c r="Q463" s="402"/>
      <c r="R463" s="402"/>
      <c r="S463" s="402"/>
      <c r="T463" s="402"/>
      <c r="U463" s="402"/>
      <c r="V463" s="403"/>
      <c r="W463" s="37" t="s">
        <v>68</v>
      </c>
      <c r="X463" s="382">
        <f>IFERROR(SUM(X461:X461),"0")</f>
        <v>1.8</v>
      </c>
      <c r="Y463" s="382">
        <f>IFERROR(SUM(Y461:Y461),"0")</f>
        <v>2.4</v>
      </c>
      <c r="Z463" s="37"/>
      <c r="AA463" s="383"/>
      <c r="AB463" s="383"/>
      <c r="AC463" s="383"/>
    </row>
    <row r="464" spans="1:68" ht="16.5" customHeight="1" x14ac:dyDescent="0.25">
      <c r="A464" s="397" t="s">
        <v>575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5"/>
      <c r="AB464" s="375"/>
      <c r="AC464" s="375"/>
    </row>
    <row r="465" spans="1:68" ht="14.25" customHeight="1" x14ac:dyDescent="0.25">
      <c r="A465" s="431" t="s">
        <v>145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6"/>
      <c r="AB465" s="376"/>
      <c r="AC465" s="376"/>
    </row>
    <row r="466" spans="1:68" ht="27" customHeight="1" x14ac:dyDescent="0.25">
      <c r="A466" s="54" t="s">
        <v>576</v>
      </c>
      <c r="B466" s="54" t="s">
        <v>577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69</v>
      </c>
      <c r="Q467" s="402"/>
      <c r="R467" s="402"/>
      <c r="S467" s="402"/>
      <c r="T467" s="402"/>
      <c r="U467" s="402"/>
      <c r="V467" s="403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69</v>
      </c>
      <c r="Q468" s="402"/>
      <c r="R468" s="402"/>
      <c r="S468" s="402"/>
      <c r="T468" s="402"/>
      <c r="U468" s="402"/>
      <c r="V468" s="403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1" t="s">
        <v>63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6"/>
      <c r="AB469" s="376"/>
      <c r="AC469" s="376"/>
    </row>
    <row r="470" spans="1:68" ht="27" customHeight="1" x14ac:dyDescent="0.25">
      <c r="A470" s="54" t="s">
        <v>578</v>
      </c>
      <c r="B470" s="54" t="s">
        <v>579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68</v>
      </c>
      <c r="X470" s="380">
        <v>50</v>
      </c>
      <c r="Y470" s="381">
        <f t="shared" ref="Y470:Y475" si="78">IFERROR(IF(X470="",0,CEILING((X470/$H470),1)*$H470),"")</f>
        <v>50.400000000000006</v>
      </c>
      <c r="Z470" s="36">
        <f>IFERROR(IF(Y470=0,"",ROUNDUP(Y470/H470,0)*0.00753),"")</f>
        <v>9.0359999999999996E-2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52.738095238095234</v>
      </c>
      <c r="BN470" s="64">
        <f t="shared" ref="BN470:BN475" si="80">IFERROR(Y470*I470/H470,"0")</f>
        <v>53.160000000000004</v>
      </c>
      <c r="BO470" s="64">
        <f t="shared" ref="BO470:BO475" si="81">IFERROR(1/J470*(X470/H470),"0")</f>
        <v>7.6312576312576319E-2</v>
      </c>
      <c r="BP470" s="64">
        <f t="shared" ref="BP470:BP475" si="82">IFERROR(1/J470*(Y470/H470),"0")</f>
        <v>7.6923076923076927E-2</v>
      </c>
    </row>
    <row r="471" spans="1:68" ht="27" customHeight="1" x14ac:dyDescent="0.25">
      <c r="A471" s="54" t="s">
        <v>578</v>
      </c>
      <c r="B471" s="54" t="s">
        <v>580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581</v>
      </c>
      <c r="B472" s="54" t="s">
        <v>582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583</v>
      </c>
      <c r="B473" s="54" t="s">
        <v>584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585</v>
      </c>
      <c r="B474" s="54" t="s">
        <v>586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69</v>
      </c>
      <c r="Q476" s="402"/>
      <c r="R476" s="402"/>
      <c r="S476" s="402"/>
      <c r="T476" s="402"/>
      <c r="U476" s="402"/>
      <c r="V476" s="403"/>
      <c r="W476" s="37" t="s">
        <v>70</v>
      </c>
      <c r="X476" s="382">
        <f>IFERROR(X470/H470,"0")+IFERROR(X471/H471,"0")+IFERROR(X472/H472,"0")+IFERROR(X473/H473,"0")+IFERROR(X474/H474,"0")+IFERROR(X475/H475,"0")</f>
        <v>20.238095238095237</v>
      </c>
      <c r="Y476" s="382">
        <f>IFERROR(Y470/H470,"0")+IFERROR(Y471/H471,"0")+IFERROR(Y472/H472,"0")+IFERROR(Y473/H473,"0")+IFERROR(Y474/H474,"0")+IFERROR(Y475/H475,"0")</f>
        <v>21</v>
      </c>
      <c r="Z476" s="382">
        <f>IFERROR(IF(Z470="",0,Z470),"0")+IFERROR(IF(Z471="",0,Z471),"0")+IFERROR(IF(Z472="",0,Z472),"0")+IFERROR(IF(Z473="",0,Z473),"0")+IFERROR(IF(Z474="",0,Z474),"0")+IFERROR(IF(Z475="",0,Z475),"0")</f>
        <v>0.13553999999999999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69</v>
      </c>
      <c r="Q477" s="402"/>
      <c r="R477" s="402"/>
      <c r="S477" s="402"/>
      <c r="T477" s="402"/>
      <c r="U477" s="402"/>
      <c r="V477" s="403"/>
      <c r="W477" s="37" t="s">
        <v>68</v>
      </c>
      <c r="X477" s="382">
        <f>IFERROR(SUM(X470:X475),"0")</f>
        <v>67.5</v>
      </c>
      <c r="Y477" s="382">
        <f>IFERROR(SUM(Y470:Y475),"0")</f>
        <v>69.300000000000011</v>
      </c>
      <c r="Z477" s="37"/>
      <c r="AA477" s="383"/>
      <c r="AB477" s="383"/>
      <c r="AC477" s="383"/>
    </row>
    <row r="478" spans="1:68" ht="14.25" customHeight="1" x14ac:dyDescent="0.25">
      <c r="A478" s="431" t="s">
        <v>104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0">
        <v>3.3</v>
      </c>
      <c r="Y479" s="381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69</v>
      </c>
      <c r="Q480" s="402"/>
      <c r="R480" s="402"/>
      <c r="S480" s="402"/>
      <c r="T480" s="402"/>
      <c r="U480" s="402"/>
      <c r="V480" s="403"/>
      <c r="W480" s="37" t="s">
        <v>70</v>
      </c>
      <c r="X480" s="382">
        <f>IFERROR(X479/H479,"0")</f>
        <v>2.4999999999999996</v>
      </c>
      <c r="Y480" s="382">
        <f>IFERROR(Y479/H479,"0")</f>
        <v>3</v>
      </c>
      <c r="Z480" s="382">
        <f>IFERROR(IF(Z479="",0,Z479),"0")</f>
        <v>1.881E-2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69</v>
      </c>
      <c r="Q481" s="402"/>
      <c r="R481" s="402"/>
      <c r="S481" s="402"/>
      <c r="T481" s="402"/>
      <c r="U481" s="402"/>
      <c r="V481" s="403"/>
      <c r="W481" s="37" t="s">
        <v>68</v>
      </c>
      <c r="X481" s="382">
        <f>IFERROR(SUM(X479:X479),"0")</f>
        <v>3.3</v>
      </c>
      <c r="Y481" s="382">
        <f>IFERROR(SUM(Y479:Y479),"0")</f>
        <v>3.96</v>
      </c>
      <c r="Z481" s="37"/>
      <c r="AA481" s="383"/>
      <c r="AB481" s="383"/>
      <c r="AC481" s="383"/>
    </row>
    <row r="482" spans="1:68" ht="16.5" customHeight="1" x14ac:dyDescent="0.25">
      <c r="A482" s="397" t="s">
        <v>590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5"/>
      <c r="AB482" s="375"/>
      <c r="AC482" s="375"/>
    </row>
    <row r="483" spans="1:68" ht="14.25" customHeight="1" x14ac:dyDescent="0.25">
      <c r="A483" s="431" t="s">
        <v>63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80">
        <v>6</v>
      </c>
      <c r="Y484" s="381">
        <f>IFERROR(IF(X484="",0,CEILING((X484/$H484),1)*$H484),"")</f>
        <v>6</v>
      </c>
      <c r="Z484" s="36">
        <f>IFERROR(IF(Y484=0,"",ROUNDUP(Y484/H484,0)*0.00502),"")</f>
        <v>2.5100000000000001E-2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6.8600000000000012</v>
      </c>
      <c r="BN484" s="64">
        <f>IFERROR(Y484*I484/H484,"0")</f>
        <v>6.8600000000000012</v>
      </c>
      <c r="BO484" s="64">
        <f>IFERROR(1/J484*(X484/H484),"0")</f>
        <v>2.1367521367521368E-2</v>
      </c>
      <c r="BP484" s="64">
        <f>IFERROR(1/J484*(Y484/H484),"0")</f>
        <v>2.1367521367521368E-2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80">
        <v>4</v>
      </c>
      <c r="Y485" s="381">
        <f>IFERROR(IF(X485="",0,CEILING((X485/$H485),1)*$H485),"")</f>
        <v>4.8</v>
      </c>
      <c r="Z485" s="36">
        <f>IFERROR(IF(Y485=0,"",ROUNDUP(Y485/H485,0)*0.00502),"")</f>
        <v>2.0080000000000001E-2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4.3333333333333339</v>
      </c>
      <c r="BN485" s="64">
        <f>IFERROR(Y485*I485/H485,"0")</f>
        <v>5.2</v>
      </c>
      <c r="BO485" s="64">
        <f>IFERROR(1/J485*(X485/H485),"0")</f>
        <v>1.4245014245014247E-2</v>
      </c>
      <c r="BP485" s="64">
        <f>IFERROR(1/J485*(Y485/H485),"0")</f>
        <v>1.7094017094017096E-2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80">
        <v>12</v>
      </c>
      <c r="Y486" s="381">
        <f>IFERROR(IF(X486="",0,CEILING((X486/$H486),1)*$H486),"")</f>
        <v>12</v>
      </c>
      <c r="Z486" s="36">
        <f>IFERROR(IF(Y486=0,"",ROUNDUP(Y486/H486,0)*0.00502),"")</f>
        <v>5.0200000000000002E-2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20.200000000000003</v>
      </c>
      <c r="BN486" s="64">
        <f>IFERROR(Y486*I486/H486,"0")</f>
        <v>20.200000000000003</v>
      </c>
      <c r="BO486" s="64">
        <f>IFERROR(1/J486*(X486/H486),"0")</f>
        <v>4.2735042735042736E-2</v>
      </c>
      <c r="BP486" s="64">
        <f>IFERROR(1/J486*(Y486/H486),"0")</f>
        <v>4.2735042735042736E-2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69</v>
      </c>
      <c r="Q487" s="402"/>
      <c r="R487" s="402"/>
      <c r="S487" s="402"/>
      <c r="T487" s="402"/>
      <c r="U487" s="402"/>
      <c r="V487" s="403"/>
      <c r="W487" s="37" t="s">
        <v>70</v>
      </c>
      <c r="X487" s="382">
        <f>IFERROR(X484/H484,"0")+IFERROR(X485/H485,"0")+IFERROR(X486/H486,"0")</f>
        <v>18.333333333333336</v>
      </c>
      <c r="Y487" s="382">
        <f>IFERROR(Y484/H484,"0")+IFERROR(Y485/H485,"0")+IFERROR(Y486/H486,"0")</f>
        <v>19</v>
      </c>
      <c r="Z487" s="382">
        <f>IFERROR(IF(Z484="",0,Z484),"0")+IFERROR(IF(Z485="",0,Z485),"0")+IFERROR(IF(Z486="",0,Z486),"0")</f>
        <v>9.5379999999999993E-2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69</v>
      </c>
      <c r="Q488" s="402"/>
      <c r="R488" s="402"/>
      <c r="S488" s="402"/>
      <c r="T488" s="402"/>
      <c r="U488" s="402"/>
      <c r="V488" s="403"/>
      <c r="W488" s="37" t="s">
        <v>68</v>
      </c>
      <c r="X488" s="382">
        <f>IFERROR(SUM(X484:X486),"0")</f>
        <v>22</v>
      </c>
      <c r="Y488" s="382">
        <f>IFERROR(SUM(Y484:Y486),"0")</f>
        <v>22.8</v>
      </c>
      <c r="Z488" s="37"/>
      <c r="AA488" s="383"/>
      <c r="AB488" s="383"/>
      <c r="AC488" s="383"/>
    </row>
    <row r="489" spans="1:68" ht="16.5" customHeight="1" x14ac:dyDescent="0.25">
      <c r="A489" s="397" t="s">
        <v>597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5"/>
      <c r="AB489" s="375"/>
      <c r="AC489" s="375"/>
    </row>
    <row r="490" spans="1:68" ht="14.25" customHeight="1" x14ac:dyDescent="0.25">
      <c r="A490" s="431" t="s">
        <v>63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6"/>
      <c r="AB490" s="376"/>
      <c r="AC490" s="376"/>
    </row>
    <row r="491" spans="1:68" ht="27" customHeight="1" x14ac:dyDescent="0.25">
      <c r="A491" s="54" t="s">
        <v>598</v>
      </c>
      <c r="B491" s="54" t="s">
        <v>599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69</v>
      </c>
      <c r="Q492" s="402"/>
      <c r="R492" s="402"/>
      <c r="S492" s="402"/>
      <c r="T492" s="402"/>
      <c r="U492" s="402"/>
      <c r="V492" s="403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69</v>
      </c>
      <c r="Q493" s="402"/>
      <c r="R493" s="402"/>
      <c r="S493" s="402"/>
      <c r="T493" s="402"/>
      <c r="U493" s="402"/>
      <c r="V493" s="403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600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600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5"/>
      <c r="AB495" s="375"/>
      <c r="AC495" s="375"/>
    </row>
    <row r="496" spans="1:68" ht="14.25" customHeight="1" x14ac:dyDescent="0.25">
      <c r="A496" s="431" t="s">
        <v>109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80">
        <v>140</v>
      </c>
      <c r="Y497" s="381">
        <f t="shared" ref="Y497:Y504" si="83">IFERROR(IF(X497="",0,CEILING((X497/$H497),1)*$H497),"")</f>
        <v>142.56</v>
      </c>
      <c r="Z497" s="36">
        <f t="shared" ref="Z497:Z502" si="84">IFERROR(IF(Y497=0,"",ROUNDUP(Y497/H497,0)*0.01196),"")</f>
        <v>0.32291999999999998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149.54545454545453</v>
      </c>
      <c r="BN497" s="64">
        <f t="shared" ref="BN497:BN504" si="86">IFERROR(Y497*I497/H497,"0")</f>
        <v>152.27999999999997</v>
      </c>
      <c r="BO497" s="64">
        <f t="shared" ref="BO497:BO504" si="87">IFERROR(1/J497*(X497/H497),"0")</f>
        <v>0.25495337995337997</v>
      </c>
      <c r="BP497" s="64">
        <f t="shared" ref="BP497:BP504" si="88">IFERROR(1/J497*(Y497/H497),"0")</f>
        <v>0.25961538461538464</v>
      </c>
    </row>
    <row r="498" spans="1:68" ht="27" customHeight="1" x14ac:dyDescent="0.25">
      <c r="A498" s="54" t="s">
        <v>603</v>
      </c>
      <c r="B498" s="54" t="s">
        <v>604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605</v>
      </c>
      <c r="B499" s="54" t="s">
        <v>606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80">
        <v>180</v>
      </c>
      <c r="Y500" s="381">
        <f t="shared" si="83"/>
        <v>184.8</v>
      </c>
      <c r="Z500" s="36">
        <f t="shared" si="84"/>
        <v>0.41860000000000003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192.27272727272725</v>
      </c>
      <c r="BN500" s="64">
        <f t="shared" si="86"/>
        <v>197.39999999999998</v>
      </c>
      <c r="BO500" s="64">
        <f t="shared" si="87"/>
        <v>0.32779720279720276</v>
      </c>
      <c r="BP500" s="64">
        <f t="shared" si="88"/>
        <v>0.33653846153846156</v>
      </c>
    </row>
    <row r="501" spans="1:68" ht="16.5" customHeight="1" x14ac:dyDescent="0.25">
      <c r="A501" s="54" t="s">
        <v>609</v>
      </c>
      <c r="B501" s="54" t="s">
        <v>610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80">
        <v>120</v>
      </c>
      <c r="Y502" s="381">
        <f t="shared" si="83"/>
        <v>121.44000000000001</v>
      </c>
      <c r="Z502" s="36">
        <f t="shared" si="84"/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128.18181818181816</v>
      </c>
      <c r="BN502" s="64">
        <f t="shared" si="86"/>
        <v>129.72</v>
      </c>
      <c r="BO502" s="64">
        <f t="shared" si="87"/>
        <v>0.21853146853146854</v>
      </c>
      <c r="BP502" s="64">
        <f t="shared" si="88"/>
        <v>0.22115384615384617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80">
        <v>66</v>
      </c>
      <c r="Y503" s="381">
        <f t="shared" si="83"/>
        <v>68.400000000000006</v>
      </c>
      <c r="Z503" s="36">
        <f>IFERROR(IF(Y503=0,"",ROUNDUP(Y503/H503,0)*0.00937),"")</f>
        <v>0.17802999999999999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70.399999999999991</v>
      </c>
      <c r="BN503" s="64">
        <f t="shared" si="86"/>
        <v>72.959999999999994</v>
      </c>
      <c r="BO503" s="64">
        <f t="shared" si="87"/>
        <v>0.15277777777777776</v>
      </c>
      <c r="BP503" s="64">
        <f t="shared" si="88"/>
        <v>0.15833333333333333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80">
        <v>108</v>
      </c>
      <c r="Y504" s="381">
        <f t="shared" si="83"/>
        <v>108</v>
      </c>
      <c r="Z504" s="36">
        <f>IFERROR(IF(Y504=0,"",ROUNDUP(Y504/H504,0)*0.00937),"")</f>
        <v>0.28110000000000002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115.19999999999999</v>
      </c>
      <c r="BN504" s="64">
        <f t="shared" si="86"/>
        <v>115.19999999999999</v>
      </c>
      <c r="BO504" s="64">
        <f t="shared" si="87"/>
        <v>0.25</v>
      </c>
      <c r="BP504" s="64">
        <f t="shared" si="88"/>
        <v>0.25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69</v>
      </c>
      <c r="Q505" s="402"/>
      <c r="R505" s="402"/>
      <c r="S505" s="402"/>
      <c r="T505" s="402"/>
      <c r="U505" s="402"/>
      <c r="V505" s="403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131.66666666666666</v>
      </c>
      <c r="Y505" s="382">
        <f>IFERROR(Y497/H497,"0")+IFERROR(Y498/H498,"0")+IFERROR(Y499/H499,"0")+IFERROR(Y500/H500,"0")+IFERROR(Y501/H501,"0")+IFERROR(Y502/H502,"0")+IFERROR(Y503/H503,"0")+IFERROR(Y504/H504,"0")</f>
        <v>134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1.47573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69</v>
      </c>
      <c r="Q506" s="402"/>
      <c r="R506" s="402"/>
      <c r="S506" s="402"/>
      <c r="T506" s="402"/>
      <c r="U506" s="402"/>
      <c r="V506" s="403"/>
      <c r="W506" s="37" t="s">
        <v>68</v>
      </c>
      <c r="X506" s="382">
        <f>IFERROR(SUM(X497:X504),"0")</f>
        <v>614</v>
      </c>
      <c r="Y506" s="382">
        <f>IFERROR(SUM(Y497:Y504),"0")</f>
        <v>625.20000000000005</v>
      </c>
      <c r="Z506" s="37"/>
      <c r="AA506" s="383"/>
      <c r="AB506" s="383"/>
      <c r="AC506" s="383"/>
    </row>
    <row r="507" spans="1:68" ht="14.25" customHeight="1" x14ac:dyDescent="0.25">
      <c r="A507" s="431" t="s">
        <v>145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80">
        <v>150</v>
      </c>
      <c r="Y508" s="381">
        <f>IFERROR(IF(X508="",0,CEILING((X508/$H508),1)*$H508),"")</f>
        <v>153.12</v>
      </c>
      <c r="Z508" s="36">
        <f>IFERROR(IF(Y508=0,"",ROUNDUP(Y508/H508,0)*0.01196),"")</f>
        <v>0.34683999999999998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160.22727272727272</v>
      </c>
      <c r="BN508" s="64">
        <f>IFERROR(Y508*I508/H508,"0")</f>
        <v>163.56</v>
      </c>
      <c r="BO508" s="64">
        <f>IFERROR(1/J508*(X508/H508),"0")</f>
        <v>0.27316433566433568</v>
      </c>
      <c r="BP508" s="64">
        <f>IFERROR(1/J508*(Y508/H508),"0")</f>
        <v>0.27884615384615385</v>
      </c>
    </row>
    <row r="509" spans="1:68" ht="16.5" customHeight="1" x14ac:dyDescent="0.25">
      <c r="A509" s="54" t="s">
        <v>619</v>
      </c>
      <c r="B509" s="54" t="s">
        <v>620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69</v>
      </c>
      <c r="Q510" s="402"/>
      <c r="R510" s="402"/>
      <c r="S510" s="402"/>
      <c r="T510" s="402"/>
      <c r="U510" s="402"/>
      <c r="V510" s="403"/>
      <c r="W510" s="37" t="s">
        <v>70</v>
      </c>
      <c r="X510" s="382">
        <f>IFERROR(X508/H508,"0")+IFERROR(X509/H509,"0")</f>
        <v>28.409090909090907</v>
      </c>
      <c r="Y510" s="382">
        <f>IFERROR(Y508/H508,"0")+IFERROR(Y509/H509,"0")</f>
        <v>29</v>
      </c>
      <c r="Z510" s="382">
        <f>IFERROR(IF(Z508="",0,Z508),"0")+IFERROR(IF(Z509="",0,Z509),"0")</f>
        <v>0.34683999999999998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69</v>
      </c>
      <c r="Q511" s="402"/>
      <c r="R511" s="402"/>
      <c r="S511" s="402"/>
      <c r="T511" s="402"/>
      <c r="U511" s="402"/>
      <c r="V511" s="403"/>
      <c r="W511" s="37" t="s">
        <v>68</v>
      </c>
      <c r="X511" s="382">
        <f>IFERROR(SUM(X508:X509),"0")</f>
        <v>150</v>
      </c>
      <c r="Y511" s="382">
        <f>IFERROR(SUM(Y508:Y509),"0")</f>
        <v>153.12</v>
      </c>
      <c r="Z511" s="37"/>
      <c r="AA511" s="383"/>
      <c r="AB511" s="383"/>
      <c r="AC511" s="383"/>
    </row>
    <row r="512" spans="1:68" ht="14.25" customHeight="1" x14ac:dyDescent="0.25">
      <c r="A512" s="431" t="s">
        <v>63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0">
        <v>80</v>
      </c>
      <c r="Y513" s="381">
        <f t="shared" ref="Y513:Y518" si="89">IFERROR(IF(X513="",0,CEILING((X513/$H513),1)*$H513),"")</f>
        <v>84.48</v>
      </c>
      <c r="Z513" s="36">
        <f>IFERROR(IF(Y513=0,"",ROUNDUP(Y513/H513,0)*0.01196),"")</f>
        <v>0.19136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85.454545454545453</v>
      </c>
      <c r="BN513" s="64">
        <f t="shared" ref="BN513:BN518" si="91">IFERROR(Y513*I513/H513,"0")</f>
        <v>90.24</v>
      </c>
      <c r="BO513" s="64">
        <f t="shared" ref="BO513:BO518" si="92">IFERROR(1/J513*(X513/H513),"0")</f>
        <v>0.14568764568764569</v>
      </c>
      <c r="BP513" s="64">
        <f t="shared" ref="BP513:BP518" si="93">IFERROR(1/J513*(Y513/H513),"0")</f>
        <v>0.15384615384615385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0">
        <v>90</v>
      </c>
      <c r="Y514" s="381">
        <f t="shared" si="89"/>
        <v>95.04</v>
      </c>
      <c r="Z514" s="36">
        <f>IFERROR(IF(Y514=0,"",ROUNDUP(Y514/H514,0)*0.01196),"")</f>
        <v>0.21528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96.136363636363626</v>
      </c>
      <c r="BN514" s="64">
        <f t="shared" si="91"/>
        <v>101.52000000000001</v>
      </c>
      <c r="BO514" s="64">
        <f t="shared" si="92"/>
        <v>0.16389860139860138</v>
      </c>
      <c r="BP514" s="64">
        <f t="shared" si="93"/>
        <v>0.17307692307692307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0">
        <v>170</v>
      </c>
      <c r="Y515" s="381">
        <f t="shared" si="89"/>
        <v>174.24</v>
      </c>
      <c r="Z515" s="36">
        <f>IFERROR(IF(Y515=0,"",ROUNDUP(Y515/H515,0)*0.01196),"")</f>
        <v>0.39468000000000003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181.59090909090907</v>
      </c>
      <c r="BN515" s="64">
        <f t="shared" si="91"/>
        <v>186.12</v>
      </c>
      <c r="BO515" s="64">
        <f t="shared" si="92"/>
        <v>0.3095862470862471</v>
      </c>
      <c r="BP515" s="64">
        <f t="shared" si="93"/>
        <v>0.31730769230769235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0">
        <v>48</v>
      </c>
      <c r="Y516" s="381">
        <f t="shared" si="89"/>
        <v>50.4</v>
      </c>
      <c r="Z516" s="36">
        <f>IFERROR(IF(Y516=0,"",ROUNDUP(Y516/H516,0)*0.00937),"")</f>
        <v>0.13117999999999999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51.199999999999996</v>
      </c>
      <c r="BN516" s="64">
        <f t="shared" si="91"/>
        <v>53.76</v>
      </c>
      <c r="BO516" s="64">
        <f t="shared" si="92"/>
        <v>0.1111111111111111</v>
      </c>
      <c r="BP516" s="64">
        <f t="shared" si="93"/>
        <v>0.11666666666666667</v>
      </c>
    </row>
    <row r="517" spans="1:68" ht="27" customHeight="1" x14ac:dyDescent="0.25">
      <c r="A517" s="54" t="s">
        <v>629</v>
      </c>
      <c r="B517" s="54" t="s">
        <v>630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80">
        <v>12</v>
      </c>
      <c r="Y517" s="381">
        <f t="shared" si="89"/>
        <v>14.4</v>
      </c>
      <c r="Z517" s="36">
        <f>IFERROR(IF(Y517=0,"",ROUNDUP(Y517/H517,0)*0.00937),"")</f>
        <v>3.7479999999999999E-2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12.7</v>
      </c>
      <c r="BN517" s="64">
        <f t="shared" si="91"/>
        <v>15.24</v>
      </c>
      <c r="BO517" s="64">
        <f t="shared" si="92"/>
        <v>2.7777777777777776E-2</v>
      </c>
      <c r="BP517" s="64">
        <f t="shared" si="93"/>
        <v>3.3333333333333333E-2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0">
        <v>18</v>
      </c>
      <c r="Y518" s="381">
        <f t="shared" si="89"/>
        <v>18</v>
      </c>
      <c r="Z518" s="36">
        <f>IFERROR(IF(Y518=0,"",ROUNDUP(Y518/H518,0)*0.00937),"")</f>
        <v>4.6850000000000003E-2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19.05</v>
      </c>
      <c r="BN518" s="64">
        <f t="shared" si="91"/>
        <v>19.05</v>
      </c>
      <c r="BO518" s="64">
        <f t="shared" si="92"/>
        <v>4.1666666666666664E-2</v>
      </c>
      <c r="BP518" s="64">
        <f t="shared" si="93"/>
        <v>4.1666666666666664E-2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69</v>
      </c>
      <c r="Q519" s="402"/>
      <c r="R519" s="402"/>
      <c r="S519" s="402"/>
      <c r="T519" s="402"/>
      <c r="U519" s="402"/>
      <c r="V519" s="403"/>
      <c r="W519" s="37" t="s">
        <v>70</v>
      </c>
      <c r="X519" s="382">
        <f>IFERROR(X513/H513,"0")+IFERROR(X514/H514,"0")+IFERROR(X515/H515,"0")+IFERROR(X516/H516,"0")+IFERROR(X517/H517,"0")+IFERROR(X518/H518,"0")</f>
        <v>86.060606060606048</v>
      </c>
      <c r="Y519" s="382">
        <f>IFERROR(Y513/H513,"0")+IFERROR(Y514/H514,"0")+IFERROR(Y515/H515,"0")+IFERROR(Y516/H516,"0")+IFERROR(Y517/H517,"0")+IFERROR(Y518/H518,"0")</f>
        <v>90</v>
      </c>
      <c r="Z519" s="382">
        <f>IFERROR(IF(Z513="",0,Z513),"0")+IFERROR(IF(Z514="",0,Z514),"0")+IFERROR(IF(Z515="",0,Z515),"0")+IFERROR(IF(Z516="",0,Z516),"0")+IFERROR(IF(Z517="",0,Z517),"0")+IFERROR(IF(Z518="",0,Z518),"0")</f>
        <v>1.0168299999999999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69</v>
      </c>
      <c r="Q520" s="402"/>
      <c r="R520" s="402"/>
      <c r="S520" s="402"/>
      <c r="T520" s="402"/>
      <c r="U520" s="402"/>
      <c r="V520" s="403"/>
      <c r="W520" s="37" t="s">
        <v>68</v>
      </c>
      <c r="X520" s="382">
        <f>IFERROR(SUM(X513:X518),"0")</f>
        <v>418</v>
      </c>
      <c r="Y520" s="382">
        <f>IFERROR(SUM(Y513:Y518),"0")</f>
        <v>436.55999999999995</v>
      </c>
      <c r="Z520" s="37"/>
      <c r="AA520" s="383"/>
      <c r="AB520" s="383"/>
      <c r="AC520" s="383"/>
    </row>
    <row r="521" spans="1:68" ht="14.25" customHeight="1" x14ac:dyDescent="0.25">
      <c r="A521" s="431" t="s">
        <v>71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6"/>
      <c r="AB521" s="376"/>
      <c r="AC521" s="376"/>
    </row>
    <row r="522" spans="1:68" ht="16.5" customHeight="1" x14ac:dyDescent="0.25">
      <c r="A522" s="54" t="s">
        <v>633</v>
      </c>
      <c r="B522" s="54" t="s">
        <v>634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635</v>
      </c>
      <c r="B523" s="54" t="s">
        <v>636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637</v>
      </c>
      <c r="B524" s="54" t="s">
        <v>638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69</v>
      </c>
      <c r="Q525" s="402"/>
      <c r="R525" s="402"/>
      <c r="S525" s="402"/>
      <c r="T525" s="402"/>
      <c r="U525" s="402"/>
      <c r="V525" s="403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69</v>
      </c>
      <c r="Q526" s="402"/>
      <c r="R526" s="402"/>
      <c r="S526" s="402"/>
      <c r="T526" s="402"/>
      <c r="U526" s="402"/>
      <c r="V526" s="403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1" t="s">
        <v>166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6"/>
      <c r="AB527" s="376"/>
      <c r="AC527" s="376"/>
    </row>
    <row r="528" spans="1:68" ht="16.5" customHeight="1" x14ac:dyDescent="0.25">
      <c r="A528" s="54" t="s">
        <v>639</v>
      </c>
      <c r="B528" s="54" t="s">
        <v>640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69</v>
      </c>
      <c r="Q529" s="402"/>
      <c r="R529" s="402"/>
      <c r="S529" s="402"/>
      <c r="T529" s="402"/>
      <c r="U529" s="402"/>
      <c r="V529" s="403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69</v>
      </c>
      <c r="Q530" s="402"/>
      <c r="R530" s="402"/>
      <c r="S530" s="402"/>
      <c r="T530" s="402"/>
      <c r="U530" s="402"/>
      <c r="V530" s="403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641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641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5"/>
      <c r="AB532" s="375"/>
      <c r="AC532" s="375"/>
    </row>
    <row r="533" spans="1:68" ht="14.25" customHeight="1" x14ac:dyDescent="0.25">
      <c r="A533" s="431" t="s">
        <v>109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6"/>
      <c r="AB533" s="376"/>
      <c r="AC533" s="376"/>
    </row>
    <row r="534" spans="1:68" ht="27" customHeight="1" x14ac:dyDescent="0.25">
      <c r="A534" s="54" t="s">
        <v>642</v>
      </c>
      <c r="B534" s="54" t="s">
        <v>643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5" t="s">
        <v>644</v>
      </c>
      <c r="Q534" s="387"/>
      <c r="R534" s="387"/>
      <c r="S534" s="387"/>
      <c r="T534" s="388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645</v>
      </c>
      <c r="B535" s="54" t="s">
        <v>646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33" t="s">
        <v>647</v>
      </c>
      <c r="Q535" s="387"/>
      <c r="R535" s="387"/>
      <c r="S535" s="387"/>
      <c r="T535" s="388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34" t="s">
        <v>650</v>
      </c>
      <c r="Q536" s="387"/>
      <c r="R536" s="387"/>
      <c r="S536" s="387"/>
      <c r="T536" s="388"/>
      <c r="U536" s="34"/>
      <c r="V536" s="34"/>
      <c r="W536" s="35" t="s">
        <v>68</v>
      </c>
      <c r="X536" s="380">
        <v>30</v>
      </c>
      <c r="Y536" s="381">
        <f t="shared" si="94"/>
        <v>36</v>
      </c>
      <c r="Z536" s="36">
        <f>IFERROR(IF(Y536=0,"",ROUNDUP(Y536/H536,0)*0.02175),"")</f>
        <v>6.5250000000000002E-2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31.200000000000003</v>
      </c>
      <c r="BN536" s="64">
        <f t="shared" si="96"/>
        <v>37.440000000000005</v>
      </c>
      <c r="BO536" s="64">
        <f t="shared" si="97"/>
        <v>4.4642857142857137E-2</v>
      </c>
      <c r="BP536" s="64">
        <f t="shared" si="98"/>
        <v>5.3571428571428568E-2</v>
      </c>
    </row>
    <row r="537" spans="1:68" ht="27" customHeight="1" x14ac:dyDescent="0.25">
      <c r="A537" s="54" t="s">
        <v>651</v>
      </c>
      <c r="B537" s="54" t="s">
        <v>652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4" t="s">
        <v>653</v>
      </c>
      <c r="Q537" s="387"/>
      <c r="R537" s="387"/>
      <c r="S537" s="387"/>
      <c r="T537" s="388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654</v>
      </c>
      <c r="B538" s="54" t="s">
        <v>655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7" t="s">
        <v>656</v>
      </c>
      <c r="Q538" s="387"/>
      <c r="R538" s="387"/>
      <c r="S538" s="387"/>
      <c r="T538" s="388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657</v>
      </c>
      <c r="B539" s="54" t="s">
        <v>658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0" t="s">
        <v>659</v>
      </c>
      <c r="Q539" s="387"/>
      <c r="R539" s="387"/>
      <c r="S539" s="387"/>
      <c r="T539" s="388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660</v>
      </c>
      <c r="B540" s="54" t="s">
        <v>661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3" t="s">
        <v>662</v>
      </c>
      <c r="Q540" s="387"/>
      <c r="R540" s="387"/>
      <c r="S540" s="387"/>
      <c r="T540" s="388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69</v>
      </c>
      <c r="Q541" s="402"/>
      <c r="R541" s="402"/>
      <c r="S541" s="402"/>
      <c r="T541" s="402"/>
      <c r="U541" s="402"/>
      <c r="V541" s="403"/>
      <c r="W541" s="37" t="s">
        <v>70</v>
      </c>
      <c r="X541" s="382">
        <f>IFERROR(X534/H534,"0")+IFERROR(X535/H535,"0")+IFERROR(X536/H536,"0")+IFERROR(X537/H537,"0")+IFERROR(X538/H538,"0")+IFERROR(X539/H539,"0")+IFERROR(X540/H540,"0")</f>
        <v>2.5</v>
      </c>
      <c r="Y541" s="382">
        <f>IFERROR(Y534/H534,"0")+IFERROR(Y535/H535,"0")+IFERROR(Y536/H536,"0")+IFERROR(Y537/H537,"0")+IFERROR(Y538/H538,"0")+IFERROR(Y539/H539,"0")+IFERROR(Y540/H540,"0")</f>
        <v>3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6.5250000000000002E-2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69</v>
      </c>
      <c r="Q542" s="402"/>
      <c r="R542" s="402"/>
      <c r="S542" s="402"/>
      <c r="T542" s="402"/>
      <c r="U542" s="402"/>
      <c r="V542" s="403"/>
      <c r="W542" s="37" t="s">
        <v>68</v>
      </c>
      <c r="X542" s="382">
        <f>IFERROR(SUM(X534:X540),"0")</f>
        <v>30</v>
      </c>
      <c r="Y542" s="382">
        <f>IFERROR(SUM(Y534:Y540),"0")</f>
        <v>36</v>
      </c>
      <c r="Z542" s="37"/>
      <c r="AA542" s="383"/>
      <c r="AB542" s="383"/>
      <c r="AC542" s="383"/>
    </row>
    <row r="543" spans="1:68" ht="14.25" customHeight="1" x14ac:dyDescent="0.25">
      <c r="A543" s="431" t="s">
        <v>145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6"/>
      <c r="AB543" s="376"/>
      <c r="AC543" s="376"/>
    </row>
    <row r="544" spans="1:68" ht="16.5" customHeight="1" x14ac:dyDescent="0.25">
      <c r="A544" s="54" t="s">
        <v>663</v>
      </c>
      <c r="B544" s="54" t="s">
        <v>664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4" t="s">
        <v>665</v>
      </c>
      <c r="Q544" s="387"/>
      <c r="R544" s="387"/>
      <c r="S544" s="387"/>
      <c r="T544" s="388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666</v>
      </c>
      <c r="B545" s="54" t="s">
        <v>667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7" t="s">
        <v>668</v>
      </c>
      <c r="Q545" s="387"/>
      <c r="R545" s="387"/>
      <c r="S545" s="387"/>
      <c r="T545" s="388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669</v>
      </c>
      <c r="B546" s="54" t="s">
        <v>670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15" t="s">
        <v>671</v>
      </c>
      <c r="Q546" s="387"/>
      <c r="R546" s="387"/>
      <c r="S546" s="387"/>
      <c r="T546" s="388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672</v>
      </c>
      <c r="B547" s="54" t="s">
        <v>673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5" t="s">
        <v>674</v>
      </c>
      <c r="Q547" s="387"/>
      <c r="R547" s="387"/>
      <c r="S547" s="387"/>
      <c r="T547" s="388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69</v>
      </c>
      <c r="Q548" s="402"/>
      <c r="R548" s="402"/>
      <c r="S548" s="402"/>
      <c r="T548" s="402"/>
      <c r="U548" s="402"/>
      <c r="V548" s="403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69</v>
      </c>
      <c r="Q549" s="402"/>
      <c r="R549" s="402"/>
      <c r="S549" s="402"/>
      <c r="T549" s="402"/>
      <c r="U549" s="402"/>
      <c r="V549" s="403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1" t="s">
        <v>63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6"/>
      <c r="AB550" s="376"/>
      <c r="AC550" s="376"/>
    </row>
    <row r="551" spans="1:68" ht="27" customHeight="1" x14ac:dyDescent="0.25">
      <c r="A551" s="54" t="s">
        <v>675</v>
      </c>
      <c r="B551" s="54" t="s">
        <v>676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6" t="s">
        <v>677</v>
      </c>
      <c r="Q551" s="387"/>
      <c r="R551" s="387"/>
      <c r="S551" s="387"/>
      <c r="T551" s="388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678</v>
      </c>
      <c r="B552" s="54" t="s">
        <v>679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6" t="s">
        <v>680</v>
      </c>
      <c r="Q552" s="387"/>
      <c r="R552" s="387"/>
      <c r="S552" s="387"/>
      <c r="T552" s="388"/>
      <c r="U552" s="34"/>
      <c r="V552" s="34"/>
      <c r="W552" s="35" t="s">
        <v>68</v>
      </c>
      <c r="X552" s="380">
        <v>20</v>
      </c>
      <c r="Y552" s="381">
        <f t="shared" si="99"/>
        <v>21</v>
      </c>
      <c r="Z552" s="36">
        <f>IFERROR(IF(Y552=0,"",ROUNDUP(Y552/H552,0)*0.00753),"")</f>
        <v>3.7650000000000003E-2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21.238095238095237</v>
      </c>
      <c r="BN552" s="64">
        <f t="shared" si="101"/>
        <v>22.299999999999997</v>
      </c>
      <c r="BO552" s="64">
        <f t="shared" si="102"/>
        <v>3.0525030525030524E-2</v>
      </c>
      <c r="BP552" s="64">
        <f t="shared" si="103"/>
        <v>3.2051282051282048E-2</v>
      </c>
    </row>
    <row r="553" spans="1:68" ht="27" customHeight="1" x14ac:dyDescent="0.25">
      <c r="A553" s="54" t="s">
        <v>681</v>
      </c>
      <c r="B553" s="54" t="s">
        <v>682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5" t="s">
        <v>683</v>
      </c>
      <c r="Q553" s="387"/>
      <c r="R553" s="387"/>
      <c r="S553" s="387"/>
      <c r="T553" s="388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684</v>
      </c>
      <c r="B554" s="54" t="s">
        <v>685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9" t="s">
        <v>686</v>
      </c>
      <c r="Q554" s="387"/>
      <c r="R554" s="387"/>
      <c r="S554" s="387"/>
      <c r="T554" s="388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687</v>
      </c>
      <c r="B555" s="54" t="s">
        <v>688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81" t="s">
        <v>689</v>
      </c>
      <c r="Q555" s="387"/>
      <c r="R555" s="387"/>
      <c r="S555" s="387"/>
      <c r="T555" s="388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690</v>
      </c>
      <c r="B556" s="54" t="s">
        <v>691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13" t="s">
        <v>692</v>
      </c>
      <c r="Q556" s="387"/>
      <c r="R556" s="387"/>
      <c r="S556" s="387"/>
      <c r="T556" s="388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693</v>
      </c>
      <c r="B557" s="54" t="s">
        <v>694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83" t="s">
        <v>695</v>
      </c>
      <c r="Q557" s="387"/>
      <c r="R557" s="387"/>
      <c r="S557" s="387"/>
      <c r="T557" s="388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69</v>
      </c>
      <c r="Q558" s="402"/>
      <c r="R558" s="402"/>
      <c r="S558" s="402"/>
      <c r="T558" s="402"/>
      <c r="U558" s="402"/>
      <c r="V558" s="403"/>
      <c r="W558" s="37" t="s">
        <v>70</v>
      </c>
      <c r="X558" s="382">
        <f>IFERROR(X551/H551,"0")+IFERROR(X552/H552,"0")+IFERROR(X553/H553,"0")+IFERROR(X554/H554,"0")+IFERROR(X555/H555,"0")+IFERROR(X556/H556,"0")+IFERROR(X557/H557,"0")</f>
        <v>4.7619047619047619</v>
      </c>
      <c r="Y558" s="382">
        <f>IFERROR(Y551/H551,"0")+IFERROR(Y552/H552,"0")+IFERROR(Y553/H553,"0")+IFERROR(Y554/H554,"0")+IFERROR(Y555/H555,"0")+IFERROR(Y556/H556,"0")+IFERROR(Y557/H557,"0")</f>
        <v>5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3.7650000000000003E-2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69</v>
      </c>
      <c r="Q559" s="402"/>
      <c r="R559" s="402"/>
      <c r="S559" s="402"/>
      <c r="T559" s="402"/>
      <c r="U559" s="402"/>
      <c r="V559" s="403"/>
      <c r="W559" s="37" t="s">
        <v>68</v>
      </c>
      <c r="X559" s="382">
        <f>IFERROR(SUM(X551:X557),"0")</f>
        <v>20</v>
      </c>
      <c r="Y559" s="382">
        <f>IFERROR(SUM(Y551:Y557),"0")</f>
        <v>21</v>
      </c>
      <c r="Z559" s="37"/>
      <c r="AA559" s="383"/>
      <c r="AB559" s="383"/>
      <c r="AC559" s="383"/>
    </row>
    <row r="560" spans="1:68" ht="14.25" customHeight="1" x14ac:dyDescent="0.25">
      <c r="A560" s="431" t="s">
        <v>71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28" t="s">
        <v>698</v>
      </c>
      <c r="Q561" s="387"/>
      <c r="R561" s="387"/>
      <c r="S561" s="387"/>
      <c r="T561" s="388"/>
      <c r="U561" s="34"/>
      <c r="V561" s="34"/>
      <c r="W561" s="35" t="s">
        <v>68</v>
      </c>
      <c r="X561" s="380">
        <v>900</v>
      </c>
      <c r="Y561" s="381">
        <f>IFERROR(IF(X561="",0,CEILING((X561/$H561),1)*$H561),"")</f>
        <v>904.8</v>
      </c>
      <c r="Z561" s="36">
        <f>IFERROR(IF(Y561=0,"",ROUNDUP(Y561/H561,0)*0.02175),"")</f>
        <v>2.5229999999999997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965.07692307692309</v>
      </c>
      <c r="BN561" s="64">
        <f>IFERROR(Y561*I561/H561,"0")</f>
        <v>970.22400000000016</v>
      </c>
      <c r="BO561" s="64">
        <f>IFERROR(1/J561*(X561/H561),"0")</f>
        <v>2.0604395604395602</v>
      </c>
      <c r="BP561" s="64">
        <f>IFERROR(1/J561*(Y561/H561),"0")</f>
        <v>2.0714285714285712</v>
      </c>
    </row>
    <row r="562" spans="1:68" ht="27" customHeight="1" x14ac:dyDescent="0.25">
      <c r="A562" s="54" t="s">
        <v>699</v>
      </c>
      <c r="B562" s="54" t="s">
        <v>700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407" t="s">
        <v>701</v>
      </c>
      <c r="Q562" s="387"/>
      <c r="R562" s="387"/>
      <c r="S562" s="387"/>
      <c r="T562" s="388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702</v>
      </c>
      <c r="B563" s="54" t="s">
        <v>703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60" t="s">
        <v>704</v>
      </c>
      <c r="Q563" s="387"/>
      <c r="R563" s="387"/>
      <c r="S563" s="387"/>
      <c r="T563" s="388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705</v>
      </c>
      <c r="B564" s="54" t="s">
        <v>706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18" t="s">
        <v>707</v>
      </c>
      <c r="Q564" s="387"/>
      <c r="R564" s="387"/>
      <c r="S564" s="387"/>
      <c r="T564" s="388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69</v>
      </c>
      <c r="Q565" s="402"/>
      <c r="R565" s="402"/>
      <c r="S565" s="402"/>
      <c r="T565" s="402"/>
      <c r="U565" s="402"/>
      <c r="V565" s="403"/>
      <c r="W565" s="37" t="s">
        <v>70</v>
      </c>
      <c r="X565" s="382">
        <f>IFERROR(X561/H561,"0")+IFERROR(X562/H562,"0")+IFERROR(X563/H563,"0")+IFERROR(X564/H564,"0")</f>
        <v>115.38461538461539</v>
      </c>
      <c r="Y565" s="382">
        <f>IFERROR(Y561/H561,"0")+IFERROR(Y562/H562,"0")+IFERROR(Y563/H563,"0")+IFERROR(Y564/H564,"0")</f>
        <v>116</v>
      </c>
      <c r="Z565" s="382">
        <f>IFERROR(IF(Z561="",0,Z561),"0")+IFERROR(IF(Z562="",0,Z562),"0")+IFERROR(IF(Z563="",0,Z563),"0")+IFERROR(IF(Z564="",0,Z564),"0")</f>
        <v>2.5229999999999997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69</v>
      </c>
      <c r="Q566" s="402"/>
      <c r="R566" s="402"/>
      <c r="S566" s="402"/>
      <c r="T566" s="402"/>
      <c r="U566" s="402"/>
      <c r="V566" s="403"/>
      <c r="W566" s="37" t="s">
        <v>68</v>
      </c>
      <c r="X566" s="382">
        <f>IFERROR(SUM(X561:X564),"0")</f>
        <v>900</v>
      </c>
      <c r="Y566" s="382">
        <f>IFERROR(SUM(Y561:Y564),"0")</f>
        <v>904.8</v>
      </c>
      <c r="Z566" s="37"/>
      <c r="AA566" s="383"/>
      <c r="AB566" s="383"/>
      <c r="AC566" s="383"/>
    </row>
    <row r="567" spans="1:68" ht="14.25" customHeight="1" x14ac:dyDescent="0.25">
      <c r="A567" s="431" t="s">
        <v>166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6"/>
      <c r="AB567" s="376"/>
      <c r="AC567" s="376"/>
    </row>
    <row r="568" spans="1:68" ht="27" customHeight="1" x14ac:dyDescent="0.25">
      <c r="A568" s="54" t="s">
        <v>708</v>
      </c>
      <c r="B568" s="54" t="s">
        <v>709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4" t="s">
        <v>710</v>
      </c>
      <c r="Q568" s="387"/>
      <c r="R568" s="387"/>
      <c r="S568" s="387"/>
      <c r="T568" s="388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64" t="s">
        <v>712</v>
      </c>
      <c r="Q569" s="387"/>
      <c r="R569" s="387"/>
      <c r="S569" s="387"/>
      <c r="T569" s="388"/>
      <c r="U569" s="34"/>
      <c r="V569" s="34"/>
      <c r="W569" s="35" t="s">
        <v>68</v>
      </c>
      <c r="X569" s="380">
        <v>10</v>
      </c>
      <c r="Y569" s="381">
        <f>IFERROR(IF(X569="",0,CEILING((X569/$H569),1)*$H569),"")</f>
        <v>15.6</v>
      </c>
      <c r="Z569" s="36">
        <f>IFERROR(IF(Y569=0,"",ROUNDUP(Y569/H569,0)*0.02175),"")</f>
        <v>4.3499999999999997E-2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10.615384615384615</v>
      </c>
      <c r="BN569" s="64">
        <f>IFERROR(Y569*I569/H569,"0")</f>
        <v>16.559999999999999</v>
      </c>
      <c r="BO569" s="64">
        <f>IFERROR(1/J569*(X569/H569),"0")</f>
        <v>2.2893772893772896E-2</v>
      </c>
      <c r="BP569" s="64">
        <f>IFERROR(1/J569*(Y569/H569),"0")</f>
        <v>3.5714285714285712E-2</v>
      </c>
    </row>
    <row r="570" spans="1:68" ht="27" customHeight="1" x14ac:dyDescent="0.25">
      <c r="A570" s="54" t="s">
        <v>713</v>
      </c>
      <c r="B570" s="54" t="s">
        <v>714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6" t="s">
        <v>715</v>
      </c>
      <c r="Q570" s="387"/>
      <c r="R570" s="387"/>
      <c r="S570" s="387"/>
      <c r="T570" s="388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2" t="s">
        <v>717</v>
      </c>
      <c r="Q571" s="387"/>
      <c r="R571" s="387"/>
      <c r="S571" s="387"/>
      <c r="T571" s="388"/>
      <c r="U571" s="34"/>
      <c r="V571" s="34"/>
      <c r="W571" s="35" t="s">
        <v>68</v>
      </c>
      <c r="X571" s="380">
        <v>10</v>
      </c>
      <c r="Y571" s="381">
        <f>IFERROR(IF(X571="",0,CEILING((X571/$H571),1)*$H571),"")</f>
        <v>15.6</v>
      </c>
      <c r="Z571" s="36">
        <f>IFERROR(IF(Y571=0,"",ROUNDUP(Y571/H571,0)*0.02175),"")</f>
        <v>4.3499999999999997E-2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10.615384615384615</v>
      </c>
      <c r="BN571" s="64">
        <f>IFERROR(Y571*I571/H571,"0")</f>
        <v>16.559999999999999</v>
      </c>
      <c r="BO571" s="64">
        <f>IFERROR(1/J571*(X571/H571),"0")</f>
        <v>2.2893772893772896E-2</v>
      </c>
      <c r="BP571" s="64">
        <f>IFERROR(1/J571*(Y571/H571),"0")</f>
        <v>3.5714285714285712E-2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69</v>
      </c>
      <c r="Q572" s="402"/>
      <c r="R572" s="402"/>
      <c r="S572" s="402"/>
      <c r="T572" s="402"/>
      <c r="U572" s="402"/>
      <c r="V572" s="403"/>
      <c r="W572" s="37" t="s">
        <v>70</v>
      </c>
      <c r="X572" s="382">
        <f>IFERROR(X568/H568,"0")+IFERROR(X569/H569,"0")+IFERROR(X570/H570,"0")+IFERROR(X571/H571,"0")</f>
        <v>2.5641025641025643</v>
      </c>
      <c r="Y572" s="382">
        <f>IFERROR(Y568/H568,"0")+IFERROR(Y569/H569,"0")+IFERROR(Y570/H570,"0")+IFERROR(Y571/H571,"0")</f>
        <v>4</v>
      </c>
      <c r="Z572" s="382">
        <f>IFERROR(IF(Z568="",0,Z568),"0")+IFERROR(IF(Z569="",0,Z569),"0")+IFERROR(IF(Z570="",0,Z570),"0")+IFERROR(IF(Z571="",0,Z571),"0")</f>
        <v>8.6999999999999994E-2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69</v>
      </c>
      <c r="Q573" s="402"/>
      <c r="R573" s="402"/>
      <c r="S573" s="402"/>
      <c r="T573" s="402"/>
      <c r="U573" s="402"/>
      <c r="V573" s="403"/>
      <c r="W573" s="37" t="s">
        <v>68</v>
      </c>
      <c r="X573" s="382">
        <f>IFERROR(SUM(X568:X571),"0")</f>
        <v>20</v>
      </c>
      <c r="Y573" s="382">
        <f>IFERROR(SUM(Y568:Y571),"0")</f>
        <v>31.2</v>
      </c>
      <c r="Z573" s="37"/>
      <c r="AA573" s="383"/>
      <c r="AB573" s="383"/>
      <c r="AC573" s="383"/>
    </row>
    <row r="574" spans="1:68" ht="16.5" customHeight="1" x14ac:dyDescent="0.25">
      <c r="A574" s="397" t="s">
        <v>718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5"/>
      <c r="AB574" s="375"/>
      <c r="AC574" s="375"/>
    </row>
    <row r="575" spans="1:68" ht="14.25" customHeight="1" x14ac:dyDescent="0.25">
      <c r="A575" s="431" t="s">
        <v>109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6"/>
      <c r="AB575" s="376"/>
      <c r="AC575" s="376"/>
    </row>
    <row r="576" spans="1:68" ht="27" customHeight="1" x14ac:dyDescent="0.25">
      <c r="A576" s="54" t="s">
        <v>719</v>
      </c>
      <c r="B576" s="54" t="s">
        <v>720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701" t="s">
        <v>721</v>
      </c>
      <c r="Q576" s="387"/>
      <c r="R576" s="387"/>
      <c r="S576" s="387"/>
      <c r="T576" s="388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722</v>
      </c>
      <c r="B577" s="54" t="s">
        <v>723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699" t="s">
        <v>724</v>
      </c>
      <c r="Q577" s="387"/>
      <c r="R577" s="387"/>
      <c r="S577" s="387"/>
      <c r="T577" s="388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69</v>
      </c>
      <c r="Q578" s="402"/>
      <c r="R578" s="402"/>
      <c r="S578" s="402"/>
      <c r="T578" s="402"/>
      <c r="U578" s="402"/>
      <c r="V578" s="403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69</v>
      </c>
      <c r="Q579" s="402"/>
      <c r="R579" s="402"/>
      <c r="S579" s="402"/>
      <c r="T579" s="402"/>
      <c r="U579" s="402"/>
      <c r="V579" s="403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1" t="s">
        <v>145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6"/>
      <c r="AB580" s="376"/>
      <c r="AC580" s="376"/>
    </row>
    <row r="581" spans="1:68" ht="27" customHeight="1" x14ac:dyDescent="0.25">
      <c r="A581" s="54" t="s">
        <v>725</v>
      </c>
      <c r="B581" s="54" t="s">
        <v>726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66" t="s">
        <v>727</v>
      </c>
      <c r="Q581" s="387"/>
      <c r="R581" s="387"/>
      <c r="S581" s="387"/>
      <c r="T581" s="388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69</v>
      </c>
      <c r="Q582" s="402"/>
      <c r="R582" s="402"/>
      <c r="S582" s="402"/>
      <c r="T582" s="402"/>
      <c r="U582" s="402"/>
      <c r="V582" s="403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69</v>
      </c>
      <c r="Q583" s="402"/>
      <c r="R583" s="402"/>
      <c r="S583" s="402"/>
      <c r="T583" s="402"/>
      <c r="U583" s="402"/>
      <c r="V583" s="403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1" t="s">
        <v>63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6"/>
      <c r="AB584" s="376"/>
      <c r="AC584" s="376"/>
    </row>
    <row r="585" spans="1:68" ht="27" customHeight="1" x14ac:dyDescent="0.25">
      <c r="A585" s="54" t="s">
        <v>728</v>
      </c>
      <c r="B585" s="54" t="s">
        <v>729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21" t="s">
        <v>730</v>
      </c>
      <c r="Q585" s="387"/>
      <c r="R585" s="387"/>
      <c r="S585" s="387"/>
      <c r="T585" s="388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69</v>
      </c>
      <c r="Q586" s="402"/>
      <c r="R586" s="402"/>
      <c r="S586" s="402"/>
      <c r="T586" s="402"/>
      <c r="U586" s="402"/>
      <c r="V586" s="403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69</v>
      </c>
      <c r="Q587" s="402"/>
      <c r="R587" s="402"/>
      <c r="S587" s="402"/>
      <c r="T587" s="402"/>
      <c r="U587" s="402"/>
      <c r="V587" s="403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1" t="s">
        <v>71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6"/>
      <c r="AB588" s="376"/>
      <c r="AC588" s="376"/>
    </row>
    <row r="589" spans="1:68" ht="27" customHeight="1" x14ac:dyDescent="0.25">
      <c r="A589" s="54" t="s">
        <v>731</v>
      </c>
      <c r="B589" s="54" t="s">
        <v>732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6" t="s">
        <v>733</v>
      </c>
      <c r="Q589" s="387"/>
      <c r="R589" s="387"/>
      <c r="S589" s="387"/>
      <c r="T589" s="388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69</v>
      </c>
      <c r="Q590" s="402"/>
      <c r="R590" s="402"/>
      <c r="S590" s="402"/>
      <c r="T590" s="402"/>
      <c r="U590" s="402"/>
      <c r="V590" s="403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69</v>
      </c>
      <c r="Q591" s="402"/>
      <c r="R591" s="402"/>
      <c r="S591" s="402"/>
      <c r="T591" s="402"/>
      <c r="U591" s="402"/>
      <c r="V591" s="403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734</v>
      </c>
      <c r="Q592" s="534"/>
      <c r="R592" s="534"/>
      <c r="S592" s="534"/>
      <c r="T592" s="534"/>
      <c r="U592" s="534"/>
      <c r="V592" s="535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17016.699999999997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17247.849999999995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735</v>
      </c>
      <c r="Q593" s="534"/>
      <c r="R593" s="534"/>
      <c r="S593" s="534"/>
      <c r="T593" s="534"/>
      <c r="U593" s="534"/>
      <c r="V593" s="535"/>
      <c r="W593" s="37" t="s">
        <v>68</v>
      </c>
      <c r="X593" s="382">
        <f>IFERROR(SUM(BM22:BM589),"0")</f>
        <v>18118.445763979918</v>
      </c>
      <c r="Y593" s="382">
        <f>IFERROR(SUM(BN22:BN589),"0")</f>
        <v>18363.912000000004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736</v>
      </c>
      <c r="Q594" s="534"/>
      <c r="R594" s="534"/>
      <c r="S594" s="534"/>
      <c r="T594" s="534"/>
      <c r="U594" s="534"/>
      <c r="V594" s="535"/>
      <c r="W594" s="37" t="s">
        <v>737</v>
      </c>
      <c r="X594" s="38">
        <f>ROUNDUP(SUM(BO22:BO589),0)</f>
        <v>33</v>
      </c>
      <c r="Y594" s="38">
        <f>ROUNDUP(SUM(BP22:BP589),0)</f>
        <v>34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738</v>
      </c>
      <c r="Q595" s="534"/>
      <c r="R595" s="534"/>
      <c r="S595" s="534"/>
      <c r="T595" s="534"/>
      <c r="U595" s="534"/>
      <c r="V595" s="535"/>
      <c r="W595" s="37" t="s">
        <v>68</v>
      </c>
      <c r="X595" s="382">
        <f>GrossWeightTotal+PalletQtyTotal*25</f>
        <v>18943.445763979918</v>
      </c>
      <c r="Y595" s="382">
        <f>GrossWeightTotalR+PalletQtyTotalR*25</f>
        <v>19213.912000000004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739</v>
      </c>
      <c r="Q596" s="534"/>
      <c r="R596" s="534"/>
      <c r="S596" s="534"/>
      <c r="T596" s="534"/>
      <c r="U596" s="534"/>
      <c r="V596" s="535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3512.0956879713681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3553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740</v>
      </c>
      <c r="Q597" s="534"/>
      <c r="R597" s="534"/>
      <c r="S597" s="534"/>
      <c r="T597" s="534"/>
      <c r="U597" s="534"/>
      <c r="V597" s="535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38.268960000000007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394" t="s">
        <v>107</v>
      </c>
      <c r="D599" s="422"/>
      <c r="E599" s="422"/>
      <c r="F599" s="422"/>
      <c r="G599" s="422"/>
      <c r="H599" s="423"/>
      <c r="I599" s="394" t="s">
        <v>255</v>
      </c>
      <c r="J599" s="422"/>
      <c r="K599" s="422"/>
      <c r="L599" s="422"/>
      <c r="M599" s="422"/>
      <c r="N599" s="422"/>
      <c r="O599" s="422"/>
      <c r="P599" s="422"/>
      <c r="Q599" s="422"/>
      <c r="R599" s="422"/>
      <c r="S599" s="422"/>
      <c r="T599" s="422"/>
      <c r="U599" s="422"/>
      <c r="V599" s="423"/>
      <c r="W599" s="394" t="s">
        <v>475</v>
      </c>
      <c r="X599" s="423"/>
      <c r="Y599" s="394" t="s">
        <v>529</v>
      </c>
      <c r="Z599" s="422"/>
      <c r="AA599" s="422"/>
      <c r="AB599" s="423"/>
      <c r="AC599" s="377" t="s">
        <v>600</v>
      </c>
      <c r="AD599" s="394" t="s">
        <v>641</v>
      </c>
      <c r="AE599" s="423"/>
      <c r="AF599" s="378"/>
    </row>
    <row r="600" spans="1:32" ht="14.25" customHeight="1" thickTop="1" x14ac:dyDescent="0.2">
      <c r="A600" s="705" t="s">
        <v>743</v>
      </c>
      <c r="B600" s="394" t="s">
        <v>62</v>
      </c>
      <c r="C600" s="394" t="s">
        <v>108</v>
      </c>
      <c r="D600" s="394" t="s">
        <v>128</v>
      </c>
      <c r="E600" s="394" t="s">
        <v>172</v>
      </c>
      <c r="F600" s="394" t="s">
        <v>188</v>
      </c>
      <c r="G600" s="394" t="s">
        <v>223</v>
      </c>
      <c r="H600" s="394" t="s">
        <v>107</v>
      </c>
      <c r="I600" s="394" t="s">
        <v>256</v>
      </c>
      <c r="J600" s="394" t="s">
        <v>273</v>
      </c>
      <c r="K600" s="394" t="s">
        <v>329</v>
      </c>
      <c r="L600" s="378"/>
      <c r="M600" s="394" t="s">
        <v>344</v>
      </c>
      <c r="N600" s="378"/>
      <c r="O600" s="394" t="s">
        <v>360</v>
      </c>
      <c r="P600" s="394" t="s">
        <v>373</v>
      </c>
      <c r="Q600" s="394" t="s">
        <v>376</v>
      </c>
      <c r="R600" s="394" t="s">
        <v>383</v>
      </c>
      <c r="S600" s="394" t="s">
        <v>394</v>
      </c>
      <c r="T600" s="394" t="s">
        <v>397</v>
      </c>
      <c r="U600" s="394" t="s">
        <v>404</v>
      </c>
      <c r="V600" s="394" t="s">
        <v>466</v>
      </c>
      <c r="W600" s="394" t="s">
        <v>476</v>
      </c>
      <c r="X600" s="394" t="s">
        <v>504</v>
      </c>
      <c r="Y600" s="394" t="s">
        <v>530</v>
      </c>
      <c r="Z600" s="394" t="s">
        <v>575</v>
      </c>
      <c r="AA600" s="394" t="s">
        <v>590</v>
      </c>
      <c r="AB600" s="394" t="s">
        <v>597</v>
      </c>
      <c r="AC600" s="394" t="s">
        <v>600</v>
      </c>
      <c r="AD600" s="394" t="s">
        <v>641</v>
      </c>
      <c r="AE600" s="394" t="s">
        <v>718</v>
      </c>
      <c r="AF600" s="378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8"/>
      <c r="M601" s="395"/>
      <c r="N601" s="378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365.20000000000005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1148.3999999999999</v>
      </c>
      <c r="E602" s="46">
        <f>IFERROR(Y104*1,"0")+IFERROR(Y105*1,"0")+IFERROR(Y106*1,"0")+IFERROR(Y110*1,"0")+IFERROR(Y111*1,"0")+IFERROR(Y112*1,"0")+IFERROR(Y113*1,"0")+IFERROR(Y114*1,"0")</f>
        <v>1030.8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1510.76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96</v>
      </c>
      <c r="I602" s="46">
        <f>IFERROR(Y188*1,"0")+IFERROR(Y189*1,"0")+IFERROR(Y190*1,"0")+IFERROR(Y191*1,"0")+IFERROR(Y192*1,"0")+IFERROR(Y193*1,"0")+IFERROR(Y194*1,"0")+IFERROR(Y195*1,"0")</f>
        <v>596.4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1767.3</v>
      </c>
      <c r="K602" s="46">
        <f>IFERROR(Y244*1,"0")+IFERROR(Y245*1,"0")+IFERROR(Y246*1,"0")+IFERROR(Y247*1,"0")+IFERROR(Y248*1,"0")+IFERROR(Y249*1,"0")+IFERROR(Y250*1,"0")+IFERROR(Y251*1,"0")</f>
        <v>28</v>
      </c>
      <c r="L602" s="378"/>
      <c r="M602" s="46">
        <f>IFERROR(Y256*1,"0")+IFERROR(Y257*1,"0")+IFERROR(Y258*1,"0")+IFERROR(Y259*1,"0")+IFERROR(Y260*1,"0")+IFERROR(Y261*1,"0")+IFERROR(Y262*1,"0")+IFERROR(Y263*1,"0")</f>
        <v>180.8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400.79999999999995</v>
      </c>
      <c r="S602" s="46">
        <f>IFERROR(Y299*1,"0")</f>
        <v>0</v>
      </c>
      <c r="T602" s="46">
        <f>IFERROR(Y304*1,"0")+IFERROR(Y308*1,"0")+IFERROR(Y309*1,"0")</f>
        <v>157.5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918.12999999999988</v>
      </c>
      <c r="V602" s="46">
        <f>IFERROR(Y361*1,"0")+IFERROR(Y365*1,"0")+IFERROR(Y366*1,"0")+IFERROR(Y367*1,"0")</f>
        <v>723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5397.6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106.8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365.7</v>
      </c>
      <c r="Z602" s="46">
        <f>IFERROR(Y466*1,"0")+IFERROR(Y470*1,"0")+IFERROR(Y471*1,"0")+IFERROR(Y472*1,"0")+IFERROR(Y473*1,"0")+IFERROR(Y474*1,"0")+IFERROR(Y475*1,"0")+IFERROR(Y479*1,"0")</f>
        <v>73.260000000000005</v>
      </c>
      <c r="AA602" s="46">
        <f>IFERROR(Y484*1,"0")+IFERROR(Y485*1,"0")+IFERROR(Y486*1,"0")</f>
        <v>22.8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1214.8800000000001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993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D571:E571"/>
    <mergeCell ref="D522:E522"/>
    <mergeCell ref="A202:O203"/>
    <mergeCell ref="A329:O330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P385:T385"/>
    <mergeCell ref="P310:V310"/>
    <mergeCell ref="D57:E57"/>
    <mergeCell ref="Y17:Y18"/>
    <mergeCell ref="N17:N18"/>
    <mergeCell ref="D120:E120"/>
    <mergeCell ref="F17:F18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P436:T436"/>
    <mergeCell ref="A20:Z20"/>
    <mergeCell ref="P493:V493"/>
    <mergeCell ref="D452:E452"/>
    <mergeCell ref="P536:T536"/>
    <mergeCell ref="P123:T123"/>
    <mergeCell ref="P529:V529"/>
    <mergeCell ref="P358:V358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M17:M18"/>
    <mergeCell ref="A531:Z531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D449:E449"/>
    <mergeCell ref="D151:E151"/>
    <mergeCell ref="A64:O65"/>
    <mergeCell ref="D321:E321"/>
    <mergeCell ref="P278:T278"/>
    <mergeCell ref="D150:E150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409:T409"/>
    <mergeCell ref="D461:E461"/>
    <mergeCell ref="D200:E200"/>
    <mergeCell ref="P555:T555"/>
    <mergeCell ref="D436:E436"/>
    <mergeCell ref="A476:O477"/>
    <mergeCell ref="A305:O306"/>
    <mergeCell ref="D534:E534"/>
    <mergeCell ref="D292:E292"/>
    <mergeCell ref="D227:E227"/>
    <mergeCell ref="P321:T32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05:O506"/>
    <mergeCell ref="D269:E269"/>
    <mergeCell ref="P275:V275"/>
    <mergeCell ref="A567:Z567"/>
    <mergeCell ref="A157:O158"/>
    <mergeCell ref="P27:T27"/>
    <mergeCell ref="P325:T325"/>
    <mergeCell ref="D206:E206"/>
    <mergeCell ref="P561:T561"/>
    <mergeCell ref="Y599:AB599"/>
    <mergeCell ref="D504:E504"/>
    <mergeCell ref="P390:T390"/>
    <mergeCell ref="P241:V241"/>
    <mergeCell ref="A66:Z66"/>
    <mergeCell ref="P41:V41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D39:E39"/>
    <mergeCell ref="P535:T535"/>
    <mergeCell ref="P212:T212"/>
    <mergeCell ref="A529:O530"/>
    <mergeCell ref="D349:E349"/>
    <mergeCell ref="P157:V157"/>
    <mergeCell ref="A209:Z209"/>
    <mergeCell ref="A38:Z38"/>
    <mergeCell ref="P520:V520"/>
    <mergeCell ref="A372:Z372"/>
    <mergeCell ref="B600:B601"/>
    <mergeCell ref="P299:T299"/>
    <mergeCell ref="D600:D601"/>
    <mergeCell ref="D138:E138"/>
    <mergeCell ref="P564:T564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D581:E581"/>
    <mergeCell ref="P538:T538"/>
    <mergeCell ref="D348:E348"/>
    <mergeCell ref="J9:M9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X600:X601"/>
    <mergeCell ref="P451:T451"/>
    <mergeCell ref="D335:E335"/>
    <mergeCell ref="Z600:Z601"/>
    <mergeCell ref="P245:T245"/>
    <mergeCell ref="P516:T516"/>
    <mergeCell ref="D201:E201"/>
    <mergeCell ref="D188:E188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74:E74"/>
    <mergeCell ref="D130:E130"/>
    <mergeCell ref="P87:T87"/>
    <mergeCell ref="P26:T26"/>
    <mergeCell ref="A13:M13"/>
    <mergeCell ref="A59:O60"/>
    <mergeCell ref="A15:M15"/>
    <mergeCell ref="A232:O233"/>
    <mergeCell ref="A324:Z324"/>
    <mergeCell ref="A109:Z109"/>
    <mergeCell ref="P597:V597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P600:P601"/>
    <mergeCell ref="D261:E261"/>
    <mergeCell ref="R600:R601"/>
    <mergeCell ref="D448:E448"/>
    <mergeCell ref="P442:T442"/>
    <mergeCell ref="P196:V196"/>
    <mergeCell ref="D546:E546"/>
    <mergeCell ref="P119:T119"/>
    <mergeCell ref="P183:V183"/>
    <mergeCell ref="P246:T246"/>
    <mergeCell ref="P133:V133"/>
    <mergeCell ref="D561:E561"/>
    <mergeCell ref="D390:E390"/>
    <mergeCell ref="P369:V369"/>
    <mergeCell ref="D403:E403"/>
    <mergeCell ref="A406:O407"/>
    <mergeCell ref="P239:T239"/>
    <mergeCell ref="Q9:R9"/>
    <mergeCell ref="D451:E451"/>
    <mergeCell ref="A331:Z331"/>
    <mergeCell ref="P49:V49"/>
    <mergeCell ref="P36:V36"/>
    <mergeCell ref="A303:Z303"/>
    <mergeCell ref="A159:Z159"/>
    <mergeCell ref="P78:T78"/>
    <mergeCell ref="Q11:R11"/>
    <mergeCell ref="P376:T376"/>
    <mergeCell ref="A395:Z395"/>
    <mergeCell ref="D260:E260"/>
    <mergeCell ref="A588:Z588"/>
    <mergeCell ref="P205:T205"/>
    <mergeCell ref="A322:O323"/>
    <mergeCell ref="D309:E309"/>
    <mergeCell ref="D113:E113"/>
    <mergeCell ref="P180:T180"/>
    <mergeCell ref="P68:T68"/>
    <mergeCell ref="P524:T524"/>
    <mergeCell ref="P253:V253"/>
    <mergeCell ref="P15:T16"/>
    <mergeCell ref="P544:T544"/>
    <mergeCell ref="D416:E416"/>
    <mergeCell ref="A146:O147"/>
    <mergeCell ref="P283:T283"/>
    <mergeCell ref="A543:Z543"/>
    <mergeCell ref="P581:T581"/>
    <mergeCell ref="D93:E93"/>
    <mergeCell ref="D391:E391"/>
    <mergeCell ref="P122:T122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65:V65"/>
    <mergeCell ref="A126:Z126"/>
    <mergeCell ref="P501:T501"/>
    <mergeCell ref="D251:E251"/>
    <mergeCell ref="A495:Z495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D5:E5"/>
    <mergeCell ref="P553:T553"/>
    <mergeCell ref="D290:E290"/>
    <mergeCell ref="D361:E361"/>
    <mergeCell ref="D417:E417"/>
    <mergeCell ref="P471:T471"/>
    <mergeCell ref="P28:T28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566:V566"/>
    <mergeCell ref="P445:T445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P30:T30"/>
    <mergeCell ref="P290:T290"/>
    <mergeCell ref="P141:V141"/>
    <mergeCell ref="A550:Z550"/>
    <mergeCell ref="P452:T452"/>
    <mergeCell ref="P233:V233"/>
    <mergeCell ref="P37:V37"/>
    <mergeCell ref="P104:T104"/>
    <mergeCell ref="B17:B18"/>
    <mergeCell ref="D479:E479"/>
    <mergeCell ref="A266:Z266"/>
    <mergeCell ref="D131:E131"/>
    <mergeCell ref="A431:Z431"/>
    <mergeCell ref="P506:V506"/>
    <mergeCell ref="P477:V477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2024-09-20T09:54:16Z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