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6EC8FE2-A302-4412-8D82-5A7486A398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1" l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Y277" i="1"/>
  <c r="X277" i="1"/>
  <c r="Z276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BO249" i="1"/>
  <c r="BM249" i="1"/>
  <c r="Z249" i="1"/>
  <c r="Z252" i="1" s="1"/>
  <c r="Y249" i="1"/>
  <c r="X247" i="1"/>
  <c r="Y246" i="1"/>
  <c r="X246" i="1"/>
  <c r="BP245" i="1"/>
  <c r="BO245" i="1"/>
  <c r="BN245" i="1"/>
  <c r="BM245" i="1"/>
  <c r="Z245" i="1"/>
  <c r="Y245" i="1"/>
  <c r="BP244" i="1"/>
  <c r="BO244" i="1"/>
  <c r="BN244" i="1"/>
  <c r="BM244" i="1"/>
  <c r="Z244" i="1"/>
  <c r="Z246" i="1" s="1"/>
  <c r="Y244" i="1"/>
  <c r="Y247" i="1" s="1"/>
  <c r="X242" i="1"/>
  <c r="Z241" i="1"/>
  <c r="X241" i="1"/>
  <c r="BO240" i="1"/>
  <c r="BM240" i="1"/>
  <c r="Z240" i="1"/>
  <c r="Y240" i="1"/>
  <c r="X238" i="1"/>
  <c r="Y237" i="1"/>
  <c r="X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BP234" i="1"/>
  <c r="BO234" i="1"/>
  <c r="BN234" i="1"/>
  <c r="BM234" i="1"/>
  <c r="Z234" i="1"/>
  <c r="Z237" i="1" s="1"/>
  <c r="Y234" i="1"/>
  <c r="Y238" i="1" s="1"/>
  <c r="Y230" i="1"/>
  <c r="X230" i="1"/>
  <c r="Z229" i="1"/>
  <c r="X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Z223" i="1" s="1"/>
  <c r="Y221" i="1"/>
  <c r="P221" i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Z174" i="1" s="1"/>
  <c r="Y171" i="1"/>
  <c r="Y175" i="1" s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Z166" i="1" s="1"/>
  <c r="Y164" i="1"/>
  <c r="Y167" i="1" s="1"/>
  <c r="P164" i="1"/>
  <c r="X162" i="1"/>
  <c r="X161" i="1"/>
  <c r="BO160" i="1"/>
  <c r="BM160" i="1"/>
  <c r="Z160" i="1"/>
  <c r="Y160" i="1"/>
  <c r="BP160" i="1" s="1"/>
  <c r="BO159" i="1"/>
  <c r="BM159" i="1"/>
  <c r="Z159" i="1"/>
  <c r="Y159" i="1"/>
  <c r="BP159" i="1" s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Y161" i="1" s="1"/>
  <c r="X154" i="1"/>
  <c r="Z153" i="1"/>
  <c r="X153" i="1"/>
  <c r="BO152" i="1"/>
  <c r="BM152" i="1"/>
  <c r="Z152" i="1"/>
  <c r="Y152" i="1"/>
  <c r="BP152" i="1" s="1"/>
  <c r="BO151" i="1"/>
  <c r="BM151" i="1"/>
  <c r="Z151" i="1"/>
  <c r="Y151" i="1"/>
  <c r="Y153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Y142" i="1" s="1"/>
  <c r="X136" i="1"/>
  <c r="Y135" i="1"/>
  <c r="X135" i="1"/>
  <c r="BP134" i="1"/>
  <c r="BO134" i="1"/>
  <c r="BN134" i="1"/>
  <c r="BM134" i="1"/>
  <c r="Z134" i="1"/>
  <c r="Z135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Y128" i="1"/>
  <c r="BP128" i="1" s="1"/>
  <c r="P128" i="1"/>
  <c r="BP127" i="1"/>
  <c r="BO127" i="1"/>
  <c r="BN127" i="1"/>
  <c r="BM127" i="1"/>
  <c r="Z127" i="1"/>
  <c r="Z130" i="1" s="1"/>
  <c r="Y127" i="1"/>
  <c r="Y131" i="1" s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Z123" i="1" s="1"/>
  <c r="Y121" i="1"/>
  <c r="Y124" i="1" s="1"/>
  <c r="P121" i="1"/>
  <c r="X118" i="1"/>
  <c r="X117" i="1"/>
  <c r="BO116" i="1"/>
  <c r="BM116" i="1"/>
  <c r="Z116" i="1"/>
  <c r="Y116" i="1"/>
  <c r="BP116" i="1" s="1"/>
  <c r="P116" i="1"/>
  <c r="BP115" i="1"/>
  <c r="BO115" i="1"/>
  <c r="BN115" i="1"/>
  <c r="BM115" i="1"/>
  <c r="Z115" i="1"/>
  <c r="Z117" i="1" s="1"/>
  <c r="Y115" i="1"/>
  <c r="Y117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11" i="1" s="1"/>
  <c r="Y102" i="1"/>
  <c r="Y112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Y96" i="1"/>
  <c r="BP96" i="1" s="1"/>
  <c r="P96" i="1"/>
  <c r="BP95" i="1"/>
  <c r="BO95" i="1"/>
  <c r="BN95" i="1"/>
  <c r="BM95" i="1"/>
  <c r="Z95" i="1"/>
  <c r="Z98" i="1" s="1"/>
  <c r="Y95" i="1"/>
  <c r="Y99" i="1" s="1"/>
  <c r="P95" i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Z91" i="1" s="1"/>
  <c r="Y85" i="1"/>
  <c r="Y92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Y75" i="1"/>
  <c r="X75" i="1"/>
  <c r="BP74" i="1"/>
  <c r="BO74" i="1"/>
  <c r="BN74" i="1"/>
  <c r="BM74" i="1"/>
  <c r="Z74" i="1"/>
  <c r="Z75" i="1" s="1"/>
  <c r="Y74" i="1"/>
  <c r="Y76" i="1" s="1"/>
  <c r="P74" i="1"/>
  <c r="X71" i="1"/>
  <c r="X70" i="1"/>
  <c r="BP69" i="1"/>
  <c r="BO69" i="1"/>
  <c r="BN69" i="1"/>
  <c r="BM69" i="1"/>
  <c r="Z69" i="1"/>
  <c r="Y69" i="1"/>
  <c r="P69" i="1"/>
  <c r="BO68" i="1"/>
  <c r="BM68" i="1"/>
  <c r="Z68" i="1"/>
  <c r="Z70" i="1" s="1"/>
  <c r="Y68" i="1"/>
  <c r="Y71" i="1" s="1"/>
  <c r="P68" i="1"/>
  <c r="X65" i="1"/>
  <c r="X64" i="1"/>
  <c r="BO63" i="1"/>
  <c r="BM63" i="1"/>
  <c r="Z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4" i="1" s="1"/>
  <c r="Y52" i="1"/>
  <c r="P52" i="1"/>
  <c r="BO51" i="1"/>
  <c r="BM51" i="1"/>
  <c r="Z51" i="1"/>
  <c r="Y51" i="1"/>
  <c r="Y64" i="1" s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82" i="1" s="1"/>
  <c r="BO22" i="1"/>
  <c r="X280" i="1" s="1"/>
  <c r="BM22" i="1"/>
  <c r="X279" i="1" s="1"/>
  <c r="X281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82" i="1" s="1"/>
  <c r="Y40" i="1"/>
  <c r="Y47" i="1"/>
  <c r="Y65" i="1"/>
  <c r="Y70" i="1"/>
  <c r="Y82" i="1"/>
  <c r="Y91" i="1"/>
  <c r="Y98" i="1"/>
  <c r="Y111" i="1"/>
  <c r="Y118" i="1"/>
  <c r="Y123" i="1"/>
  <c r="Y130" i="1"/>
  <c r="Y141" i="1"/>
  <c r="Y154" i="1"/>
  <c r="Y162" i="1"/>
  <c r="Y166" i="1"/>
  <c r="Y174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1" i="1"/>
  <c r="BP240" i="1"/>
  <c r="BN240" i="1"/>
  <c r="F9" i="1"/>
  <c r="J9" i="1"/>
  <c r="BN22" i="1"/>
  <c r="BP22" i="1"/>
  <c r="X278" i="1"/>
  <c r="BN28" i="1"/>
  <c r="BP28" i="1"/>
  <c r="BN30" i="1"/>
  <c r="BN38" i="1"/>
  <c r="BN43" i="1"/>
  <c r="BP43" i="1"/>
  <c r="BN45" i="1"/>
  <c r="BN51" i="1"/>
  <c r="BP51" i="1"/>
  <c r="BN53" i="1"/>
  <c r="BN55" i="1"/>
  <c r="BN57" i="1"/>
  <c r="BN59" i="1"/>
  <c r="BN61" i="1"/>
  <c r="BN63" i="1"/>
  <c r="BN68" i="1"/>
  <c r="BP68" i="1"/>
  <c r="BN80" i="1"/>
  <c r="BN85" i="1"/>
  <c r="BP85" i="1"/>
  <c r="BN87" i="1"/>
  <c r="BN89" i="1"/>
  <c r="BN96" i="1"/>
  <c r="BN103" i="1"/>
  <c r="BN105" i="1"/>
  <c r="BN107" i="1"/>
  <c r="BN109" i="1"/>
  <c r="BN116" i="1"/>
  <c r="BN121" i="1"/>
  <c r="BP121" i="1"/>
  <c r="BN128" i="1"/>
  <c r="BN139" i="1"/>
  <c r="BP139" i="1"/>
  <c r="BN151" i="1"/>
  <c r="BP151" i="1"/>
  <c r="BN152" i="1"/>
  <c r="BN159" i="1"/>
  <c r="BN160" i="1"/>
  <c r="BN164" i="1"/>
  <c r="BP164" i="1"/>
  <c r="BN172" i="1"/>
  <c r="BN184" i="1"/>
  <c r="Y196" i="1"/>
  <c r="BN191" i="1"/>
  <c r="BN193" i="1"/>
  <c r="BN195" i="1"/>
  <c r="Z204" i="1"/>
  <c r="Z283" i="1" s="1"/>
  <c r="Z210" i="1"/>
  <c r="Y217" i="1"/>
  <c r="Y224" i="1"/>
  <c r="BP221" i="1"/>
  <c r="BN221" i="1"/>
  <c r="Y223" i="1"/>
  <c r="Y229" i="1"/>
  <c r="BP228" i="1"/>
  <c r="BN228" i="1"/>
  <c r="Y242" i="1"/>
  <c r="Y253" i="1"/>
  <c r="BP249" i="1"/>
  <c r="BN249" i="1"/>
  <c r="BP250" i="1"/>
  <c r="BN250" i="1"/>
  <c r="Y252" i="1"/>
  <c r="Y276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Y280" i="1" l="1"/>
  <c r="A291" i="1"/>
  <c r="Y279" i="1"/>
  <c r="Y281" i="1" s="1"/>
  <c r="C291" i="1"/>
  <c r="Y278" i="1"/>
  <c r="B291" i="1" s="1"/>
</calcChain>
</file>

<file path=xl/sharedStrings.xml><?xml version="1.0" encoding="utf-8"?>
<sst xmlns="http://schemas.openxmlformats.org/spreadsheetml/2006/main" count="1347" uniqueCount="434">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</sst>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2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70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1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7" customWidth="1"/>
    <col min="19" max="19" width="6.140625" style="1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7" customWidth="1"/>
    <col min="25" max="25" width="11" style="197" customWidth="1"/>
    <col min="26" max="26" width="10" style="197" customWidth="1"/>
    <col min="27" max="27" width="11.5703125" style="197" customWidth="1"/>
    <col min="28" max="28" width="10.42578125" style="197" customWidth="1"/>
    <col min="29" max="29" width="30" style="19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7" customWidth="1"/>
    <col min="34" max="34" width="9.140625" style="197" customWidth="1"/>
    <col min="35" max="16384" width="9.140625" style="197"/>
  </cols>
  <sheetData>
    <row r="1" spans="1:32" s="192" customFormat="1" ht="45" customHeight="1" x14ac:dyDescent="0.2">
      <c r="A1" s="41"/>
      <c r="B1" s="41"/>
      <c r="C1" s="41"/>
      <c r="D1" s="265" t="s">
        <v>0</v>
      </c>
      <c r="E1" s="226"/>
      <c r="F1" s="226"/>
      <c r="G1" s="12" t="s">
        <v>1</v>
      </c>
      <c r="H1" s="265" t="s">
        <v>2</v>
      </c>
      <c r="I1" s="226"/>
      <c r="J1" s="226"/>
      <c r="K1" s="226"/>
      <c r="L1" s="226"/>
      <c r="M1" s="226"/>
      <c r="N1" s="226"/>
      <c r="O1" s="226"/>
      <c r="P1" s="226"/>
      <c r="Q1" s="226"/>
      <c r="R1" s="225" t="s">
        <v>3</v>
      </c>
      <c r="S1" s="226"/>
      <c r="T1" s="2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2" customFormat="1" ht="23.45" customHeight="1" x14ac:dyDescent="0.2">
      <c r="A5" s="298" t="s">
        <v>8</v>
      </c>
      <c r="B5" s="259"/>
      <c r="C5" s="260"/>
      <c r="D5" s="268"/>
      <c r="E5" s="269"/>
      <c r="F5" s="396" t="s">
        <v>9</v>
      </c>
      <c r="G5" s="260"/>
      <c r="H5" s="268"/>
      <c r="I5" s="364"/>
      <c r="J5" s="364"/>
      <c r="K5" s="364"/>
      <c r="L5" s="364"/>
      <c r="M5" s="269"/>
      <c r="N5" s="61"/>
      <c r="P5" s="24" t="s">
        <v>10</v>
      </c>
      <c r="Q5" s="401">
        <v>45548</v>
      </c>
      <c r="R5" s="297"/>
      <c r="T5" s="317" t="s">
        <v>11</v>
      </c>
      <c r="U5" s="318"/>
      <c r="V5" s="320" t="s">
        <v>12</v>
      </c>
      <c r="W5" s="297"/>
      <c r="AB5" s="51"/>
      <c r="AC5" s="51"/>
      <c r="AD5" s="51"/>
      <c r="AE5" s="51"/>
    </row>
    <row r="6" spans="1:32" s="192" customFormat="1" ht="24" customHeight="1" x14ac:dyDescent="0.2">
      <c r="A6" s="298" t="s">
        <v>13</v>
      </c>
      <c r="B6" s="259"/>
      <c r="C6" s="260"/>
      <c r="D6" s="365" t="s">
        <v>14</v>
      </c>
      <c r="E6" s="366"/>
      <c r="F6" s="366"/>
      <c r="G6" s="366"/>
      <c r="H6" s="366"/>
      <c r="I6" s="366"/>
      <c r="J6" s="366"/>
      <c r="K6" s="366"/>
      <c r="L6" s="366"/>
      <c r="M6" s="297"/>
      <c r="N6" s="62"/>
      <c r="P6" s="24" t="s">
        <v>15</v>
      </c>
      <c r="Q6" s="404" t="str">
        <f>IF(Q5=0," ",CHOOSE(WEEKDAY(Q5,2),"Понедельник","Вторник","Среда","Четверг","Пятница","Суббота","Воскресенье"))</f>
        <v>Пятница</v>
      </c>
      <c r="R6" s="207"/>
      <c r="T6" s="324" t="s">
        <v>16</v>
      </c>
      <c r="U6" s="318"/>
      <c r="V6" s="349" t="s">
        <v>17</v>
      </c>
      <c r="W6" s="239"/>
      <c r="AB6" s="51"/>
      <c r="AC6" s="51"/>
      <c r="AD6" s="51"/>
      <c r="AE6" s="51"/>
    </row>
    <row r="7" spans="1:32" s="192" customFormat="1" ht="21.75" hidden="1" customHeight="1" x14ac:dyDescent="0.2">
      <c r="A7" s="55"/>
      <c r="B7" s="55"/>
      <c r="C7" s="55"/>
      <c r="D7" s="246" t="str">
        <f>IFERROR(VLOOKUP(DeliveryAddress,Table,3,0),1)</f>
        <v>1</v>
      </c>
      <c r="E7" s="247"/>
      <c r="F7" s="247"/>
      <c r="G7" s="247"/>
      <c r="H7" s="247"/>
      <c r="I7" s="247"/>
      <c r="J7" s="247"/>
      <c r="K7" s="247"/>
      <c r="L7" s="247"/>
      <c r="M7" s="248"/>
      <c r="N7" s="63"/>
      <c r="P7" s="24"/>
      <c r="Q7" s="42"/>
      <c r="R7" s="42"/>
      <c r="T7" s="210"/>
      <c r="U7" s="318"/>
      <c r="V7" s="350"/>
      <c r="W7" s="351"/>
      <c r="AB7" s="51"/>
      <c r="AC7" s="51"/>
      <c r="AD7" s="51"/>
      <c r="AE7" s="51"/>
    </row>
    <row r="8" spans="1:32" s="192" customFormat="1" ht="25.5" customHeight="1" x14ac:dyDescent="0.2">
      <c r="A8" s="412" t="s">
        <v>18</v>
      </c>
      <c r="B8" s="214"/>
      <c r="C8" s="215"/>
      <c r="D8" s="254" t="s">
        <v>19</v>
      </c>
      <c r="E8" s="255"/>
      <c r="F8" s="255"/>
      <c r="G8" s="255"/>
      <c r="H8" s="255"/>
      <c r="I8" s="255"/>
      <c r="J8" s="255"/>
      <c r="K8" s="255"/>
      <c r="L8" s="255"/>
      <c r="M8" s="256"/>
      <c r="N8" s="64"/>
      <c r="P8" s="24" t="s">
        <v>20</v>
      </c>
      <c r="Q8" s="300">
        <v>0.41666666666666669</v>
      </c>
      <c r="R8" s="248"/>
      <c r="T8" s="210"/>
      <c r="U8" s="318"/>
      <c r="V8" s="350"/>
      <c r="W8" s="351"/>
      <c r="AB8" s="51"/>
      <c r="AC8" s="51"/>
      <c r="AD8" s="51"/>
      <c r="AE8" s="51"/>
    </row>
    <row r="9" spans="1:32" s="192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03"/>
      <c r="E9" s="212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212"/>
      <c r="N9" s="190"/>
      <c r="P9" s="26" t="s">
        <v>21</v>
      </c>
      <c r="Q9" s="294"/>
      <c r="R9" s="295"/>
      <c r="T9" s="210"/>
      <c r="U9" s="318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2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03"/>
      <c r="E10" s="212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44" t="str">
        <f>IFERROR(VLOOKUP($D$10,Proxy,2,FALSE),"")</f>
        <v/>
      </c>
      <c r="I10" s="210"/>
      <c r="J10" s="210"/>
      <c r="K10" s="210"/>
      <c r="L10" s="210"/>
      <c r="M10" s="210"/>
      <c r="N10" s="191"/>
      <c r="P10" s="26" t="s">
        <v>22</v>
      </c>
      <c r="Q10" s="325"/>
      <c r="R10" s="326"/>
      <c r="U10" s="24" t="s">
        <v>23</v>
      </c>
      <c r="V10" s="238" t="s">
        <v>24</v>
      </c>
      <c r="W10" s="239"/>
      <c r="X10" s="44"/>
      <c r="Y10" s="44"/>
      <c r="Z10" s="44"/>
      <c r="AA10" s="44"/>
      <c r="AB10" s="51"/>
      <c r="AC10" s="51"/>
      <c r="AD10" s="51"/>
      <c r="AE10" s="51"/>
    </row>
    <row r="11" spans="1:32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6"/>
      <c r="R11" s="297"/>
      <c r="U11" s="24" t="s">
        <v>27</v>
      </c>
      <c r="V11" s="376" t="s">
        <v>28</v>
      </c>
      <c r="W11" s="295"/>
      <c r="X11" s="45"/>
      <c r="Y11" s="45"/>
      <c r="Z11" s="45"/>
      <c r="AA11" s="45"/>
      <c r="AB11" s="51"/>
      <c r="AC11" s="51"/>
      <c r="AD11" s="51"/>
      <c r="AE11" s="51"/>
    </row>
    <row r="12" spans="1:32" s="192" customFormat="1" ht="18.600000000000001" customHeight="1" x14ac:dyDescent="0.2">
      <c r="A12" s="315" t="s">
        <v>29</v>
      </c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60"/>
      <c r="N12" s="65"/>
      <c r="P12" s="24" t="s">
        <v>30</v>
      </c>
      <c r="Q12" s="300"/>
      <c r="R12" s="248"/>
      <c r="S12" s="23"/>
      <c r="U12" s="24"/>
      <c r="V12" s="226"/>
      <c r="W12" s="210"/>
      <c r="AB12" s="51"/>
      <c r="AC12" s="51"/>
      <c r="AD12" s="51"/>
      <c r="AE12" s="51"/>
    </row>
    <row r="13" spans="1:32" s="192" customFormat="1" ht="23.25" customHeight="1" x14ac:dyDescent="0.2">
      <c r="A13" s="315" t="s">
        <v>31</v>
      </c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60"/>
      <c r="N13" s="65"/>
      <c r="O13" s="26"/>
      <c r="P13" s="26" t="s">
        <v>32</v>
      </c>
      <c r="Q13" s="376"/>
      <c r="R13" s="2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2" customFormat="1" ht="18.600000000000001" customHeight="1" x14ac:dyDescent="0.2">
      <c r="A14" s="315" t="s">
        <v>33</v>
      </c>
      <c r="B14" s="259"/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2" customFormat="1" ht="22.5" customHeight="1" x14ac:dyDescent="0.2">
      <c r="A15" s="334" t="s">
        <v>34</v>
      </c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60"/>
      <c r="N15" s="66"/>
      <c r="P15" s="309" t="s">
        <v>35</v>
      </c>
      <c r="Q15" s="226"/>
      <c r="R15" s="226"/>
      <c r="S15" s="226"/>
      <c r="T15" s="2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0"/>
      <c r="Q16" s="310"/>
      <c r="R16" s="310"/>
      <c r="S16" s="310"/>
      <c r="T16" s="3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5" t="s">
        <v>36</v>
      </c>
      <c r="B17" s="235" t="s">
        <v>37</v>
      </c>
      <c r="C17" s="302" t="s">
        <v>38</v>
      </c>
      <c r="D17" s="235" t="s">
        <v>39</v>
      </c>
      <c r="E17" s="282"/>
      <c r="F17" s="235" t="s">
        <v>40</v>
      </c>
      <c r="G17" s="235" t="s">
        <v>41</v>
      </c>
      <c r="H17" s="235" t="s">
        <v>42</v>
      </c>
      <c r="I17" s="235" t="s">
        <v>43</v>
      </c>
      <c r="J17" s="235" t="s">
        <v>44</v>
      </c>
      <c r="K17" s="235" t="s">
        <v>45</v>
      </c>
      <c r="L17" s="235" t="s">
        <v>46</v>
      </c>
      <c r="M17" s="235" t="s">
        <v>47</v>
      </c>
      <c r="N17" s="235" t="s">
        <v>48</v>
      </c>
      <c r="O17" s="235" t="s">
        <v>49</v>
      </c>
      <c r="P17" s="235" t="s">
        <v>50</v>
      </c>
      <c r="Q17" s="281"/>
      <c r="R17" s="281"/>
      <c r="S17" s="281"/>
      <c r="T17" s="282"/>
      <c r="U17" s="409" t="s">
        <v>51</v>
      </c>
      <c r="V17" s="260"/>
      <c r="W17" s="235" t="s">
        <v>52</v>
      </c>
      <c r="X17" s="235" t="s">
        <v>53</v>
      </c>
      <c r="Y17" s="410" t="s">
        <v>54</v>
      </c>
      <c r="Z17" s="235" t="s">
        <v>55</v>
      </c>
      <c r="AA17" s="342" t="s">
        <v>56</v>
      </c>
      <c r="AB17" s="342" t="s">
        <v>57</v>
      </c>
      <c r="AC17" s="342" t="s">
        <v>58</v>
      </c>
      <c r="AD17" s="342" t="s">
        <v>59</v>
      </c>
      <c r="AE17" s="391"/>
      <c r="AF17" s="392"/>
      <c r="AG17" s="292"/>
      <c r="BD17" s="337" t="s">
        <v>60</v>
      </c>
    </row>
    <row r="18" spans="1:68" ht="14.25" customHeight="1" x14ac:dyDescent="0.2">
      <c r="A18" s="236"/>
      <c r="B18" s="236"/>
      <c r="C18" s="236"/>
      <c r="D18" s="283"/>
      <c r="E18" s="285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83"/>
      <c r="Q18" s="284"/>
      <c r="R18" s="284"/>
      <c r="S18" s="284"/>
      <c r="T18" s="285"/>
      <c r="U18" s="193" t="s">
        <v>61</v>
      </c>
      <c r="V18" s="193" t="s">
        <v>62</v>
      </c>
      <c r="W18" s="236"/>
      <c r="X18" s="236"/>
      <c r="Y18" s="411"/>
      <c r="Z18" s="236"/>
      <c r="AA18" s="343"/>
      <c r="AB18" s="343"/>
      <c r="AC18" s="343"/>
      <c r="AD18" s="393"/>
      <c r="AE18" s="394"/>
      <c r="AF18" s="395"/>
      <c r="AG18" s="293"/>
      <c r="BD18" s="210"/>
    </row>
    <row r="19" spans="1:68" ht="27.75" customHeight="1" x14ac:dyDescent="0.2">
      <c r="A19" s="273" t="s">
        <v>63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4"/>
      <c r="AB20" s="194"/>
      <c r="AC20" s="194"/>
    </row>
    <row r="21" spans="1:68" ht="14.25" customHeight="1" x14ac:dyDescent="0.25">
      <c r="A21" s="218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95"/>
      <c r="AB21" s="195"/>
      <c r="AC21" s="19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6">
        <v>4607111035752</v>
      </c>
      <c r="E22" s="207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70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9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20"/>
      <c r="P23" s="213" t="s">
        <v>72</v>
      </c>
      <c r="Q23" s="214"/>
      <c r="R23" s="214"/>
      <c r="S23" s="214"/>
      <c r="T23" s="214"/>
      <c r="U23" s="214"/>
      <c r="V23" s="215"/>
      <c r="W23" s="37" t="s">
        <v>70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20"/>
      <c r="P24" s="213" t="s">
        <v>72</v>
      </c>
      <c r="Q24" s="214"/>
      <c r="R24" s="214"/>
      <c r="S24" s="214"/>
      <c r="T24" s="214"/>
      <c r="U24" s="214"/>
      <c r="V24" s="215"/>
      <c r="W24" s="37" t="s">
        <v>73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customHeight="1" x14ac:dyDescent="0.2">
      <c r="A25" s="273" t="s">
        <v>74</v>
      </c>
      <c r="B25" s="274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4"/>
      <c r="AB26" s="194"/>
      <c r="AC26" s="194"/>
    </row>
    <row r="27" spans="1:68" ht="14.25" customHeight="1" x14ac:dyDescent="0.25">
      <c r="A27" s="218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95"/>
      <c r="AB27" s="195"/>
      <c r="AC27" s="19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6">
        <v>4607111036605</v>
      </c>
      <c r="E28" s="207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70</v>
      </c>
      <c r="X28" s="199">
        <v>0</v>
      </c>
      <c r="Y28" s="20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6">
        <v>4607111036520</v>
      </c>
      <c r="E29" s="207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70</v>
      </c>
      <c r="X29" s="199">
        <v>0</v>
      </c>
      <c r="Y29" s="20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6">
        <v>4607111036537</v>
      </c>
      <c r="E30" s="207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70</v>
      </c>
      <c r="X30" s="199">
        <v>0</v>
      </c>
      <c r="Y30" s="200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6">
        <v>4607111036599</v>
      </c>
      <c r="E31" s="207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6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70</v>
      </c>
      <c r="X31" s="199">
        <v>0</v>
      </c>
      <c r="Y31" s="20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9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20"/>
      <c r="P32" s="213" t="s">
        <v>72</v>
      </c>
      <c r="Q32" s="214"/>
      <c r="R32" s="214"/>
      <c r="S32" s="214"/>
      <c r="T32" s="214"/>
      <c r="U32" s="214"/>
      <c r="V32" s="215"/>
      <c r="W32" s="37" t="s">
        <v>70</v>
      </c>
      <c r="X32" s="201">
        <f>IFERROR(SUM(X28:X31),"0")</f>
        <v>0</v>
      </c>
      <c r="Y32" s="201">
        <f>IFERROR(SUM(Y28:Y31),"0")</f>
        <v>0</v>
      </c>
      <c r="Z32" s="201">
        <f>IFERROR(IF(Z28="",0,Z28),"0")+IFERROR(IF(Z29="",0,Z29),"0")+IFERROR(IF(Z30="",0,Z30),"0")+IFERROR(IF(Z31="",0,Z31),"0")</f>
        <v>0</v>
      </c>
      <c r="AA32" s="202"/>
      <c r="AB32" s="202"/>
      <c r="AC32" s="202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20"/>
      <c r="P33" s="213" t="s">
        <v>72</v>
      </c>
      <c r="Q33" s="214"/>
      <c r="R33" s="214"/>
      <c r="S33" s="214"/>
      <c r="T33" s="214"/>
      <c r="U33" s="214"/>
      <c r="V33" s="215"/>
      <c r="W33" s="37" t="s">
        <v>73</v>
      </c>
      <c r="X33" s="201">
        <f>IFERROR(SUMPRODUCT(X28:X31*H28:H31),"0")</f>
        <v>0</v>
      </c>
      <c r="Y33" s="201">
        <f>IFERROR(SUMPRODUCT(Y28:Y31*H28:H31),"0")</f>
        <v>0</v>
      </c>
      <c r="Z33" s="37"/>
      <c r="AA33" s="202"/>
      <c r="AB33" s="202"/>
      <c r="AC33" s="202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4"/>
      <c r="AB34" s="194"/>
      <c r="AC34" s="194"/>
    </row>
    <row r="35" spans="1:68" ht="14.25" customHeight="1" x14ac:dyDescent="0.25">
      <c r="A35" s="218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95"/>
      <c r="AB35" s="195"/>
      <c r="AC35" s="19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6">
        <v>4607111036285</v>
      </c>
      <c r="E36" s="207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70</v>
      </c>
      <c r="X36" s="199">
        <v>0</v>
      </c>
      <c r="Y36" s="20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6">
        <v>4607111036308</v>
      </c>
      <c r="E37" s="207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5" t="s">
        <v>92</v>
      </c>
      <c r="Q37" s="204"/>
      <c r="R37" s="204"/>
      <c r="S37" s="204"/>
      <c r="T37" s="205"/>
      <c r="U37" s="34"/>
      <c r="V37" s="34"/>
      <c r="W37" s="35" t="s">
        <v>70</v>
      </c>
      <c r="X37" s="199">
        <v>0</v>
      </c>
      <c r="Y37" s="20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6">
        <v>4607111036292</v>
      </c>
      <c r="E38" s="207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70</v>
      </c>
      <c r="X38" s="199">
        <v>0</v>
      </c>
      <c r="Y38" s="20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9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20"/>
      <c r="P39" s="213" t="s">
        <v>72</v>
      </c>
      <c r="Q39" s="214"/>
      <c r="R39" s="214"/>
      <c r="S39" s="214"/>
      <c r="T39" s="214"/>
      <c r="U39" s="214"/>
      <c r="V39" s="215"/>
      <c r="W39" s="37" t="s">
        <v>70</v>
      </c>
      <c r="X39" s="201">
        <f>IFERROR(SUM(X36:X38),"0")</f>
        <v>0</v>
      </c>
      <c r="Y39" s="201">
        <f>IFERROR(SUM(Y36:Y38),"0")</f>
        <v>0</v>
      </c>
      <c r="Z39" s="201">
        <f>IFERROR(IF(Z36="",0,Z36),"0")+IFERROR(IF(Z37="",0,Z37),"0")+IFERROR(IF(Z38="",0,Z38),"0")</f>
        <v>0</v>
      </c>
      <c r="AA39" s="202"/>
      <c r="AB39" s="202"/>
      <c r="AC39" s="202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20"/>
      <c r="P40" s="213" t="s">
        <v>72</v>
      </c>
      <c r="Q40" s="214"/>
      <c r="R40" s="214"/>
      <c r="S40" s="214"/>
      <c r="T40" s="214"/>
      <c r="U40" s="214"/>
      <c r="V40" s="215"/>
      <c r="W40" s="37" t="s">
        <v>73</v>
      </c>
      <c r="X40" s="201">
        <f>IFERROR(SUMPRODUCT(X36:X38*H36:H38),"0")</f>
        <v>0</v>
      </c>
      <c r="Y40" s="201">
        <f>IFERROR(SUMPRODUCT(Y36:Y38*H36:H38),"0")</f>
        <v>0</v>
      </c>
      <c r="Z40" s="37"/>
      <c r="AA40" s="202"/>
      <c r="AB40" s="202"/>
      <c r="AC40" s="202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4"/>
      <c r="AB41" s="194"/>
      <c r="AC41" s="194"/>
    </row>
    <row r="42" spans="1:68" ht="14.25" customHeight="1" x14ac:dyDescent="0.25">
      <c r="A42" s="218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95"/>
      <c r="AB42" s="195"/>
      <c r="AC42" s="19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6">
        <v>4607111038951</v>
      </c>
      <c r="E43" s="207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70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6">
        <v>4607111037596</v>
      </c>
      <c r="E44" s="207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70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6">
        <v>4607111037053</v>
      </c>
      <c r="E45" s="207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70</v>
      </c>
      <c r="X45" s="199">
        <v>0</v>
      </c>
      <c r="Y45" s="20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6">
        <v>4607111037060</v>
      </c>
      <c r="E46" s="207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70</v>
      </c>
      <c r="X46" s="199">
        <v>0</v>
      </c>
      <c r="Y46" s="20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x14ac:dyDescent="0.2">
      <c r="A47" s="219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20"/>
      <c r="P47" s="213" t="s">
        <v>72</v>
      </c>
      <c r="Q47" s="214"/>
      <c r="R47" s="214"/>
      <c r="S47" s="214"/>
      <c r="T47" s="214"/>
      <c r="U47" s="214"/>
      <c r="V47" s="215"/>
      <c r="W47" s="37" t="s">
        <v>70</v>
      </c>
      <c r="X47" s="201">
        <f>IFERROR(SUM(X43:X46),"0")</f>
        <v>0</v>
      </c>
      <c r="Y47" s="201">
        <f>IFERROR(SUM(Y43:Y46),"0")</f>
        <v>0</v>
      </c>
      <c r="Z47" s="201">
        <f>IFERROR(IF(Z43="",0,Z43),"0")+IFERROR(IF(Z44="",0,Z44),"0")+IFERROR(IF(Z45="",0,Z45),"0")+IFERROR(IF(Z46="",0,Z46),"0")</f>
        <v>0</v>
      </c>
      <c r="AA47" s="202"/>
      <c r="AB47" s="202"/>
      <c r="AC47" s="202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20"/>
      <c r="P48" s="213" t="s">
        <v>72</v>
      </c>
      <c r="Q48" s="214"/>
      <c r="R48" s="214"/>
      <c r="S48" s="214"/>
      <c r="T48" s="214"/>
      <c r="U48" s="214"/>
      <c r="V48" s="215"/>
      <c r="W48" s="37" t="s">
        <v>73</v>
      </c>
      <c r="X48" s="201">
        <f>IFERROR(SUMPRODUCT(X43:X46*H43:H46),"0")</f>
        <v>0</v>
      </c>
      <c r="Y48" s="201">
        <f>IFERROR(SUMPRODUCT(Y43:Y46*H43:H46),"0")</f>
        <v>0</v>
      </c>
      <c r="Z48" s="37"/>
      <c r="AA48" s="202"/>
      <c r="AB48" s="202"/>
      <c r="AC48" s="202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4"/>
      <c r="AB49" s="194"/>
      <c r="AC49" s="194"/>
    </row>
    <row r="50" spans="1:68" ht="14.25" customHeight="1" x14ac:dyDescent="0.25">
      <c r="A50" s="218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95"/>
      <c r="AB50" s="195"/>
      <c r="AC50" s="195"/>
    </row>
    <row r="51" spans="1:68" ht="27" customHeight="1" x14ac:dyDescent="0.25">
      <c r="A51" s="54" t="s">
        <v>107</v>
      </c>
      <c r="B51" s="54" t="s">
        <v>108</v>
      </c>
      <c r="C51" s="31">
        <v>4301071045</v>
      </c>
      <c r="D51" s="206">
        <v>4607111039392</v>
      </c>
      <c r="E51" s="207"/>
      <c r="F51" s="198">
        <v>0.4</v>
      </c>
      <c r="G51" s="32">
        <v>16</v>
      </c>
      <c r="H51" s="198">
        <v>6.4</v>
      </c>
      <c r="I51" s="198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2" t="s">
        <v>109</v>
      </c>
      <c r="Q51" s="204"/>
      <c r="R51" s="204"/>
      <c r="S51" s="204"/>
      <c r="T51" s="205"/>
      <c r="U51" s="34"/>
      <c r="V51" s="34"/>
      <c r="W51" s="35" t="s">
        <v>70</v>
      </c>
      <c r="X51" s="199">
        <v>0</v>
      </c>
      <c r="Y51" s="200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customHeight="1" x14ac:dyDescent="0.25">
      <c r="A52" s="54" t="s">
        <v>111</v>
      </c>
      <c r="B52" s="54" t="s">
        <v>112</v>
      </c>
      <c r="C52" s="31">
        <v>4301070989</v>
      </c>
      <c r="D52" s="206">
        <v>4607111037190</v>
      </c>
      <c r="E52" s="207"/>
      <c r="F52" s="198">
        <v>0.43</v>
      </c>
      <c r="G52" s="32">
        <v>16</v>
      </c>
      <c r="H52" s="198">
        <v>6.88</v>
      </c>
      <c r="I52" s="19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9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4"/>
      <c r="R52" s="204"/>
      <c r="S52" s="204"/>
      <c r="T52" s="205"/>
      <c r="U52" s="34"/>
      <c r="V52" s="34"/>
      <c r="W52" s="35" t="s">
        <v>70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4301071032</v>
      </c>
      <c r="D53" s="206">
        <v>4607111038999</v>
      </c>
      <c r="E53" s="207"/>
      <c r="F53" s="198">
        <v>0.4</v>
      </c>
      <c r="G53" s="32">
        <v>16</v>
      </c>
      <c r="H53" s="198">
        <v>6.4</v>
      </c>
      <c r="I53" s="198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04"/>
      <c r="R53" s="204"/>
      <c r="S53" s="204"/>
      <c r="T53" s="205"/>
      <c r="U53" s="34"/>
      <c r="V53" s="34"/>
      <c r="W53" s="35" t="s">
        <v>70</v>
      </c>
      <c r="X53" s="199">
        <v>0</v>
      </c>
      <c r="Y53" s="20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6">
        <v>4607111037183</v>
      </c>
      <c r="E54" s="207"/>
      <c r="F54" s="198">
        <v>0.9</v>
      </c>
      <c r="G54" s="32">
        <v>8</v>
      </c>
      <c r="H54" s="198">
        <v>7.2</v>
      </c>
      <c r="I54" s="198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04"/>
      <c r="R54" s="204"/>
      <c r="S54" s="204"/>
      <c r="T54" s="205"/>
      <c r="U54" s="34"/>
      <c r="V54" s="34"/>
      <c r="W54" s="35" t="s">
        <v>70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117</v>
      </c>
      <c r="B55" s="54" t="s">
        <v>118</v>
      </c>
      <c r="C55" s="31">
        <v>4301071044</v>
      </c>
      <c r="D55" s="206">
        <v>4607111039385</v>
      </c>
      <c r="E55" s="207"/>
      <c r="F55" s="198">
        <v>0.7</v>
      </c>
      <c r="G55" s="32">
        <v>10</v>
      </c>
      <c r="H55" s="198">
        <v>7</v>
      </c>
      <c r="I55" s="198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04"/>
      <c r="R55" s="204"/>
      <c r="S55" s="204"/>
      <c r="T55" s="205"/>
      <c r="U55" s="34"/>
      <c r="V55" s="34"/>
      <c r="W55" s="35" t="s">
        <v>70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4301070970</v>
      </c>
      <c r="D56" s="206">
        <v>4607111037091</v>
      </c>
      <c r="E56" s="207"/>
      <c r="F56" s="198">
        <v>0.43</v>
      </c>
      <c r="G56" s="32">
        <v>16</v>
      </c>
      <c r="H56" s="198">
        <v>6.88</v>
      </c>
      <c r="I56" s="198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04"/>
      <c r="R56" s="204"/>
      <c r="S56" s="204"/>
      <c r="T56" s="205"/>
      <c r="U56" s="34"/>
      <c r="V56" s="34"/>
      <c r="W56" s="35" t="s">
        <v>70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6">
        <v>4607111036902</v>
      </c>
      <c r="E57" s="207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4"/>
      <c r="R57" s="204"/>
      <c r="S57" s="204"/>
      <c r="T57" s="205"/>
      <c r="U57" s="34"/>
      <c r="V57" s="34"/>
      <c r="W57" s="35" t="s">
        <v>70</v>
      </c>
      <c r="X57" s="199">
        <v>0</v>
      </c>
      <c r="Y57" s="20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4301071031</v>
      </c>
      <c r="D58" s="206">
        <v>4607111038982</v>
      </c>
      <c r="E58" s="207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4"/>
      <c r="R58" s="204"/>
      <c r="S58" s="204"/>
      <c r="T58" s="205"/>
      <c r="U58" s="34"/>
      <c r="V58" s="34"/>
      <c r="W58" s="35" t="s">
        <v>70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125</v>
      </c>
      <c r="B59" s="54" t="s">
        <v>126</v>
      </c>
      <c r="C59" s="31">
        <v>4301070969</v>
      </c>
      <c r="D59" s="206">
        <v>4607111036858</v>
      </c>
      <c r="E59" s="207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4"/>
      <c r="R59" s="204"/>
      <c r="S59" s="204"/>
      <c r="T59" s="205"/>
      <c r="U59" s="34"/>
      <c r="V59" s="34"/>
      <c r="W59" s="35" t="s">
        <v>70</v>
      </c>
      <c r="X59" s="199">
        <v>0</v>
      </c>
      <c r="Y59" s="20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4301071046</v>
      </c>
      <c r="D60" s="206">
        <v>4607111039354</v>
      </c>
      <c r="E60" s="207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4"/>
      <c r="R60" s="204"/>
      <c r="S60" s="204"/>
      <c r="T60" s="205"/>
      <c r="U60" s="34"/>
      <c r="V60" s="34"/>
      <c r="W60" s="35" t="s">
        <v>70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6">
        <v>4607111036889</v>
      </c>
      <c r="E61" s="207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4"/>
      <c r="R61" s="204"/>
      <c r="S61" s="204"/>
      <c r="T61" s="205"/>
      <c r="U61" s="34"/>
      <c r="V61" s="34"/>
      <c r="W61" s="35" t="s">
        <v>70</v>
      </c>
      <c r="X61" s="199">
        <v>0</v>
      </c>
      <c r="Y61" s="200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131</v>
      </c>
      <c r="B62" s="54" t="s">
        <v>132</v>
      </c>
      <c r="C62" s="31">
        <v>4301071047</v>
      </c>
      <c r="D62" s="206">
        <v>4607111039330</v>
      </c>
      <c r="E62" s="207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4"/>
      <c r="R62" s="204"/>
      <c r="S62" s="204"/>
      <c r="T62" s="205"/>
      <c r="U62" s="34"/>
      <c r="V62" s="34"/>
      <c r="W62" s="35" t="s">
        <v>70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customHeight="1" x14ac:dyDescent="0.25">
      <c r="A63" s="54" t="s">
        <v>133</v>
      </c>
      <c r="B63" s="54" t="s">
        <v>134</v>
      </c>
      <c r="C63" s="31">
        <v>4301070947</v>
      </c>
      <c r="D63" s="206">
        <v>4607111037510</v>
      </c>
      <c r="E63" s="207"/>
      <c r="F63" s="198">
        <v>0.8</v>
      </c>
      <c r="G63" s="32">
        <v>8</v>
      </c>
      <c r="H63" s="198">
        <v>6.4</v>
      </c>
      <c r="I63" s="198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28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4"/>
      <c r="R63" s="204"/>
      <c r="S63" s="204"/>
      <c r="T63" s="205"/>
      <c r="U63" s="34"/>
      <c r="V63" s="34"/>
      <c r="W63" s="35" t="s">
        <v>70</v>
      </c>
      <c r="X63" s="199">
        <v>0</v>
      </c>
      <c r="Y63" s="200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9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20"/>
      <c r="P64" s="213" t="s">
        <v>72</v>
      </c>
      <c r="Q64" s="214"/>
      <c r="R64" s="214"/>
      <c r="S64" s="214"/>
      <c r="T64" s="214"/>
      <c r="U64" s="214"/>
      <c r="V64" s="215"/>
      <c r="W64" s="37" t="s">
        <v>70</v>
      </c>
      <c r="X64" s="201">
        <f>IFERROR(SUM(X51:X63),"0")</f>
        <v>0</v>
      </c>
      <c r="Y64" s="201">
        <f>IFERROR(SUM(Y51:Y63),"0")</f>
        <v>0</v>
      </c>
      <c r="Z64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</v>
      </c>
      <c r="AA64" s="202"/>
      <c r="AB64" s="202"/>
      <c r="AC64" s="202"/>
    </row>
    <row r="65" spans="1:68" x14ac:dyDescent="0.2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20"/>
      <c r="P65" s="213" t="s">
        <v>72</v>
      </c>
      <c r="Q65" s="214"/>
      <c r="R65" s="214"/>
      <c r="S65" s="214"/>
      <c r="T65" s="214"/>
      <c r="U65" s="214"/>
      <c r="V65" s="215"/>
      <c r="W65" s="37" t="s">
        <v>73</v>
      </c>
      <c r="X65" s="201">
        <f>IFERROR(SUMPRODUCT(X51:X63*H51:H63),"0")</f>
        <v>0</v>
      </c>
      <c r="Y65" s="201">
        <f>IFERROR(SUMPRODUCT(Y51:Y63*H51:H63),"0")</f>
        <v>0</v>
      </c>
      <c r="Z65" s="37"/>
      <c r="AA65" s="202"/>
      <c r="AB65" s="202"/>
      <c r="AC65" s="202"/>
    </row>
    <row r="66" spans="1:68" ht="16.5" customHeight="1" x14ac:dyDescent="0.25">
      <c r="A66" s="209" t="s">
        <v>135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94"/>
      <c r="AB66" s="194"/>
      <c r="AC66" s="194"/>
    </row>
    <row r="67" spans="1:68" ht="14.25" customHeight="1" x14ac:dyDescent="0.25">
      <c r="A67" s="218" t="s">
        <v>64</v>
      </c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195"/>
      <c r="AB67" s="195"/>
      <c r="AC67" s="195"/>
    </row>
    <row r="68" spans="1:68" ht="27" customHeight="1" x14ac:dyDescent="0.25">
      <c r="A68" s="54" t="s">
        <v>136</v>
      </c>
      <c r="B68" s="54" t="s">
        <v>137</v>
      </c>
      <c r="C68" s="31">
        <v>4301070977</v>
      </c>
      <c r="D68" s="206">
        <v>4607111037411</v>
      </c>
      <c r="E68" s="207"/>
      <c r="F68" s="198">
        <v>2.7</v>
      </c>
      <c r="G68" s="32">
        <v>1</v>
      </c>
      <c r="H68" s="198">
        <v>2.7</v>
      </c>
      <c r="I68" s="198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4"/>
      <c r="R68" s="204"/>
      <c r="S68" s="204"/>
      <c r="T68" s="205"/>
      <c r="U68" s="34"/>
      <c r="V68" s="34"/>
      <c r="W68" s="35" t="s">
        <v>70</v>
      </c>
      <c r="X68" s="199">
        <v>0</v>
      </c>
      <c r="Y68" s="200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6">
        <v>4607111036728</v>
      </c>
      <c r="E69" s="207"/>
      <c r="F69" s="198">
        <v>5</v>
      </c>
      <c r="G69" s="32">
        <v>1</v>
      </c>
      <c r="H69" s="198">
        <v>5</v>
      </c>
      <c r="I69" s="198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4"/>
      <c r="R69" s="204"/>
      <c r="S69" s="204"/>
      <c r="T69" s="205"/>
      <c r="U69" s="34"/>
      <c r="V69" s="34"/>
      <c r="W69" s="35" t="s">
        <v>70</v>
      </c>
      <c r="X69" s="199">
        <v>240</v>
      </c>
      <c r="Y69" s="200">
        <f>IFERROR(IF(X69="","",X69),"")</f>
        <v>240</v>
      </c>
      <c r="Z69" s="36">
        <f>IFERROR(IF(X69="","",X69*0.00866),"")</f>
        <v>2.0783999999999998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1251.1679999999999</v>
      </c>
      <c r="BN69" s="67">
        <f>IFERROR(Y69*I69,"0")</f>
        <v>1251.1679999999999</v>
      </c>
      <c r="BO69" s="67">
        <f>IFERROR(X69/J69,"0")</f>
        <v>1.6666666666666667</v>
      </c>
      <c r="BP69" s="67">
        <f>IFERROR(Y69/J69,"0")</f>
        <v>1.6666666666666667</v>
      </c>
    </row>
    <row r="70" spans="1:68" x14ac:dyDescent="0.2">
      <c r="A70" s="219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20"/>
      <c r="P70" s="213" t="s">
        <v>72</v>
      </c>
      <c r="Q70" s="214"/>
      <c r="R70" s="214"/>
      <c r="S70" s="214"/>
      <c r="T70" s="214"/>
      <c r="U70" s="214"/>
      <c r="V70" s="215"/>
      <c r="W70" s="37" t="s">
        <v>70</v>
      </c>
      <c r="X70" s="201">
        <f>IFERROR(SUM(X68:X69),"0")</f>
        <v>240</v>
      </c>
      <c r="Y70" s="201">
        <f>IFERROR(SUM(Y68:Y69),"0")</f>
        <v>240</v>
      </c>
      <c r="Z70" s="201">
        <f>IFERROR(IF(Z68="",0,Z68),"0")+IFERROR(IF(Z69="",0,Z69),"0")</f>
        <v>2.0783999999999998</v>
      </c>
      <c r="AA70" s="202"/>
      <c r="AB70" s="202"/>
      <c r="AC70" s="202"/>
    </row>
    <row r="71" spans="1:68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20"/>
      <c r="P71" s="213" t="s">
        <v>72</v>
      </c>
      <c r="Q71" s="214"/>
      <c r="R71" s="214"/>
      <c r="S71" s="214"/>
      <c r="T71" s="214"/>
      <c r="U71" s="214"/>
      <c r="V71" s="215"/>
      <c r="W71" s="37" t="s">
        <v>73</v>
      </c>
      <c r="X71" s="201">
        <f>IFERROR(SUMPRODUCT(X68:X69*H68:H69),"0")</f>
        <v>1200</v>
      </c>
      <c r="Y71" s="201">
        <f>IFERROR(SUMPRODUCT(Y68:Y69*H68:H69),"0")</f>
        <v>1200</v>
      </c>
      <c r="Z71" s="37"/>
      <c r="AA71" s="202"/>
      <c r="AB71" s="202"/>
      <c r="AC71" s="202"/>
    </row>
    <row r="72" spans="1:68" ht="16.5" customHeight="1" x14ac:dyDescent="0.25">
      <c r="A72" s="209" t="s">
        <v>141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94"/>
      <c r="AB72" s="194"/>
      <c r="AC72" s="194"/>
    </row>
    <row r="73" spans="1:68" ht="14.25" customHeight="1" x14ac:dyDescent="0.25">
      <c r="A73" s="218" t="s">
        <v>142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195"/>
      <c r="AB73" s="195"/>
      <c r="AC73" s="195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06">
        <v>4607111033659</v>
      </c>
      <c r="E74" s="207"/>
      <c r="F74" s="198">
        <v>0.3</v>
      </c>
      <c r="G74" s="32">
        <v>12</v>
      </c>
      <c r="H74" s="198">
        <v>3.6</v>
      </c>
      <c r="I74" s="198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1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4"/>
      <c r="R74" s="204"/>
      <c r="S74" s="204"/>
      <c r="T74" s="205"/>
      <c r="U74" s="34"/>
      <c r="V74" s="34"/>
      <c r="W74" s="35" t="s">
        <v>70</v>
      </c>
      <c r="X74" s="199">
        <v>42</v>
      </c>
      <c r="Y74" s="200">
        <f>IFERROR(IF(X74="","",X74),"")</f>
        <v>42</v>
      </c>
      <c r="Z74" s="36">
        <f>IFERROR(IF(X74="","",X74*0.01788),"")</f>
        <v>0.75095999999999996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x14ac:dyDescent="0.2">
      <c r="A75" s="219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20"/>
      <c r="P75" s="213" t="s">
        <v>72</v>
      </c>
      <c r="Q75" s="214"/>
      <c r="R75" s="214"/>
      <c r="S75" s="214"/>
      <c r="T75" s="214"/>
      <c r="U75" s="214"/>
      <c r="V75" s="215"/>
      <c r="W75" s="37" t="s">
        <v>70</v>
      </c>
      <c r="X75" s="201">
        <f>IFERROR(SUM(X74:X74),"0")</f>
        <v>42</v>
      </c>
      <c r="Y75" s="201">
        <f>IFERROR(SUM(Y74:Y74),"0")</f>
        <v>42</v>
      </c>
      <c r="Z75" s="201">
        <f>IFERROR(IF(Z74="",0,Z74),"0")</f>
        <v>0.75095999999999996</v>
      </c>
      <c r="AA75" s="202"/>
      <c r="AB75" s="202"/>
      <c r="AC75" s="202"/>
    </row>
    <row r="76" spans="1:68" x14ac:dyDescent="0.2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20"/>
      <c r="P76" s="213" t="s">
        <v>72</v>
      </c>
      <c r="Q76" s="214"/>
      <c r="R76" s="214"/>
      <c r="S76" s="214"/>
      <c r="T76" s="214"/>
      <c r="U76" s="214"/>
      <c r="V76" s="215"/>
      <c r="W76" s="37" t="s">
        <v>73</v>
      </c>
      <c r="X76" s="201">
        <f>IFERROR(SUMPRODUCT(X74:X74*H74:H74),"0")</f>
        <v>151.20000000000002</v>
      </c>
      <c r="Y76" s="201">
        <f>IFERROR(SUMPRODUCT(Y74:Y74*H74:H74),"0")</f>
        <v>151.20000000000002</v>
      </c>
      <c r="Z76" s="37"/>
      <c r="AA76" s="202"/>
      <c r="AB76" s="202"/>
      <c r="AC76" s="202"/>
    </row>
    <row r="77" spans="1:68" ht="16.5" customHeight="1" x14ac:dyDescent="0.25">
      <c r="A77" s="209" t="s">
        <v>145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94"/>
      <c r="AB77" s="194"/>
      <c r="AC77" s="194"/>
    </row>
    <row r="78" spans="1:68" ht="14.25" customHeight="1" x14ac:dyDescent="0.25">
      <c r="A78" s="218" t="s">
        <v>146</v>
      </c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195"/>
      <c r="AB78" s="195"/>
      <c r="AC78" s="195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06">
        <v>4607111034137</v>
      </c>
      <c r="E79" s="207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4"/>
      <c r="R79" s="204"/>
      <c r="S79" s="204"/>
      <c r="T79" s="205"/>
      <c r="U79" s="34"/>
      <c r="V79" s="34"/>
      <c r="W79" s="35" t="s">
        <v>70</v>
      </c>
      <c r="X79" s="199">
        <v>28</v>
      </c>
      <c r="Y79" s="200">
        <f>IFERROR(IF(X79="","",X79),"")</f>
        <v>28</v>
      </c>
      <c r="Z79" s="36">
        <f>IFERROR(IF(X79="","",X79*0.01788),"")</f>
        <v>0.50063999999999997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6">
        <v>4607111034120</v>
      </c>
      <c r="E80" s="207"/>
      <c r="F80" s="198">
        <v>0.3</v>
      </c>
      <c r="G80" s="32">
        <v>12</v>
      </c>
      <c r="H80" s="198">
        <v>3.6</v>
      </c>
      <c r="I80" s="198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4"/>
      <c r="R80" s="204"/>
      <c r="S80" s="204"/>
      <c r="T80" s="205"/>
      <c r="U80" s="34"/>
      <c r="V80" s="34"/>
      <c r="W80" s="35" t="s">
        <v>70</v>
      </c>
      <c r="X80" s="199">
        <v>42</v>
      </c>
      <c r="Y80" s="200">
        <f>IFERROR(IF(X80="","",X80),"")</f>
        <v>42</v>
      </c>
      <c r="Z80" s="36">
        <f>IFERROR(IF(X80="","",X80*0.01788),"")</f>
        <v>0.75095999999999996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180.75120000000001</v>
      </c>
      <c r="BN80" s="67">
        <f>IFERROR(Y80*I80,"0")</f>
        <v>180.75120000000001</v>
      </c>
      <c r="BO80" s="67">
        <f>IFERROR(X80/J80,"0")</f>
        <v>0.6</v>
      </c>
      <c r="BP80" s="67">
        <f>IFERROR(Y80/J80,"0")</f>
        <v>0.6</v>
      </c>
    </row>
    <row r="81" spans="1:68" x14ac:dyDescent="0.2">
      <c r="A81" s="219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20"/>
      <c r="P81" s="213" t="s">
        <v>72</v>
      </c>
      <c r="Q81" s="214"/>
      <c r="R81" s="214"/>
      <c r="S81" s="214"/>
      <c r="T81" s="214"/>
      <c r="U81" s="214"/>
      <c r="V81" s="215"/>
      <c r="W81" s="37" t="s">
        <v>70</v>
      </c>
      <c r="X81" s="201">
        <f>IFERROR(SUM(X79:X80),"0")</f>
        <v>70</v>
      </c>
      <c r="Y81" s="201">
        <f>IFERROR(SUM(Y79:Y80),"0")</f>
        <v>70</v>
      </c>
      <c r="Z81" s="201">
        <f>IFERROR(IF(Z79="",0,Z79),"0")+IFERROR(IF(Z80="",0,Z80),"0")</f>
        <v>1.2515999999999998</v>
      </c>
      <c r="AA81" s="202"/>
      <c r="AB81" s="202"/>
      <c r="AC81" s="202"/>
    </row>
    <row r="82" spans="1:68" x14ac:dyDescent="0.2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20"/>
      <c r="P82" s="213" t="s">
        <v>72</v>
      </c>
      <c r="Q82" s="214"/>
      <c r="R82" s="214"/>
      <c r="S82" s="214"/>
      <c r="T82" s="214"/>
      <c r="U82" s="214"/>
      <c r="V82" s="215"/>
      <c r="W82" s="37" t="s">
        <v>73</v>
      </c>
      <c r="X82" s="201">
        <f>IFERROR(SUMPRODUCT(X79:X80*H79:H80),"0")</f>
        <v>252</v>
      </c>
      <c r="Y82" s="201">
        <f>IFERROR(SUMPRODUCT(Y79:Y80*H79:H80),"0")</f>
        <v>252</v>
      </c>
      <c r="Z82" s="37"/>
      <c r="AA82" s="202"/>
      <c r="AB82" s="202"/>
      <c r="AC82" s="202"/>
    </row>
    <row r="83" spans="1:68" ht="16.5" customHeight="1" x14ac:dyDescent="0.25">
      <c r="A83" s="209" t="s">
        <v>151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94"/>
      <c r="AB83" s="194"/>
      <c r="AC83" s="194"/>
    </row>
    <row r="84" spans="1:68" ht="14.25" customHeight="1" x14ac:dyDescent="0.25">
      <c r="A84" s="218" t="s">
        <v>142</v>
      </c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195"/>
      <c r="AB84" s="195"/>
      <c r="AC84" s="195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6">
        <v>4607111036407</v>
      </c>
      <c r="E85" s="207"/>
      <c r="F85" s="198">
        <v>0.3</v>
      </c>
      <c r="G85" s="32">
        <v>14</v>
      </c>
      <c r="H85" s="198">
        <v>4.2</v>
      </c>
      <c r="I85" s="198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4"/>
      <c r="R85" s="204"/>
      <c r="S85" s="204"/>
      <c r="T85" s="205"/>
      <c r="U85" s="34"/>
      <c r="V85" s="34"/>
      <c r="W85" s="35" t="s">
        <v>70</v>
      </c>
      <c r="X85" s="199">
        <v>0</v>
      </c>
      <c r="Y85" s="200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06">
        <v>4607111033628</v>
      </c>
      <c r="E86" s="207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2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4"/>
      <c r="R86" s="204"/>
      <c r="S86" s="204"/>
      <c r="T86" s="205"/>
      <c r="U86" s="34"/>
      <c r="V86" s="34"/>
      <c r="W86" s="35" t="s">
        <v>70</v>
      </c>
      <c r="X86" s="199">
        <v>0</v>
      </c>
      <c r="Y86" s="20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6">
        <v>4607111033451</v>
      </c>
      <c r="E87" s="207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70</v>
      </c>
      <c r="X87" s="199">
        <v>0</v>
      </c>
      <c r="Y87" s="200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158</v>
      </c>
      <c r="B88" s="54" t="s">
        <v>159</v>
      </c>
      <c r="C88" s="31">
        <v>4301135295</v>
      </c>
      <c r="D88" s="206">
        <v>4607111035141</v>
      </c>
      <c r="E88" s="207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70</v>
      </c>
      <c r="X88" s="199">
        <v>0</v>
      </c>
      <c r="Y88" s="200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6">
        <v>4607111033444</v>
      </c>
      <c r="E89" s="207"/>
      <c r="F89" s="198">
        <v>0.3</v>
      </c>
      <c r="G89" s="32">
        <v>12</v>
      </c>
      <c r="H89" s="198">
        <v>3.6</v>
      </c>
      <c r="I89" s="198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4"/>
      <c r="R89" s="204"/>
      <c r="S89" s="204"/>
      <c r="T89" s="205"/>
      <c r="U89" s="34"/>
      <c r="V89" s="34"/>
      <c r="W89" s="35" t="s">
        <v>70</v>
      </c>
      <c r="X89" s="199">
        <v>0</v>
      </c>
      <c r="Y89" s="200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t="27" customHeight="1" x14ac:dyDescent="0.25">
      <c r="A90" s="54" t="s">
        <v>162</v>
      </c>
      <c r="B90" s="54" t="s">
        <v>163</v>
      </c>
      <c r="C90" s="31">
        <v>4301135290</v>
      </c>
      <c r="D90" s="206">
        <v>4607111035028</v>
      </c>
      <c r="E90" s="207"/>
      <c r="F90" s="198">
        <v>0.48</v>
      </c>
      <c r="G90" s="32">
        <v>8</v>
      </c>
      <c r="H90" s="198">
        <v>3.84</v>
      </c>
      <c r="I90" s="198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4"/>
      <c r="R90" s="204"/>
      <c r="S90" s="204"/>
      <c r="T90" s="205"/>
      <c r="U90" s="34"/>
      <c r="V90" s="34"/>
      <c r="W90" s="35" t="s">
        <v>70</v>
      </c>
      <c r="X90" s="199">
        <v>0</v>
      </c>
      <c r="Y90" s="200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19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20"/>
      <c r="P91" s="213" t="s">
        <v>72</v>
      </c>
      <c r="Q91" s="214"/>
      <c r="R91" s="214"/>
      <c r="S91" s="214"/>
      <c r="T91" s="214"/>
      <c r="U91" s="214"/>
      <c r="V91" s="215"/>
      <c r="W91" s="37" t="s">
        <v>70</v>
      </c>
      <c r="X91" s="201">
        <f>IFERROR(SUM(X85:X90),"0")</f>
        <v>0</v>
      </c>
      <c r="Y91" s="201">
        <f>IFERROR(SUM(Y85:Y90),"0")</f>
        <v>0</v>
      </c>
      <c r="Z91" s="201">
        <f>IFERROR(IF(Z85="",0,Z85),"0")+IFERROR(IF(Z86="",0,Z86),"0")+IFERROR(IF(Z87="",0,Z87),"0")+IFERROR(IF(Z88="",0,Z88),"0")+IFERROR(IF(Z89="",0,Z89),"0")+IFERROR(IF(Z90="",0,Z90),"0")</f>
        <v>0</v>
      </c>
      <c r="AA91" s="202"/>
      <c r="AB91" s="202"/>
      <c r="AC91" s="202"/>
    </row>
    <row r="92" spans="1:68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20"/>
      <c r="P92" s="213" t="s">
        <v>72</v>
      </c>
      <c r="Q92" s="214"/>
      <c r="R92" s="214"/>
      <c r="S92" s="214"/>
      <c r="T92" s="214"/>
      <c r="U92" s="214"/>
      <c r="V92" s="215"/>
      <c r="W92" s="37" t="s">
        <v>73</v>
      </c>
      <c r="X92" s="201">
        <f>IFERROR(SUMPRODUCT(X85:X90*H85:H90),"0")</f>
        <v>0</v>
      </c>
      <c r="Y92" s="201">
        <f>IFERROR(SUMPRODUCT(Y85:Y90*H85:H90),"0")</f>
        <v>0</v>
      </c>
      <c r="Z92" s="37"/>
      <c r="AA92" s="202"/>
      <c r="AB92" s="202"/>
      <c r="AC92" s="202"/>
    </row>
    <row r="93" spans="1:68" ht="16.5" customHeight="1" x14ac:dyDescent="0.25">
      <c r="A93" s="209" t="s">
        <v>164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94"/>
      <c r="AB93" s="194"/>
      <c r="AC93" s="194"/>
    </row>
    <row r="94" spans="1:68" ht="14.25" customHeight="1" x14ac:dyDescent="0.25">
      <c r="A94" s="218" t="s">
        <v>165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195"/>
      <c r="AB94" s="195"/>
      <c r="AC94" s="195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6">
        <v>4607025784012</v>
      </c>
      <c r="E95" s="207"/>
      <c r="F95" s="198">
        <v>0.09</v>
      </c>
      <c r="G95" s="32">
        <v>24</v>
      </c>
      <c r="H95" s="198">
        <v>2.16</v>
      </c>
      <c r="I95" s="198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6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4"/>
      <c r="R95" s="204"/>
      <c r="S95" s="204"/>
      <c r="T95" s="205"/>
      <c r="U95" s="34"/>
      <c r="V95" s="34"/>
      <c r="W95" s="35" t="s">
        <v>70</v>
      </c>
      <c r="X95" s="199">
        <v>0</v>
      </c>
      <c r="Y95" s="200">
        <f>IFERROR(IF(X95="","",X95),"")</f>
        <v>0</v>
      </c>
      <c r="Z95" s="36">
        <f>IFERROR(IF(X95="","",X95*0.00936),"")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4301136040</v>
      </c>
      <c r="D96" s="206">
        <v>4607025784319</v>
      </c>
      <c r="E96" s="207"/>
      <c r="F96" s="198">
        <v>0.36</v>
      </c>
      <c r="G96" s="32">
        <v>10</v>
      </c>
      <c r="H96" s="198">
        <v>3.6</v>
      </c>
      <c r="I96" s="198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4"/>
      <c r="R96" s="204"/>
      <c r="S96" s="204"/>
      <c r="T96" s="205"/>
      <c r="U96" s="34"/>
      <c r="V96" s="34"/>
      <c r="W96" s="35" t="s">
        <v>70</v>
      </c>
      <c r="X96" s="199">
        <v>0</v>
      </c>
      <c r="Y96" s="200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customHeight="1" x14ac:dyDescent="0.25">
      <c r="A97" s="54" t="s">
        <v>170</v>
      </c>
      <c r="B97" s="54" t="s">
        <v>171</v>
      </c>
      <c r="C97" s="31">
        <v>4301136039</v>
      </c>
      <c r="D97" s="206">
        <v>4607111035370</v>
      </c>
      <c r="E97" s="207"/>
      <c r="F97" s="198">
        <v>0.14000000000000001</v>
      </c>
      <c r="G97" s="32">
        <v>22</v>
      </c>
      <c r="H97" s="198">
        <v>3.08</v>
      </c>
      <c r="I97" s="198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7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4"/>
      <c r="R97" s="204"/>
      <c r="S97" s="204"/>
      <c r="T97" s="205"/>
      <c r="U97" s="34"/>
      <c r="V97" s="34"/>
      <c r="W97" s="35" t="s">
        <v>70</v>
      </c>
      <c r="X97" s="199">
        <v>0</v>
      </c>
      <c r="Y97" s="200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19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20"/>
      <c r="P98" s="213" t="s">
        <v>72</v>
      </c>
      <c r="Q98" s="214"/>
      <c r="R98" s="214"/>
      <c r="S98" s="214"/>
      <c r="T98" s="214"/>
      <c r="U98" s="214"/>
      <c r="V98" s="215"/>
      <c r="W98" s="37" t="s">
        <v>70</v>
      </c>
      <c r="X98" s="201">
        <f>IFERROR(SUM(X95:X97),"0")</f>
        <v>0</v>
      </c>
      <c r="Y98" s="201">
        <f>IFERROR(SUM(Y95:Y97),"0")</f>
        <v>0</v>
      </c>
      <c r="Z98" s="201">
        <f>IFERROR(IF(Z95="",0,Z95),"0")+IFERROR(IF(Z96="",0,Z96),"0")+IFERROR(IF(Z97="",0,Z97),"0")</f>
        <v>0</v>
      </c>
      <c r="AA98" s="202"/>
      <c r="AB98" s="202"/>
      <c r="AC98" s="202"/>
    </row>
    <row r="99" spans="1:68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20"/>
      <c r="P99" s="213" t="s">
        <v>72</v>
      </c>
      <c r="Q99" s="214"/>
      <c r="R99" s="214"/>
      <c r="S99" s="214"/>
      <c r="T99" s="214"/>
      <c r="U99" s="214"/>
      <c r="V99" s="215"/>
      <c r="W99" s="37" t="s">
        <v>73</v>
      </c>
      <c r="X99" s="201">
        <f>IFERROR(SUMPRODUCT(X95:X97*H95:H97),"0")</f>
        <v>0</v>
      </c>
      <c r="Y99" s="201">
        <f>IFERROR(SUMPRODUCT(Y95:Y97*H95:H97),"0")</f>
        <v>0</v>
      </c>
      <c r="Z99" s="37"/>
      <c r="AA99" s="202"/>
      <c r="AB99" s="202"/>
      <c r="AC99" s="202"/>
    </row>
    <row r="100" spans="1:68" ht="16.5" customHeight="1" x14ac:dyDescent="0.25">
      <c r="A100" s="209" t="s">
        <v>172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94"/>
      <c r="AB100" s="194"/>
      <c r="AC100" s="194"/>
    </row>
    <row r="101" spans="1:68" ht="14.25" customHeight="1" x14ac:dyDescent="0.25">
      <c r="A101" s="218" t="s">
        <v>64</v>
      </c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195"/>
      <c r="AB101" s="195"/>
      <c r="AC101" s="195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06">
        <v>4607111033970</v>
      </c>
      <c r="E102" s="207"/>
      <c r="F102" s="198">
        <v>0.43</v>
      </c>
      <c r="G102" s="32">
        <v>16</v>
      </c>
      <c r="H102" s="198">
        <v>6.88</v>
      </c>
      <c r="I102" s="198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8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4"/>
      <c r="R102" s="204"/>
      <c r="S102" s="204"/>
      <c r="T102" s="205"/>
      <c r="U102" s="34"/>
      <c r="V102" s="34"/>
      <c r="W102" s="35" t="s">
        <v>70</v>
      </c>
      <c r="X102" s="199">
        <v>0</v>
      </c>
      <c r="Y102" s="200">
        <f t="shared" ref="Y102:Y110" si="12">IFERROR(IF(X102="","",X102),"")</f>
        <v>0</v>
      </c>
      <c r="Z102" s="36">
        <f t="shared" ref="Z102:Z110" si="13">IFERROR(IF(X102="","",X102*0.0155),"")</f>
        <v>0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0" si="14">IFERROR(X102*I102,"0")</f>
        <v>0</v>
      </c>
      <c r="BN102" s="67">
        <f t="shared" ref="BN102:BN110" si="15">IFERROR(Y102*I102,"0")</f>
        <v>0</v>
      </c>
      <c r="BO102" s="67">
        <f t="shared" ref="BO102:BO110" si="16">IFERROR(X102/J102,"0")</f>
        <v>0</v>
      </c>
      <c r="BP102" s="67">
        <f t="shared" ref="BP102:BP110" si="17">IFERROR(Y102/J102,"0")</f>
        <v>0</v>
      </c>
    </row>
    <row r="103" spans="1:68" ht="27" customHeight="1" x14ac:dyDescent="0.25">
      <c r="A103" s="54" t="s">
        <v>177</v>
      </c>
      <c r="B103" s="54" t="s">
        <v>178</v>
      </c>
      <c r="C103" s="31">
        <v>4301071051</v>
      </c>
      <c r="D103" s="206">
        <v>4607111039262</v>
      </c>
      <c r="E103" s="207"/>
      <c r="F103" s="198">
        <v>0.4</v>
      </c>
      <c r="G103" s="32">
        <v>16</v>
      </c>
      <c r="H103" s="198">
        <v>6.4</v>
      </c>
      <c r="I103" s="198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4"/>
      <c r="R103" s="204"/>
      <c r="S103" s="204"/>
      <c r="T103" s="205"/>
      <c r="U103" s="34"/>
      <c r="V103" s="34"/>
      <c r="W103" s="35" t="s">
        <v>70</v>
      </c>
      <c r="X103" s="199">
        <v>0</v>
      </c>
      <c r="Y103" s="20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6">
        <v>4607111034144</v>
      </c>
      <c r="E104" s="207"/>
      <c r="F104" s="198">
        <v>0.9</v>
      </c>
      <c r="G104" s="32">
        <v>8</v>
      </c>
      <c r="H104" s="198">
        <v>7.2</v>
      </c>
      <c r="I104" s="198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23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4"/>
      <c r="R104" s="204"/>
      <c r="S104" s="204"/>
      <c r="T104" s="205"/>
      <c r="U104" s="34"/>
      <c r="V104" s="34"/>
      <c r="W104" s="35" t="s">
        <v>70</v>
      </c>
      <c r="X104" s="199">
        <v>96</v>
      </c>
      <c r="Y104" s="200">
        <f t="shared" si="12"/>
        <v>96</v>
      </c>
      <c r="Z104" s="36">
        <f t="shared" si="13"/>
        <v>1.488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718.65599999999995</v>
      </c>
      <c r="BN104" s="67">
        <f t="shared" si="15"/>
        <v>718.65599999999995</v>
      </c>
      <c r="BO104" s="67">
        <f t="shared" si="16"/>
        <v>1.1428571428571428</v>
      </c>
      <c r="BP104" s="67">
        <f t="shared" si="17"/>
        <v>1.1428571428571428</v>
      </c>
    </row>
    <row r="105" spans="1:68" ht="27" customHeight="1" x14ac:dyDescent="0.25">
      <c r="A105" s="54" t="s">
        <v>183</v>
      </c>
      <c r="B105" s="54" t="s">
        <v>184</v>
      </c>
      <c r="C105" s="31">
        <v>4301071038</v>
      </c>
      <c r="D105" s="206">
        <v>4607111039248</v>
      </c>
      <c r="E105" s="207"/>
      <c r="F105" s="198">
        <v>0.7</v>
      </c>
      <c r="G105" s="32">
        <v>10</v>
      </c>
      <c r="H105" s="198">
        <v>7</v>
      </c>
      <c r="I105" s="198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7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4"/>
      <c r="R105" s="204"/>
      <c r="S105" s="204"/>
      <c r="T105" s="205"/>
      <c r="U105" s="34"/>
      <c r="V105" s="34"/>
      <c r="W105" s="35" t="s">
        <v>70</v>
      </c>
      <c r="X105" s="199">
        <v>0</v>
      </c>
      <c r="Y105" s="20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185</v>
      </c>
      <c r="B106" s="54" t="s">
        <v>186</v>
      </c>
      <c r="C106" s="31">
        <v>4301070973</v>
      </c>
      <c r="D106" s="206">
        <v>4607111033987</v>
      </c>
      <c r="E106" s="207"/>
      <c r="F106" s="198">
        <v>0.43</v>
      </c>
      <c r="G106" s="32">
        <v>16</v>
      </c>
      <c r="H106" s="198">
        <v>6.88</v>
      </c>
      <c r="I106" s="198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4"/>
      <c r="R106" s="204"/>
      <c r="S106" s="204"/>
      <c r="T106" s="205"/>
      <c r="U106" s="34"/>
      <c r="V106" s="34"/>
      <c r="W106" s="35" t="s">
        <v>70</v>
      </c>
      <c r="X106" s="199">
        <v>0</v>
      </c>
      <c r="Y106" s="200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187</v>
      </c>
      <c r="B107" s="54" t="s">
        <v>188</v>
      </c>
      <c r="C107" s="31">
        <v>4301071049</v>
      </c>
      <c r="D107" s="206">
        <v>4607111039293</v>
      </c>
      <c r="E107" s="207"/>
      <c r="F107" s="198">
        <v>0.4</v>
      </c>
      <c r="G107" s="32">
        <v>16</v>
      </c>
      <c r="H107" s="198">
        <v>6.4</v>
      </c>
      <c r="I107" s="198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4"/>
      <c r="R107" s="204"/>
      <c r="S107" s="204"/>
      <c r="T107" s="205"/>
      <c r="U107" s="34"/>
      <c r="V107" s="34"/>
      <c r="W107" s="35" t="s">
        <v>70</v>
      </c>
      <c r="X107" s="199">
        <v>0</v>
      </c>
      <c r="Y107" s="200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6">
        <v>4607111034151</v>
      </c>
      <c r="E108" s="207"/>
      <c r="F108" s="198">
        <v>0.9</v>
      </c>
      <c r="G108" s="32">
        <v>8</v>
      </c>
      <c r="H108" s="198">
        <v>7.2</v>
      </c>
      <c r="I108" s="198">
        <v>7.4859999999999998</v>
      </c>
      <c r="J108" s="32">
        <v>84</v>
      </c>
      <c r="K108" s="32" t="s">
        <v>67</v>
      </c>
      <c r="L108" s="32" t="s">
        <v>181</v>
      </c>
      <c r="M108" s="33" t="s">
        <v>69</v>
      </c>
      <c r="N108" s="33"/>
      <c r="O108" s="32">
        <v>180</v>
      </c>
      <c r="P108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4"/>
      <c r="R108" s="204"/>
      <c r="S108" s="204"/>
      <c r="T108" s="205"/>
      <c r="U108" s="34"/>
      <c r="V108" s="34"/>
      <c r="W108" s="35" t="s">
        <v>70</v>
      </c>
      <c r="X108" s="199">
        <v>108</v>
      </c>
      <c r="Y108" s="200">
        <f t="shared" si="12"/>
        <v>108</v>
      </c>
      <c r="Z108" s="36">
        <f t="shared" si="13"/>
        <v>1.6739999999999999</v>
      </c>
      <c r="AA108" s="56"/>
      <c r="AB108" s="57"/>
      <c r="AC108" s="68"/>
      <c r="AG108" s="67"/>
      <c r="AJ108" s="69" t="s">
        <v>182</v>
      </c>
      <c r="AK108" s="69">
        <v>84</v>
      </c>
      <c r="BB108" s="115" t="s">
        <v>1</v>
      </c>
      <c r="BM108" s="67">
        <f t="shared" si="14"/>
        <v>808.48799999999994</v>
      </c>
      <c r="BN108" s="67">
        <f t="shared" si="15"/>
        <v>808.48799999999994</v>
      </c>
      <c r="BO108" s="67">
        <f t="shared" si="16"/>
        <v>1.2857142857142858</v>
      </c>
      <c r="BP108" s="67">
        <f t="shared" si="17"/>
        <v>1.2857142857142858</v>
      </c>
    </row>
    <row r="109" spans="1:68" ht="27" customHeight="1" x14ac:dyDescent="0.25">
      <c r="A109" s="54" t="s">
        <v>191</v>
      </c>
      <c r="B109" s="54" t="s">
        <v>192</v>
      </c>
      <c r="C109" s="31">
        <v>4301071039</v>
      </c>
      <c r="D109" s="206">
        <v>4607111039279</v>
      </c>
      <c r="E109" s="207"/>
      <c r="F109" s="198">
        <v>0.7</v>
      </c>
      <c r="G109" s="32">
        <v>10</v>
      </c>
      <c r="H109" s="198">
        <v>7</v>
      </c>
      <c r="I109" s="198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4"/>
      <c r="R109" s="204"/>
      <c r="S109" s="204"/>
      <c r="T109" s="205"/>
      <c r="U109" s="34"/>
      <c r="V109" s="34"/>
      <c r="W109" s="35" t="s">
        <v>70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193</v>
      </c>
      <c r="B110" s="54" t="s">
        <v>194</v>
      </c>
      <c r="C110" s="31">
        <v>4301070945</v>
      </c>
      <c r="D110" s="206">
        <v>4607111037435</v>
      </c>
      <c r="E110" s="207"/>
      <c r="F110" s="198">
        <v>0.8</v>
      </c>
      <c r="G110" s="32">
        <v>8</v>
      </c>
      <c r="H110" s="198">
        <v>6.4</v>
      </c>
      <c r="I110" s="198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399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04"/>
      <c r="R110" s="204"/>
      <c r="S110" s="204"/>
      <c r="T110" s="205"/>
      <c r="U110" s="34"/>
      <c r="V110" s="34"/>
      <c r="W110" s="35" t="s">
        <v>70</v>
      </c>
      <c r="X110" s="199">
        <v>0</v>
      </c>
      <c r="Y110" s="200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219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20"/>
      <c r="P111" s="213" t="s">
        <v>72</v>
      </c>
      <c r="Q111" s="214"/>
      <c r="R111" s="214"/>
      <c r="S111" s="214"/>
      <c r="T111" s="214"/>
      <c r="U111" s="214"/>
      <c r="V111" s="215"/>
      <c r="W111" s="37" t="s">
        <v>70</v>
      </c>
      <c r="X111" s="201">
        <f>IFERROR(SUM(X102:X110),"0")</f>
        <v>204</v>
      </c>
      <c r="Y111" s="201">
        <f>IFERROR(SUM(Y102:Y110),"0")</f>
        <v>204</v>
      </c>
      <c r="Z111" s="201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3.1619999999999999</v>
      </c>
      <c r="AA111" s="202"/>
      <c r="AB111" s="202"/>
      <c r="AC111" s="202"/>
    </row>
    <row r="112" spans="1:68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20"/>
      <c r="P112" s="213" t="s">
        <v>72</v>
      </c>
      <c r="Q112" s="214"/>
      <c r="R112" s="214"/>
      <c r="S112" s="214"/>
      <c r="T112" s="214"/>
      <c r="U112" s="214"/>
      <c r="V112" s="215"/>
      <c r="W112" s="37" t="s">
        <v>73</v>
      </c>
      <c r="X112" s="201">
        <f>IFERROR(SUMPRODUCT(X102:X110*H102:H110),"0")</f>
        <v>1468.8000000000002</v>
      </c>
      <c r="Y112" s="201">
        <f>IFERROR(SUMPRODUCT(Y102:Y110*H102:H110),"0")</f>
        <v>1468.8000000000002</v>
      </c>
      <c r="Z112" s="37"/>
      <c r="AA112" s="202"/>
      <c r="AB112" s="202"/>
      <c r="AC112" s="202"/>
    </row>
    <row r="113" spans="1:68" ht="16.5" customHeight="1" x14ac:dyDescent="0.25">
      <c r="A113" s="209" t="s">
        <v>195</v>
      </c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194"/>
      <c r="AB113" s="194"/>
      <c r="AC113" s="194"/>
    </row>
    <row r="114" spans="1:68" ht="14.25" customHeight="1" x14ac:dyDescent="0.25">
      <c r="A114" s="218" t="s">
        <v>142</v>
      </c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195"/>
      <c r="AB114" s="195"/>
      <c r="AC114" s="195"/>
    </row>
    <row r="115" spans="1:68" ht="27" customHeight="1" x14ac:dyDescent="0.25">
      <c r="A115" s="54" t="s">
        <v>196</v>
      </c>
      <c r="B115" s="54" t="s">
        <v>197</v>
      </c>
      <c r="C115" s="31">
        <v>4301135289</v>
      </c>
      <c r="D115" s="206">
        <v>4607111034014</v>
      </c>
      <c r="E115" s="207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33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04"/>
      <c r="R115" s="204"/>
      <c r="S115" s="204"/>
      <c r="T115" s="205"/>
      <c r="U115" s="34"/>
      <c r="V115" s="34"/>
      <c r="W115" s="35" t="s">
        <v>70</v>
      </c>
      <c r="X115" s="199">
        <v>14</v>
      </c>
      <c r="Y115" s="200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51.850399999999993</v>
      </c>
      <c r="BN115" s="67">
        <f>IFERROR(Y115*I115,"0")</f>
        <v>51.850399999999993</v>
      </c>
      <c r="BO115" s="67">
        <f>IFERROR(X115/J115,"0")</f>
        <v>0.2</v>
      </c>
      <c r="BP115" s="67">
        <f>IFERROR(Y115/J115,"0")</f>
        <v>0.2</v>
      </c>
    </row>
    <row r="116" spans="1:68" ht="27" customHeight="1" x14ac:dyDescent="0.25">
      <c r="A116" s="54" t="s">
        <v>198</v>
      </c>
      <c r="B116" s="54" t="s">
        <v>199</v>
      </c>
      <c r="C116" s="31">
        <v>4301135299</v>
      </c>
      <c r="D116" s="206">
        <v>4607111033994</v>
      </c>
      <c r="E116" s="207"/>
      <c r="F116" s="198">
        <v>0.25</v>
      </c>
      <c r="G116" s="32">
        <v>12</v>
      </c>
      <c r="H116" s="198">
        <v>3</v>
      </c>
      <c r="I116" s="198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04"/>
      <c r="R116" s="204"/>
      <c r="S116" s="204"/>
      <c r="T116" s="205"/>
      <c r="U116" s="34"/>
      <c r="V116" s="34"/>
      <c r="W116" s="35" t="s">
        <v>70</v>
      </c>
      <c r="X116" s="199">
        <v>14</v>
      </c>
      <c r="Y116" s="200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51.850399999999993</v>
      </c>
      <c r="BN116" s="67">
        <f>IFERROR(Y116*I116,"0")</f>
        <v>51.850399999999993</v>
      </c>
      <c r="BO116" s="67">
        <f>IFERROR(X116/J116,"0")</f>
        <v>0.2</v>
      </c>
      <c r="BP116" s="67">
        <f>IFERROR(Y116/J116,"0")</f>
        <v>0.2</v>
      </c>
    </row>
    <row r="117" spans="1:68" x14ac:dyDescent="0.2">
      <c r="A117" s="219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20"/>
      <c r="P117" s="213" t="s">
        <v>72</v>
      </c>
      <c r="Q117" s="214"/>
      <c r="R117" s="214"/>
      <c r="S117" s="214"/>
      <c r="T117" s="214"/>
      <c r="U117" s="214"/>
      <c r="V117" s="215"/>
      <c r="W117" s="37" t="s">
        <v>70</v>
      </c>
      <c r="X117" s="201">
        <f>IFERROR(SUM(X115:X116),"0")</f>
        <v>28</v>
      </c>
      <c r="Y117" s="201">
        <f>IFERROR(SUM(Y115:Y116),"0")</f>
        <v>28</v>
      </c>
      <c r="Z117" s="201">
        <f>IFERROR(IF(Z115="",0,Z115),"0")+IFERROR(IF(Z116="",0,Z116),"0")</f>
        <v>0.50063999999999997</v>
      </c>
      <c r="AA117" s="202"/>
      <c r="AB117" s="202"/>
      <c r="AC117" s="202"/>
    </row>
    <row r="118" spans="1:68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20"/>
      <c r="P118" s="213" t="s">
        <v>72</v>
      </c>
      <c r="Q118" s="214"/>
      <c r="R118" s="214"/>
      <c r="S118" s="214"/>
      <c r="T118" s="214"/>
      <c r="U118" s="214"/>
      <c r="V118" s="215"/>
      <c r="W118" s="37" t="s">
        <v>73</v>
      </c>
      <c r="X118" s="201">
        <f>IFERROR(SUMPRODUCT(X115:X116*H115:H116),"0")</f>
        <v>84</v>
      </c>
      <c r="Y118" s="201">
        <f>IFERROR(SUMPRODUCT(Y115:Y116*H115:H116),"0")</f>
        <v>84</v>
      </c>
      <c r="Z118" s="37"/>
      <c r="AA118" s="202"/>
      <c r="AB118" s="202"/>
      <c r="AC118" s="202"/>
    </row>
    <row r="119" spans="1:68" ht="16.5" customHeight="1" x14ac:dyDescent="0.25">
      <c r="A119" s="209" t="s">
        <v>200</v>
      </c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194"/>
      <c r="AB119" s="194"/>
      <c r="AC119" s="194"/>
    </row>
    <row r="120" spans="1:68" ht="14.25" customHeight="1" x14ac:dyDescent="0.25">
      <c r="A120" s="218" t="s">
        <v>142</v>
      </c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195"/>
      <c r="AB120" s="195"/>
      <c r="AC120" s="195"/>
    </row>
    <row r="121" spans="1:68" ht="27" customHeight="1" x14ac:dyDescent="0.25">
      <c r="A121" s="54" t="s">
        <v>201</v>
      </c>
      <c r="B121" s="54" t="s">
        <v>202</v>
      </c>
      <c r="C121" s="31">
        <v>4301135311</v>
      </c>
      <c r="D121" s="206">
        <v>4607111039095</v>
      </c>
      <c r="E121" s="207"/>
      <c r="F121" s="198">
        <v>0.25</v>
      </c>
      <c r="G121" s="32">
        <v>12</v>
      </c>
      <c r="H121" s="198">
        <v>3</v>
      </c>
      <c r="I121" s="198">
        <v>3.7480000000000002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04"/>
      <c r="R121" s="204"/>
      <c r="S121" s="204"/>
      <c r="T121" s="205"/>
      <c r="U121" s="34"/>
      <c r="V121" s="34"/>
      <c r="W121" s="35" t="s">
        <v>70</v>
      </c>
      <c r="X121" s="199">
        <v>0</v>
      </c>
      <c r="Y121" s="200">
        <f>IFERROR(IF(X121="","",X121),"")</f>
        <v>0</v>
      </c>
      <c r="Z121" s="36">
        <f>IFERROR(IF(X121="","",X121*0.01788),"")</f>
        <v>0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203</v>
      </c>
      <c r="B122" s="54" t="s">
        <v>204</v>
      </c>
      <c r="C122" s="31">
        <v>4301135282</v>
      </c>
      <c r="D122" s="206">
        <v>4607111034199</v>
      </c>
      <c r="E122" s="207"/>
      <c r="F122" s="198">
        <v>0.25</v>
      </c>
      <c r="G122" s="32">
        <v>12</v>
      </c>
      <c r="H122" s="198">
        <v>3</v>
      </c>
      <c r="I122" s="198">
        <v>3.7035999999999998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1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04"/>
      <c r="R122" s="204"/>
      <c r="S122" s="204"/>
      <c r="T122" s="205"/>
      <c r="U122" s="34"/>
      <c r="V122" s="34"/>
      <c r="W122" s="35" t="s">
        <v>70</v>
      </c>
      <c r="X122" s="199">
        <v>0</v>
      </c>
      <c r="Y122" s="200">
        <f>IFERROR(IF(X122="","",X122),"")</f>
        <v>0</v>
      </c>
      <c r="Z122" s="36">
        <f>IFERROR(IF(X122="","",X122*0.01788),"")</f>
        <v>0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x14ac:dyDescent="0.2">
      <c r="A123" s="219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20"/>
      <c r="P123" s="213" t="s">
        <v>72</v>
      </c>
      <c r="Q123" s="214"/>
      <c r="R123" s="214"/>
      <c r="S123" s="214"/>
      <c r="T123" s="214"/>
      <c r="U123" s="214"/>
      <c r="V123" s="215"/>
      <c r="W123" s="37" t="s">
        <v>70</v>
      </c>
      <c r="X123" s="201">
        <f>IFERROR(SUM(X121:X122),"0")</f>
        <v>0</v>
      </c>
      <c r="Y123" s="201">
        <f>IFERROR(SUM(Y121:Y122),"0")</f>
        <v>0</v>
      </c>
      <c r="Z123" s="201">
        <f>IFERROR(IF(Z121="",0,Z121),"0")+IFERROR(IF(Z122="",0,Z122),"0")</f>
        <v>0</v>
      </c>
      <c r="AA123" s="202"/>
      <c r="AB123" s="202"/>
      <c r="AC123" s="202"/>
    </row>
    <row r="124" spans="1:68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20"/>
      <c r="P124" s="213" t="s">
        <v>72</v>
      </c>
      <c r="Q124" s="214"/>
      <c r="R124" s="214"/>
      <c r="S124" s="214"/>
      <c r="T124" s="214"/>
      <c r="U124" s="214"/>
      <c r="V124" s="215"/>
      <c r="W124" s="37" t="s">
        <v>73</v>
      </c>
      <c r="X124" s="201">
        <f>IFERROR(SUMPRODUCT(X121:X122*H121:H122),"0")</f>
        <v>0</v>
      </c>
      <c r="Y124" s="201">
        <f>IFERROR(SUMPRODUCT(Y121:Y122*H121:H122),"0")</f>
        <v>0</v>
      </c>
      <c r="Z124" s="37"/>
      <c r="AA124" s="202"/>
      <c r="AB124" s="202"/>
      <c r="AC124" s="202"/>
    </row>
    <row r="125" spans="1:68" ht="16.5" customHeight="1" x14ac:dyDescent="0.25">
      <c r="A125" s="209" t="s">
        <v>205</v>
      </c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194"/>
      <c r="AB125" s="194"/>
      <c r="AC125" s="194"/>
    </row>
    <row r="126" spans="1:68" ht="14.25" customHeight="1" x14ac:dyDescent="0.25">
      <c r="A126" s="218" t="s">
        <v>142</v>
      </c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195"/>
      <c r="AB126" s="195"/>
      <c r="AC126" s="195"/>
    </row>
    <row r="127" spans="1:68" ht="27" customHeight="1" x14ac:dyDescent="0.25">
      <c r="A127" s="54" t="s">
        <v>206</v>
      </c>
      <c r="B127" s="54" t="s">
        <v>207</v>
      </c>
      <c r="C127" s="31">
        <v>4301135178</v>
      </c>
      <c r="D127" s="206">
        <v>4607111034816</v>
      </c>
      <c r="E127" s="207"/>
      <c r="F127" s="198">
        <v>0.25</v>
      </c>
      <c r="G127" s="32">
        <v>6</v>
      </c>
      <c r="H127" s="198">
        <v>1.5</v>
      </c>
      <c r="I127" s="198">
        <v>1.9218</v>
      </c>
      <c r="J127" s="32">
        <v>126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04"/>
      <c r="R127" s="204"/>
      <c r="S127" s="204"/>
      <c r="T127" s="205"/>
      <c r="U127" s="34"/>
      <c r="V127" s="34"/>
      <c r="W127" s="35" t="s">
        <v>70</v>
      </c>
      <c r="X127" s="199">
        <v>0</v>
      </c>
      <c r="Y127" s="200">
        <f>IFERROR(IF(X127="","",X127),"")</f>
        <v>0</v>
      </c>
      <c r="Z127" s="36">
        <f>IFERROR(IF(X127="","",X127*0.00936),"")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208</v>
      </c>
      <c r="B128" s="54" t="s">
        <v>209</v>
      </c>
      <c r="C128" s="31">
        <v>4301135275</v>
      </c>
      <c r="D128" s="206">
        <v>4607111034380</v>
      </c>
      <c r="E128" s="207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04"/>
      <c r="R128" s="204"/>
      <c r="S128" s="204"/>
      <c r="T128" s="205"/>
      <c r="U128" s="34"/>
      <c r="V128" s="34"/>
      <c r="W128" s="35" t="s">
        <v>70</v>
      </c>
      <c r="X128" s="199">
        <v>0</v>
      </c>
      <c r="Y128" s="20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4301135277</v>
      </c>
      <c r="D129" s="206">
        <v>4607111034397</v>
      </c>
      <c r="E129" s="207"/>
      <c r="F129" s="198">
        <v>0.25</v>
      </c>
      <c r="G129" s="32">
        <v>12</v>
      </c>
      <c r="H129" s="198">
        <v>3</v>
      </c>
      <c r="I129" s="198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04"/>
      <c r="R129" s="204"/>
      <c r="S129" s="204"/>
      <c r="T129" s="205"/>
      <c r="U129" s="34"/>
      <c r="V129" s="34"/>
      <c r="W129" s="35" t="s">
        <v>70</v>
      </c>
      <c r="X129" s="199">
        <v>0</v>
      </c>
      <c r="Y129" s="200">
        <f>IFERROR(IF(X129="","",X129),"")</f>
        <v>0</v>
      </c>
      <c r="Z129" s="36">
        <f>IFERROR(IF(X129="","",X129*0.01788),"")</f>
        <v>0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219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20"/>
      <c r="P130" s="213" t="s">
        <v>72</v>
      </c>
      <c r="Q130" s="214"/>
      <c r="R130" s="214"/>
      <c r="S130" s="214"/>
      <c r="T130" s="214"/>
      <c r="U130" s="214"/>
      <c r="V130" s="215"/>
      <c r="W130" s="37" t="s">
        <v>70</v>
      </c>
      <c r="X130" s="201">
        <f>IFERROR(SUM(X127:X129),"0")</f>
        <v>0</v>
      </c>
      <c r="Y130" s="201">
        <f>IFERROR(SUM(Y127:Y129),"0")</f>
        <v>0</v>
      </c>
      <c r="Z130" s="201">
        <f>IFERROR(IF(Z127="",0,Z127),"0")+IFERROR(IF(Z128="",0,Z128),"0")+IFERROR(IF(Z129="",0,Z129),"0")</f>
        <v>0</v>
      </c>
      <c r="AA130" s="202"/>
      <c r="AB130" s="202"/>
      <c r="AC130" s="202"/>
    </row>
    <row r="131" spans="1:68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20"/>
      <c r="P131" s="213" t="s">
        <v>72</v>
      </c>
      <c r="Q131" s="214"/>
      <c r="R131" s="214"/>
      <c r="S131" s="214"/>
      <c r="T131" s="214"/>
      <c r="U131" s="214"/>
      <c r="V131" s="215"/>
      <c r="W131" s="37" t="s">
        <v>73</v>
      </c>
      <c r="X131" s="201">
        <f>IFERROR(SUMPRODUCT(X127:X129*H127:H129),"0")</f>
        <v>0</v>
      </c>
      <c r="Y131" s="201">
        <f>IFERROR(SUMPRODUCT(Y127:Y129*H127:H129),"0")</f>
        <v>0</v>
      </c>
      <c r="Z131" s="37"/>
      <c r="AA131" s="202"/>
      <c r="AB131" s="202"/>
      <c r="AC131" s="202"/>
    </row>
    <row r="132" spans="1:68" ht="16.5" customHeight="1" x14ac:dyDescent="0.25">
      <c r="A132" s="209" t="s">
        <v>212</v>
      </c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  <c r="AA132" s="194"/>
      <c r="AB132" s="194"/>
      <c r="AC132" s="194"/>
    </row>
    <row r="133" spans="1:68" ht="14.25" customHeight="1" x14ac:dyDescent="0.25">
      <c r="A133" s="218" t="s">
        <v>142</v>
      </c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195"/>
      <c r="AB133" s="195"/>
      <c r="AC133" s="195"/>
    </row>
    <row r="134" spans="1:68" ht="27" customHeight="1" x14ac:dyDescent="0.25">
      <c r="A134" s="54" t="s">
        <v>213</v>
      </c>
      <c r="B134" s="54" t="s">
        <v>214</v>
      </c>
      <c r="C134" s="31">
        <v>4301135279</v>
      </c>
      <c r="D134" s="206">
        <v>4607111035806</v>
      </c>
      <c r="E134" s="207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79</v>
      </c>
      <c r="L134" s="32" t="s">
        <v>68</v>
      </c>
      <c r="M134" s="33" t="s">
        <v>69</v>
      </c>
      <c r="N134" s="33"/>
      <c r="O134" s="32">
        <v>180</v>
      </c>
      <c r="P134" s="40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04"/>
      <c r="R134" s="204"/>
      <c r="S134" s="204"/>
      <c r="T134" s="205"/>
      <c r="U134" s="34"/>
      <c r="V134" s="34"/>
      <c r="W134" s="35" t="s">
        <v>70</v>
      </c>
      <c r="X134" s="199">
        <v>0</v>
      </c>
      <c r="Y134" s="200">
        <f>IFERROR(IF(X134="","",X134),"")</f>
        <v>0</v>
      </c>
      <c r="Z134" s="36">
        <f>IFERROR(IF(X134="","",X134*0.01788),"")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5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219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20"/>
      <c r="P135" s="213" t="s">
        <v>72</v>
      </c>
      <c r="Q135" s="214"/>
      <c r="R135" s="214"/>
      <c r="S135" s="214"/>
      <c r="T135" s="214"/>
      <c r="U135" s="214"/>
      <c r="V135" s="215"/>
      <c r="W135" s="37" t="s">
        <v>70</v>
      </c>
      <c r="X135" s="201">
        <f>IFERROR(SUM(X134:X134),"0")</f>
        <v>0</v>
      </c>
      <c r="Y135" s="201">
        <f>IFERROR(SUM(Y134:Y134),"0")</f>
        <v>0</v>
      </c>
      <c r="Z135" s="201">
        <f>IFERROR(IF(Z134="",0,Z134),"0")</f>
        <v>0</v>
      </c>
      <c r="AA135" s="202"/>
      <c r="AB135" s="202"/>
      <c r="AC135" s="202"/>
    </row>
    <row r="136" spans="1:68" x14ac:dyDescent="0.2">
      <c r="A136" s="210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20"/>
      <c r="P136" s="213" t="s">
        <v>72</v>
      </c>
      <c r="Q136" s="214"/>
      <c r="R136" s="214"/>
      <c r="S136" s="214"/>
      <c r="T136" s="214"/>
      <c r="U136" s="214"/>
      <c r="V136" s="215"/>
      <c r="W136" s="37" t="s">
        <v>73</v>
      </c>
      <c r="X136" s="201">
        <f>IFERROR(SUMPRODUCT(X134:X134*H134:H134),"0")</f>
        <v>0</v>
      </c>
      <c r="Y136" s="201">
        <f>IFERROR(SUMPRODUCT(Y134:Y134*H134:H134),"0")</f>
        <v>0</v>
      </c>
      <c r="Z136" s="37"/>
      <c r="AA136" s="202"/>
      <c r="AB136" s="202"/>
      <c r="AC136" s="202"/>
    </row>
    <row r="137" spans="1:68" ht="16.5" customHeight="1" x14ac:dyDescent="0.25">
      <c r="A137" s="209" t="s">
        <v>215</v>
      </c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  <c r="AA137" s="194"/>
      <c r="AB137" s="194"/>
      <c r="AC137" s="194"/>
    </row>
    <row r="138" spans="1:68" ht="14.25" customHeight="1" x14ac:dyDescent="0.25">
      <c r="A138" s="218" t="s">
        <v>216</v>
      </c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195"/>
      <c r="AB138" s="195"/>
      <c r="AC138" s="195"/>
    </row>
    <row r="139" spans="1:68" ht="27" customHeight="1" x14ac:dyDescent="0.25">
      <c r="A139" s="54" t="s">
        <v>217</v>
      </c>
      <c r="B139" s="54" t="s">
        <v>218</v>
      </c>
      <c r="C139" s="31">
        <v>4301071054</v>
      </c>
      <c r="D139" s="206">
        <v>4607111035639</v>
      </c>
      <c r="E139" s="207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219</v>
      </c>
      <c r="L139" s="32" t="s">
        <v>68</v>
      </c>
      <c r="M139" s="33" t="s">
        <v>69</v>
      </c>
      <c r="N139" s="33"/>
      <c r="O139" s="32">
        <v>180</v>
      </c>
      <c r="P139" s="378" t="s">
        <v>220</v>
      </c>
      <c r="Q139" s="204"/>
      <c r="R139" s="204"/>
      <c r="S139" s="204"/>
      <c r="T139" s="205"/>
      <c r="U139" s="34"/>
      <c r="V139" s="34"/>
      <c r="W139" s="35" t="s">
        <v>70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221</v>
      </c>
      <c r="B140" s="54" t="s">
        <v>222</v>
      </c>
      <c r="C140" s="31">
        <v>4301135540</v>
      </c>
      <c r="D140" s="206">
        <v>4607111035646</v>
      </c>
      <c r="E140" s="207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219</v>
      </c>
      <c r="L140" s="32" t="s">
        <v>68</v>
      </c>
      <c r="M140" s="33" t="s">
        <v>69</v>
      </c>
      <c r="N140" s="33"/>
      <c r="O140" s="32">
        <v>180</v>
      </c>
      <c r="P140" s="3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04"/>
      <c r="R140" s="204"/>
      <c r="S140" s="204"/>
      <c r="T140" s="205"/>
      <c r="U140" s="34"/>
      <c r="V140" s="34"/>
      <c r="W140" s="35" t="s">
        <v>70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19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20"/>
      <c r="P141" s="213" t="s">
        <v>72</v>
      </c>
      <c r="Q141" s="214"/>
      <c r="R141" s="214"/>
      <c r="S141" s="214"/>
      <c r="T141" s="214"/>
      <c r="U141" s="214"/>
      <c r="V141" s="215"/>
      <c r="W141" s="37" t="s">
        <v>70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20"/>
      <c r="P142" s="213" t="s">
        <v>72</v>
      </c>
      <c r="Q142" s="214"/>
      <c r="R142" s="214"/>
      <c r="S142" s="214"/>
      <c r="T142" s="214"/>
      <c r="U142" s="214"/>
      <c r="V142" s="215"/>
      <c r="W142" s="37" t="s">
        <v>73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customHeight="1" x14ac:dyDescent="0.25">
      <c r="A143" s="209" t="s">
        <v>223</v>
      </c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194"/>
      <c r="AB143" s="194"/>
      <c r="AC143" s="194"/>
    </row>
    <row r="144" spans="1:68" ht="14.25" customHeight="1" x14ac:dyDescent="0.25">
      <c r="A144" s="218" t="s">
        <v>142</v>
      </c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195"/>
      <c r="AB144" s="195"/>
      <c r="AC144" s="195"/>
    </row>
    <row r="145" spans="1:68" ht="27" customHeight="1" x14ac:dyDescent="0.25">
      <c r="A145" s="54" t="s">
        <v>224</v>
      </c>
      <c r="B145" s="54" t="s">
        <v>225</v>
      </c>
      <c r="C145" s="31">
        <v>4301135281</v>
      </c>
      <c r="D145" s="206">
        <v>4607111036568</v>
      </c>
      <c r="E145" s="207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126</v>
      </c>
      <c r="K145" s="32" t="s">
        <v>79</v>
      </c>
      <c r="L145" s="32" t="s">
        <v>68</v>
      </c>
      <c r="M145" s="33" t="s">
        <v>69</v>
      </c>
      <c r="N145" s="33"/>
      <c r="O145" s="32">
        <v>180</v>
      </c>
      <c r="P145" s="24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04"/>
      <c r="R145" s="204"/>
      <c r="S145" s="204"/>
      <c r="T145" s="205"/>
      <c r="U145" s="34"/>
      <c r="V145" s="34"/>
      <c r="W145" s="35" t="s">
        <v>70</v>
      </c>
      <c r="X145" s="199">
        <v>0</v>
      </c>
      <c r="Y145" s="200">
        <f>IFERROR(IF(X145="","",X145),"")</f>
        <v>0</v>
      </c>
      <c r="Z145" s="36">
        <f>IFERROR(IF(X145="","",X145*0.00936),"")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8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9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0"/>
      <c r="O146" s="220"/>
      <c r="P146" s="213" t="s">
        <v>72</v>
      </c>
      <c r="Q146" s="214"/>
      <c r="R146" s="214"/>
      <c r="S146" s="214"/>
      <c r="T146" s="214"/>
      <c r="U146" s="214"/>
      <c r="V146" s="215"/>
      <c r="W146" s="37" t="s">
        <v>70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x14ac:dyDescent="0.2">
      <c r="A147" s="210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20"/>
      <c r="P147" s="213" t="s">
        <v>72</v>
      </c>
      <c r="Q147" s="214"/>
      <c r="R147" s="214"/>
      <c r="S147" s="214"/>
      <c r="T147" s="214"/>
      <c r="U147" s="214"/>
      <c r="V147" s="215"/>
      <c r="W147" s="37" t="s">
        <v>73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customHeight="1" x14ac:dyDescent="0.2">
      <c r="A148" s="273" t="s">
        <v>226</v>
      </c>
      <c r="B148" s="274"/>
      <c r="C148" s="274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4"/>
      <c r="T148" s="274"/>
      <c r="U148" s="274"/>
      <c r="V148" s="274"/>
      <c r="W148" s="274"/>
      <c r="X148" s="274"/>
      <c r="Y148" s="274"/>
      <c r="Z148" s="274"/>
      <c r="AA148" s="48"/>
      <c r="AB148" s="48"/>
      <c r="AC148" s="48"/>
    </row>
    <row r="149" spans="1:68" ht="16.5" customHeight="1" x14ac:dyDescent="0.25">
      <c r="A149" s="209" t="s">
        <v>227</v>
      </c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  <c r="AA149" s="194"/>
      <c r="AB149" s="194"/>
      <c r="AC149" s="194"/>
    </row>
    <row r="150" spans="1:68" ht="14.25" customHeight="1" x14ac:dyDescent="0.25">
      <c r="A150" s="218" t="s">
        <v>142</v>
      </c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195"/>
      <c r="AB150" s="195"/>
      <c r="AC150" s="195"/>
    </row>
    <row r="151" spans="1:68" ht="27" customHeight="1" x14ac:dyDescent="0.25">
      <c r="A151" s="54" t="s">
        <v>228</v>
      </c>
      <c r="B151" s="54" t="s">
        <v>229</v>
      </c>
      <c r="C151" s="31">
        <v>4301135679</v>
      </c>
      <c r="D151" s="206">
        <v>4620207490372</v>
      </c>
      <c r="E151" s="207"/>
      <c r="F151" s="198">
        <v>5.5</v>
      </c>
      <c r="G151" s="32">
        <v>1</v>
      </c>
      <c r="H151" s="198">
        <v>5.5</v>
      </c>
      <c r="I151" s="198">
        <v>5.7350000000000003</v>
      </c>
      <c r="J151" s="32">
        <v>84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413" t="s">
        <v>230</v>
      </c>
      <c r="Q151" s="204"/>
      <c r="R151" s="204"/>
      <c r="S151" s="204"/>
      <c r="T151" s="205"/>
      <c r="U151" s="34"/>
      <c r="V151" s="34"/>
      <c r="W151" s="35" t="s">
        <v>70</v>
      </c>
      <c r="X151" s="199">
        <v>0</v>
      </c>
      <c r="Y151" s="200">
        <f>IFERROR(IF(X151="","",X151),"")</f>
        <v>0</v>
      </c>
      <c r="Z151" s="36">
        <f>IFERROR(IF(X151="","",X151*0.0155),"")</f>
        <v>0</v>
      </c>
      <c r="AA151" s="56"/>
      <c r="AB151" s="57" t="s">
        <v>110</v>
      </c>
      <c r="AC151" s="68"/>
      <c r="AG151" s="67"/>
      <c r="AJ151" s="69" t="s">
        <v>71</v>
      </c>
      <c r="AK151" s="69">
        <v>1</v>
      </c>
      <c r="BB151" s="129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231</v>
      </c>
      <c r="B152" s="54" t="s">
        <v>232</v>
      </c>
      <c r="C152" s="31">
        <v>4301135317</v>
      </c>
      <c r="D152" s="206">
        <v>4607111039057</v>
      </c>
      <c r="E152" s="207"/>
      <c r="F152" s="198">
        <v>1.8</v>
      </c>
      <c r="G152" s="32">
        <v>1</v>
      </c>
      <c r="H152" s="198">
        <v>1.8</v>
      </c>
      <c r="I152" s="198">
        <v>1.9</v>
      </c>
      <c r="J152" s="32">
        <v>234</v>
      </c>
      <c r="K152" s="32" t="s">
        <v>138</v>
      </c>
      <c r="L152" s="32" t="s">
        <v>68</v>
      </c>
      <c r="M152" s="33" t="s">
        <v>69</v>
      </c>
      <c r="N152" s="33"/>
      <c r="O152" s="32">
        <v>180</v>
      </c>
      <c r="P152" s="231" t="s">
        <v>233</v>
      </c>
      <c r="Q152" s="204"/>
      <c r="R152" s="204"/>
      <c r="S152" s="204"/>
      <c r="T152" s="205"/>
      <c r="U152" s="34"/>
      <c r="V152" s="34"/>
      <c r="W152" s="35" t="s">
        <v>70</v>
      </c>
      <c r="X152" s="199">
        <v>0</v>
      </c>
      <c r="Y152" s="200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19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20"/>
      <c r="P153" s="213" t="s">
        <v>72</v>
      </c>
      <c r="Q153" s="214"/>
      <c r="R153" s="214"/>
      <c r="S153" s="214"/>
      <c r="T153" s="214"/>
      <c r="U153" s="214"/>
      <c r="V153" s="215"/>
      <c r="W153" s="37" t="s">
        <v>70</v>
      </c>
      <c r="X153" s="201">
        <f>IFERROR(SUM(X151:X152),"0")</f>
        <v>0</v>
      </c>
      <c r="Y153" s="201">
        <f>IFERROR(SUM(Y151:Y152),"0")</f>
        <v>0</v>
      </c>
      <c r="Z153" s="201">
        <f>IFERROR(IF(Z151="",0,Z151),"0")+IFERROR(IF(Z152="",0,Z152),"0")</f>
        <v>0</v>
      </c>
      <c r="AA153" s="202"/>
      <c r="AB153" s="202"/>
      <c r="AC153" s="202"/>
    </row>
    <row r="154" spans="1:68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20"/>
      <c r="P154" s="213" t="s">
        <v>72</v>
      </c>
      <c r="Q154" s="214"/>
      <c r="R154" s="214"/>
      <c r="S154" s="214"/>
      <c r="T154" s="214"/>
      <c r="U154" s="214"/>
      <c r="V154" s="215"/>
      <c r="W154" s="37" t="s">
        <v>73</v>
      </c>
      <c r="X154" s="201">
        <f>IFERROR(SUMPRODUCT(X151:X152*H151:H152),"0")</f>
        <v>0</v>
      </c>
      <c r="Y154" s="201">
        <f>IFERROR(SUMPRODUCT(Y151:Y152*H151:H152),"0")</f>
        <v>0</v>
      </c>
      <c r="Z154" s="37"/>
      <c r="AA154" s="202"/>
      <c r="AB154" s="202"/>
      <c r="AC154" s="202"/>
    </row>
    <row r="155" spans="1:68" ht="16.5" customHeight="1" x14ac:dyDescent="0.25">
      <c r="A155" s="209" t="s">
        <v>234</v>
      </c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  <c r="AA155" s="194"/>
      <c r="AB155" s="194"/>
      <c r="AC155" s="194"/>
    </row>
    <row r="156" spans="1:68" ht="14.25" customHeight="1" x14ac:dyDescent="0.25">
      <c r="A156" s="218" t="s">
        <v>64</v>
      </c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195"/>
      <c r="AB156" s="195"/>
      <c r="AC156" s="195"/>
    </row>
    <row r="157" spans="1:68" ht="16.5" customHeight="1" x14ac:dyDescent="0.25">
      <c r="A157" s="54" t="s">
        <v>235</v>
      </c>
      <c r="B157" s="54" t="s">
        <v>236</v>
      </c>
      <c r="C157" s="31">
        <v>4301071062</v>
      </c>
      <c r="D157" s="206">
        <v>4607111036384</v>
      </c>
      <c r="E157" s="207"/>
      <c r="F157" s="198">
        <v>5</v>
      </c>
      <c r="G157" s="32">
        <v>1</v>
      </c>
      <c r="H157" s="198">
        <v>5</v>
      </c>
      <c r="I157" s="198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2" t="s">
        <v>237</v>
      </c>
      <c r="Q157" s="204"/>
      <c r="R157" s="204"/>
      <c r="S157" s="204"/>
      <c r="T157" s="205"/>
      <c r="U157" s="34"/>
      <c r="V157" s="34"/>
      <c r="W157" s="35" t="s">
        <v>70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238</v>
      </c>
      <c r="B158" s="54" t="s">
        <v>239</v>
      </c>
      <c r="C158" s="31">
        <v>4301070956</v>
      </c>
      <c r="D158" s="206">
        <v>4640242180250</v>
      </c>
      <c r="E158" s="207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62" t="s">
        <v>240</v>
      </c>
      <c r="Q158" s="204"/>
      <c r="R158" s="204"/>
      <c r="S158" s="204"/>
      <c r="T158" s="205"/>
      <c r="U158" s="34"/>
      <c r="V158" s="34"/>
      <c r="W158" s="35" t="s">
        <v>70</v>
      </c>
      <c r="X158" s="199">
        <v>0</v>
      </c>
      <c r="Y158" s="20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241</v>
      </c>
      <c r="B159" s="54" t="s">
        <v>242</v>
      </c>
      <c r="C159" s="31">
        <v>4301071028</v>
      </c>
      <c r="D159" s="206">
        <v>4607111036216</v>
      </c>
      <c r="E159" s="207"/>
      <c r="F159" s="198">
        <v>1</v>
      </c>
      <c r="G159" s="32">
        <v>5</v>
      </c>
      <c r="H159" s="198">
        <v>5</v>
      </c>
      <c r="I159" s="198">
        <v>5.266</v>
      </c>
      <c r="J159" s="32">
        <v>144</v>
      </c>
      <c r="K159" s="32" t="s">
        <v>67</v>
      </c>
      <c r="L159" s="32" t="s">
        <v>181</v>
      </c>
      <c r="M159" s="33" t="s">
        <v>69</v>
      </c>
      <c r="N159" s="33"/>
      <c r="O159" s="32">
        <v>180</v>
      </c>
      <c r="P159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04"/>
      <c r="R159" s="204"/>
      <c r="S159" s="204"/>
      <c r="T159" s="205"/>
      <c r="U159" s="34"/>
      <c r="V159" s="34"/>
      <c r="W159" s="35" t="s">
        <v>70</v>
      </c>
      <c r="X159" s="199">
        <v>168</v>
      </c>
      <c r="Y159" s="200">
        <f>IFERROR(IF(X159="","",X159),"")</f>
        <v>168</v>
      </c>
      <c r="Z159" s="36">
        <f>IFERROR(IF(X159="","",X159*0.00866),"")</f>
        <v>1.45488</v>
      </c>
      <c r="AA159" s="56"/>
      <c r="AB159" s="57"/>
      <c r="AC159" s="68"/>
      <c r="AG159" s="67"/>
      <c r="AJ159" s="69" t="s">
        <v>182</v>
      </c>
      <c r="AK159" s="69">
        <v>144</v>
      </c>
      <c r="BB159" s="133" t="s">
        <v>1</v>
      </c>
      <c r="BM159" s="67">
        <f>IFERROR(X159*I159,"0")</f>
        <v>884.68799999999999</v>
      </c>
      <c r="BN159" s="67">
        <f>IFERROR(Y159*I159,"0")</f>
        <v>884.68799999999999</v>
      </c>
      <c r="BO159" s="67">
        <f>IFERROR(X159/J159,"0")</f>
        <v>1.1666666666666667</v>
      </c>
      <c r="BP159" s="67">
        <f>IFERROR(Y159/J159,"0")</f>
        <v>1.1666666666666667</v>
      </c>
    </row>
    <row r="160" spans="1:68" ht="27" customHeight="1" x14ac:dyDescent="0.25">
      <c r="A160" s="54" t="s">
        <v>243</v>
      </c>
      <c r="B160" s="54" t="s">
        <v>244</v>
      </c>
      <c r="C160" s="31">
        <v>4301071027</v>
      </c>
      <c r="D160" s="206">
        <v>4607111036278</v>
      </c>
      <c r="E160" s="207"/>
      <c r="F160" s="198">
        <v>1</v>
      </c>
      <c r="G160" s="32">
        <v>5</v>
      </c>
      <c r="H160" s="198">
        <v>5</v>
      </c>
      <c r="I160" s="198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41" t="s">
        <v>245</v>
      </c>
      <c r="Q160" s="204"/>
      <c r="R160" s="204"/>
      <c r="S160" s="204"/>
      <c r="T160" s="205"/>
      <c r="U160" s="34"/>
      <c r="V160" s="34"/>
      <c r="W160" s="35" t="s">
        <v>70</v>
      </c>
      <c r="X160" s="199">
        <v>0</v>
      </c>
      <c r="Y160" s="200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9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210"/>
      <c r="N161" s="210"/>
      <c r="O161" s="220"/>
      <c r="P161" s="213" t="s">
        <v>72</v>
      </c>
      <c r="Q161" s="214"/>
      <c r="R161" s="214"/>
      <c r="S161" s="214"/>
      <c r="T161" s="214"/>
      <c r="U161" s="214"/>
      <c r="V161" s="215"/>
      <c r="W161" s="37" t="s">
        <v>70</v>
      </c>
      <c r="X161" s="201">
        <f>IFERROR(SUM(X157:X160),"0")</f>
        <v>168</v>
      </c>
      <c r="Y161" s="201">
        <f>IFERROR(SUM(Y157:Y160),"0")</f>
        <v>168</v>
      </c>
      <c r="Z161" s="201">
        <f>IFERROR(IF(Z157="",0,Z157),"0")+IFERROR(IF(Z158="",0,Z158),"0")+IFERROR(IF(Z159="",0,Z159),"0")+IFERROR(IF(Z160="",0,Z160),"0")</f>
        <v>1.45488</v>
      </c>
      <c r="AA161" s="202"/>
      <c r="AB161" s="202"/>
      <c r="AC161" s="202"/>
    </row>
    <row r="162" spans="1:68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20"/>
      <c r="P162" s="213" t="s">
        <v>72</v>
      </c>
      <c r="Q162" s="214"/>
      <c r="R162" s="214"/>
      <c r="S162" s="214"/>
      <c r="T162" s="214"/>
      <c r="U162" s="214"/>
      <c r="V162" s="215"/>
      <c r="W162" s="37" t="s">
        <v>73</v>
      </c>
      <c r="X162" s="201">
        <f>IFERROR(SUMPRODUCT(X157:X160*H157:H160),"0")</f>
        <v>840</v>
      </c>
      <c r="Y162" s="201">
        <f>IFERROR(SUMPRODUCT(Y157:Y160*H157:H160),"0")</f>
        <v>840</v>
      </c>
      <c r="Z162" s="37"/>
      <c r="AA162" s="202"/>
      <c r="AB162" s="202"/>
      <c r="AC162" s="202"/>
    </row>
    <row r="163" spans="1:68" ht="14.25" customHeight="1" x14ac:dyDescent="0.25">
      <c r="A163" s="218" t="s">
        <v>246</v>
      </c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  <c r="AA163" s="195"/>
      <c r="AB163" s="195"/>
      <c r="AC163" s="195"/>
    </row>
    <row r="164" spans="1:68" ht="27" customHeight="1" x14ac:dyDescent="0.25">
      <c r="A164" s="54" t="s">
        <v>247</v>
      </c>
      <c r="B164" s="54" t="s">
        <v>248</v>
      </c>
      <c r="C164" s="31">
        <v>4301080153</v>
      </c>
      <c r="D164" s="206">
        <v>4607111036827</v>
      </c>
      <c r="E164" s="207"/>
      <c r="F164" s="198">
        <v>1</v>
      </c>
      <c r="G164" s="32">
        <v>5</v>
      </c>
      <c r="H164" s="198">
        <v>5</v>
      </c>
      <c r="I164" s="198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04"/>
      <c r="R164" s="204"/>
      <c r="S164" s="204"/>
      <c r="T164" s="205"/>
      <c r="U164" s="34"/>
      <c r="V164" s="34"/>
      <c r="W164" s="35" t="s">
        <v>70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249</v>
      </c>
      <c r="B165" s="54" t="s">
        <v>250</v>
      </c>
      <c r="C165" s="31">
        <v>4301080154</v>
      </c>
      <c r="D165" s="206">
        <v>4607111036834</v>
      </c>
      <c r="E165" s="207"/>
      <c r="F165" s="198">
        <v>1</v>
      </c>
      <c r="G165" s="32">
        <v>5</v>
      </c>
      <c r="H165" s="198">
        <v>5</v>
      </c>
      <c r="I165" s="198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04"/>
      <c r="R165" s="204"/>
      <c r="S165" s="204"/>
      <c r="T165" s="205"/>
      <c r="U165" s="34"/>
      <c r="V165" s="34"/>
      <c r="W165" s="35" t="s">
        <v>70</v>
      </c>
      <c r="X165" s="199">
        <v>0</v>
      </c>
      <c r="Y165" s="200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219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20"/>
      <c r="P166" s="213" t="s">
        <v>72</v>
      </c>
      <c r="Q166" s="214"/>
      <c r="R166" s="214"/>
      <c r="S166" s="214"/>
      <c r="T166" s="214"/>
      <c r="U166" s="214"/>
      <c r="V166" s="215"/>
      <c r="W166" s="37" t="s">
        <v>70</v>
      </c>
      <c r="X166" s="201">
        <f>IFERROR(SUM(X164:X165),"0")</f>
        <v>0</v>
      </c>
      <c r="Y166" s="201">
        <f>IFERROR(SUM(Y164:Y165),"0")</f>
        <v>0</v>
      </c>
      <c r="Z166" s="201">
        <f>IFERROR(IF(Z164="",0,Z164),"0")+IFERROR(IF(Z165="",0,Z165),"0")</f>
        <v>0</v>
      </c>
      <c r="AA166" s="202"/>
      <c r="AB166" s="202"/>
      <c r="AC166" s="202"/>
    </row>
    <row r="167" spans="1:68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20"/>
      <c r="P167" s="213" t="s">
        <v>72</v>
      </c>
      <c r="Q167" s="214"/>
      <c r="R167" s="214"/>
      <c r="S167" s="214"/>
      <c r="T167" s="214"/>
      <c r="U167" s="214"/>
      <c r="V167" s="215"/>
      <c r="W167" s="37" t="s">
        <v>73</v>
      </c>
      <c r="X167" s="201">
        <f>IFERROR(SUMPRODUCT(X164:X165*H164:H165),"0")</f>
        <v>0</v>
      </c>
      <c r="Y167" s="201">
        <f>IFERROR(SUMPRODUCT(Y164:Y165*H164:H165),"0")</f>
        <v>0</v>
      </c>
      <c r="Z167" s="37"/>
      <c r="AA167" s="202"/>
      <c r="AB167" s="202"/>
      <c r="AC167" s="202"/>
    </row>
    <row r="168" spans="1:68" ht="27.75" customHeight="1" x14ac:dyDescent="0.2">
      <c r="A168" s="273" t="s">
        <v>251</v>
      </c>
      <c r="B168" s="274"/>
      <c r="C168" s="274"/>
      <c r="D168" s="274"/>
      <c r="E168" s="274"/>
      <c r="F168" s="274"/>
      <c r="G168" s="274"/>
      <c r="H168" s="274"/>
      <c r="I168" s="274"/>
      <c r="J168" s="274"/>
      <c r="K168" s="274"/>
      <c r="L168" s="274"/>
      <c r="M168" s="274"/>
      <c r="N168" s="274"/>
      <c r="O168" s="274"/>
      <c r="P168" s="274"/>
      <c r="Q168" s="274"/>
      <c r="R168" s="274"/>
      <c r="S168" s="274"/>
      <c r="T168" s="274"/>
      <c r="U168" s="274"/>
      <c r="V168" s="274"/>
      <c r="W168" s="274"/>
      <c r="X168" s="274"/>
      <c r="Y168" s="274"/>
      <c r="Z168" s="274"/>
      <c r="AA168" s="48"/>
      <c r="AB168" s="48"/>
      <c r="AC168" s="48"/>
    </row>
    <row r="169" spans="1:68" ht="16.5" customHeight="1" x14ac:dyDescent="0.25">
      <c r="A169" s="209" t="s">
        <v>252</v>
      </c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210"/>
      <c r="N169" s="210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  <c r="AA169" s="194"/>
      <c r="AB169" s="194"/>
      <c r="AC169" s="194"/>
    </row>
    <row r="170" spans="1:68" ht="14.25" customHeight="1" x14ac:dyDescent="0.25">
      <c r="A170" s="218" t="s">
        <v>76</v>
      </c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  <c r="AA170" s="195"/>
      <c r="AB170" s="195"/>
      <c r="AC170" s="195"/>
    </row>
    <row r="171" spans="1:68" ht="27" customHeight="1" x14ac:dyDescent="0.25">
      <c r="A171" s="54" t="s">
        <v>253</v>
      </c>
      <c r="B171" s="54" t="s">
        <v>254</v>
      </c>
      <c r="C171" s="31">
        <v>4301132097</v>
      </c>
      <c r="D171" s="206">
        <v>4607111035721</v>
      </c>
      <c r="E171" s="207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6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04"/>
      <c r="R171" s="204"/>
      <c r="S171" s="204"/>
      <c r="T171" s="205"/>
      <c r="U171" s="34"/>
      <c r="V171" s="34"/>
      <c r="W171" s="35" t="s">
        <v>70</v>
      </c>
      <c r="X171" s="199">
        <v>0</v>
      </c>
      <c r="Y171" s="200">
        <f>IFERROR(IF(X171="","",X171),"")</f>
        <v>0</v>
      </c>
      <c r="Z171" s="36">
        <f>IFERROR(IF(X171="","",X171*0.01788),"")</f>
        <v>0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255</v>
      </c>
      <c r="B172" s="54" t="s">
        <v>256</v>
      </c>
      <c r="C172" s="31">
        <v>4301132100</v>
      </c>
      <c r="D172" s="206">
        <v>4607111035691</v>
      </c>
      <c r="E172" s="207"/>
      <c r="F172" s="198">
        <v>0.25</v>
      </c>
      <c r="G172" s="32">
        <v>12</v>
      </c>
      <c r="H172" s="198">
        <v>3</v>
      </c>
      <c r="I172" s="198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04"/>
      <c r="R172" s="204"/>
      <c r="S172" s="204"/>
      <c r="T172" s="205"/>
      <c r="U172" s="34"/>
      <c r="V172" s="34"/>
      <c r="W172" s="35" t="s">
        <v>70</v>
      </c>
      <c r="X172" s="199">
        <v>0</v>
      </c>
      <c r="Y172" s="200">
        <f>IFERROR(IF(X172="","",X172),"")</f>
        <v>0</v>
      </c>
      <c r="Z172" s="36">
        <f>IFERROR(IF(X172="","",X172*0.01788),"")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4301132079</v>
      </c>
      <c r="D173" s="206">
        <v>4607111038487</v>
      </c>
      <c r="E173" s="207"/>
      <c r="F173" s="198">
        <v>0.25</v>
      </c>
      <c r="G173" s="32">
        <v>12</v>
      </c>
      <c r="H173" s="198">
        <v>3</v>
      </c>
      <c r="I173" s="198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5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04"/>
      <c r="R173" s="204"/>
      <c r="S173" s="204"/>
      <c r="T173" s="205"/>
      <c r="U173" s="34"/>
      <c r="V173" s="34"/>
      <c r="W173" s="35" t="s">
        <v>70</v>
      </c>
      <c r="X173" s="199">
        <v>0</v>
      </c>
      <c r="Y173" s="200">
        <f>IFERROR(IF(X173="","",X173),"")</f>
        <v>0</v>
      </c>
      <c r="Z173" s="36">
        <f>IFERROR(IF(X173="","",X173*0.01788),"")</f>
        <v>0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219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20"/>
      <c r="P174" s="213" t="s">
        <v>72</v>
      </c>
      <c r="Q174" s="214"/>
      <c r="R174" s="214"/>
      <c r="S174" s="214"/>
      <c r="T174" s="214"/>
      <c r="U174" s="214"/>
      <c r="V174" s="215"/>
      <c r="W174" s="37" t="s">
        <v>70</v>
      </c>
      <c r="X174" s="201">
        <f>IFERROR(SUM(X171:X173),"0")</f>
        <v>0</v>
      </c>
      <c r="Y174" s="201">
        <f>IFERROR(SUM(Y171:Y173),"0")</f>
        <v>0</v>
      </c>
      <c r="Z174" s="201">
        <f>IFERROR(IF(Z171="",0,Z171),"0")+IFERROR(IF(Z172="",0,Z172),"0")+IFERROR(IF(Z173="",0,Z173),"0")</f>
        <v>0</v>
      </c>
      <c r="AA174" s="202"/>
      <c r="AB174" s="202"/>
      <c r="AC174" s="202"/>
    </row>
    <row r="175" spans="1:68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20"/>
      <c r="P175" s="213" t="s">
        <v>72</v>
      </c>
      <c r="Q175" s="214"/>
      <c r="R175" s="214"/>
      <c r="S175" s="214"/>
      <c r="T175" s="214"/>
      <c r="U175" s="214"/>
      <c r="V175" s="215"/>
      <c r="W175" s="37" t="s">
        <v>73</v>
      </c>
      <c r="X175" s="201">
        <f>IFERROR(SUMPRODUCT(X171:X173*H171:H173),"0")</f>
        <v>0</v>
      </c>
      <c r="Y175" s="201">
        <f>IFERROR(SUMPRODUCT(Y171:Y173*H171:H173),"0")</f>
        <v>0</v>
      </c>
      <c r="Z175" s="37"/>
      <c r="AA175" s="202"/>
      <c r="AB175" s="202"/>
      <c r="AC175" s="202"/>
    </row>
    <row r="176" spans="1:68" ht="14.25" customHeight="1" x14ac:dyDescent="0.25">
      <c r="A176" s="218" t="s">
        <v>259</v>
      </c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  <c r="AA176" s="195"/>
      <c r="AB176" s="195"/>
      <c r="AC176" s="195"/>
    </row>
    <row r="177" spans="1:68" ht="27" customHeight="1" x14ac:dyDescent="0.25">
      <c r="A177" s="54" t="s">
        <v>260</v>
      </c>
      <c r="B177" s="54" t="s">
        <v>261</v>
      </c>
      <c r="C177" s="31">
        <v>4301051319</v>
      </c>
      <c r="D177" s="206">
        <v>4680115881204</v>
      </c>
      <c r="E177" s="207"/>
      <c r="F177" s="198">
        <v>0.33</v>
      </c>
      <c r="G177" s="32">
        <v>6</v>
      </c>
      <c r="H177" s="198">
        <v>1.98</v>
      </c>
      <c r="I177" s="198">
        <v>2.246</v>
      </c>
      <c r="J177" s="32">
        <v>156</v>
      </c>
      <c r="K177" s="32" t="s">
        <v>67</v>
      </c>
      <c r="L177" s="32" t="s">
        <v>68</v>
      </c>
      <c r="M177" s="33" t="s">
        <v>262</v>
      </c>
      <c r="N177" s="33"/>
      <c r="O177" s="32">
        <v>365</v>
      </c>
      <c r="P177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04"/>
      <c r="R177" s="204"/>
      <c r="S177" s="204"/>
      <c r="T177" s="205"/>
      <c r="U177" s="34"/>
      <c r="V177" s="34"/>
      <c r="W177" s="35" t="s">
        <v>70</v>
      </c>
      <c r="X177" s="199">
        <v>0</v>
      </c>
      <c r="Y177" s="200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19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20"/>
      <c r="P178" s="213" t="s">
        <v>72</v>
      </c>
      <c r="Q178" s="214"/>
      <c r="R178" s="214"/>
      <c r="S178" s="214"/>
      <c r="T178" s="214"/>
      <c r="U178" s="214"/>
      <c r="V178" s="215"/>
      <c r="W178" s="37" t="s">
        <v>70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20"/>
      <c r="P179" s="213" t="s">
        <v>72</v>
      </c>
      <c r="Q179" s="214"/>
      <c r="R179" s="214"/>
      <c r="S179" s="214"/>
      <c r="T179" s="214"/>
      <c r="U179" s="214"/>
      <c r="V179" s="215"/>
      <c r="W179" s="37" t="s">
        <v>73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27.75" customHeight="1" x14ac:dyDescent="0.2">
      <c r="A180" s="273" t="s">
        <v>264</v>
      </c>
      <c r="B180" s="274"/>
      <c r="C180" s="274"/>
      <c r="D180" s="274"/>
      <c r="E180" s="274"/>
      <c r="F180" s="274"/>
      <c r="G180" s="274"/>
      <c r="H180" s="274"/>
      <c r="I180" s="274"/>
      <c r="J180" s="274"/>
      <c r="K180" s="274"/>
      <c r="L180" s="274"/>
      <c r="M180" s="274"/>
      <c r="N180" s="274"/>
      <c r="O180" s="274"/>
      <c r="P180" s="274"/>
      <c r="Q180" s="274"/>
      <c r="R180" s="274"/>
      <c r="S180" s="274"/>
      <c r="T180" s="274"/>
      <c r="U180" s="274"/>
      <c r="V180" s="274"/>
      <c r="W180" s="274"/>
      <c r="X180" s="274"/>
      <c r="Y180" s="274"/>
      <c r="Z180" s="274"/>
      <c r="AA180" s="48"/>
      <c r="AB180" s="48"/>
      <c r="AC180" s="48"/>
    </row>
    <row r="181" spans="1:68" ht="16.5" customHeight="1" x14ac:dyDescent="0.25">
      <c r="A181" s="209" t="s">
        <v>265</v>
      </c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  <c r="AA181" s="194"/>
      <c r="AB181" s="194"/>
      <c r="AC181" s="194"/>
    </row>
    <row r="182" spans="1:68" ht="14.25" customHeight="1" x14ac:dyDescent="0.25">
      <c r="A182" s="218" t="s">
        <v>64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195"/>
      <c r="AB182" s="195"/>
      <c r="AC182" s="195"/>
    </row>
    <row r="183" spans="1:68" ht="16.5" customHeight="1" x14ac:dyDescent="0.25">
      <c r="A183" s="54" t="s">
        <v>266</v>
      </c>
      <c r="B183" s="54" t="s">
        <v>267</v>
      </c>
      <c r="C183" s="31">
        <v>4301070948</v>
      </c>
      <c r="D183" s="206">
        <v>4607111037022</v>
      </c>
      <c r="E183" s="207"/>
      <c r="F183" s="198">
        <v>0.7</v>
      </c>
      <c r="G183" s="32">
        <v>8</v>
      </c>
      <c r="H183" s="198">
        <v>5.6</v>
      </c>
      <c r="I183" s="198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4"/>
      <c r="R183" s="204"/>
      <c r="S183" s="204"/>
      <c r="T183" s="205"/>
      <c r="U183" s="34"/>
      <c r="V183" s="34"/>
      <c r="W183" s="35" t="s">
        <v>70</v>
      </c>
      <c r="X183" s="199">
        <v>60</v>
      </c>
      <c r="Y183" s="200">
        <f>IFERROR(IF(X183="","",X183),"")</f>
        <v>60</v>
      </c>
      <c r="Z183" s="36">
        <f>IFERROR(IF(X183="","",X183*0.0155),"")</f>
        <v>0.92999999999999994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352.2</v>
      </c>
      <c r="BN183" s="67">
        <f>IFERROR(Y183*I183,"0")</f>
        <v>352.2</v>
      </c>
      <c r="BO183" s="67">
        <f>IFERROR(X183/J183,"0")</f>
        <v>0.7142857142857143</v>
      </c>
      <c r="BP183" s="67">
        <f>IFERROR(Y183/J183,"0")</f>
        <v>0.7142857142857143</v>
      </c>
    </row>
    <row r="184" spans="1:68" ht="27" customHeight="1" x14ac:dyDescent="0.25">
      <c r="A184" s="54" t="s">
        <v>268</v>
      </c>
      <c r="B184" s="54" t="s">
        <v>269</v>
      </c>
      <c r="C184" s="31">
        <v>4301070990</v>
      </c>
      <c r="D184" s="206">
        <v>4607111038494</v>
      </c>
      <c r="E184" s="207"/>
      <c r="F184" s="198">
        <v>0.7</v>
      </c>
      <c r="G184" s="32">
        <v>8</v>
      </c>
      <c r="H184" s="198">
        <v>5.6</v>
      </c>
      <c r="I184" s="198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4"/>
      <c r="R184" s="204"/>
      <c r="S184" s="204"/>
      <c r="T184" s="205"/>
      <c r="U184" s="34"/>
      <c r="V184" s="34"/>
      <c r="W184" s="35" t="s">
        <v>70</v>
      </c>
      <c r="X184" s="199">
        <v>0</v>
      </c>
      <c r="Y184" s="200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270</v>
      </c>
      <c r="B185" s="54" t="s">
        <v>271</v>
      </c>
      <c r="C185" s="31">
        <v>4301070966</v>
      </c>
      <c r="D185" s="206">
        <v>4607111038135</v>
      </c>
      <c r="E185" s="207"/>
      <c r="F185" s="198">
        <v>0.7</v>
      </c>
      <c r="G185" s="32">
        <v>8</v>
      </c>
      <c r="H185" s="198">
        <v>5.6</v>
      </c>
      <c r="I185" s="198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1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4"/>
      <c r="R185" s="204"/>
      <c r="S185" s="204"/>
      <c r="T185" s="205"/>
      <c r="U185" s="34"/>
      <c r="V185" s="34"/>
      <c r="W185" s="35" t="s">
        <v>70</v>
      </c>
      <c r="X185" s="199">
        <v>0</v>
      </c>
      <c r="Y185" s="200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9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20"/>
      <c r="P186" s="213" t="s">
        <v>72</v>
      </c>
      <c r="Q186" s="214"/>
      <c r="R186" s="214"/>
      <c r="S186" s="214"/>
      <c r="T186" s="214"/>
      <c r="U186" s="214"/>
      <c r="V186" s="215"/>
      <c r="W186" s="37" t="s">
        <v>70</v>
      </c>
      <c r="X186" s="201">
        <f>IFERROR(SUM(X183:X185),"0")</f>
        <v>60</v>
      </c>
      <c r="Y186" s="201">
        <f>IFERROR(SUM(Y183:Y185),"0")</f>
        <v>60</v>
      </c>
      <c r="Z186" s="201">
        <f>IFERROR(IF(Z183="",0,Z183),"0")+IFERROR(IF(Z184="",0,Z184),"0")+IFERROR(IF(Z185="",0,Z185),"0")</f>
        <v>0.92999999999999994</v>
      </c>
      <c r="AA186" s="202"/>
      <c r="AB186" s="202"/>
      <c r="AC186" s="202"/>
    </row>
    <row r="187" spans="1:68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20"/>
      <c r="P187" s="213" t="s">
        <v>72</v>
      </c>
      <c r="Q187" s="214"/>
      <c r="R187" s="214"/>
      <c r="S187" s="214"/>
      <c r="T187" s="214"/>
      <c r="U187" s="214"/>
      <c r="V187" s="215"/>
      <c r="W187" s="37" t="s">
        <v>73</v>
      </c>
      <c r="X187" s="201">
        <f>IFERROR(SUMPRODUCT(X183:X185*H183:H185),"0")</f>
        <v>336</v>
      </c>
      <c r="Y187" s="201">
        <f>IFERROR(SUMPRODUCT(Y183:Y185*H183:H185),"0")</f>
        <v>336</v>
      </c>
      <c r="Z187" s="37"/>
      <c r="AA187" s="202"/>
      <c r="AB187" s="202"/>
      <c r="AC187" s="202"/>
    </row>
    <row r="188" spans="1:68" ht="16.5" customHeight="1" x14ac:dyDescent="0.25">
      <c r="A188" s="209" t="s">
        <v>272</v>
      </c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194"/>
      <c r="AB188" s="194"/>
      <c r="AC188" s="194"/>
    </row>
    <row r="189" spans="1:68" ht="14.25" customHeight="1" x14ac:dyDescent="0.25">
      <c r="A189" s="218" t="s">
        <v>64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195"/>
      <c r="AB189" s="195"/>
      <c r="AC189" s="195"/>
    </row>
    <row r="190" spans="1:68" ht="27" customHeight="1" x14ac:dyDescent="0.25">
      <c r="A190" s="54" t="s">
        <v>273</v>
      </c>
      <c r="B190" s="54" t="s">
        <v>274</v>
      </c>
      <c r="C190" s="31">
        <v>4301070996</v>
      </c>
      <c r="D190" s="206">
        <v>4607111038654</v>
      </c>
      <c r="E190" s="207"/>
      <c r="F190" s="198">
        <v>0.4</v>
      </c>
      <c r="G190" s="32">
        <v>16</v>
      </c>
      <c r="H190" s="198">
        <v>6.4</v>
      </c>
      <c r="I190" s="198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4"/>
      <c r="R190" s="204"/>
      <c r="S190" s="204"/>
      <c r="T190" s="205"/>
      <c r="U190" s="34"/>
      <c r="V190" s="34"/>
      <c r="W190" s="35" t="s">
        <v>70</v>
      </c>
      <c r="X190" s="199">
        <v>0</v>
      </c>
      <c r="Y190" s="200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275</v>
      </c>
      <c r="B191" s="54" t="s">
        <v>276</v>
      </c>
      <c r="C191" s="31">
        <v>4301070997</v>
      </c>
      <c r="D191" s="206">
        <v>4607111038586</v>
      </c>
      <c r="E191" s="207"/>
      <c r="F191" s="198">
        <v>0.7</v>
      </c>
      <c r="G191" s="32">
        <v>8</v>
      </c>
      <c r="H191" s="198">
        <v>5.6</v>
      </c>
      <c r="I191" s="198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4"/>
      <c r="R191" s="204"/>
      <c r="S191" s="204"/>
      <c r="T191" s="205"/>
      <c r="U191" s="34"/>
      <c r="V191" s="34"/>
      <c r="W191" s="35" t="s">
        <v>70</v>
      </c>
      <c r="X191" s="199">
        <v>24</v>
      </c>
      <c r="Y191" s="200">
        <f t="shared" si="18"/>
        <v>24</v>
      </c>
      <c r="Z191" s="36">
        <f t="shared" si="19"/>
        <v>0.372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139.92000000000002</v>
      </c>
      <c r="BN191" s="67">
        <f t="shared" si="21"/>
        <v>139.92000000000002</v>
      </c>
      <c r="BO191" s="67">
        <f t="shared" si="22"/>
        <v>0.2857142857142857</v>
      </c>
      <c r="BP191" s="67">
        <f t="shared" si="23"/>
        <v>0.2857142857142857</v>
      </c>
    </row>
    <row r="192" spans="1:68" ht="27" customHeight="1" x14ac:dyDescent="0.25">
      <c r="A192" s="54" t="s">
        <v>277</v>
      </c>
      <c r="B192" s="54" t="s">
        <v>278</v>
      </c>
      <c r="C192" s="31">
        <v>4301070962</v>
      </c>
      <c r="D192" s="206">
        <v>4607111038609</v>
      </c>
      <c r="E192" s="207"/>
      <c r="F192" s="198">
        <v>0.4</v>
      </c>
      <c r="G192" s="32">
        <v>16</v>
      </c>
      <c r="H192" s="198">
        <v>6.4</v>
      </c>
      <c r="I192" s="198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4"/>
      <c r="R192" s="204"/>
      <c r="S192" s="204"/>
      <c r="T192" s="205"/>
      <c r="U192" s="34"/>
      <c r="V192" s="34"/>
      <c r="W192" s="35" t="s">
        <v>70</v>
      </c>
      <c r="X192" s="199">
        <v>0</v>
      </c>
      <c r="Y192" s="200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4301070963</v>
      </c>
      <c r="D193" s="206">
        <v>4607111038630</v>
      </c>
      <c r="E193" s="207"/>
      <c r="F193" s="198">
        <v>0.7</v>
      </c>
      <c r="G193" s="32">
        <v>8</v>
      </c>
      <c r="H193" s="198">
        <v>5.6</v>
      </c>
      <c r="I193" s="198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4"/>
      <c r="R193" s="204"/>
      <c r="S193" s="204"/>
      <c r="T193" s="205"/>
      <c r="U193" s="34"/>
      <c r="V193" s="34"/>
      <c r="W193" s="35" t="s">
        <v>70</v>
      </c>
      <c r="X193" s="199">
        <v>0</v>
      </c>
      <c r="Y193" s="200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4301070959</v>
      </c>
      <c r="D194" s="206">
        <v>4607111038616</v>
      </c>
      <c r="E194" s="207"/>
      <c r="F194" s="198">
        <v>0.4</v>
      </c>
      <c r="G194" s="32">
        <v>16</v>
      </c>
      <c r="H194" s="198">
        <v>6.4</v>
      </c>
      <c r="I194" s="198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4"/>
      <c r="R194" s="204"/>
      <c r="S194" s="204"/>
      <c r="T194" s="205"/>
      <c r="U194" s="34"/>
      <c r="V194" s="34"/>
      <c r="W194" s="35" t="s">
        <v>70</v>
      </c>
      <c r="X194" s="199">
        <v>0</v>
      </c>
      <c r="Y194" s="200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4301070960</v>
      </c>
      <c r="D195" s="206">
        <v>4607111038623</v>
      </c>
      <c r="E195" s="207"/>
      <c r="F195" s="198">
        <v>0.7</v>
      </c>
      <c r="G195" s="32">
        <v>8</v>
      </c>
      <c r="H195" s="198">
        <v>5.6</v>
      </c>
      <c r="I195" s="198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70</v>
      </c>
      <c r="X195" s="199">
        <v>12</v>
      </c>
      <c r="Y195" s="200">
        <f t="shared" si="18"/>
        <v>12</v>
      </c>
      <c r="Z195" s="36">
        <f t="shared" si="19"/>
        <v>0.186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x14ac:dyDescent="0.2">
      <c r="A196" s="219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20"/>
      <c r="P196" s="213" t="s">
        <v>72</v>
      </c>
      <c r="Q196" s="214"/>
      <c r="R196" s="214"/>
      <c r="S196" s="214"/>
      <c r="T196" s="214"/>
      <c r="U196" s="214"/>
      <c r="V196" s="215"/>
      <c r="W196" s="37" t="s">
        <v>70</v>
      </c>
      <c r="X196" s="201">
        <f>IFERROR(SUM(X190:X195),"0")</f>
        <v>36</v>
      </c>
      <c r="Y196" s="201">
        <f>IFERROR(SUM(Y190:Y195),"0")</f>
        <v>36</v>
      </c>
      <c r="Z196" s="201">
        <f>IFERROR(IF(Z190="",0,Z190),"0")+IFERROR(IF(Z191="",0,Z191),"0")+IFERROR(IF(Z192="",0,Z192),"0")+IFERROR(IF(Z193="",0,Z193),"0")+IFERROR(IF(Z194="",0,Z194),"0")+IFERROR(IF(Z195="",0,Z195),"0")</f>
        <v>0.55800000000000005</v>
      </c>
      <c r="AA196" s="202"/>
      <c r="AB196" s="202"/>
      <c r="AC196" s="202"/>
    </row>
    <row r="197" spans="1:68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20"/>
      <c r="P197" s="213" t="s">
        <v>72</v>
      </c>
      <c r="Q197" s="214"/>
      <c r="R197" s="214"/>
      <c r="S197" s="214"/>
      <c r="T197" s="214"/>
      <c r="U197" s="214"/>
      <c r="V197" s="215"/>
      <c r="W197" s="37" t="s">
        <v>73</v>
      </c>
      <c r="X197" s="201">
        <f>IFERROR(SUMPRODUCT(X190:X195*H190:H195),"0")</f>
        <v>201.59999999999997</v>
      </c>
      <c r="Y197" s="201">
        <f>IFERROR(SUMPRODUCT(Y190:Y195*H190:H195),"0")</f>
        <v>201.59999999999997</v>
      </c>
      <c r="Z197" s="37"/>
      <c r="AA197" s="202"/>
      <c r="AB197" s="202"/>
      <c r="AC197" s="202"/>
    </row>
    <row r="198" spans="1:68" ht="16.5" customHeight="1" x14ac:dyDescent="0.25">
      <c r="A198" s="209" t="s">
        <v>285</v>
      </c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194"/>
      <c r="AB198" s="194"/>
      <c r="AC198" s="194"/>
    </row>
    <row r="199" spans="1:68" ht="14.25" customHeight="1" x14ac:dyDescent="0.25">
      <c r="A199" s="218" t="s">
        <v>64</v>
      </c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195"/>
      <c r="AB199" s="195"/>
      <c r="AC199" s="195"/>
    </row>
    <row r="200" spans="1:68" ht="27" customHeight="1" x14ac:dyDescent="0.25">
      <c r="A200" s="54" t="s">
        <v>286</v>
      </c>
      <c r="B200" s="54" t="s">
        <v>287</v>
      </c>
      <c r="C200" s="31">
        <v>4301070915</v>
      </c>
      <c r="D200" s="206">
        <v>4607111035882</v>
      </c>
      <c r="E200" s="207"/>
      <c r="F200" s="198">
        <v>0.43</v>
      </c>
      <c r="G200" s="32">
        <v>16</v>
      </c>
      <c r="H200" s="198">
        <v>6.88</v>
      </c>
      <c r="I200" s="198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4"/>
      <c r="R200" s="204"/>
      <c r="S200" s="204"/>
      <c r="T200" s="205"/>
      <c r="U200" s="34"/>
      <c r="V200" s="34"/>
      <c r="W200" s="35" t="s">
        <v>70</v>
      </c>
      <c r="X200" s="199">
        <v>0</v>
      </c>
      <c r="Y200" s="200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4301070921</v>
      </c>
      <c r="D201" s="206">
        <v>4607111035905</v>
      </c>
      <c r="E201" s="207"/>
      <c r="F201" s="198">
        <v>0.9</v>
      </c>
      <c r="G201" s="32">
        <v>8</v>
      </c>
      <c r="H201" s="198">
        <v>7.2</v>
      </c>
      <c r="I201" s="198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4"/>
      <c r="R201" s="204"/>
      <c r="S201" s="204"/>
      <c r="T201" s="205"/>
      <c r="U201" s="34"/>
      <c r="V201" s="34"/>
      <c r="W201" s="35" t="s">
        <v>70</v>
      </c>
      <c r="X201" s="199">
        <v>0</v>
      </c>
      <c r="Y201" s="20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4301070917</v>
      </c>
      <c r="D202" s="206">
        <v>4607111035912</v>
      </c>
      <c r="E202" s="207"/>
      <c r="F202" s="198">
        <v>0.43</v>
      </c>
      <c r="G202" s="32">
        <v>16</v>
      </c>
      <c r="H202" s="198">
        <v>6.88</v>
      </c>
      <c r="I202" s="198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4"/>
      <c r="R202" s="204"/>
      <c r="S202" s="204"/>
      <c r="T202" s="205"/>
      <c r="U202" s="34"/>
      <c r="V202" s="34"/>
      <c r="W202" s="35" t="s">
        <v>70</v>
      </c>
      <c r="X202" s="199">
        <v>0</v>
      </c>
      <c r="Y202" s="20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4301070920</v>
      </c>
      <c r="D203" s="206">
        <v>4607111035929</v>
      </c>
      <c r="E203" s="207"/>
      <c r="F203" s="198">
        <v>0.9</v>
      </c>
      <c r="G203" s="32">
        <v>8</v>
      </c>
      <c r="H203" s="198">
        <v>7.2</v>
      </c>
      <c r="I203" s="198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4"/>
      <c r="R203" s="204"/>
      <c r="S203" s="204"/>
      <c r="T203" s="205"/>
      <c r="U203" s="34"/>
      <c r="V203" s="34"/>
      <c r="W203" s="35" t="s">
        <v>70</v>
      </c>
      <c r="X203" s="199">
        <v>0</v>
      </c>
      <c r="Y203" s="20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19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20"/>
      <c r="P204" s="213" t="s">
        <v>72</v>
      </c>
      <c r="Q204" s="214"/>
      <c r="R204" s="214"/>
      <c r="S204" s="214"/>
      <c r="T204" s="214"/>
      <c r="U204" s="214"/>
      <c r="V204" s="215"/>
      <c r="W204" s="37" t="s">
        <v>70</v>
      </c>
      <c r="X204" s="201">
        <f>IFERROR(SUM(X200:X203),"0")</f>
        <v>0</v>
      </c>
      <c r="Y204" s="201">
        <f>IFERROR(SUM(Y200:Y203),"0")</f>
        <v>0</v>
      </c>
      <c r="Z204" s="201">
        <f>IFERROR(IF(Z200="",0,Z200),"0")+IFERROR(IF(Z201="",0,Z201),"0")+IFERROR(IF(Z202="",0,Z202),"0")+IFERROR(IF(Z203="",0,Z203),"0")</f>
        <v>0</v>
      </c>
      <c r="AA204" s="202"/>
      <c r="AB204" s="202"/>
      <c r="AC204" s="202"/>
    </row>
    <row r="205" spans="1:68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20"/>
      <c r="P205" s="213" t="s">
        <v>72</v>
      </c>
      <c r="Q205" s="214"/>
      <c r="R205" s="214"/>
      <c r="S205" s="214"/>
      <c r="T205" s="214"/>
      <c r="U205" s="214"/>
      <c r="V205" s="215"/>
      <c r="W205" s="37" t="s">
        <v>73</v>
      </c>
      <c r="X205" s="201">
        <f>IFERROR(SUMPRODUCT(X200:X203*H200:H203),"0")</f>
        <v>0</v>
      </c>
      <c r="Y205" s="201">
        <f>IFERROR(SUMPRODUCT(Y200:Y203*H200:H203),"0")</f>
        <v>0</v>
      </c>
      <c r="Z205" s="37"/>
      <c r="AA205" s="202"/>
      <c r="AB205" s="202"/>
      <c r="AC205" s="202"/>
    </row>
    <row r="206" spans="1:68" ht="16.5" customHeight="1" x14ac:dyDescent="0.25">
      <c r="A206" s="209" t="s">
        <v>294</v>
      </c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194"/>
      <c r="AB206" s="194"/>
      <c r="AC206" s="194"/>
    </row>
    <row r="207" spans="1:68" ht="14.25" customHeight="1" x14ac:dyDescent="0.25">
      <c r="A207" s="218" t="s">
        <v>64</v>
      </c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195"/>
      <c r="AB207" s="195"/>
      <c r="AC207" s="195"/>
    </row>
    <row r="208" spans="1:68" ht="16.5" customHeight="1" x14ac:dyDescent="0.25">
      <c r="A208" s="54" t="s">
        <v>295</v>
      </c>
      <c r="B208" s="54" t="s">
        <v>296</v>
      </c>
      <c r="C208" s="31">
        <v>4301071063</v>
      </c>
      <c r="D208" s="206">
        <v>4607111039019</v>
      </c>
      <c r="E208" s="207"/>
      <c r="F208" s="198">
        <v>0.43</v>
      </c>
      <c r="G208" s="32">
        <v>16</v>
      </c>
      <c r="H208" s="198">
        <v>6.88</v>
      </c>
      <c r="I208" s="198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8" t="s">
        <v>297</v>
      </c>
      <c r="Q208" s="204"/>
      <c r="R208" s="204"/>
      <c r="S208" s="204"/>
      <c r="T208" s="205"/>
      <c r="U208" s="34"/>
      <c r="V208" s="34"/>
      <c r="W208" s="35" t="s">
        <v>70</v>
      </c>
      <c r="X208" s="199">
        <v>0</v>
      </c>
      <c r="Y208" s="20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4301071000</v>
      </c>
      <c r="D209" s="206">
        <v>4607111038708</v>
      </c>
      <c r="E209" s="207"/>
      <c r="F209" s="198">
        <v>0.8</v>
      </c>
      <c r="G209" s="32">
        <v>8</v>
      </c>
      <c r="H209" s="198">
        <v>6.4</v>
      </c>
      <c r="I209" s="198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4"/>
      <c r="R209" s="204"/>
      <c r="S209" s="204"/>
      <c r="T209" s="205"/>
      <c r="U209" s="34"/>
      <c r="V209" s="34"/>
      <c r="W209" s="35" t="s">
        <v>70</v>
      </c>
      <c r="X209" s="199">
        <v>0</v>
      </c>
      <c r="Y209" s="200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19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20"/>
      <c r="P210" s="213" t="s">
        <v>72</v>
      </c>
      <c r="Q210" s="214"/>
      <c r="R210" s="214"/>
      <c r="S210" s="214"/>
      <c r="T210" s="214"/>
      <c r="U210" s="214"/>
      <c r="V210" s="215"/>
      <c r="W210" s="37" t="s">
        <v>70</v>
      </c>
      <c r="X210" s="201">
        <f>IFERROR(SUM(X208:X209),"0")</f>
        <v>0</v>
      </c>
      <c r="Y210" s="201">
        <f>IFERROR(SUM(Y208:Y209),"0")</f>
        <v>0</v>
      </c>
      <c r="Z210" s="201">
        <f>IFERROR(IF(Z208="",0,Z208),"0")+IFERROR(IF(Z209="",0,Z209),"0")</f>
        <v>0</v>
      </c>
      <c r="AA210" s="202"/>
      <c r="AB210" s="202"/>
      <c r="AC210" s="202"/>
    </row>
    <row r="211" spans="1:68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20"/>
      <c r="P211" s="213" t="s">
        <v>72</v>
      </c>
      <c r="Q211" s="214"/>
      <c r="R211" s="214"/>
      <c r="S211" s="214"/>
      <c r="T211" s="214"/>
      <c r="U211" s="214"/>
      <c r="V211" s="215"/>
      <c r="W211" s="37" t="s">
        <v>73</v>
      </c>
      <c r="X211" s="201">
        <f>IFERROR(SUMPRODUCT(X208:X209*H208:H209),"0")</f>
        <v>0</v>
      </c>
      <c r="Y211" s="201">
        <f>IFERROR(SUMPRODUCT(Y208:Y209*H208:H209),"0")</f>
        <v>0</v>
      </c>
      <c r="Z211" s="37"/>
      <c r="AA211" s="202"/>
      <c r="AB211" s="202"/>
      <c r="AC211" s="202"/>
    </row>
    <row r="212" spans="1:68" ht="27.75" customHeight="1" x14ac:dyDescent="0.2">
      <c r="A212" s="273" t="s">
        <v>300</v>
      </c>
      <c r="B212" s="274"/>
      <c r="C212" s="274"/>
      <c r="D212" s="274"/>
      <c r="E212" s="274"/>
      <c r="F212" s="274"/>
      <c r="G212" s="274"/>
      <c r="H212" s="274"/>
      <c r="I212" s="274"/>
      <c r="J212" s="274"/>
      <c r="K212" s="274"/>
      <c r="L212" s="274"/>
      <c r="M212" s="274"/>
      <c r="N212" s="274"/>
      <c r="O212" s="274"/>
      <c r="P212" s="274"/>
      <c r="Q212" s="274"/>
      <c r="R212" s="274"/>
      <c r="S212" s="274"/>
      <c r="T212" s="274"/>
      <c r="U212" s="274"/>
      <c r="V212" s="274"/>
      <c r="W212" s="274"/>
      <c r="X212" s="274"/>
      <c r="Y212" s="274"/>
      <c r="Z212" s="274"/>
      <c r="AA212" s="48"/>
      <c r="AB212" s="48"/>
      <c r="AC212" s="48"/>
    </row>
    <row r="213" spans="1:68" ht="16.5" customHeight="1" x14ac:dyDescent="0.25">
      <c r="A213" s="209" t="s">
        <v>301</v>
      </c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194"/>
      <c r="AB213" s="194"/>
      <c r="AC213" s="194"/>
    </row>
    <row r="214" spans="1:68" ht="14.25" customHeight="1" x14ac:dyDescent="0.25">
      <c r="A214" s="218" t="s">
        <v>64</v>
      </c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195"/>
      <c r="AB214" s="195"/>
      <c r="AC214" s="195"/>
    </row>
    <row r="215" spans="1:68" ht="27" customHeight="1" x14ac:dyDescent="0.25">
      <c r="A215" s="54" t="s">
        <v>302</v>
      </c>
      <c r="B215" s="54" t="s">
        <v>303</v>
      </c>
      <c r="C215" s="31">
        <v>4301071036</v>
      </c>
      <c r="D215" s="206">
        <v>4607111036162</v>
      </c>
      <c r="E215" s="207"/>
      <c r="F215" s="198">
        <v>0.8</v>
      </c>
      <c r="G215" s="32">
        <v>8</v>
      </c>
      <c r="H215" s="198">
        <v>6.4</v>
      </c>
      <c r="I215" s="198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9" t="s">
        <v>304</v>
      </c>
      <c r="Q215" s="204"/>
      <c r="R215" s="204"/>
      <c r="S215" s="204"/>
      <c r="T215" s="205"/>
      <c r="U215" s="34"/>
      <c r="V215" s="34"/>
      <c r="W215" s="35" t="s">
        <v>70</v>
      </c>
      <c r="X215" s="199">
        <v>0</v>
      </c>
      <c r="Y215" s="20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9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20"/>
      <c r="P216" s="213" t="s">
        <v>72</v>
      </c>
      <c r="Q216" s="214"/>
      <c r="R216" s="214"/>
      <c r="S216" s="214"/>
      <c r="T216" s="214"/>
      <c r="U216" s="214"/>
      <c r="V216" s="215"/>
      <c r="W216" s="37" t="s">
        <v>70</v>
      </c>
      <c r="X216" s="201">
        <f>IFERROR(SUM(X215:X215),"0")</f>
        <v>0</v>
      </c>
      <c r="Y216" s="201">
        <f>IFERROR(SUM(Y215:Y215),"0")</f>
        <v>0</v>
      </c>
      <c r="Z216" s="201">
        <f>IFERROR(IF(Z215="",0,Z215),"0")</f>
        <v>0</v>
      </c>
      <c r="AA216" s="202"/>
      <c r="AB216" s="202"/>
      <c r="AC216" s="202"/>
    </row>
    <row r="217" spans="1:68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20"/>
      <c r="P217" s="213" t="s">
        <v>72</v>
      </c>
      <c r="Q217" s="214"/>
      <c r="R217" s="214"/>
      <c r="S217" s="214"/>
      <c r="T217" s="214"/>
      <c r="U217" s="214"/>
      <c r="V217" s="215"/>
      <c r="W217" s="37" t="s">
        <v>73</v>
      </c>
      <c r="X217" s="201">
        <f>IFERROR(SUMPRODUCT(X215:X215*H215:H215),"0")</f>
        <v>0</v>
      </c>
      <c r="Y217" s="201">
        <f>IFERROR(SUMPRODUCT(Y215:Y215*H215:H215),"0")</f>
        <v>0</v>
      </c>
      <c r="Z217" s="37"/>
      <c r="AA217" s="202"/>
      <c r="AB217" s="202"/>
      <c r="AC217" s="202"/>
    </row>
    <row r="218" spans="1:68" ht="27.75" customHeight="1" x14ac:dyDescent="0.2">
      <c r="A218" s="273" t="s">
        <v>305</v>
      </c>
      <c r="B218" s="274"/>
      <c r="C218" s="274"/>
      <c r="D218" s="274"/>
      <c r="E218" s="274"/>
      <c r="F218" s="274"/>
      <c r="G218" s="274"/>
      <c r="H218" s="274"/>
      <c r="I218" s="274"/>
      <c r="J218" s="274"/>
      <c r="K218" s="274"/>
      <c r="L218" s="274"/>
      <c r="M218" s="274"/>
      <c r="N218" s="274"/>
      <c r="O218" s="274"/>
      <c r="P218" s="274"/>
      <c r="Q218" s="274"/>
      <c r="R218" s="274"/>
      <c r="S218" s="274"/>
      <c r="T218" s="274"/>
      <c r="U218" s="274"/>
      <c r="V218" s="274"/>
      <c r="W218" s="274"/>
      <c r="X218" s="274"/>
      <c r="Y218" s="274"/>
      <c r="Z218" s="274"/>
      <c r="AA218" s="48"/>
      <c r="AB218" s="48"/>
      <c r="AC218" s="48"/>
    </row>
    <row r="219" spans="1:68" ht="16.5" customHeight="1" x14ac:dyDescent="0.25">
      <c r="A219" s="209" t="s">
        <v>306</v>
      </c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194"/>
      <c r="AB219" s="194"/>
      <c r="AC219" s="194"/>
    </row>
    <row r="220" spans="1:68" ht="14.25" customHeight="1" x14ac:dyDescent="0.25">
      <c r="A220" s="218" t="s">
        <v>64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195"/>
      <c r="AB220" s="195"/>
      <c r="AC220" s="195"/>
    </row>
    <row r="221" spans="1:68" ht="27" customHeight="1" x14ac:dyDescent="0.25">
      <c r="A221" s="54" t="s">
        <v>307</v>
      </c>
      <c r="B221" s="54" t="s">
        <v>308</v>
      </c>
      <c r="C221" s="31">
        <v>4301071029</v>
      </c>
      <c r="D221" s="206">
        <v>4607111035899</v>
      </c>
      <c r="E221" s="207"/>
      <c r="F221" s="198">
        <v>1</v>
      </c>
      <c r="G221" s="32">
        <v>5</v>
      </c>
      <c r="H221" s="198">
        <v>5</v>
      </c>
      <c r="I221" s="198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04"/>
      <c r="R221" s="204"/>
      <c r="S221" s="204"/>
      <c r="T221" s="205"/>
      <c r="U221" s="34"/>
      <c r="V221" s="34"/>
      <c r="W221" s="35" t="s">
        <v>70</v>
      </c>
      <c r="X221" s="199">
        <v>120</v>
      </c>
      <c r="Y221" s="200">
        <f>IFERROR(IF(X221="","",X221),"")</f>
        <v>120</v>
      </c>
      <c r="Z221" s="36">
        <f>IFERROR(IF(X221="","",X221*0.0155),"")</f>
        <v>1.8599999999999999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631.43999999999994</v>
      </c>
      <c r="BN221" s="67">
        <f>IFERROR(Y221*I221,"0")</f>
        <v>631.43999999999994</v>
      </c>
      <c r="BO221" s="67">
        <f>IFERROR(X221/J221,"0")</f>
        <v>1.4285714285714286</v>
      </c>
      <c r="BP221" s="67">
        <f>IFERROR(Y221/J221,"0")</f>
        <v>1.4285714285714286</v>
      </c>
    </row>
    <row r="222" spans="1:68" ht="27" customHeight="1" x14ac:dyDescent="0.25">
      <c r="A222" s="54" t="s">
        <v>309</v>
      </c>
      <c r="B222" s="54" t="s">
        <v>310</v>
      </c>
      <c r="C222" s="31">
        <v>4301070991</v>
      </c>
      <c r="D222" s="206">
        <v>4607111038180</v>
      </c>
      <c r="E222" s="207"/>
      <c r="F222" s="198">
        <v>0.4</v>
      </c>
      <c r="G222" s="32">
        <v>16</v>
      </c>
      <c r="H222" s="198">
        <v>6.4</v>
      </c>
      <c r="I222" s="198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04"/>
      <c r="R222" s="204"/>
      <c r="S222" s="204"/>
      <c r="T222" s="205"/>
      <c r="U222" s="34"/>
      <c r="V222" s="34"/>
      <c r="W222" s="35" t="s">
        <v>70</v>
      </c>
      <c r="X222" s="199">
        <v>0</v>
      </c>
      <c r="Y222" s="20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9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20"/>
      <c r="P223" s="213" t="s">
        <v>72</v>
      </c>
      <c r="Q223" s="214"/>
      <c r="R223" s="214"/>
      <c r="S223" s="214"/>
      <c r="T223" s="214"/>
      <c r="U223" s="214"/>
      <c r="V223" s="215"/>
      <c r="W223" s="37" t="s">
        <v>70</v>
      </c>
      <c r="X223" s="201">
        <f>IFERROR(SUM(X221:X222),"0")</f>
        <v>120</v>
      </c>
      <c r="Y223" s="201">
        <f>IFERROR(SUM(Y221:Y222),"0")</f>
        <v>120</v>
      </c>
      <c r="Z223" s="201">
        <f>IFERROR(IF(Z221="",0,Z221),"0")+IFERROR(IF(Z222="",0,Z222),"0")</f>
        <v>1.8599999999999999</v>
      </c>
      <c r="AA223" s="202"/>
      <c r="AB223" s="202"/>
      <c r="AC223" s="202"/>
    </row>
    <row r="224" spans="1:68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20"/>
      <c r="P224" s="213" t="s">
        <v>72</v>
      </c>
      <c r="Q224" s="214"/>
      <c r="R224" s="214"/>
      <c r="S224" s="214"/>
      <c r="T224" s="214"/>
      <c r="U224" s="214"/>
      <c r="V224" s="215"/>
      <c r="W224" s="37" t="s">
        <v>73</v>
      </c>
      <c r="X224" s="201">
        <f>IFERROR(SUMPRODUCT(X221:X222*H221:H222),"0")</f>
        <v>600</v>
      </c>
      <c r="Y224" s="201">
        <f>IFERROR(SUMPRODUCT(Y221:Y222*H221:H222),"0")</f>
        <v>600</v>
      </c>
      <c r="Z224" s="37"/>
      <c r="AA224" s="202"/>
      <c r="AB224" s="202"/>
      <c r="AC224" s="202"/>
    </row>
    <row r="225" spans="1:68" ht="27.75" customHeight="1" x14ac:dyDescent="0.2">
      <c r="A225" s="273" t="s">
        <v>311</v>
      </c>
      <c r="B225" s="274"/>
      <c r="C225" s="274"/>
      <c r="D225" s="274"/>
      <c r="E225" s="274"/>
      <c r="F225" s="274"/>
      <c r="G225" s="274"/>
      <c r="H225" s="274"/>
      <c r="I225" s="274"/>
      <c r="J225" s="274"/>
      <c r="K225" s="274"/>
      <c r="L225" s="274"/>
      <c r="M225" s="274"/>
      <c r="N225" s="274"/>
      <c r="O225" s="274"/>
      <c r="P225" s="274"/>
      <c r="Q225" s="274"/>
      <c r="R225" s="274"/>
      <c r="S225" s="274"/>
      <c r="T225" s="274"/>
      <c r="U225" s="274"/>
      <c r="V225" s="274"/>
      <c r="W225" s="274"/>
      <c r="X225" s="274"/>
      <c r="Y225" s="274"/>
      <c r="Z225" s="274"/>
      <c r="AA225" s="48"/>
      <c r="AB225" s="48"/>
      <c r="AC225" s="48"/>
    </row>
    <row r="226" spans="1:68" ht="16.5" customHeight="1" x14ac:dyDescent="0.25">
      <c r="A226" s="209" t="s">
        <v>312</v>
      </c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194"/>
      <c r="AB226" s="194"/>
      <c r="AC226" s="194"/>
    </row>
    <row r="227" spans="1:68" ht="14.25" customHeight="1" x14ac:dyDescent="0.25">
      <c r="A227" s="218" t="s">
        <v>142</v>
      </c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195"/>
      <c r="AB227" s="195"/>
      <c r="AC227" s="195"/>
    </row>
    <row r="228" spans="1:68" ht="37.5" customHeight="1" x14ac:dyDescent="0.25">
      <c r="A228" s="54" t="s">
        <v>313</v>
      </c>
      <c r="B228" s="54" t="s">
        <v>314</v>
      </c>
      <c r="C228" s="31">
        <v>4301135400</v>
      </c>
      <c r="D228" s="206">
        <v>4607111039361</v>
      </c>
      <c r="E228" s="207"/>
      <c r="F228" s="198">
        <v>0.25</v>
      </c>
      <c r="G228" s="32">
        <v>12</v>
      </c>
      <c r="H228" s="198">
        <v>3</v>
      </c>
      <c r="I228" s="198">
        <v>3.7035999999999998</v>
      </c>
      <c r="J228" s="32">
        <v>70</v>
      </c>
      <c r="K228" s="32" t="s">
        <v>79</v>
      </c>
      <c r="L228" s="32" t="s">
        <v>68</v>
      </c>
      <c r="M228" s="33" t="s">
        <v>69</v>
      </c>
      <c r="N228" s="33"/>
      <c r="O228" s="32">
        <v>180</v>
      </c>
      <c r="P228" s="403" t="s">
        <v>315</v>
      </c>
      <c r="Q228" s="204"/>
      <c r="R228" s="204"/>
      <c r="S228" s="204"/>
      <c r="T228" s="205"/>
      <c r="U228" s="34"/>
      <c r="V228" s="34"/>
      <c r="W228" s="35" t="s">
        <v>70</v>
      </c>
      <c r="X228" s="199">
        <v>0</v>
      </c>
      <c r="Y228" s="200">
        <f>IFERROR(IF(X228="","",X228),"")</f>
        <v>0</v>
      </c>
      <c r="Z228" s="36">
        <f>IFERROR(IF(X228="","",X228*0.01788),"")</f>
        <v>0</v>
      </c>
      <c r="AA228" s="56"/>
      <c r="AB228" s="57" t="s">
        <v>110</v>
      </c>
      <c r="AC228" s="68"/>
      <c r="AG228" s="67"/>
      <c r="AJ228" s="69" t="s">
        <v>71</v>
      </c>
      <c r="AK228" s="69">
        <v>1</v>
      </c>
      <c r="BB228" s="159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219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20"/>
      <c r="P229" s="213" t="s">
        <v>72</v>
      </c>
      <c r="Q229" s="214"/>
      <c r="R229" s="214"/>
      <c r="S229" s="214"/>
      <c r="T229" s="214"/>
      <c r="U229" s="214"/>
      <c r="V229" s="215"/>
      <c r="W229" s="37" t="s">
        <v>70</v>
      </c>
      <c r="X229" s="201">
        <f>IFERROR(SUM(X228:X228),"0")</f>
        <v>0</v>
      </c>
      <c r="Y229" s="201">
        <f>IFERROR(SUM(Y228:Y228),"0")</f>
        <v>0</v>
      </c>
      <c r="Z229" s="201">
        <f>IFERROR(IF(Z228="",0,Z228),"0")</f>
        <v>0</v>
      </c>
      <c r="AA229" s="202"/>
      <c r="AB229" s="202"/>
      <c r="AC229" s="202"/>
    </row>
    <row r="230" spans="1:68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20"/>
      <c r="P230" s="213" t="s">
        <v>72</v>
      </c>
      <c r="Q230" s="214"/>
      <c r="R230" s="214"/>
      <c r="S230" s="214"/>
      <c r="T230" s="214"/>
      <c r="U230" s="214"/>
      <c r="V230" s="215"/>
      <c r="W230" s="37" t="s">
        <v>73</v>
      </c>
      <c r="X230" s="201">
        <f>IFERROR(SUMPRODUCT(X228:X228*H228:H228),"0")</f>
        <v>0</v>
      </c>
      <c r="Y230" s="201">
        <f>IFERROR(SUMPRODUCT(Y228:Y228*H228:H228),"0")</f>
        <v>0</v>
      </c>
      <c r="Z230" s="37"/>
      <c r="AA230" s="202"/>
      <c r="AB230" s="202"/>
      <c r="AC230" s="202"/>
    </row>
    <row r="231" spans="1:68" ht="27.75" customHeight="1" x14ac:dyDescent="0.2">
      <c r="A231" s="273" t="s">
        <v>227</v>
      </c>
      <c r="B231" s="274"/>
      <c r="C231" s="274"/>
      <c r="D231" s="274"/>
      <c r="E231" s="274"/>
      <c r="F231" s="274"/>
      <c r="G231" s="274"/>
      <c r="H231" s="274"/>
      <c r="I231" s="274"/>
      <c r="J231" s="274"/>
      <c r="K231" s="274"/>
      <c r="L231" s="274"/>
      <c r="M231" s="274"/>
      <c r="N231" s="274"/>
      <c r="O231" s="274"/>
      <c r="P231" s="274"/>
      <c r="Q231" s="274"/>
      <c r="R231" s="274"/>
      <c r="S231" s="274"/>
      <c r="T231" s="274"/>
      <c r="U231" s="274"/>
      <c r="V231" s="274"/>
      <c r="W231" s="274"/>
      <c r="X231" s="274"/>
      <c r="Y231" s="274"/>
      <c r="Z231" s="274"/>
      <c r="AA231" s="48"/>
      <c r="AB231" s="48"/>
      <c r="AC231" s="48"/>
    </row>
    <row r="232" spans="1:68" ht="16.5" customHeight="1" x14ac:dyDescent="0.25">
      <c r="A232" s="209" t="s">
        <v>227</v>
      </c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194"/>
      <c r="AB232" s="194"/>
      <c r="AC232" s="194"/>
    </row>
    <row r="233" spans="1:68" ht="14.25" customHeight="1" x14ac:dyDescent="0.25">
      <c r="A233" s="218" t="s">
        <v>64</v>
      </c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195"/>
      <c r="AB233" s="195"/>
      <c r="AC233" s="195"/>
    </row>
    <row r="234" spans="1:68" ht="27" customHeight="1" x14ac:dyDescent="0.25">
      <c r="A234" s="54" t="s">
        <v>316</v>
      </c>
      <c r="B234" s="54" t="s">
        <v>317</v>
      </c>
      <c r="C234" s="31">
        <v>4301071014</v>
      </c>
      <c r="D234" s="206">
        <v>4640242181264</v>
      </c>
      <c r="E234" s="207"/>
      <c r="F234" s="198">
        <v>0.7</v>
      </c>
      <c r="G234" s="32">
        <v>10</v>
      </c>
      <c r="H234" s="198">
        <v>7</v>
      </c>
      <c r="I234" s="198">
        <v>7.28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45" t="s">
        <v>318</v>
      </c>
      <c r="Q234" s="204"/>
      <c r="R234" s="204"/>
      <c r="S234" s="204"/>
      <c r="T234" s="205"/>
      <c r="U234" s="34"/>
      <c r="V234" s="34"/>
      <c r="W234" s="35" t="s">
        <v>70</v>
      </c>
      <c r="X234" s="199">
        <v>0</v>
      </c>
      <c r="Y234" s="20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60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319</v>
      </c>
      <c r="B235" s="54" t="s">
        <v>320</v>
      </c>
      <c r="C235" s="31">
        <v>4301071021</v>
      </c>
      <c r="D235" s="206">
        <v>4640242181325</v>
      </c>
      <c r="E235" s="207"/>
      <c r="F235" s="198">
        <v>0.7</v>
      </c>
      <c r="G235" s="32">
        <v>10</v>
      </c>
      <c r="H235" s="198">
        <v>7</v>
      </c>
      <c r="I235" s="198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6" t="s">
        <v>321</v>
      </c>
      <c r="Q235" s="204"/>
      <c r="R235" s="204"/>
      <c r="S235" s="204"/>
      <c r="T235" s="205"/>
      <c r="U235" s="34"/>
      <c r="V235" s="34"/>
      <c r="W235" s="35" t="s">
        <v>70</v>
      </c>
      <c r="X235" s="199">
        <v>0</v>
      </c>
      <c r="Y235" s="20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322</v>
      </c>
      <c r="B236" s="54" t="s">
        <v>323</v>
      </c>
      <c r="C236" s="31">
        <v>4301070993</v>
      </c>
      <c r="D236" s="206">
        <v>4640242180670</v>
      </c>
      <c r="E236" s="207"/>
      <c r="F236" s="198">
        <v>1</v>
      </c>
      <c r="G236" s="32">
        <v>6</v>
      </c>
      <c r="H236" s="198">
        <v>6</v>
      </c>
      <c r="I236" s="198">
        <v>6.23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49" t="s">
        <v>324</v>
      </c>
      <c r="Q236" s="204"/>
      <c r="R236" s="204"/>
      <c r="S236" s="204"/>
      <c r="T236" s="205"/>
      <c r="U236" s="34"/>
      <c r="V236" s="34"/>
      <c r="W236" s="35" t="s">
        <v>70</v>
      </c>
      <c r="X236" s="199">
        <v>0</v>
      </c>
      <c r="Y236" s="20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19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20"/>
      <c r="P237" s="213" t="s">
        <v>72</v>
      </c>
      <c r="Q237" s="214"/>
      <c r="R237" s="214"/>
      <c r="S237" s="214"/>
      <c r="T237" s="214"/>
      <c r="U237" s="214"/>
      <c r="V237" s="215"/>
      <c r="W237" s="37" t="s">
        <v>70</v>
      </c>
      <c r="X237" s="201">
        <f>IFERROR(SUM(X234:X236),"0")</f>
        <v>0</v>
      </c>
      <c r="Y237" s="201">
        <f>IFERROR(SUM(Y234:Y236),"0")</f>
        <v>0</v>
      </c>
      <c r="Z237" s="201">
        <f>IFERROR(IF(Z234="",0,Z234),"0")+IFERROR(IF(Z235="",0,Z235),"0")+IFERROR(IF(Z236="",0,Z236),"0")</f>
        <v>0</v>
      </c>
      <c r="AA237" s="202"/>
      <c r="AB237" s="202"/>
      <c r="AC237" s="202"/>
    </row>
    <row r="238" spans="1:68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20"/>
      <c r="P238" s="213" t="s">
        <v>72</v>
      </c>
      <c r="Q238" s="214"/>
      <c r="R238" s="214"/>
      <c r="S238" s="214"/>
      <c r="T238" s="214"/>
      <c r="U238" s="214"/>
      <c r="V238" s="215"/>
      <c r="W238" s="37" t="s">
        <v>73</v>
      </c>
      <c r="X238" s="201">
        <f>IFERROR(SUMPRODUCT(X234:X236*H234:H236),"0")</f>
        <v>0</v>
      </c>
      <c r="Y238" s="201">
        <f>IFERROR(SUMPRODUCT(Y234:Y236*H234:H236),"0")</f>
        <v>0</v>
      </c>
      <c r="Z238" s="37"/>
      <c r="AA238" s="202"/>
      <c r="AB238" s="202"/>
      <c r="AC238" s="202"/>
    </row>
    <row r="239" spans="1:68" ht="14.25" customHeight="1" x14ac:dyDescent="0.25">
      <c r="A239" s="218" t="s">
        <v>146</v>
      </c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195"/>
      <c r="AB239" s="195"/>
      <c r="AC239" s="195"/>
    </row>
    <row r="240" spans="1:68" ht="27" customHeight="1" x14ac:dyDescent="0.25">
      <c r="A240" s="54" t="s">
        <v>325</v>
      </c>
      <c r="B240" s="54" t="s">
        <v>326</v>
      </c>
      <c r="C240" s="31">
        <v>4301131019</v>
      </c>
      <c r="D240" s="206">
        <v>4640242180427</v>
      </c>
      <c r="E240" s="207"/>
      <c r="F240" s="198">
        <v>1.8</v>
      </c>
      <c r="G240" s="32">
        <v>1</v>
      </c>
      <c r="H240" s="198">
        <v>1.8</v>
      </c>
      <c r="I240" s="198">
        <v>1.915</v>
      </c>
      <c r="J240" s="32">
        <v>234</v>
      </c>
      <c r="K240" s="32" t="s">
        <v>138</v>
      </c>
      <c r="L240" s="32" t="s">
        <v>68</v>
      </c>
      <c r="M240" s="33" t="s">
        <v>69</v>
      </c>
      <c r="N240" s="33"/>
      <c r="O240" s="32">
        <v>180</v>
      </c>
      <c r="P240" s="271" t="s">
        <v>327</v>
      </c>
      <c r="Q240" s="204"/>
      <c r="R240" s="204"/>
      <c r="S240" s="204"/>
      <c r="T240" s="205"/>
      <c r="U240" s="34"/>
      <c r="V240" s="34"/>
      <c r="W240" s="35" t="s">
        <v>70</v>
      </c>
      <c r="X240" s="199">
        <v>0</v>
      </c>
      <c r="Y240" s="200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 t="s">
        <v>71</v>
      </c>
      <c r="AK240" s="69">
        <v>1</v>
      </c>
      <c r="BB240" s="163" t="s">
        <v>80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19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20"/>
      <c r="P241" s="213" t="s">
        <v>72</v>
      </c>
      <c r="Q241" s="214"/>
      <c r="R241" s="214"/>
      <c r="S241" s="214"/>
      <c r="T241" s="214"/>
      <c r="U241" s="214"/>
      <c r="V241" s="215"/>
      <c r="W241" s="37" t="s">
        <v>70</v>
      </c>
      <c r="X241" s="201">
        <f>IFERROR(SUM(X240:X240),"0")</f>
        <v>0</v>
      </c>
      <c r="Y241" s="201">
        <f>IFERROR(SUM(Y240:Y240),"0")</f>
        <v>0</v>
      </c>
      <c r="Z241" s="201">
        <f>IFERROR(IF(Z240="",0,Z240),"0")</f>
        <v>0</v>
      </c>
      <c r="AA241" s="202"/>
      <c r="AB241" s="202"/>
      <c r="AC241" s="202"/>
    </row>
    <row r="242" spans="1:68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20"/>
      <c r="P242" s="213" t="s">
        <v>72</v>
      </c>
      <c r="Q242" s="214"/>
      <c r="R242" s="214"/>
      <c r="S242" s="214"/>
      <c r="T242" s="214"/>
      <c r="U242" s="214"/>
      <c r="V242" s="215"/>
      <c r="W242" s="37" t="s">
        <v>73</v>
      </c>
      <c r="X242" s="201">
        <f>IFERROR(SUMPRODUCT(X240:X240*H240:H240),"0")</f>
        <v>0</v>
      </c>
      <c r="Y242" s="201">
        <f>IFERROR(SUMPRODUCT(Y240:Y240*H240:H240),"0")</f>
        <v>0</v>
      </c>
      <c r="Z242" s="37"/>
      <c r="AA242" s="202"/>
      <c r="AB242" s="202"/>
      <c r="AC242" s="202"/>
    </row>
    <row r="243" spans="1:68" ht="14.25" customHeight="1" x14ac:dyDescent="0.25">
      <c r="A243" s="218" t="s">
        <v>76</v>
      </c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195"/>
      <c r="AB243" s="195"/>
      <c r="AC243" s="195"/>
    </row>
    <row r="244" spans="1:68" ht="27" customHeight="1" x14ac:dyDescent="0.25">
      <c r="A244" s="54" t="s">
        <v>328</v>
      </c>
      <c r="B244" s="54" t="s">
        <v>329</v>
      </c>
      <c r="C244" s="31">
        <v>4301132080</v>
      </c>
      <c r="D244" s="206">
        <v>4640242180397</v>
      </c>
      <c r="E244" s="207"/>
      <c r="F244" s="198">
        <v>1</v>
      </c>
      <c r="G244" s="32">
        <v>6</v>
      </c>
      <c r="H244" s="198">
        <v>6</v>
      </c>
      <c r="I244" s="198">
        <v>6.26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208" t="s">
        <v>330</v>
      </c>
      <c r="Q244" s="204"/>
      <c r="R244" s="204"/>
      <c r="S244" s="204"/>
      <c r="T244" s="205"/>
      <c r="U244" s="34"/>
      <c r="V244" s="34"/>
      <c r="W244" s="35" t="s">
        <v>70</v>
      </c>
      <c r="X244" s="199">
        <v>204</v>
      </c>
      <c r="Y244" s="200">
        <f>IFERROR(IF(X244="","",X244),"")</f>
        <v>204</v>
      </c>
      <c r="Z244" s="36">
        <f>IFERROR(IF(X244="","",X244*0.0155),"")</f>
        <v>3.1619999999999999</v>
      </c>
      <c r="AA244" s="56"/>
      <c r="AB244" s="57"/>
      <c r="AC244" s="68"/>
      <c r="AG244" s="67"/>
      <c r="AJ244" s="69" t="s">
        <v>71</v>
      </c>
      <c r="AK244" s="69">
        <v>1</v>
      </c>
      <c r="BB244" s="164" t="s">
        <v>80</v>
      </c>
      <c r="BM244" s="67">
        <f>IFERROR(X244*I244,"0")</f>
        <v>1277.04</v>
      </c>
      <c r="BN244" s="67">
        <f>IFERROR(Y244*I244,"0")</f>
        <v>1277.04</v>
      </c>
      <c r="BO244" s="67">
        <f>IFERROR(X244/J244,"0")</f>
        <v>2.4285714285714284</v>
      </c>
      <c r="BP244" s="67">
        <f>IFERROR(Y244/J244,"0")</f>
        <v>2.4285714285714284</v>
      </c>
    </row>
    <row r="245" spans="1:68" ht="27" customHeight="1" x14ac:dyDescent="0.25">
      <c r="A245" s="54" t="s">
        <v>331</v>
      </c>
      <c r="B245" s="54" t="s">
        <v>332</v>
      </c>
      <c r="C245" s="31">
        <v>4301132104</v>
      </c>
      <c r="D245" s="206">
        <v>4640242181219</v>
      </c>
      <c r="E245" s="207"/>
      <c r="F245" s="198">
        <v>0.3</v>
      </c>
      <c r="G245" s="32">
        <v>9</v>
      </c>
      <c r="H245" s="198">
        <v>2.7</v>
      </c>
      <c r="I245" s="198">
        <v>2.8450000000000002</v>
      </c>
      <c r="J245" s="32">
        <v>234</v>
      </c>
      <c r="K245" s="32" t="s">
        <v>138</v>
      </c>
      <c r="L245" s="32" t="s">
        <v>68</v>
      </c>
      <c r="M245" s="33" t="s">
        <v>69</v>
      </c>
      <c r="N245" s="33"/>
      <c r="O245" s="32">
        <v>180</v>
      </c>
      <c r="P245" s="328" t="s">
        <v>333</v>
      </c>
      <c r="Q245" s="204"/>
      <c r="R245" s="204"/>
      <c r="S245" s="204"/>
      <c r="T245" s="205"/>
      <c r="U245" s="34"/>
      <c r="V245" s="34"/>
      <c r="W245" s="35" t="s">
        <v>70</v>
      </c>
      <c r="X245" s="199">
        <v>0</v>
      </c>
      <c r="Y245" s="20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9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20"/>
      <c r="P246" s="213" t="s">
        <v>72</v>
      </c>
      <c r="Q246" s="214"/>
      <c r="R246" s="214"/>
      <c r="S246" s="214"/>
      <c r="T246" s="214"/>
      <c r="U246" s="214"/>
      <c r="V246" s="215"/>
      <c r="W246" s="37" t="s">
        <v>70</v>
      </c>
      <c r="X246" s="201">
        <f>IFERROR(SUM(X244:X245),"0")</f>
        <v>204</v>
      </c>
      <c r="Y246" s="201">
        <f>IFERROR(SUM(Y244:Y245),"0")</f>
        <v>204</v>
      </c>
      <c r="Z246" s="201">
        <f>IFERROR(IF(Z244="",0,Z244),"0")+IFERROR(IF(Z245="",0,Z245),"0")</f>
        <v>3.1619999999999999</v>
      </c>
      <c r="AA246" s="202"/>
      <c r="AB246" s="202"/>
      <c r="AC246" s="202"/>
    </row>
    <row r="247" spans="1:68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20"/>
      <c r="P247" s="213" t="s">
        <v>72</v>
      </c>
      <c r="Q247" s="214"/>
      <c r="R247" s="214"/>
      <c r="S247" s="214"/>
      <c r="T247" s="214"/>
      <c r="U247" s="214"/>
      <c r="V247" s="215"/>
      <c r="W247" s="37" t="s">
        <v>73</v>
      </c>
      <c r="X247" s="201">
        <f>IFERROR(SUMPRODUCT(X244:X245*H244:H245),"0")</f>
        <v>1224</v>
      </c>
      <c r="Y247" s="201">
        <f>IFERROR(SUMPRODUCT(Y244:Y245*H244:H245),"0")</f>
        <v>1224</v>
      </c>
      <c r="Z247" s="37"/>
      <c r="AA247" s="202"/>
      <c r="AB247" s="202"/>
      <c r="AC247" s="202"/>
    </row>
    <row r="248" spans="1:68" ht="14.25" customHeight="1" x14ac:dyDescent="0.25">
      <c r="A248" s="218" t="s">
        <v>165</v>
      </c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195"/>
      <c r="AB248" s="195"/>
      <c r="AC248" s="195"/>
    </row>
    <row r="249" spans="1:68" ht="27" customHeight="1" x14ac:dyDescent="0.25">
      <c r="A249" s="54" t="s">
        <v>334</v>
      </c>
      <c r="B249" s="54" t="s">
        <v>335</v>
      </c>
      <c r="C249" s="31">
        <v>4301136028</v>
      </c>
      <c r="D249" s="206">
        <v>4640242180304</v>
      </c>
      <c r="E249" s="207"/>
      <c r="F249" s="198">
        <v>2.7</v>
      </c>
      <c r="G249" s="32">
        <v>1</v>
      </c>
      <c r="H249" s="198">
        <v>2.7</v>
      </c>
      <c r="I249" s="198">
        <v>2.8906000000000001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23" t="s">
        <v>336</v>
      </c>
      <c r="Q249" s="204"/>
      <c r="R249" s="204"/>
      <c r="S249" s="204"/>
      <c r="T249" s="205"/>
      <c r="U249" s="34"/>
      <c r="V249" s="34"/>
      <c r="W249" s="35" t="s">
        <v>70</v>
      </c>
      <c r="X249" s="199">
        <v>0</v>
      </c>
      <c r="Y249" s="200">
        <f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6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337</v>
      </c>
      <c r="B250" s="54" t="s">
        <v>338</v>
      </c>
      <c r="C250" s="31">
        <v>4301136026</v>
      </c>
      <c r="D250" s="206">
        <v>4640242180236</v>
      </c>
      <c r="E250" s="207"/>
      <c r="F250" s="198">
        <v>5</v>
      </c>
      <c r="G250" s="32">
        <v>1</v>
      </c>
      <c r="H250" s="198">
        <v>5</v>
      </c>
      <c r="I250" s="198">
        <v>5.2350000000000003</v>
      </c>
      <c r="J250" s="32">
        <v>84</v>
      </c>
      <c r="K250" s="32" t="s">
        <v>67</v>
      </c>
      <c r="L250" s="32" t="s">
        <v>181</v>
      </c>
      <c r="M250" s="33" t="s">
        <v>69</v>
      </c>
      <c r="N250" s="33"/>
      <c r="O250" s="32">
        <v>180</v>
      </c>
      <c r="P250" s="289" t="s">
        <v>339</v>
      </c>
      <c r="Q250" s="204"/>
      <c r="R250" s="204"/>
      <c r="S250" s="204"/>
      <c r="T250" s="205"/>
      <c r="U250" s="34"/>
      <c r="V250" s="34"/>
      <c r="W250" s="35" t="s">
        <v>70</v>
      </c>
      <c r="X250" s="199">
        <v>276</v>
      </c>
      <c r="Y250" s="200">
        <f>IFERROR(IF(X250="","",X250),"")</f>
        <v>276</v>
      </c>
      <c r="Z250" s="36">
        <f>IFERROR(IF(X250="","",X250*0.0155),"")</f>
        <v>4.2779999999999996</v>
      </c>
      <c r="AA250" s="56"/>
      <c r="AB250" s="57"/>
      <c r="AC250" s="68"/>
      <c r="AG250" s="67"/>
      <c r="AJ250" s="69" t="s">
        <v>182</v>
      </c>
      <c r="AK250" s="69">
        <v>84</v>
      </c>
      <c r="BB250" s="167" t="s">
        <v>80</v>
      </c>
      <c r="BM250" s="67">
        <f>IFERROR(X250*I250,"0")</f>
        <v>1444.8600000000001</v>
      </c>
      <c r="BN250" s="67">
        <f>IFERROR(Y250*I250,"0")</f>
        <v>1444.8600000000001</v>
      </c>
      <c r="BO250" s="67">
        <f>IFERROR(X250/J250,"0")</f>
        <v>3.2857142857142856</v>
      </c>
      <c r="BP250" s="67">
        <f>IFERROR(Y250/J250,"0")</f>
        <v>3.2857142857142856</v>
      </c>
    </row>
    <row r="251" spans="1:68" ht="27" customHeight="1" x14ac:dyDescent="0.25">
      <c r="A251" s="54" t="s">
        <v>340</v>
      </c>
      <c r="B251" s="54" t="s">
        <v>341</v>
      </c>
      <c r="C251" s="31">
        <v>4301136029</v>
      </c>
      <c r="D251" s="206">
        <v>4640242180410</v>
      </c>
      <c r="E251" s="207"/>
      <c r="F251" s="198">
        <v>2.2400000000000002</v>
      </c>
      <c r="G251" s="32">
        <v>1</v>
      </c>
      <c r="H251" s="198">
        <v>2.2400000000000002</v>
      </c>
      <c r="I251" s="198">
        <v>2.4319999999999999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04"/>
      <c r="R251" s="204"/>
      <c r="S251" s="204"/>
      <c r="T251" s="205"/>
      <c r="U251" s="34"/>
      <c r="V251" s="34"/>
      <c r="W251" s="35" t="s">
        <v>70</v>
      </c>
      <c r="X251" s="199">
        <v>0</v>
      </c>
      <c r="Y251" s="200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19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20"/>
      <c r="P252" s="213" t="s">
        <v>72</v>
      </c>
      <c r="Q252" s="214"/>
      <c r="R252" s="214"/>
      <c r="S252" s="214"/>
      <c r="T252" s="214"/>
      <c r="U252" s="214"/>
      <c r="V252" s="215"/>
      <c r="W252" s="37" t="s">
        <v>70</v>
      </c>
      <c r="X252" s="201">
        <f>IFERROR(SUM(X249:X251),"0")</f>
        <v>276</v>
      </c>
      <c r="Y252" s="201">
        <f>IFERROR(SUM(Y249:Y251),"0")</f>
        <v>276</v>
      </c>
      <c r="Z252" s="201">
        <f>IFERROR(IF(Z249="",0,Z249),"0")+IFERROR(IF(Z250="",0,Z250),"0")+IFERROR(IF(Z251="",0,Z251),"0")</f>
        <v>4.2779999999999996</v>
      </c>
      <c r="AA252" s="202"/>
      <c r="AB252" s="202"/>
      <c r="AC252" s="202"/>
    </row>
    <row r="253" spans="1:68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20"/>
      <c r="P253" s="213" t="s">
        <v>72</v>
      </c>
      <c r="Q253" s="214"/>
      <c r="R253" s="214"/>
      <c r="S253" s="214"/>
      <c r="T253" s="214"/>
      <c r="U253" s="214"/>
      <c r="V253" s="215"/>
      <c r="W253" s="37" t="s">
        <v>73</v>
      </c>
      <c r="X253" s="201">
        <f>IFERROR(SUMPRODUCT(X249:X251*H249:H251),"0")</f>
        <v>1380</v>
      </c>
      <c r="Y253" s="201">
        <f>IFERROR(SUMPRODUCT(Y249:Y251*H249:H251),"0")</f>
        <v>1380</v>
      </c>
      <c r="Z253" s="37"/>
      <c r="AA253" s="202"/>
      <c r="AB253" s="202"/>
      <c r="AC253" s="202"/>
    </row>
    <row r="254" spans="1:68" ht="14.25" customHeight="1" x14ac:dyDescent="0.25">
      <c r="A254" s="218" t="s">
        <v>142</v>
      </c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195"/>
      <c r="AB254" s="195"/>
      <c r="AC254" s="195"/>
    </row>
    <row r="255" spans="1:68" ht="27" customHeight="1" x14ac:dyDescent="0.25">
      <c r="A255" s="54" t="s">
        <v>342</v>
      </c>
      <c r="B255" s="54" t="s">
        <v>343</v>
      </c>
      <c r="C255" s="31">
        <v>4301135504</v>
      </c>
      <c r="D255" s="206">
        <v>4640242181554</v>
      </c>
      <c r="E255" s="207"/>
      <c r="F255" s="198">
        <v>3</v>
      </c>
      <c r="G255" s="32">
        <v>1</v>
      </c>
      <c r="H255" s="198">
        <v>3</v>
      </c>
      <c r="I255" s="198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9" t="s">
        <v>344</v>
      </c>
      <c r="Q255" s="204"/>
      <c r="R255" s="204"/>
      <c r="S255" s="204"/>
      <c r="T255" s="205"/>
      <c r="U255" s="34"/>
      <c r="V255" s="34"/>
      <c r="W255" s="35" t="s">
        <v>70</v>
      </c>
      <c r="X255" s="199">
        <v>0</v>
      </c>
      <c r="Y255" s="200">
        <f t="shared" ref="Y255:Y275" si="24"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9" t="s">
        <v>80</v>
      </c>
      <c r="BM255" s="67">
        <f t="shared" ref="BM255:BM275" si="25">IFERROR(X255*I255,"0")</f>
        <v>0</v>
      </c>
      <c r="BN255" s="67">
        <f t="shared" ref="BN255:BN275" si="26">IFERROR(Y255*I255,"0")</f>
        <v>0</v>
      </c>
      <c r="BO255" s="67">
        <f t="shared" ref="BO255:BO275" si="27">IFERROR(X255/J255,"0")</f>
        <v>0</v>
      </c>
      <c r="BP255" s="67">
        <f t="shared" ref="BP255:BP275" si="28">IFERROR(Y255/J255,"0")</f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4301135193</v>
      </c>
      <c r="D256" s="206">
        <v>4640242180403</v>
      </c>
      <c r="E256" s="207"/>
      <c r="F256" s="198">
        <v>3</v>
      </c>
      <c r="G256" s="32">
        <v>1</v>
      </c>
      <c r="H256" s="198">
        <v>3</v>
      </c>
      <c r="I256" s="198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48" t="s">
        <v>347</v>
      </c>
      <c r="Q256" s="204"/>
      <c r="R256" s="204"/>
      <c r="S256" s="204"/>
      <c r="T256" s="205"/>
      <c r="U256" s="34"/>
      <c r="V256" s="34"/>
      <c r="W256" s="35" t="s">
        <v>70</v>
      </c>
      <c r="X256" s="199">
        <v>0</v>
      </c>
      <c r="Y256" s="200">
        <f t="shared" si="24"/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4301135394</v>
      </c>
      <c r="D257" s="206">
        <v>4640242181561</v>
      </c>
      <c r="E257" s="207"/>
      <c r="F257" s="198">
        <v>3.7</v>
      </c>
      <c r="G257" s="32">
        <v>1</v>
      </c>
      <c r="H257" s="198">
        <v>3.7</v>
      </c>
      <c r="I257" s="198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2" t="s">
        <v>350</v>
      </c>
      <c r="Q257" s="204"/>
      <c r="R257" s="204"/>
      <c r="S257" s="204"/>
      <c r="T257" s="205"/>
      <c r="U257" s="34"/>
      <c r="V257" s="34"/>
      <c r="W257" s="35" t="s">
        <v>70</v>
      </c>
      <c r="X257" s="199">
        <v>70</v>
      </c>
      <c r="Y257" s="200">
        <f t="shared" si="24"/>
        <v>70</v>
      </c>
      <c r="Z257" s="36">
        <f>IFERROR(IF(X257="","",X257*0.00936),"")</f>
        <v>0.6552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272.44</v>
      </c>
      <c r="BN257" s="67">
        <f t="shared" si="26"/>
        <v>272.44</v>
      </c>
      <c r="BO257" s="67">
        <f t="shared" si="27"/>
        <v>0.55555555555555558</v>
      </c>
      <c r="BP257" s="67">
        <f t="shared" si="28"/>
        <v>0.55555555555555558</v>
      </c>
    </row>
    <row r="258" spans="1:68" ht="37.5" customHeight="1" x14ac:dyDescent="0.25">
      <c r="A258" s="54" t="s">
        <v>351</v>
      </c>
      <c r="B258" s="54" t="s">
        <v>352</v>
      </c>
      <c r="C258" s="31">
        <v>4301135187</v>
      </c>
      <c r="D258" s="206">
        <v>4640242180328</v>
      </c>
      <c r="E258" s="207"/>
      <c r="F258" s="198">
        <v>3.5</v>
      </c>
      <c r="G258" s="32">
        <v>1</v>
      </c>
      <c r="H258" s="198">
        <v>3.5</v>
      </c>
      <c r="I258" s="198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0" t="s">
        <v>353</v>
      </c>
      <c r="Q258" s="204"/>
      <c r="R258" s="204"/>
      <c r="S258" s="204"/>
      <c r="T258" s="205"/>
      <c r="U258" s="34"/>
      <c r="V258" s="34"/>
      <c r="W258" s="35" t="s">
        <v>70</v>
      </c>
      <c r="X258" s="199">
        <v>0</v>
      </c>
      <c r="Y258" s="200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354</v>
      </c>
      <c r="B259" s="54" t="s">
        <v>355</v>
      </c>
      <c r="C259" s="31">
        <v>4301135374</v>
      </c>
      <c r="D259" s="206">
        <v>4640242181424</v>
      </c>
      <c r="E259" s="207"/>
      <c r="F259" s="198">
        <v>5.5</v>
      </c>
      <c r="G259" s="32">
        <v>1</v>
      </c>
      <c r="H259" s="198">
        <v>5.5</v>
      </c>
      <c r="I259" s="198">
        <v>5.7350000000000003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70" t="s">
        <v>356</v>
      </c>
      <c r="Q259" s="204"/>
      <c r="R259" s="204"/>
      <c r="S259" s="204"/>
      <c r="T259" s="205"/>
      <c r="U259" s="34"/>
      <c r="V259" s="34"/>
      <c r="W259" s="35" t="s">
        <v>70</v>
      </c>
      <c r="X259" s="199">
        <v>0</v>
      </c>
      <c r="Y259" s="20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357</v>
      </c>
      <c r="B260" s="54" t="s">
        <v>358</v>
      </c>
      <c r="C260" s="31">
        <v>4301135320</v>
      </c>
      <c r="D260" s="206">
        <v>4640242181592</v>
      </c>
      <c r="E260" s="207"/>
      <c r="F260" s="198">
        <v>3.5</v>
      </c>
      <c r="G260" s="32">
        <v>1</v>
      </c>
      <c r="H260" s="198">
        <v>3.5</v>
      </c>
      <c r="I260" s="198">
        <v>3.6850000000000001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0" t="s">
        <v>359</v>
      </c>
      <c r="Q260" s="204"/>
      <c r="R260" s="204"/>
      <c r="S260" s="204"/>
      <c r="T260" s="205"/>
      <c r="U260" s="34"/>
      <c r="V260" s="34"/>
      <c r="W260" s="35" t="s">
        <v>70</v>
      </c>
      <c r="X260" s="199">
        <v>0</v>
      </c>
      <c r="Y260" s="200">
        <f t="shared" si="24"/>
        <v>0</v>
      </c>
      <c r="Z260" s="36">
        <f t="shared" ref="Z260:Z267" si="29"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360</v>
      </c>
      <c r="B261" s="54" t="s">
        <v>361</v>
      </c>
      <c r="C261" s="31">
        <v>4301135405</v>
      </c>
      <c r="D261" s="206">
        <v>4640242181523</v>
      </c>
      <c r="E261" s="207"/>
      <c r="F261" s="198">
        <v>3</v>
      </c>
      <c r="G261" s="32">
        <v>1</v>
      </c>
      <c r="H261" s="198">
        <v>3</v>
      </c>
      <c r="I261" s="198">
        <v>3.1920000000000002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40" t="s">
        <v>362</v>
      </c>
      <c r="Q261" s="204"/>
      <c r="R261" s="204"/>
      <c r="S261" s="204"/>
      <c r="T261" s="205"/>
      <c r="U261" s="34"/>
      <c r="V261" s="34"/>
      <c r="W261" s="35" t="s">
        <v>70</v>
      </c>
      <c r="X261" s="199">
        <v>84</v>
      </c>
      <c r="Y261" s="200">
        <f t="shared" si="24"/>
        <v>84</v>
      </c>
      <c r="Z261" s="36">
        <f t="shared" si="29"/>
        <v>0.78624000000000005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268.12800000000004</v>
      </c>
      <c r="BN261" s="67">
        <f t="shared" si="26"/>
        <v>268.12800000000004</v>
      </c>
      <c r="BO261" s="67">
        <f t="shared" si="27"/>
        <v>0.66666666666666663</v>
      </c>
      <c r="BP261" s="67">
        <f t="shared" si="28"/>
        <v>0.66666666666666663</v>
      </c>
    </row>
    <row r="262" spans="1:68" ht="27" customHeight="1" x14ac:dyDescent="0.25">
      <c r="A262" s="54" t="s">
        <v>363</v>
      </c>
      <c r="B262" s="54" t="s">
        <v>364</v>
      </c>
      <c r="C262" s="31">
        <v>4301135404</v>
      </c>
      <c r="D262" s="206">
        <v>4640242181516</v>
      </c>
      <c r="E262" s="207"/>
      <c r="F262" s="198">
        <v>3.7</v>
      </c>
      <c r="G262" s="32">
        <v>1</v>
      </c>
      <c r="H262" s="198">
        <v>3.7</v>
      </c>
      <c r="I262" s="198">
        <v>3.8919999999999999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400" t="s">
        <v>365</v>
      </c>
      <c r="Q262" s="204"/>
      <c r="R262" s="204"/>
      <c r="S262" s="204"/>
      <c r="T262" s="205"/>
      <c r="U262" s="34"/>
      <c r="V262" s="34"/>
      <c r="W262" s="35" t="s">
        <v>70</v>
      </c>
      <c r="X262" s="199">
        <v>0</v>
      </c>
      <c r="Y262" s="200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37.5" customHeight="1" x14ac:dyDescent="0.25">
      <c r="A263" s="54" t="s">
        <v>366</v>
      </c>
      <c r="B263" s="54" t="s">
        <v>367</v>
      </c>
      <c r="C263" s="31">
        <v>4301135402</v>
      </c>
      <c r="D263" s="206">
        <v>4640242181493</v>
      </c>
      <c r="E263" s="207"/>
      <c r="F263" s="198">
        <v>3.7</v>
      </c>
      <c r="G263" s="32">
        <v>1</v>
      </c>
      <c r="H263" s="198">
        <v>3.7</v>
      </c>
      <c r="I263" s="198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2" t="s">
        <v>368</v>
      </c>
      <c r="Q263" s="204"/>
      <c r="R263" s="204"/>
      <c r="S263" s="204"/>
      <c r="T263" s="205"/>
      <c r="U263" s="34"/>
      <c r="V263" s="34"/>
      <c r="W263" s="35" t="s">
        <v>70</v>
      </c>
      <c r="X263" s="199">
        <v>0</v>
      </c>
      <c r="Y263" s="200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369</v>
      </c>
      <c r="B264" s="54" t="s">
        <v>370</v>
      </c>
      <c r="C264" s="31">
        <v>4301135375</v>
      </c>
      <c r="D264" s="206">
        <v>4640242181486</v>
      </c>
      <c r="E264" s="207"/>
      <c r="F264" s="198">
        <v>3.7</v>
      </c>
      <c r="G264" s="32">
        <v>1</v>
      </c>
      <c r="H264" s="198">
        <v>3.7</v>
      </c>
      <c r="I264" s="198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6" t="s">
        <v>371</v>
      </c>
      <c r="Q264" s="204"/>
      <c r="R264" s="204"/>
      <c r="S264" s="204"/>
      <c r="T264" s="205"/>
      <c r="U264" s="34"/>
      <c r="V264" s="34"/>
      <c r="W264" s="35" t="s">
        <v>70</v>
      </c>
      <c r="X264" s="199">
        <v>0</v>
      </c>
      <c r="Y264" s="200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372</v>
      </c>
      <c r="B265" s="54" t="s">
        <v>373</v>
      </c>
      <c r="C265" s="31">
        <v>4301135403</v>
      </c>
      <c r="D265" s="206">
        <v>4640242181509</v>
      </c>
      <c r="E265" s="207"/>
      <c r="F265" s="198">
        <v>3.7</v>
      </c>
      <c r="G265" s="32">
        <v>1</v>
      </c>
      <c r="H265" s="198">
        <v>3.7</v>
      </c>
      <c r="I265" s="198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53" t="s">
        <v>374</v>
      </c>
      <c r="Q265" s="204"/>
      <c r="R265" s="204"/>
      <c r="S265" s="204"/>
      <c r="T265" s="205"/>
      <c r="U265" s="34"/>
      <c r="V265" s="34"/>
      <c r="W265" s="35" t="s">
        <v>70</v>
      </c>
      <c r="X265" s="199">
        <v>0</v>
      </c>
      <c r="Y265" s="200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375</v>
      </c>
      <c r="B266" s="54" t="s">
        <v>376</v>
      </c>
      <c r="C266" s="31">
        <v>4301135304</v>
      </c>
      <c r="D266" s="206">
        <v>4640242181240</v>
      </c>
      <c r="E266" s="207"/>
      <c r="F266" s="198">
        <v>0.3</v>
      </c>
      <c r="G266" s="32">
        <v>9</v>
      </c>
      <c r="H266" s="198">
        <v>2.7</v>
      </c>
      <c r="I266" s="198">
        <v>2.88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63" t="s">
        <v>377</v>
      </c>
      <c r="Q266" s="204"/>
      <c r="R266" s="204"/>
      <c r="S266" s="204"/>
      <c r="T266" s="205"/>
      <c r="U266" s="34"/>
      <c r="V266" s="34"/>
      <c r="W266" s="35" t="s">
        <v>70</v>
      </c>
      <c r="X266" s="199">
        <v>0</v>
      </c>
      <c r="Y266" s="200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378</v>
      </c>
      <c r="B267" s="54" t="s">
        <v>379</v>
      </c>
      <c r="C267" s="31">
        <v>4301135310</v>
      </c>
      <c r="D267" s="206">
        <v>4640242181318</v>
      </c>
      <c r="E267" s="207"/>
      <c r="F267" s="198">
        <v>0.3</v>
      </c>
      <c r="G267" s="32">
        <v>9</v>
      </c>
      <c r="H267" s="198">
        <v>2.7</v>
      </c>
      <c r="I267" s="198">
        <v>2.988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3" t="s">
        <v>380</v>
      </c>
      <c r="Q267" s="204"/>
      <c r="R267" s="204"/>
      <c r="S267" s="204"/>
      <c r="T267" s="205"/>
      <c r="U267" s="34"/>
      <c r="V267" s="34"/>
      <c r="W267" s="35" t="s">
        <v>70</v>
      </c>
      <c r="X267" s="199">
        <v>14</v>
      </c>
      <c r="Y267" s="200">
        <f t="shared" si="24"/>
        <v>14</v>
      </c>
      <c r="Z267" s="36">
        <f t="shared" si="29"/>
        <v>0.13103999999999999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41.832000000000001</v>
      </c>
      <c r="BN267" s="67">
        <f t="shared" si="26"/>
        <v>41.832000000000001</v>
      </c>
      <c r="BO267" s="67">
        <f t="shared" si="27"/>
        <v>0.1111111111111111</v>
      </c>
      <c r="BP267" s="67">
        <f t="shared" si="28"/>
        <v>0.1111111111111111</v>
      </c>
    </row>
    <row r="268" spans="1:68" ht="27" customHeight="1" x14ac:dyDescent="0.25">
      <c r="A268" s="54" t="s">
        <v>381</v>
      </c>
      <c r="B268" s="54" t="s">
        <v>382</v>
      </c>
      <c r="C268" s="31">
        <v>4301135306</v>
      </c>
      <c r="D268" s="206">
        <v>4640242181578</v>
      </c>
      <c r="E268" s="207"/>
      <c r="F268" s="198">
        <v>0.3</v>
      </c>
      <c r="G268" s="32">
        <v>9</v>
      </c>
      <c r="H268" s="198">
        <v>2.7</v>
      </c>
      <c r="I268" s="198">
        <v>2.8450000000000002</v>
      </c>
      <c r="J268" s="32">
        <v>234</v>
      </c>
      <c r="K268" s="32" t="s">
        <v>138</v>
      </c>
      <c r="L268" s="32" t="s">
        <v>68</v>
      </c>
      <c r="M268" s="33" t="s">
        <v>69</v>
      </c>
      <c r="N268" s="33"/>
      <c r="O268" s="32">
        <v>180</v>
      </c>
      <c r="P268" s="277" t="s">
        <v>383</v>
      </c>
      <c r="Q268" s="204"/>
      <c r="R268" s="204"/>
      <c r="S268" s="204"/>
      <c r="T268" s="205"/>
      <c r="U268" s="34"/>
      <c r="V268" s="34"/>
      <c r="W268" s="35" t="s">
        <v>70</v>
      </c>
      <c r="X268" s="199">
        <v>18</v>
      </c>
      <c r="Y268" s="200">
        <f t="shared" si="24"/>
        <v>18</v>
      </c>
      <c r="Z268" s="36">
        <f>IFERROR(IF(X268="","",X268*0.00502),"")</f>
        <v>9.0359999999999996E-2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51.21</v>
      </c>
      <c r="BN268" s="67">
        <f t="shared" si="26"/>
        <v>51.21</v>
      </c>
      <c r="BO268" s="67">
        <f t="shared" si="27"/>
        <v>7.6923076923076927E-2</v>
      </c>
      <c r="BP268" s="67">
        <f t="shared" si="28"/>
        <v>7.6923076923076927E-2</v>
      </c>
    </row>
    <row r="269" spans="1:68" ht="27" customHeight="1" x14ac:dyDescent="0.25">
      <c r="A269" s="54" t="s">
        <v>384</v>
      </c>
      <c r="B269" s="54" t="s">
        <v>385</v>
      </c>
      <c r="C269" s="31">
        <v>4301135305</v>
      </c>
      <c r="D269" s="206">
        <v>4640242181394</v>
      </c>
      <c r="E269" s="207"/>
      <c r="F269" s="198">
        <v>0.3</v>
      </c>
      <c r="G269" s="32">
        <v>9</v>
      </c>
      <c r="H269" s="198">
        <v>2.7</v>
      </c>
      <c r="I269" s="198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69" t="s">
        <v>386</v>
      </c>
      <c r="Q269" s="204"/>
      <c r="R269" s="204"/>
      <c r="S269" s="204"/>
      <c r="T269" s="205"/>
      <c r="U269" s="34"/>
      <c r="V269" s="34"/>
      <c r="W269" s="35" t="s">
        <v>70</v>
      </c>
      <c r="X269" s="199">
        <v>0</v>
      </c>
      <c r="Y269" s="200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387</v>
      </c>
      <c r="B270" s="54" t="s">
        <v>388</v>
      </c>
      <c r="C270" s="31">
        <v>4301135309</v>
      </c>
      <c r="D270" s="206">
        <v>4640242181332</v>
      </c>
      <c r="E270" s="207"/>
      <c r="F270" s="198">
        <v>0.3</v>
      </c>
      <c r="G270" s="32">
        <v>9</v>
      </c>
      <c r="H270" s="198">
        <v>2.7</v>
      </c>
      <c r="I270" s="198">
        <v>2.9079999999999999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80" t="s">
        <v>389</v>
      </c>
      <c r="Q270" s="204"/>
      <c r="R270" s="204"/>
      <c r="S270" s="204"/>
      <c r="T270" s="205"/>
      <c r="U270" s="34"/>
      <c r="V270" s="34"/>
      <c r="W270" s="35" t="s">
        <v>70</v>
      </c>
      <c r="X270" s="199">
        <v>0</v>
      </c>
      <c r="Y270" s="200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390</v>
      </c>
      <c r="B271" s="54" t="s">
        <v>391</v>
      </c>
      <c r="C271" s="31">
        <v>4301135308</v>
      </c>
      <c r="D271" s="206">
        <v>4640242181349</v>
      </c>
      <c r="E271" s="207"/>
      <c r="F271" s="198">
        <v>0.3</v>
      </c>
      <c r="G271" s="32">
        <v>9</v>
      </c>
      <c r="H271" s="198">
        <v>2.7</v>
      </c>
      <c r="I271" s="198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52" t="s">
        <v>392</v>
      </c>
      <c r="Q271" s="204"/>
      <c r="R271" s="204"/>
      <c r="S271" s="204"/>
      <c r="T271" s="205"/>
      <c r="U271" s="34"/>
      <c r="V271" s="34"/>
      <c r="W271" s="35" t="s">
        <v>70</v>
      </c>
      <c r="X271" s="199">
        <v>0</v>
      </c>
      <c r="Y271" s="200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393</v>
      </c>
      <c r="B272" s="54" t="s">
        <v>394</v>
      </c>
      <c r="C272" s="31">
        <v>4301135307</v>
      </c>
      <c r="D272" s="206">
        <v>4640242181370</v>
      </c>
      <c r="E272" s="207"/>
      <c r="F272" s="198">
        <v>0.3</v>
      </c>
      <c r="G272" s="32">
        <v>9</v>
      </c>
      <c r="H272" s="198">
        <v>2.7</v>
      </c>
      <c r="I272" s="198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11" t="s">
        <v>395</v>
      </c>
      <c r="Q272" s="204"/>
      <c r="R272" s="204"/>
      <c r="S272" s="204"/>
      <c r="T272" s="205"/>
      <c r="U272" s="34"/>
      <c r="V272" s="34"/>
      <c r="W272" s="35" t="s">
        <v>70</v>
      </c>
      <c r="X272" s="199">
        <v>0</v>
      </c>
      <c r="Y272" s="200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396</v>
      </c>
      <c r="B273" s="54" t="s">
        <v>397</v>
      </c>
      <c r="C273" s="31">
        <v>4301135318</v>
      </c>
      <c r="D273" s="206">
        <v>4607111037480</v>
      </c>
      <c r="E273" s="207"/>
      <c r="F273" s="198">
        <v>1</v>
      </c>
      <c r="G273" s="32">
        <v>4</v>
      </c>
      <c r="H273" s="198">
        <v>4</v>
      </c>
      <c r="I273" s="198">
        <v>4.2724000000000002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272" t="s">
        <v>398</v>
      </c>
      <c r="Q273" s="204"/>
      <c r="R273" s="204"/>
      <c r="S273" s="204"/>
      <c r="T273" s="205"/>
      <c r="U273" s="34"/>
      <c r="V273" s="34"/>
      <c r="W273" s="35" t="s">
        <v>70</v>
      </c>
      <c r="X273" s="199">
        <v>0</v>
      </c>
      <c r="Y273" s="200">
        <f t="shared" si="24"/>
        <v>0</v>
      </c>
      <c r="Z273" s="36">
        <f>IFERROR(IF(X273="","",X273*0.0155),"")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399</v>
      </c>
      <c r="B274" s="54" t="s">
        <v>400</v>
      </c>
      <c r="C274" s="31">
        <v>4301135319</v>
      </c>
      <c r="D274" s="206">
        <v>4607111037473</v>
      </c>
      <c r="E274" s="207"/>
      <c r="F274" s="198">
        <v>1</v>
      </c>
      <c r="G274" s="32">
        <v>4</v>
      </c>
      <c r="H274" s="198">
        <v>4</v>
      </c>
      <c r="I274" s="198">
        <v>4.2300000000000004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56" t="s">
        <v>401</v>
      </c>
      <c r="Q274" s="204"/>
      <c r="R274" s="204"/>
      <c r="S274" s="204"/>
      <c r="T274" s="205"/>
      <c r="U274" s="34"/>
      <c r="V274" s="34"/>
      <c r="W274" s="35" t="s">
        <v>70</v>
      </c>
      <c r="X274" s="199">
        <v>0</v>
      </c>
      <c r="Y274" s="200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402</v>
      </c>
      <c r="B275" s="54" t="s">
        <v>403</v>
      </c>
      <c r="C275" s="31">
        <v>4301135198</v>
      </c>
      <c r="D275" s="206">
        <v>4640242180663</v>
      </c>
      <c r="E275" s="207"/>
      <c r="F275" s="198">
        <v>0.9</v>
      </c>
      <c r="G275" s="32">
        <v>4</v>
      </c>
      <c r="H275" s="198">
        <v>3.6</v>
      </c>
      <c r="I275" s="198">
        <v>3.83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33" t="s">
        <v>404</v>
      </c>
      <c r="Q275" s="204"/>
      <c r="R275" s="204"/>
      <c r="S275" s="204"/>
      <c r="T275" s="205"/>
      <c r="U275" s="34"/>
      <c r="V275" s="34"/>
      <c r="W275" s="35" t="s">
        <v>70</v>
      </c>
      <c r="X275" s="199">
        <v>0</v>
      </c>
      <c r="Y275" s="200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x14ac:dyDescent="0.2">
      <c r="A276" s="219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20"/>
      <c r="P276" s="213" t="s">
        <v>72</v>
      </c>
      <c r="Q276" s="214"/>
      <c r="R276" s="214"/>
      <c r="S276" s="214"/>
      <c r="T276" s="214"/>
      <c r="U276" s="214"/>
      <c r="V276" s="215"/>
      <c r="W276" s="37" t="s">
        <v>70</v>
      </c>
      <c r="X276" s="201">
        <f>IFERROR(SUM(X255:X275),"0")</f>
        <v>186</v>
      </c>
      <c r="Y276" s="201">
        <f>IFERROR(SUM(Y255:Y275),"0")</f>
        <v>186</v>
      </c>
      <c r="Z276" s="20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1.6628400000000001</v>
      </c>
      <c r="AA276" s="202"/>
      <c r="AB276" s="202"/>
      <c r="AC276" s="202"/>
    </row>
    <row r="277" spans="1:68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20"/>
      <c r="P277" s="213" t="s">
        <v>72</v>
      </c>
      <c r="Q277" s="214"/>
      <c r="R277" s="214"/>
      <c r="S277" s="214"/>
      <c r="T277" s="214"/>
      <c r="U277" s="214"/>
      <c r="V277" s="215"/>
      <c r="W277" s="37" t="s">
        <v>73</v>
      </c>
      <c r="X277" s="201">
        <f>IFERROR(SUMPRODUCT(X255:X275*H255:H275),"0")</f>
        <v>597.4</v>
      </c>
      <c r="Y277" s="201">
        <f>IFERROR(SUMPRODUCT(Y255:Y275*H255:H275),"0")</f>
        <v>597.4</v>
      </c>
      <c r="Z277" s="37"/>
      <c r="AA277" s="202"/>
      <c r="AB277" s="202"/>
      <c r="AC277" s="202"/>
    </row>
    <row r="278" spans="1:68" ht="15" customHeight="1" x14ac:dyDescent="0.2">
      <c r="A278" s="371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318"/>
      <c r="P278" s="258" t="s">
        <v>405</v>
      </c>
      <c r="Q278" s="259"/>
      <c r="R278" s="259"/>
      <c r="S278" s="259"/>
      <c r="T278" s="259"/>
      <c r="U278" s="259"/>
      <c r="V278" s="260"/>
      <c r="W278" s="37" t="s">
        <v>73</v>
      </c>
      <c r="X278" s="201">
        <f>IFERROR(X24+X33+X40+X48+X65+X71+X76+X82+X92+X99+X112+X118+X124+X131+X136+X142+X147+X154+X162+X167+X175+X179+X187+X197+X205+X211+X217+X224+X230+X238+X242+X247+X253+X277,"0")</f>
        <v>8335</v>
      </c>
      <c r="Y278" s="201">
        <f>IFERROR(Y24+Y33+Y40+Y48+Y65+Y71+Y76+Y82+Y92+Y99+Y112+Y118+Y124+Y131+Y136+Y142+Y147+Y154+Y162+Y167+Y175+Y179+Y187+Y197+Y205+Y211+Y217+Y224+Y230+Y238+Y242+Y247+Y253+Y277,"0")</f>
        <v>8335</v>
      </c>
      <c r="Z278" s="37"/>
      <c r="AA278" s="202"/>
      <c r="AB278" s="202"/>
      <c r="AC278" s="202"/>
    </row>
    <row r="279" spans="1:68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318"/>
      <c r="P279" s="258" t="s">
        <v>406</v>
      </c>
      <c r="Q279" s="259"/>
      <c r="R279" s="259"/>
      <c r="S279" s="259"/>
      <c r="T279" s="259"/>
      <c r="U279" s="259"/>
      <c r="V279" s="260"/>
      <c r="W279" s="37" t="s">
        <v>73</v>
      </c>
      <c r="X279" s="201">
        <f>IFERROR(SUM(BM22:BM275),"0")</f>
        <v>8798.2139999999981</v>
      </c>
      <c r="Y279" s="201">
        <f>IFERROR(SUM(BN22:BN275),"0")</f>
        <v>8798.2139999999981</v>
      </c>
      <c r="Z279" s="37"/>
      <c r="AA279" s="202"/>
      <c r="AB279" s="202"/>
      <c r="AC279" s="202"/>
    </row>
    <row r="280" spans="1:68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18"/>
      <c r="P280" s="258" t="s">
        <v>407</v>
      </c>
      <c r="Q280" s="259"/>
      <c r="R280" s="259"/>
      <c r="S280" s="259"/>
      <c r="T280" s="259"/>
      <c r="U280" s="259"/>
      <c r="V280" s="260"/>
      <c r="W280" s="37" t="s">
        <v>408</v>
      </c>
      <c r="X280" s="38">
        <f>ROUNDUP(SUM(BO22:BO275),0)</f>
        <v>17</v>
      </c>
      <c r="Y280" s="38">
        <f>ROUNDUP(SUM(BP22:BP275),0)</f>
        <v>17</v>
      </c>
      <c r="Z280" s="37"/>
      <c r="AA280" s="202"/>
      <c r="AB280" s="202"/>
      <c r="AC280" s="202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18"/>
      <c r="P281" s="258" t="s">
        <v>409</v>
      </c>
      <c r="Q281" s="259"/>
      <c r="R281" s="259"/>
      <c r="S281" s="259"/>
      <c r="T281" s="259"/>
      <c r="U281" s="259"/>
      <c r="V281" s="260"/>
      <c r="W281" s="37" t="s">
        <v>73</v>
      </c>
      <c r="X281" s="201">
        <f>GrossWeightTotal+PalletQtyTotal*25</f>
        <v>9223.2139999999981</v>
      </c>
      <c r="Y281" s="201">
        <f>GrossWeightTotalR+PalletQtyTotalR*25</f>
        <v>9223.2139999999981</v>
      </c>
      <c r="Z281" s="37"/>
      <c r="AA281" s="202"/>
      <c r="AB281" s="202"/>
      <c r="AC281" s="202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18"/>
      <c r="P282" s="258" t="s">
        <v>410</v>
      </c>
      <c r="Q282" s="259"/>
      <c r="R282" s="259"/>
      <c r="S282" s="259"/>
      <c r="T282" s="259"/>
      <c r="U282" s="259"/>
      <c r="V282" s="260"/>
      <c r="W282" s="37" t="s">
        <v>408</v>
      </c>
      <c r="X282" s="201">
        <f>IFERROR(X23+X32+X39+X47+X64+X70+X75+X81+X91+X98+X111+X117+X123+X130+X135+X141+X146+X153+X161+X166+X174+X178+X186+X196+X204+X210+X216+X223+X229+X237+X241+X246+X252+X276,"0")</f>
        <v>1634</v>
      </c>
      <c r="Y282" s="201">
        <f>IFERROR(Y23+Y32+Y39+Y47+Y64+Y70+Y75+Y81+Y91+Y98+Y111+Y117+Y123+Y130+Y135+Y141+Y146+Y153+Y161+Y166+Y174+Y178+Y186+Y196+Y204+Y210+Y216+Y223+Y229+Y237+Y241+Y246+Y252+Y276,"0")</f>
        <v>1634</v>
      </c>
      <c r="Z282" s="37"/>
      <c r="AA282" s="202"/>
      <c r="AB282" s="202"/>
      <c r="AC282" s="202"/>
    </row>
    <row r="283" spans="1:68" ht="14.25" customHeight="1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18"/>
      <c r="P283" s="258" t="s">
        <v>411</v>
      </c>
      <c r="Q283" s="259"/>
      <c r="R283" s="259"/>
      <c r="S283" s="259"/>
      <c r="T283" s="259"/>
      <c r="U283" s="259"/>
      <c r="V283" s="260"/>
      <c r="W283" s="39" t="s">
        <v>412</v>
      </c>
      <c r="X283" s="37"/>
      <c r="Y283" s="37"/>
      <c r="Z283" s="37">
        <f>IFERROR(Z23+Z32+Z39+Z47+Z64+Z70+Z75+Z81+Z91+Z98+Z111+Z117+Z123+Z130+Z135+Z141+Z146+Z153+Z161+Z166+Z174+Z178+Z186+Z196+Z204+Z210+Z216+Z223+Z229+Z237+Z241+Z246+Z252+Z276,"0")</f>
        <v>21.649319999999996</v>
      </c>
      <c r="AA283" s="202"/>
      <c r="AB283" s="202"/>
      <c r="AC283" s="202"/>
    </row>
    <row r="284" spans="1:68" ht="13.5" customHeight="1" thickBot="1" x14ac:dyDescent="0.25"/>
    <row r="285" spans="1:68" ht="27" customHeight="1" thickTop="1" thickBot="1" x14ac:dyDescent="0.25">
      <c r="A285" s="40" t="s">
        <v>413</v>
      </c>
      <c r="B285" s="196" t="s">
        <v>63</v>
      </c>
      <c r="C285" s="216" t="s">
        <v>74</v>
      </c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3"/>
      <c r="T285" s="216" t="s">
        <v>226</v>
      </c>
      <c r="U285" s="243"/>
      <c r="V285" s="196" t="s">
        <v>251</v>
      </c>
      <c r="W285" s="216" t="s">
        <v>264</v>
      </c>
      <c r="X285" s="242"/>
      <c r="Y285" s="242"/>
      <c r="Z285" s="243"/>
      <c r="AA285" s="196" t="s">
        <v>300</v>
      </c>
      <c r="AB285" s="196" t="s">
        <v>305</v>
      </c>
      <c r="AC285" s="196" t="s">
        <v>311</v>
      </c>
      <c r="AD285" s="196" t="s">
        <v>227</v>
      </c>
      <c r="AF285" s="197"/>
    </row>
    <row r="286" spans="1:68" ht="14.25" customHeight="1" thickTop="1" x14ac:dyDescent="0.2">
      <c r="A286" s="359" t="s">
        <v>414</v>
      </c>
      <c r="B286" s="216" t="s">
        <v>63</v>
      </c>
      <c r="C286" s="216" t="s">
        <v>75</v>
      </c>
      <c r="D286" s="216" t="s">
        <v>87</v>
      </c>
      <c r="E286" s="216" t="s">
        <v>95</v>
      </c>
      <c r="F286" s="216" t="s">
        <v>106</v>
      </c>
      <c r="G286" s="216" t="s">
        <v>135</v>
      </c>
      <c r="H286" s="216" t="s">
        <v>141</v>
      </c>
      <c r="I286" s="216" t="s">
        <v>145</v>
      </c>
      <c r="J286" s="216" t="s">
        <v>151</v>
      </c>
      <c r="K286" s="216" t="s">
        <v>164</v>
      </c>
      <c r="L286" s="216" t="s">
        <v>172</v>
      </c>
      <c r="M286" s="216" t="s">
        <v>195</v>
      </c>
      <c r="N286" s="197"/>
      <c r="O286" s="216" t="s">
        <v>200</v>
      </c>
      <c r="P286" s="216" t="s">
        <v>205</v>
      </c>
      <c r="Q286" s="216" t="s">
        <v>212</v>
      </c>
      <c r="R286" s="216" t="s">
        <v>215</v>
      </c>
      <c r="S286" s="216" t="s">
        <v>223</v>
      </c>
      <c r="T286" s="216" t="s">
        <v>227</v>
      </c>
      <c r="U286" s="216" t="s">
        <v>234</v>
      </c>
      <c r="V286" s="216" t="s">
        <v>252</v>
      </c>
      <c r="W286" s="216" t="s">
        <v>265</v>
      </c>
      <c r="X286" s="216" t="s">
        <v>272</v>
      </c>
      <c r="Y286" s="216" t="s">
        <v>285</v>
      </c>
      <c r="Z286" s="216" t="s">
        <v>294</v>
      </c>
      <c r="AA286" s="216" t="s">
        <v>301</v>
      </c>
      <c r="AB286" s="216" t="s">
        <v>306</v>
      </c>
      <c r="AC286" s="216" t="s">
        <v>312</v>
      </c>
      <c r="AD286" s="216" t="s">
        <v>227</v>
      </c>
      <c r="AF286" s="197"/>
    </row>
    <row r="287" spans="1:68" ht="13.5" customHeight="1" thickBot="1" x14ac:dyDescent="0.25">
      <c r="A287" s="360"/>
      <c r="B287" s="217"/>
      <c r="C287" s="217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19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  <c r="AA287" s="217"/>
      <c r="AB287" s="217"/>
      <c r="AC287" s="217"/>
      <c r="AD287" s="217"/>
      <c r="AF287" s="197"/>
    </row>
    <row r="288" spans="1:68" ht="18" customHeight="1" thickTop="1" thickBot="1" x14ac:dyDescent="0.25">
      <c r="A288" s="40" t="s">
        <v>415</v>
      </c>
      <c r="B288" s="46">
        <f>IFERROR(X22*H22,"0")</f>
        <v>0</v>
      </c>
      <c r="C288" s="46">
        <f>IFERROR(X28*H28,"0")+IFERROR(X29*H29,"0")+IFERROR(X30*H30,"0")+IFERROR(X31*H31,"0")</f>
        <v>0</v>
      </c>
      <c r="D288" s="46">
        <f>IFERROR(X36*H36,"0")+IFERROR(X37*H37,"0")+IFERROR(X38*H38,"0")</f>
        <v>0</v>
      </c>
      <c r="E288" s="46">
        <f>IFERROR(X43*H43,"0")+IFERROR(X44*H44,"0")+IFERROR(X45*H45,"0")+IFERROR(X46*H46,"0")</f>
        <v>0</v>
      </c>
      <c r="F288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0</v>
      </c>
      <c r="G288" s="46">
        <f>IFERROR(X68*H68,"0")+IFERROR(X69*H69,"0")</f>
        <v>1200</v>
      </c>
      <c r="H288" s="46">
        <f>IFERROR(X74*H74,"0")</f>
        <v>151.20000000000002</v>
      </c>
      <c r="I288" s="46">
        <f>IFERROR(X79*H79,"0")+IFERROR(X80*H80,"0")</f>
        <v>252</v>
      </c>
      <c r="J288" s="46">
        <f>IFERROR(X85*H85,"0")+IFERROR(X86*H86,"0")+IFERROR(X87*H87,"0")+IFERROR(X88*H88,"0")+IFERROR(X89*H89,"0")+IFERROR(X90*H90,"0")</f>
        <v>0</v>
      </c>
      <c r="K288" s="46">
        <f>IFERROR(X95*H95,"0")+IFERROR(X96*H96,"0")+IFERROR(X97*H97,"0")</f>
        <v>0</v>
      </c>
      <c r="L288" s="46">
        <f>IFERROR(X102*H102,"0")+IFERROR(X103*H103,"0")+IFERROR(X104*H104,"0")+IFERROR(X105*H105,"0")+IFERROR(X106*H106,"0")+IFERROR(X107*H107,"0")+IFERROR(X108*H108,"0")+IFERROR(X109*H109,"0")+IFERROR(X110*H110,"0")</f>
        <v>1468.8000000000002</v>
      </c>
      <c r="M288" s="46">
        <f>IFERROR(X115*H115,"0")+IFERROR(X116*H116,"0")</f>
        <v>84</v>
      </c>
      <c r="N288" s="197"/>
      <c r="O288" s="46">
        <f>IFERROR(X121*H121,"0")+IFERROR(X122*H122,"0")</f>
        <v>0</v>
      </c>
      <c r="P288" s="46">
        <f>IFERROR(X127*H127,"0")+IFERROR(X128*H128,"0")+IFERROR(X129*H129,"0")</f>
        <v>0</v>
      </c>
      <c r="Q288" s="46">
        <f>IFERROR(X134*H134,"0")</f>
        <v>0</v>
      </c>
      <c r="R288" s="46">
        <f>IFERROR(X139*H139,"0")+IFERROR(X140*H140,"0")</f>
        <v>0</v>
      </c>
      <c r="S288" s="46">
        <f>IFERROR(X145*H145,"0")</f>
        <v>0</v>
      </c>
      <c r="T288" s="46">
        <f>IFERROR(X151*H151,"0")+IFERROR(X152*H152,"0")</f>
        <v>0</v>
      </c>
      <c r="U288" s="46">
        <f>IFERROR(X157*H157,"0")+IFERROR(X158*H158,"0")+IFERROR(X159*H159,"0")+IFERROR(X160*H160,"0")+IFERROR(X164*H164,"0")+IFERROR(X165*H165,"0")</f>
        <v>840</v>
      </c>
      <c r="V288" s="46">
        <f>IFERROR(X171*H171,"0")+IFERROR(X172*H172,"0")+IFERROR(X173*H173,"0")+IFERROR(X177*H177,"0")</f>
        <v>0</v>
      </c>
      <c r="W288" s="46">
        <f>IFERROR(X183*H183,"0")+IFERROR(X184*H184,"0")+IFERROR(X185*H185,"0")</f>
        <v>336</v>
      </c>
      <c r="X288" s="46">
        <f>IFERROR(X190*H190,"0")+IFERROR(X191*H191,"0")+IFERROR(X192*H192,"0")+IFERROR(X193*H193,"0")+IFERROR(X194*H194,"0")+IFERROR(X195*H195,"0")</f>
        <v>201.59999999999997</v>
      </c>
      <c r="Y288" s="46">
        <f>IFERROR(X200*H200,"0")+IFERROR(X201*H201,"0")+IFERROR(X202*H202,"0")+IFERROR(X203*H203,"0")</f>
        <v>0</v>
      </c>
      <c r="Z288" s="46">
        <f>IFERROR(X208*H208,"0")+IFERROR(X209*H209,"0")</f>
        <v>0</v>
      </c>
      <c r="AA288" s="46">
        <f>IFERROR(X215*H215,"0")</f>
        <v>0</v>
      </c>
      <c r="AB288" s="46">
        <f>IFERROR(X221*H221,"0")+IFERROR(X222*H222,"0")</f>
        <v>600</v>
      </c>
      <c r="AC288" s="46">
        <f>IFERROR(X228*H228,"0")</f>
        <v>0</v>
      </c>
      <c r="AD288" s="46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3201.4</v>
      </c>
      <c r="AF288" s="197"/>
    </row>
    <row r="289" spans="1:3" ht="13.5" customHeight="1" thickTop="1" x14ac:dyDescent="0.2">
      <c r="C289" s="197"/>
    </row>
    <row r="290" spans="1:3" ht="19.5" customHeight="1" x14ac:dyDescent="0.2">
      <c r="A290" s="58" t="s">
        <v>416</v>
      </c>
      <c r="B290" s="58" t="s">
        <v>417</v>
      </c>
      <c r="C290" s="58" t="s">
        <v>418</v>
      </c>
    </row>
    <row r="291" spans="1:3" x14ac:dyDescent="0.2">
      <c r="A291" s="59">
        <f>SUMPRODUCT(--(BB:BB="ЗПФ"),--(W:W="кор"),H:H,Y:Y)+SUMPRODUCT(--(BB:BB="ЗПФ"),--(W:W="кг"),Y:Y)</f>
        <v>4646.3999999999996</v>
      </c>
      <c r="B291" s="60">
        <f>SUMPRODUCT(--(BB:BB="ПГП"),--(W:W="кор"),H:H,Y:Y)+SUMPRODUCT(--(BB:BB="ПГП"),--(W:W="кг"),Y:Y)</f>
        <v>3688.6</v>
      </c>
      <c r="C291" s="60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0">
    <mergeCell ref="I286:I287"/>
    <mergeCell ref="K286:K287"/>
    <mergeCell ref="D266:E266"/>
    <mergeCell ref="D95:E95"/>
    <mergeCell ref="U17:V17"/>
    <mergeCell ref="Y17:Y18"/>
    <mergeCell ref="D57:E57"/>
    <mergeCell ref="A8:C8"/>
    <mergeCell ref="D268:E268"/>
    <mergeCell ref="P151:T151"/>
    <mergeCell ref="D97:E97"/>
    <mergeCell ref="P76:V76"/>
    <mergeCell ref="A10:C10"/>
    <mergeCell ref="A21:Z21"/>
    <mergeCell ref="D184:E184"/>
    <mergeCell ref="D121:E121"/>
    <mergeCell ref="D192:E192"/>
    <mergeCell ref="A181:Z181"/>
    <mergeCell ref="D173:E173"/>
    <mergeCell ref="D17:E18"/>
    <mergeCell ref="P202:T202"/>
    <mergeCell ref="X17:X18"/>
    <mergeCell ref="P58:T58"/>
    <mergeCell ref="D250:E250"/>
    <mergeCell ref="P263:T263"/>
    <mergeCell ref="D244:E244"/>
    <mergeCell ref="P228:T228"/>
    <mergeCell ref="D171:E171"/>
    <mergeCell ref="Q6:R6"/>
    <mergeCell ref="P200:T200"/>
    <mergeCell ref="P134:T134"/>
    <mergeCell ref="J286:J287"/>
    <mergeCell ref="D102:E102"/>
    <mergeCell ref="L286:L287"/>
    <mergeCell ref="P81:V81"/>
    <mergeCell ref="P23:V23"/>
    <mergeCell ref="A231:Z231"/>
    <mergeCell ref="A206:Z206"/>
    <mergeCell ref="P210:V210"/>
    <mergeCell ref="A35:Z35"/>
    <mergeCell ref="D54:E54"/>
    <mergeCell ref="P283:V283"/>
    <mergeCell ref="D271:E271"/>
    <mergeCell ref="V12:W12"/>
    <mergeCell ref="D191:E191"/>
    <mergeCell ref="D262:E262"/>
    <mergeCell ref="P85:T85"/>
    <mergeCell ref="P60:T60"/>
    <mergeCell ref="AD17:AF18"/>
    <mergeCell ref="A39:O40"/>
    <mergeCell ref="P167:V167"/>
    <mergeCell ref="P142:V142"/>
    <mergeCell ref="A132:Z132"/>
    <mergeCell ref="P117:V117"/>
    <mergeCell ref="F5:G5"/>
    <mergeCell ref="A25:Z25"/>
    <mergeCell ref="D221:E221"/>
    <mergeCell ref="V11:W11"/>
    <mergeCell ref="P57:T57"/>
    <mergeCell ref="D165:E165"/>
    <mergeCell ref="D152:E152"/>
    <mergeCell ref="P121:T121"/>
    <mergeCell ref="D29:E29"/>
    <mergeCell ref="A20:Z20"/>
    <mergeCell ref="A125:Z125"/>
    <mergeCell ref="P110:T110"/>
    <mergeCell ref="P197:V197"/>
    <mergeCell ref="A176:Z176"/>
    <mergeCell ref="A114:Z114"/>
    <mergeCell ref="D105:E105"/>
    <mergeCell ref="N17:N18"/>
    <mergeCell ref="Q5:R5"/>
    <mergeCell ref="P2:W3"/>
    <mergeCell ref="P127:T127"/>
    <mergeCell ref="P54:T54"/>
    <mergeCell ref="A170:Z170"/>
    <mergeCell ref="D228:E228"/>
    <mergeCell ref="A23:O24"/>
    <mergeCell ref="D10:E10"/>
    <mergeCell ref="F10:G10"/>
    <mergeCell ref="P191:T191"/>
    <mergeCell ref="P205:V205"/>
    <mergeCell ref="P128:T128"/>
    <mergeCell ref="F17:F18"/>
    <mergeCell ref="D107:E107"/>
    <mergeCell ref="D110:E110"/>
    <mergeCell ref="D44:E44"/>
    <mergeCell ref="P216:V216"/>
    <mergeCell ref="P36:T36"/>
    <mergeCell ref="P107:T107"/>
    <mergeCell ref="W286:W287"/>
    <mergeCell ref="D215:E215"/>
    <mergeCell ref="A233:Z233"/>
    <mergeCell ref="M17:M18"/>
    <mergeCell ref="O17:O18"/>
    <mergeCell ref="P131:V131"/>
    <mergeCell ref="P187:V187"/>
    <mergeCell ref="A248:Z248"/>
    <mergeCell ref="P223:V223"/>
    <mergeCell ref="P174:V174"/>
    <mergeCell ref="P102:T102"/>
    <mergeCell ref="D177:E177"/>
    <mergeCell ref="P281:V281"/>
    <mergeCell ref="P183:T183"/>
    <mergeCell ref="D164:E164"/>
    <mergeCell ref="P62:T62"/>
    <mergeCell ref="D270:E270"/>
    <mergeCell ref="A254:Z254"/>
    <mergeCell ref="D265:E265"/>
    <mergeCell ref="D249:E249"/>
    <mergeCell ref="P262:T262"/>
    <mergeCell ref="D234:E234"/>
    <mergeCell ref="A9:C9"/>
    <mergeCell ref="D202:E202"/>
    <mergeCell ref="D58:E58"/>
    <mergeCell ref="P39:V39"/>
    <mergeCell ref="P70:V70"/>
    <mergeCell ref="A156:Z156"/>
    <mergeCell ref="B286:B287"/>
    <mergeCell ref="P32:V32"/>
    <mergeCell ref="D286:D287"/>
    <mergeCell ref="A155:Z155"/>
    <mergeCell ref="Q13:R13"/>
    <mergeCell ref="A93:Z93"/>
    <mergeCell ref="P201:T201"/>
    <mergeCell ref="A220:Z220"/>
    <mergeCell ref="P139:T139"/>
    <mergeCell ref="P47:V47"/>
    <mergeCell ref="D22:E22"/>
    <mergeCell ref="P105:T105"/>
    <mergeCell ref="D257:E257"/>
    <mergeCell ref="P270:T270"/>
    <mergeCell ref="D86:E86"/>
    <mergeCell ref="A64:O65"/>
    <mergeCell ref="D151:E151"/>
    <mergeCell ref="A166:O167"/>
    <mergeCell ref="H5:M5"/>
    <mergeCell ref="A27:Z27"/>
    <mergeCell ref="A214:Z214"/>
    <mergeCell ref="D6:M6"/>
    <mergeCell ref="A75:O76"/>
    <mergeCell ref="AD286:AD287"/>
    <mergeCell ref="V286:V287"/>
    <mergeCell ref="X286:X287"/>
    <mergeCell ref="P106:T106"/>
    <mergeCell ref="P177:T177"/>
    <mergeCell ref="A223:O224"/>
    <mergeCell ref="D256:E256"/>
    <mergeCell ref="P269:T269"/>
    <mergeCell ref="P164:T164"/>
    <mergeCell ref="D85:E85"/>
    <mergeCell ref="D222:E222"/>
    <mergeCell ref="G17:G18"/>
    <mergeCell ref="A81:O82"/>
    <mergeCell ref="A278:O283"/>
    <mergeCell ref="A143:Z143"/>
    <mergeCell ref="P242:V242"/>
    <mergeCell ref="D159:E159"/>
    <mergeCell ref="A232:Z232"/>
    <mergeCell ref="D80:E80"/>
    <mergeCell ref="C286:C287"/>
    <mergeCell ref="T285:U285"/>
    <mergeCell ref="P92:V92"/>
    <mergeCell ref="P257:T257"/>
    <mergeCell ref="P80:T80"/>
    <mergeCell ref="D194:E194"/>
    <mergeCell ref="Z17:Z18"/>
    <mergeCell ref="AB17:AB18"/>
    <mergeCell ref="A212:Z212"/>
    <mergeCell ref="A41:Z41"/>
    <mergeCell ref="P237:V237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A241:O242"/>
    <mergeCell ref="A227:Z227"/>
    <mergeCell ref="P61:T61"/>
    <mergeCell ref="D200:E200"/>
    <mergeCell ref="A178:O179"/>
    <mergeCell ref="BD17:BD18"/>
    <mergeCell ref="P159:T159"/>
    <mergeCell ref="P286:P287"/>
    <mergeCell ref="D140:E140"/>
    <mergeCell ref="A276:O277"/>
    <mergeCell ref="D267:E267"/>
    <mergeCell ref="P96:T96"/>
    <mergeCell ref="H17:H18"/>
    <mergeCell ref="P261:T261"/>
    <mergeCell ref="P90:T90"/>
    <mergeCell ref="D269:E269"/>
    <mergeCell ref="P247:V247"/>
    <mergeCell ref="P241:V241"/>
    <mergeCell ref="A66:Z66"/>
    <mergeCell ref="D273:E273"/>
    <mergeCell ref="P252:V252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J9:M9"/>
    <mergeCell ref="D62:E62"/>
    <mergeCell ref="D56:E56"/>
    <mergeCell ref="D193:E193"/>
    <mergeCell ref="D127:E127"/>
    <mergeCell ref="P37:T37"/>
    <mergeCell ref="D51:E51"/>
    <mergeCell ref="P235:T235"/>
    <mergeCell ref="Y286:Y287"/>
    <mergeCell ref="A67:Z67"/>
    <mergeCell ref="D203:E203"/>
    <mergeCell ref="H10:M10"/>
    <mergeCell ref="P251:T251"/>
    <mergeCell ref="P45:T45"/>
    <mergeCell ref="P256:T256"/>
    <mergeCell ref="D128:E128"/>
    <mergeCell ref="V6:W9"/>
    <mergeCell ref="P38:T38"/>
    <mergeCell ref="P109:T109"/>
    <mergeCell ref="P274:T274"/>
    <mergeCell ref="P222:T222"/>
    <mergeCell ref="P193:T193"/>
    <mergeCell ref="A286:A287"/>
    <mergeCell ref="P22:T22"/>
    <mergeCell ref="P267:T267"/>
    <mergeCell ref="A186:O187"/>
    <mergeCell ref="D275:E275"/>
    <mergeCell ref="D104:E104"/>
    <mergeCell ref="T6:U9"/>
    <mergeCell ref="Q10:R10"/>
    <mergeCell ref="D185:E185"/>
    <mergeCell ref="M286:M287"/>
    <mergeCell ref="O286:O287"/>
    <mergeCell ref="A137:Z137"/>
    <mergeCell ref="A252:O253"/>
    <mergeCell ref="D43:E43"/>
    <mergeCell ref="P124:V124"/>
    <mergeCell ref="D74:E74"/>
    <mergeCell ref="P87:T87"/>
    <mergeCell ref="D201:E201"/>
    <mergeCell ref="D68:E68"/>
    <mergeCell ref="A204:O205"/>
    <mergeCell ref="P245:T245"/>
    <mergeCell ref="P89:T89"/>
    <mergeCell ref="P260:T260"/>
    <mergeCell ref="A141:O142"/>
    <mergeCell ref="D59:E59"/>
    <mergeCell ref="D172:E172"/>
    <mergeCell ref="D157:E157"/>
    <mergeCell ref="P65:V65"/>
    <mergeCell ref="P136:V136"/>
    <mergeCell ref="A188:Z188"/>
    <mergeCell ref="A135:O136"/>
    <mergeCell ref="A126:Z126"/>
    <mergeCell ref="D251:E251"/>
    <mergeCell ref="A12:M12"/>
    <mergeCell ref="A180:Z180"/>
    <mergeCell ref="P74:T74"/>
    <mergeCell ref="A19:Z19"/>
    <mergeCell ref="A14:M14"/>
    <mergeCell ref="D109:E109"/>
    <mergeCell ref="D190:E190"/>
    <mergeCell ref="P203:T203"/>
    <mergeCell ref="D46:E46"/>
    <mergeCell ref="P69:T69"/>
    <mergeCell ref="D183:E183"/>
    <mergeCell ref="P140:T140"/>
    <mergeCell ref="P88:T88"/>
    <mergeCell ref="P51:T51"/>
    <mergeCell ref="D36:E36"/>
    <mergeCell ref="P71:V71"/>
    <mergeCell ref="A138:Z138"/>
    <mergeCell ref="D9:E9"/>
    <mergeCell ref="F9:G9"/>
    <mergeCell ref="P53:T53"/>
    <mergeCell ref="P238:V238"/>
    <mergeCell ref="A210:O211"/>
    <mergeCell ref="P264:T264"/>
    <mergeCell ref="P68:T68"/>
    <mergeCell ref="P186:V186"/>
    <mergeCell ref="D38:E38"/>
    <mergeCell ref="P253:V253"/>
    <mergeCell ref="P204:V204"/>
    <mergeCell ref="P82:V82"/>
    <mergeCell ref="P75:V75"/>
    <mergeCell ref="P146:V146"/>
    <mergeCell ref="D63:E63"/>
    <mergeCell ref="D96:E96"/>
    <mergeCell ref="D52:E52"/>
    <mergeCell ref="P208:T208"/>
    <mergeCell ref="P15:T16"/>
    <mergeCell ref="D116:E116"/>
    <mergeCell ref="A196:O197"/>
    <mergeCell ref="P185:T185"/>
    <mergeCell ref="D106:E106"/>
    <mergeCell ref="A146:O147"/>
    <mergeCell ref="AG17:AG18"/>
    <mergeCell ref="D160:E160"/>
    <mergeCell ref="I17:I18"/>
    <mergeCell ref="A246:O247"/>
    <mergeCell ref="P178:V178"/>
    <mergeCell ref="A120:Z120"/>
    <mergeCell ref="P276:V276"/>
    <mergeCell ref="D235:E235"/>
    <mergeCell ref="A239:Z239"/>
    <mergeCell ref="D255:E255"/>
    <mergeCell ref="A113:Z113"/>
    <mergeCell ref="A219:Z219"/>
    <mergeCell ref="D260:E260"/>
    <mergeCell ref="D88:E88"/>
    <mergeCell ref="P55:T55"/>
    <mergeCell ref="D115:E115"/>
    <mergeCell ref="D261:E261"/>
    <mergeCell ref="A130:O131"/>
    <mergeCell ref="D90:E90"/>
    <mergeCell ref="P196:V196"/>
    <mergeCell ref="P64:V64"/>
    <mergeCell ref="P135:V135"/>
    <mergeCell ref="P195:T195"/>
    <mergeCell ref="A17:A18"/>
    <mergeCell ref="D1:F1"/>
    <mergeCell ref="P282:V282"/>
    <mergeCell ref="P111:V111"/>
    <mergeCell ref="J17:J18"/>
    <mergeCell ref="A91:O92"/>
    <mergeCell ref="L17:L18"/>
    <mergeCell ref="D240:E240"/>
    <mergeCell ref="P48:V48"/>
    <mergeCell ref="P255:T255"/>
    <mergeCell ref="A100:Z100"/>
    <mergeCell ref="P192:T192"/>
    <mergeCell ref="P112:V112"/>
    <mergeCell ref="P277:V277"/>
    <mergeCell ref="P17:T18"/>
    <mergeCell ref="A77:Z77"/>
    <mergeCell ref="P129:T129"/>
    <mergeCell ref="A148:Z148"/>
    <mergeCell ref="P63:T63"/>
    <mergeCell ref="P194:T194"/>
    <mergeCell ref="P250:T250"/>
    <mergeCell ref="D31:E31"/>
    <mergeCell ref="D158:E158"/>
    <mergeCell ref="A117:O118"/>
    <mergeCell ref="D108:E108"/>
    <mergeCell ref="AA286:AA287"/>
    <mergeCell ref="D209:E209"/>
    <mergeCell ref="AC286:AC287"/>
    <mergeCell ref="D87:E87"/>
    <mergeCell ref="D274:E274"/>
    <mergeCell ref="D245:E245"/>
    <mergeCell ref="P116:T116"/>
    <mergeCell ref="D122:E122"/>
    <mergeCell ref="P103:T103"/>
    <mergeCell ref="P268:T268"/>
    <mergeCell ref="P97:T97"/>
    <mergeCell ref="P130:V130"/>
    <mergeCell ref="F286:F287"/>
    <mergeCell ref="H286:H287"/>
    <mergeCell ref="P258:T258"/>
    <mergeCell ref="A111:O112"/>
    <mergeCell ref="A168:Z168"/>
    <mergeCell ref="E286:E287"/>
    <mergeCell ref="G286:G287"/>
    <mergeCell ref="P278:V278"/>
    <mergeCell ref="C285:S285"/>
    <mergeCell ref="Z286:Z287"/>
    <mergeCell ref="AB286:AB287"/>
    <mergeCell ref="A189:Z189"/>
    <mergeCell ref="D5:E5"/>
    <mergeCell ref="A32:O33"/>
    <mergeCell ref="P98:V98"/>
    <mergeCell ref="P259:T259"/>
    <mergeCell ref="D69:E69"/>
    <mergeCell ref="A47:O48"/>
    <mergeCell ref="P175:V175"/>
    <mergeCell ref="P240:T240"/>
    <mergeCell ref="P162:V162"/>
    <mergeCell ref="P33:V33"/>
    <mergeCell ref="D145:E145"/>
    <mergeCell ref="A218:Z218"/>
    <mergeCell ref="A123:O124"/>
    <mergeCell ref="A26:Z26"/>
    <mergeCell ref="P52:T52"/>
    <mergeCell ref="Q9:R9"/>
    <mergeCell ref="Q11:R11"/>
    <mergeCell ref="A6:C6"/>
    <mergeCell ref="Q12:R12"/>
    <mergeCell ref="A5:C5"/>
    <mergeCell ref="C17:C18"/>
    <mergeCell ref="K17:K18"/>
    <mergeCell ref="D103:E103"/>
    <mergeCell ref="D37:E37"/>
    <mergeCell ref="D7:M7"/>
    <mergeCell ref="P91:V91"/>
    <mergeCell ref="Q286:Q287"/>
    <mergeCell ref="P236:T236"/>
    <mergeCell ref="D79:E79"/>
    <mergeCell ref="S286:S287"/>
    <mergeCell ref="U286:U287"/>
    <mergeCell ref="P173:T173"/>
    <mergeCell ref="P29:T29"/>
    <mergeCell ref="P271:T271"/>
    <mergeCell ref="P265:T265"/>
    <mergeCell ref="D208:E208"/>
    <mergeCell ref="D8:M8"/>
    <mergeCell ref="P44:T44"/>
    <mergeCell ref="P279:V279"/>
    <mergeCell ref="A226:Z226"/>
    <mergeCell ref="A161:O162"/>
    <mergeCell ref="P31:T31"/>
    <mergeCell ref="P158:T158"/>
    <mergeCell ref="D139:E139"/>
    <mergeCell ref="P118:V118"/>
    <mergeCell ref="A98:O99"/>
    <mergeCell ref="P266:T266"/>
    <mergeCell ref="P95:T95"/>
    <mergeCell ref="W285:Z285"/>
    <mergeCell ref="P209:T209"/>
    <mergeCell ref="A50:Z50"/>
    <mergeCell ref="W17:W18"/>
    <mergeCell ref="P161:V161"/>
    <mergeCell ref="P217:V217"/>
    <mergeCell ref="A213:Z213"/>
    <mergeCell ref="P234:T234"/>
    <mergeCell ref="P154:V154"/>
    <mergeCell ref="A150:Z150"/>
    <mergeCell ref="A144:Z144"/>
    <mergeCell ref="D129:E129"/>
    <mergeCell ref="P280:V280"/>
    <mergeCell ref="A243:Z243"/>
    <mergeCell ref="P246:V246"/>
    <mergeCell ref="D259:E259"/>
    <mergeCell ref="P40:V40"/>
    <mergeCell ref="A237:O238"/>
    <mergeCell ref="A163:Z163"/>
    <mergeCell ref="D28:E28"/>
    <mergeCell ref="A101:Z101"/>
    <mergeCell ref="P184:T184"/>
    <mergeCell ref="A174:O175"/>
    <mergeCell ref="D236:E236"/>
    <mergeCell ref="P275:T275"/>
    <mergeCell ref="P104:T104"/>
    <mergeCell ref="B17:B18"/>
    <mergeCell ref="A73:Z73"/>
    <mergeCell ref="D258:E258"/>
    <mergeCell ref="P56:T56"/>
    <mergeCell ref="D195:E195"/>
    <mergeCell ref="V10:W10"/>
    <mergeCell ref="A229:O230"/>
    <mergeCell ref="P145:T145"/>
    <mergeCell ref="D53:E53"/>
    <mergeCell ref="A84:Z84"/>
    <mergeCell ref="P160:T160"/>
    <mergeCell ref="A149:Z149"/>
    <mergeCell ref="P171:T171"/>
    <mergeCell ref="D55:E55"/>
    <mergeCell ref="D30:E30"/>
    <mergeCell ref="P273:T273"/>
    <mergeCell ref="D272:E272"/>
    <mergeCell ref="P272:T272"/>
    <mergeCell ref="D264:E264"/>
    <mergeCell ref="P122:T122"/>
    <mergeCell ref="A42:Z42"/>
    <mergeCell ref="P43:T43"/>
    <mergeCell ref="R1:T1"/>
    <mergeCell ref="P28:T28"/>
    <mergeCell ref="P221:T221"/>
    <mergeCell ref="P215:T215"/>
    <mergeCell ref="P165:T165"/>
    <mergeCell ref="P229:V229"/>
    <mergeCell ref="P152:T152"/>
    <mergeCell ref="P30:T30"/>
    <mergeCell ref="P179:V179"/>
    <mergeCell ref="P166:V166"/>
    <mergeCell ref="P141:V141"/>
    <mergeCell ref="H1:Q1"/>
    <mergeCell ref="T5:U5"/>
    <mergeCell ref="V5:W5"/>
    <mergeCell ref="Q8:R8"/>
    <mergeCell ref="A13:M13"/>
    <mergeCell ref="A119:Z119"/>
    <mergeCell ref="A94:Z94"/>
    <mergeCell ref="D61:E61"/>
    <mergeCell ref="P115:T115"/>
    <mergeCell ref="A15:M15"/>
    <mergeCell ref="A153:O154"/>
    <mergeCell ref="A133:Z133"/>
    <mergeCell ref="A198:Z198"/>
    <mergeCell ref="P79:T79"/>
    <mergeCell ref="D60:E60"/>
    <mergeCell ref="P244:T244"/>
    <mergeCell ref="A83:Z83"/>
    <mergeCell ref="A34:Z34"/>
    <mergeCell ref="D45:E45"/>
    <mergeCell ref="H9:I9"/>
    <mergeCell ref="P24:V24"/>
    <mergeCell ref="R286:R287"/>
    <mergeCell ref="P224:V224"/>
    <mergeCell ref="A49:Z49"/>
    <mergeCell ref="T286:T287"/>
    <mergeCell ref="P211:V211"/>
    <mergeCell ref="A78:Z78"/>
    <mergeCell ref="P153:V153"/>
    <mergeCell ref="D263:E263"/>
    <mergeCell ref="A70:O71"/>
    <mergeCell ref="A216:O217"/>
    <mergeCell ref="P86:T86"/>
    <mergeCell ref="P157:T157"/>
    <mergeCell ref="D134:E134"/>
    <mergeCell ref="P249:T249"/>
    <mergeCell ref="P172:T172"/>
    <mergeCell ref="P230:V23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0 X115:X116 X121:X122 X127:X129 X134 X139:X140 X145 X151:X152 X157:X158 X160 X164:X165 X171:X173 X177 X183:X185 X190:X195 X200:X203 X208:X209 X215 X221:X222 X228 X234:X236 X240 X244:X245 X249 X251 X255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59 X250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421</v>
      </c>
      <c r="D6" s="47" t="s">
        <v>422</v>
      </c>
      <c r="E6" s="47"/>
    </row>
    <row r="8" spans="2:8" x14ac:dyDescent="0.2">
      <c r="B8" s="47" t="s">
        <v>19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2024-09-20T08:34:24Z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