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E77C0B2-221B-4329-861E-89BB578568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заказа'!$B$286:$B$286</definedName>
    <definedName name="ProductId102">'Бланк заказа'!$B$287:$B$287</definedName>
    <definedName name="ProductId103">'Бланк заказа'!$B$288:$B$288</definedName>
    <definedName name="ProductId104">'Бланк заказа'!$B$292:$B$292</definedName>
    <definedName name="ProductId105">'Бланк заказа'!$B$296:$B$296</definedName>
    <definedName name="ProductId106">'Бланк заказа'!$B$297:$B$297</definedName>
    <definedName name="ProductId107">'Бланк заказа'!$B$301:$B$301</definedName>
    <definedName name="ProductId108">'Бланк заказа'!$B$302:$B$302</definedName>
    <definedName name="ProductId109">'Бланк заказа'!$B$303:$B$303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заказа'!$B$327:$B$327</definedName>
    <definedName name="ProductId131">'Бланк заказа'!$B$332:$B$332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заказа'!$B$196:$B$196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заказа'!$B$205:$B$205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заказа'!$B$222:$B$222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заказа'!$B$230:$B$230</definedName>
    <definedName name="ProductId88">'Бланк заказа'!$B$235:$B$235</definedName>
    <definedName name="ProductId89">'Бланк заказа'!$B$240:$B$240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заказа'!$B$251:$B$251</definedName>
    <definedName name="ProductId94">'Бланк заказа'!$B$256:$B$256</definedName>
    <definedName name="ProductId95">'Бланк заказа'!$B$257:$B$257</definedName>
    <definedName name="ProductId96">'Бланк заказа'!$B$263:$B$263</definedName>
    <definedName name="ProductId97">'Бланк заказа'!$B$269:$B$269</definedName>
    <definedName name="ProductId98">'Бланк заказа'!$B$270:$B$270</definedName>
    <definedName name="ProductId99">'Бланк заказа'!$B$276:$B$276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заказа'!$X$286:$X$286</definedName>
    <definedName name="SalesQty102">'Бланк заказа'!$X$287:$X$287</definedName>
    <definedName name="SalesQty103">'Бланк заказа'!$X$288:$X$288</definedName>
    <definedName name="SalesQty104">'Бланк заказа'!$X$292:$X$292</definedName>
    <definedName name="SalesQty105">'Бланк заказа'!$X$296:$X$296</definedName>
    <definedName name="SalesQty106">'Бланк заказа'!$X$297:$X$297</definedName>
    <definedName name="SalesQty107">'Бланк заказа'!$X$301:$X$301</definedName>
    <definedName name="SalesQty108">'Бланк заказа'!$X$302:$X$302</definedName>
    <definedName name="SalesQty109">'Бланк заказа'!$X$303:$X$303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заказа'!$X$327:$X$327</definedName>
    <definedName name="SalesQty131">'Бланк заказа'!$X$332:$X$332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заказа'!$X$196:$X$196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заказа'!$X$205:$X$205</definedName>
    <definedName name="SalesQty75">'Бланк заказа'!$X$210:$X$210</definedName>
    <definedName name="SalesQty76">'Бланк заказа'!$X$211:$X$211</definedName>
    <definedName name="SalesQty77">'Бланк заказа'!$X$212:$X$212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заказа'!$X$222:$X$222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заказа'!$X$230:$X$230</definedName>
    <definedName name="SalesQty88">'Бланк заказа'!$X$235:$X$235</definedName>
    <definedName name="SalesQty89">'Бланк заказа'!$X$240:$X$240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заказа'!$X$251:$X$251</definedName>
    <definedName name="SalesQty94">'Бланк заказа'!$X$256:$X$256</definedName>
    <definedName name="SalesQty95">'Бланк заказа'!$X$257:$X$257</definedName>
    <definedName name="SalesQty96">'Бланк заказа'!$X$263:$X$263</definedName>
    <definedName name="SalesQty97">'Бланк заказа'!$X$269:$X$269</definedName>
    <definedName name="SalesQty98">'Бланк заказа'!$X$270:$X$270</definedName>
    <definedName name="SalesQty99">'Бланк заказа'!$X$276:$X$276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заказа'!$Y$286:$Y$286</definedName>
    <definedName name="SalesRoundBox102">'Бланк заказа'!$Y$287:$Y$287</definedName>
    <definedName name="SalesRoundBox103">'Бланк заказа'!$Y$288:$Y$288</definedName>
    <definedName name="SalesRoundBox104">'Бланк заказа'!$Y$292:$Y$292</definedName>
    <definedName name="SalesRoundBox105">'Бланк заказа'!$Y$296:$Y$296</definedName>
    <definedName name="SalesRoundBox106">'Бланк заказа'!$Y$297:$Y$297</definedName>
    <definedName name="SalesRoundBox107">'Бланк заказа'!$Y$301:$Y$301</definedName>
    <definedName name="SalesRoundBox108">'Бланк заказа'!$Y$302:$Y$302</definedName>
    <definedName name="SalesRoundBox109">'Бланк заказа'!$Y$303:$Y$303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заказа'!$Y$327:$Y$327</definedName>
    <definedName name="SalesRoundBox131">'Бланк заказа'!$Y$332:$Y$332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заказа'!$Y$196:$Y$196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заказа'!$Y$205:$Y$205</definedName>
    <definedName name="SalesRoundBox75">'Бланк заказа'!$Y$210:$Y$210</definedName>
    <definedName name="SalesRoundBox76">'Бланк заказа'!$Y$211:$Y$211</definedName>
    <definedName name="SalesRoundBox77">'Бланк заказа'!$Y$212:$Y$212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заказа'!$Y$222:$Y$222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заказа'!$Y$230:$Y$230</definedName>
    <definedName name="SalesRoundBox88">'Бланк заказа'!$Y$235:$Y$235</definedName>
    <definedName name="SalesRoundBox89">'Бланк заказа'!$Y$240:$Y$240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заказа'!$Y$251:$Y$251</definedName>
    <definedName name="SalesRoundBox94">'Бланк заказа'!$Y$256:$Y$256</definedName>
    <definedName name="SalesRoundBox95">'Бланк заказа'!$Y$257:$Y$257</definedName>
    <definedName name="SalesRoundBox96">'Бланк заказа'!$Y$263:$Y$263</definedName>
    <definedName name="SalesRoundBox97">'Бланк заказа'!$Y$269:$Y$269</definedName>
    <definedName name="SalesRoundBox98">'Бланк заказа'!$Y$270:$Y$270</definedName>
    <definedName name="SalesRoundBox99">'Бланк заказа'!$Y$276:$Y$276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заказа'!$W$286:$W$286</definedName>
    <definedName name="UnitOfMeasure102">'Бланк заказа'!$W$287:$W$287</definedName>
    <definedName name="UnitOfMeasure103">'Бланк заказа'!$W$288:$W$288</definedName>
    <definedName name="UnitOfMeasure104">'Бланк заказа'!$W$292:$W$292</definedName>
    <definedName name="UnitOfMeasure105">'Бланк заказа'!$W$296:$W$296</definedName>
    <definedName name="UnitOfMeasure106">'Бланк заказа'!$W$297:$W$297</definedName>
    <definedName name="UnitOfMeasure107">'Бланк заказа'!$W$301:$W$301</definedName>
    <definedName name="UnitOfMeasure108">'Бланк заказа'!$W$302:$W$302</definedName>
    <definedName name="UnitOfMeasure109">'Бланк заказа'!$W$303:$W$303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заказа'!$W$327:$W$327</definedName>
    <definedName name="UnitOfMeasure131">'Бланк заказа'!$W$332:$W$332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заказа'!$W$196:$W$196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заказа'!$W$205:$W$205</definedName>
    <definedName name="UnitOfMeasure75">'Бланк заказа'!$W$210:$W$210</definedName>
    <definedName name="UnitOfMeasure76">'Бланк заказа'!$W$211:$W$211</definedName>
    <definedName name="UnitOfMeasure77">'Бланк заказа'!$W$212:$W$212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заказа'!$W$222:$W$222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заказа'!$W$230:$W$230</definedName>
    <definedName name="UnitOfMeasure88">'Бланк заказа'!$W$235:$W$235</definedName>
    <definedName name="UnitOfMeasure89">'Бланк заказа'!$W$240:$W$240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заказа'!$W$251:$W$251</definedName>
    <definedName name="UnitOfMeasure94">'Бланк заказа'!$W$256:$W$256</definedName>
    <definedName name="UnitOfMeasure95">'Бланк заказа'!$W$257:$W$257</definedName>
    <definedName name="UnitOfMeasure96">'Бланк заказа'!$W$263:$W$263</definedName>
    <definedName name="UnitOfMeasure97">'Бланк заказа'!$W$269:$W$269</definedName>
    <definedName name="UnitOfMeasure98">'Бланк заказа'!$W$270:$W$270</definedName>
    <definedName name="UnitOfMeasure99">'Бланк заказа'!$W$276:$W$276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5" i="1" l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X334" i="1"/>
  <c r="Y333" i="1"/>
  <c r="X333" i="1"/>
  <c r="BP332" i="1"/>
  <c r="BO332" i="1"/>
  <c r="BN332" i="1"/>
  <c r="BM332" i="1"/>
  <c r="Z332" i="1"/>
  <c r="Z333" i="1" s="1"/>
  <c r="Y332" i="1"/>
  <c r="Y334" i="1" s="1"/>
  <c r="Y329" i="1"/>
  <c r="X329" i="1"/>
  <c r="Z328" i="1"/>
  <c r="X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305" i="1" s="1"/>
  <c r="X299" i="1"/>
  <c r="Z298" i="1"/>
  <c r="X298" i="1"/>
  <c r="BO297" i="1"/>
  <c r="BM297" i="1"/>
  <c r="Z297" i="1"/>
  <c r="Y297" i="1"/>
  <c r="BO296" i="1"/>
  <c r="BM296" i="1"/>
  <c r="Z296" i="1"/>
  <c r="Y296" i="1"/>
  <c r="P296" i="1"/>
  <c r="Y294" i="1"/>
  <c r="X294" i="1"/>
  <c r="Z293" i="1"/>
  <c r="X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Y272" i="1"/>
  <c r="X272" i="1"/>
  <c r="Z271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Y271" i="1" s="1"/>
  <c r="P269" i="1"/>
  <c r="X265" i="1"/>
  <c r="Y264" i="1"/>
  <c r="X264" i="1"/>
  <c r="BP263" i="1"/>
  <c r="BO263" i="1"/>
  <c r="BN263" i="1"/>
  <c r="BM263" i="1"/>
  <c r="Z263" i="1"/>
  <c r="Z264" i="1" s="1"/>
  <c r="Y263" i="1"/>
  <c r="Y265" i="1" s="1"/>
  <c r="P263" i="1"/>
  <c r="X259" i="1"/>
  <c r="X258" i="1"/>
  <c r="BP257" i="1"/>
  <c r="BO257" i="1"/>
  <c r="BN257" i="1"/>
  <c r="BM257" i="1"/>
  <c r="Z257" i="1"/>
  <c r="Y257" i="1"/>
  <c r="P257" i="1"/>
  <c r="BO256" i="1"/>
  <c r="BM256" i="1"/>
  <c r="Z256" i="1"/>
  <c r="Z258" i="1" s="1"/>
  <c r="Y256" i="1"/>
  <c r="P256" i="1"/>
  <c r="X253" i="1"/>
  <c r="Z252" i="1"/>
  <c r="X252" i="1"/>
  <c r="BO251" i="1"/>
  <c r="BM251" i="1"/>
  <c r="Z251" i="1"/>
  <c r="Y251" i="1"/>
  <c r="P251" i="1"/>
  <c r="Y248" i="1"/>
  <c r="X248" i="1"/>
  <c r="Z247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X242" i="1"/>
  <c r="X241" i="1"/>
  <c r="BO240" i="1"/>
  <c r="BM240" i="1"/>
  <c r="Z240" i="1"/>
  <c r="Z241" i="1" s="1"/>
  <c r="Y240" i="1"/>
  <c r="Y242" i="1" s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Z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Z227" i="1"/>
  <c r="Z231" i="1" s="1"/>
  <c r="Y227" i="1"/>
  <c r="Y232" i="1" s="1"/>
  <c r="P227" i="1"/>
  <c r="X224" i="1"/>
  <c r="X223" i="1"/>
  <c r="BO222" i="1"/>
  <c r="BM222" i="1"/>
  <c r="Z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Z223" i="1" s="1"/>
  <c r="Y217" i="1"/>
  <c r="Y223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BP211" i="1" s="1"/>
  <c r="P211" i="1"/>
  <c r="BP210" i="1"/>
  <c r="BO210" i="1"/>
  <c r="BN210" i="1"/>
  <c r="BM210" i="1"/>
  <c r="Z210" i="1"/>
  <c r="Z213" i="1" s="1"/>
  <c r="Y210" i="1"/>
  <c r="Y214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Z206" i="1" s="1"/>
  <c r="Y202" i="1"/>
  <c r="Y207" i="1" s="1"/>
  <c r="P202" i="1"/>
  <c r="X198" i="1"/>
  <c r="Z197" i="1"/>
  <c r="X197" i="1"/>
  <c r="BO196" i="1"/>
  <c r="BM196" i="1"/>
  <c r="Z196" i="1"/>
  <c r="Y196" i="1"/>
  <c r="Y197" i="1" s="1"/>
  <c r="P196" i="1"/>
  <c r="X193" i="1"/>
  <c r="Z192" i="1"/>
  <c r="X192" i="1"/>
  <c r="BO191" i="1"/>
  <c r="BM191" i="1"/>
  <c r="Z191" i="1"/>
  <c r="Y191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8" i="1" s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Z178" i="1"/>
  <c r="Y178" i="1"/>
  <c r="P178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P173" i="1"/>
  <c r="BO172" i="1"/>
  <c r="BM172" i="1"/>
  <c r="Z172" i="1"/>
  <c r="Y172" i="1"/>
  <c r="BO171" i="1"/>
  <c r="BM171" i="1"/>
  <c r="Z171" i="1"/>
  <c r="Y171" i="1"/>
  <c r="X168" i="1"/>
  <c r="Y167" i="1"/>
  <c r="X167" i="1"/>
  <c r="BP166" i="1"/>
  <c r="BO166" i="1"/>
  <c r="BN166" i="1"/>
  <c r="BM166" i="1"/>
  <c r="Z166" i="1"/>
  <c r="Z167" i="1" s="1"/>
  <c r="Y166" i="1"/>
  <c r="Y168" i="1" s="1"/>
  <c r="X162" i="1"/>
  <c r="Z161" i="1"/>
  <c r="X161" i="1"/>
  <c r="BO160" i="1"/>
  <c r="BM160" i="1"/>
  <c r="Z160" i="1"/>
  <c r="Y160" i="1"/>
  <c r="Y162" i="1" s="1"/>
  <c r="P160" i="1"/>
  <c r="Y157" i="1"/>
  <c r="X157" i="1"/>
  <c r="Z156" i="1"/>
  <c r="X156" i="1"/>
  <c r="BO155" i="1"/>
  <c r="BM155" i="1"/>
  <c r="Z155" i="1"/>
  <c r="Y155" i="1"/>
  <c r="P155" i="1"/>
  <c r="BP154" i="1"/>
  <c r="BO154" i="1"/>
  <c r="BN154" i="1"/>
  <c r="BM154" i="1"/>
  <c r="Z154" i="1"/>
  <c r="Y154" i="1"/>
  <c r="Y156" i="1" s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Y145" i="1"/>
  <c r="X145" i="1"/>
  <c r="BP144" i="1"/>
  <c r="BO144" i="1"/>
  <c r="BN144" i="1"/>
  <c r="BM144" i="1"/>
  <c r="Z144" i="1"/>
  <c r="Z145" i="1" s="1"/>
  <c r="Y144" i="1"/>
  <c r="Y146" i="1" s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Z140" i="1" s="1"/>
  <c r="Y138" i="1"/>
  <c r="Y140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Y132" i="1"/>
  <c r="P132" i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Y113" i="1"/>
  <c r="X113" i="1"/>
  <c r="Z112" i="1"/>
  <c r="X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Z105" i="1" s="1"/>
  <c r="Y100" i="1"/>
  <c r="P100" i="1"/>
  <c r="BO99" i="1"/>
  <c r="BM99" i="1"/>
  <c r="Z99" i="1"/>
  <c r="Y99" i="1"/>
  <c r="X96" i="1"/>
  <c r="X95" i="1"/>
  <c r="BP94" i="1"/>
  <c r="BO94" i="1"/>
  <c r="BN94" i="1"/>
  <c r="BM94" i="1"/>
  <c r="Z94" i="1"/>
  <c r="Y94" i="1"/>
  <c r="P94" i="1"/>
  <c r="BO93" i="1"/>
  <c r="BM93" i="1"/>
  <c r="Z93" i="1"/>
  <c r="Y93" i="1"/>
  <c r="X90" i="1"/>
  <c r="Y89" i="1"/>
  <c r="X89" i="1"/>
  <c r="BP88" i="1"/>
  <c r="BO88" i="1"/>
  <c r="BN88" i="1"/>
  <c r="BM88" i="1"/>
  <c r="Z88" i="1"/>
  <c r="Z89" i="1" s="1"/>
  <c r="Y88" i="1"/>
  <c r="Y90" i="1" s="1"/>
  <c r="Y85" i="1"/>
  <c r="X85" i="1"/>
  <c r="Z84" i="1"/>
  <c r="X84" i="1"/>
  <c r="BO83" i="1"/>
  <c r="BM83" i="1"/>
  <c r="Z83" i="1"/>
  <c r="Y83" i="1"/>
  <c r="P83" i="1"/>
  <c r="BP82" i="1"/>
  <c r="BO82" i="1"/>
  <c r="BN82" i="1"/>
  <c r="BM82" i="1"/>
  <c r="Z82" i="1"/>
  <c r="Y82" i="1"/>
  <c r="Y84" i="1" s="1"/>
  <c r="P82" i="1"/>
  <c r="X79" i="1"/>
  <c r="X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BO74" i="1"/>
  <c r="BM74" i="1"/>
  <c r="Z74" i="1"/>
  <c r="Y74" i="1"/>
  <c r="BO73" i="1"/>
  <c r="BM73" i="1"/>
  <c r="Z73" i="1"/>
  <c r="Z78" i="1" s="1"/>
  <c r="Y73" i="1"/>
  <c r="P73" i="1"/>
  <c r="X71" i="1"/>
  <c r="X70" i="1"/>
  <c r="BO69" i="1"/>
  <c r="BM69" i="1"/>
  <c r="Z69" i="1"/>
  <c r="Y69" i="1"/>
  <c r="P69" i="1"/>
  <c r="BP68" i="1"/>
  <c r="BO68" i="1"/>
  <c r="BN68" i="1"/>
  <c r="BM68" i="1"/>
  <c r="Z68" i="1"/>
  <c r="Z70" i="1" s="1"/>
  <c r="Y68" i="1"/>
  <c r="P68" i="1"/>
  <c r="X66" i="1"/>
  <c r="Y65" i="1"/>
  <c r="X65" i="1"/>
  <c r="BP64" i="1"/>
  <c r="BO64" i="1"/>
  <c r="BN64" i="1"/>
  <c r="BM64" i="1"/>
  <c r="Z64" i="1"/>
  <c r="Y64" i="1"/>
  <c r="BP63" i="1"/>
  <c r="BO63" i="1"/>
  <c r="BN63" i="1"/>
  <c r="BM63" i="1"/>
  <c r="Z63" i="1"/>
  <c r="Z65" i="1" s="1"/>
  <c r="Y63" i="1"/>
  <c r="Y66" i="1" s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Y57" i="1"/>
  <c r="X57" i="1"/>
  <c r="Z56" i="1"/>
  <c r="X56" i="1"/>
  <c r="BO55" i="1"/>
  <c r="BM55" i="1"/>
  <c r="Z55" i="1"/>
  <c r="Y55" i="1"/>
  <c r="X52" i="1"/>
  <c r="X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Z51" i="1" s="1"/>
  <c r="Y43" i="1"/>
  <c r="P43" i="1"/>
  <c r="X40" i="1"/>
  <c r="Z39" i="1"/>
  <c r="X39" i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35" i="1" s="1"/>
  <c r="Y32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39" i="1" s="1"/>
  <c r="BO22" i="1"/>
  <c r="X337" i="1" s="1"/>
  <c r="BM22" i="1"/>
  <c r="X336" i="1" s="1"/>
  <c r="Z22" i="1"/>
  <c r="Y22" i="1"/>
  <c r="Y24" i="1" s="1"/>
  <c r="P22" i="1"/>
  <c r="H10" i="1"/>
  <c r="A9" i="1"/>
  <c r="D7" i="1"/>
  <c r="Q6" i="1"/>
  <c r="P2" i="1"/>
  <c r="F10" i="1" l="1"/>
  <c r="J9" i="1"/>
  <c r="F9" i="1"/>
  <c r="A10" i="1"/>
  <c r="Y39" i="1"/>
  <c r="BP36" i="1"/>
  <c r="BN36" i="1"/>
  <c r="BP37" i="1"/>
  <c r="BN37" i="1"/>
  <c r="BP38" i="1"/>
  <c r="BN38" i="1"/>
  <c r="BP69" i="1"/>
  <c r="BN69" i="1"/>
  <c r="Y96" i="1"/>
  <c r="BP93" i="1"/>
  <c r="BN93" i="1"/>
  <c r="Y95" i="1"/>
  <c r="Y105" i="1"/>
  <c r="BP99" i="1"/>
  <c r="BN99" i="1"/>
  <c r="BP102" i="1"/>
  <c r="BN102" i="1"/>
  <c r="BP104" i="1"/>
  <c r="BN104" i="1"/>
  <c r="Y123" i="1"/>
  <c r="BP116" i="1"/>
  <c r="BN116" i="1"/>
  <c r="BP118" i="1"/>
  <c r="BN118" i="1"/>
  <c r="BP120" i="1"/>
  <c r="BN120" i="1"/>
  <c r="Y122" i="1"/>
  <c r="BP127" i="1"/>
  <c r="BN127" i="1"/>
  <c r="Z134" i="1"/>
  <c r="BP155" i="1"/>
  <c r="BN155" i="1"/>
  <c r="Y175" i="1"/>
  <c r="BP171" i="1"/>
  <c r="BN171" i="1"/>
  <c r="BP172" i="1"/>
  <c r="BN172" i="1"/>
  <c r="BP174" i="1"/>
  <c r="BN174" i="1"/>
  <c r="Z180" i="1"/>
  <c r="Y189" i="1"/>
  <c r="H9" i="1"/>
  <c r="Y23" i="1"/>
  <c r="BP22" i="1"/>
  <c r="BN22" i="1"/>
  <c r="X338" i="1"/>
  <c r="Y40" i="1"/>
  <c r="Y335" i="1" s="1"/>
  <c r="Y52" i="1"/>
  <c r="BP43" i="1"/>
  <c r="BN43" i="1"/>
  <c r="BP45" i="1"/>
  <c r="BN45" i="1"/>
  <c r="BP47" i="1"/>
  <c r="BN47" i="1"/>
  <c r="BP49" i="1"/>
  <c r="BN49" i="1"/>
  <c r="Y51" i="1"/>
  <c r="Y56" i="1"/>
  <c r="BP55" i="1"/>
  <c r="BN55" i="1"/>
  <c r="Y70" i="1"/>
  <c r="Y71" i="1"/>
  <c r="Y79" i="1"/>
  <c r="BP73" i="1"/>
  <c r="BN73" i="1"/>
  <c r="BP74" i="1"/>
  <c r="BN74" i="1"/>
  <c r="BP75" i="1"/>
  <c r="BN75" i="1"/>
  <c r="Y78" i="1"/>
  <c r="BP83" i="1"/>
  <c r="BN83" i="1"/>
  <c r="Z95" i="1"/>
  <c r="Z340" i="1" s="1"/>
  <c r="Y106" i="1"/>
  <c r="Y112" i="1"/>
  <c r="BP109" i="1"/>
  <c r="BN109" i="1"/>
  <c r="BP111" i="1"/>
  <c r="BN111" i="1"/>
  <c r="Z122" i="1"/>
  <c r="Y135" i="1"/>
  <c r="BP132" i="1"/>
  <c r="BN132" i="1"/>
  <c r="Y134" i="1"/>
  <c r="BP139" i="1"/>
  <c r="BN139" i="1"/>
  <c r="Y161" i="1"/>
  <c r="BP160" i="1"/>
  <c r="BN160" i="1"/>
  <c r="Y181" i="1"/>
  <c r="BP178" i="1"/>
  <c r="BN178" i="1"/>
  <c r="Y180" i="1"/>
  <c r="BP186" i="1"/>
  <c r="BN186" i="1"/>
  <c r="Y188" i="1"/>
  <c r="Y192" i="1"/>
  <c r="BP191" i="1"/>
  <c r="BN191" i="1"/>
  <c r="Y193" i="1"/>
  <c r="Y198" i="1"/>
  <c r="Y206" i="1"/>
  <c r="Y213" i="1"/>
  <c r="Y224" i="1"/>
  <c r="Y231" i="1"/>
  <c r="Y252" i="1"/>
  <c r="BP251" i="1"/>
  <c r="BN25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BN196" i="1"/>
  <c r="BP196" i="1"/>
  <c r="BN202" i="1"/>
  <c r="BP202" i="1"/>
  <c r="BN204" i="1"/>
  <c r="BN211" i="1"/>
  <c r="BN218" i="1"/>
  <c r="BN220" i="1"/>
  <c r="BN222" i="1"/>
  <c r="BN227" i="1"/>
  <c r="BP227" i="1"/>
  <c r="BN229" i="1"/>
  <c r="BN240" i="1"/>
  <c r="BP240" i="1"/>
  <c r="Y241" i="1"/>
  <c r="Y247" i="1"/>
  <c r="BP244" i="1"/>
  <c r="BN244" i="1"/>
  <c r="BP245" i="1"/>
  <c r="BN245" i="1"/>
  <c r="BP246" i="1"/>
  <c r="BN246" i="1"/>
  <c r="Y253" i="1"/>
  <c r="Y259" i="1"/>
  <c r="BP256" i="1"/>
  <c r="BN256" i="1"/>
  <c r="Y258" i="1"/>
  <c r="BP270" i="1"/>
  <c r="BN270" i="1"/>
  <c r="Y290" i="1"/>
  <c r="Y293" i="1"/>
  <c r="BP292" i="1"/>
  <c r="BN292" i="1"/>
  <c r="Y299" i="1"/>
  <c r="BP302" i="1"/>
  <c r="BN302" i="1"/>
  <c r="Y304" i="1"/>
  <c r="Y328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Y336" i="1" l="1"/>
  <c r="Y339" i="1"/>
  <c r="Y337" i="1"/>
  <c r="C348" i="1" l="1"/>
  <c r="Y338" i="1"/>
  <c r="A348" i="1" s="1"/>
  <c r="B348" i="1"/>
</calcChain>
</file>

<file path=xl/sharedStrings.xml><?xml version="1.0" encoding="utf-8"?>
<sst xmlns="http://schemas.openxmlformats.org/spreadsheetml/2006/main" count="1654" uniqueCount="546">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</sst>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2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topLeftCell="A328" zoomScaleNormal="100" zoomScaleSheetLayoutView="100" workbookViewId="0">
      <selection activeCell="AA341" sqref="AA341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400" t="s">
        <v>0</v>
      </c>
      <c r="E1" s="370"/>
      <c r="F1" s="370"/>
      <c r="G1" s="12" t="s">
        <v>1</v>
      </c>
      <c r="H1" s="400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430" t="s">
        <v>8</v>
      </c>
      <c r="B5" s="404"/>
      <c r="C5" s="405"/>
      <c r="D5" s="406"/>
      <c r="E5" s="407"/>
      <c r="F5" s="542" t="s">
        <v>9</v>
      </c>
      <c r="G5" s="405"/>
      <c r="H5" s="406"/>
      <c r="I5" s="508"/>
      <c r="J5" s="508"/>
      <c r="K5" s="508"/>
      <c r="L5" s="508"/>
      <c r="M5" s="407"/>
      <c r="N5" s="61"/>
      <c r="P5" s="24" t="s">
        <v>10</v>
      </c>
      <c r="Q5" s="549">
        <v>45744</v>
      </c>
      <c r="R5" s="429"/>
      <c r="T5" s="457" t="s">
        <v>11</v>
      </c>
      <c r="U5" s="458"/>
      <c r="V5" s="460" t="s">
        <v>12</v>
      </c>
      <c r="W5" s="429"/>
      <c r="AB5" s="51"/>
      <c r="AC5" s="51"/>
      <c r="AD5" s="51"/>
      <c r="AE5" s="51"/>
    </row>
    <row r="6" spans="1:32" s="336" customFormat="1" ht="24" customHeight="1" x14ac:dyDescent="0.2">
      <c r="A6" s="430" t="s">
        <v>13</v>
      </c>
      <c r="B6" s="404"/>
      <c r="C6" s="405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9"/>
      <c r="N6" s="62"/>
      <c r="P6" s="24" t="s">
        <v>15</v>
      </c>
      <c r="Q6" s="554" t="str">
        <f>IF(Q5=0," ",CHOOSE(WEEKDAY(Q5,2),"Понедельник","Вторник","Среда","Четверг","Пятница","Суббота","Воскресенье"))</f>
        <v>Пятница</v>
      </c>
      <c r="R6" s="353"/>
      <c r="T6" s="464" t="s">
        <v>16</v>
      </c>
      <c r="U6" s="458"/>
      <c r="V6" s="494" t="s">
        <v>17</v>
      </c>
      <c r="W6" s="384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388" t="str">
        <f>IFERROR(VLOOKUP(DeliveryAddress,Table,3,0),1)</f>
        <v>1</v>
      </c>
      <c r="E7" s="389"/>
      <c r="F7" s="389"/>
      <c r="G7" s="389"/>
      <c r="H7" s="389"/>
      <c r="I7" s="389"/>
      <c r="J7" s="389"/>
      <c r="K7" s="389"/>
      <c r="L7" s="389"/>
      <c r="M7" s="390"/>
      <c r="N7" s="63"/>
      <c r="P7" s="24"/>
      <c r="Q7" s="42"/>
      <c r="R7" s="42"/>
      <c r="T7" s="356"/>
      <c r="U7" s="458"/>
      <c r="V7" s="495"/>
      <c r="W7" s="496"/>
      <c r="AB7" s="51"/>
      <c r="AC7" s="51"/>
      <c r="AD7" s="51"/>
      <c r="AE7" s="51"/>
    </row>
    <row r="8" spans="1:32" s="336" customFormat="1" ht="25.5" customHeight="1" x14ac:dyDescent="0.2">
      <c r="A8" s="563" t="s">
        <v>18</v>
      </c>
      <c r="B8" s="360"/>
      <c r="C8" s="361"/>
      <c r="D8" s="395" t="s">
        <v>19</v>
      </c>
      <c r="E8" s="396"/>
      <c r="F8" s="396"/>
      <c r="G8" s="396"/>
      <c r="H8" s="396"/>
      <c r="I8" s="396"/>
      <c r="J8" s="396"/>
      <c r="K8" s="396"/>
      <c r="L8" s="396"/>
      <c r="M8" s="397"/>
      <c r="N8" s="64"/>
      <c r="P8" s="24" t="s">
        <v>20</v>
      </c>
      <c r="Q8" s="435">
        <v>0.375</v>
      </c>
      <c r="R8" s="390"/>
      <c r="T8" s="356"/>
      <c r="U8" s="458"/>
      <c r="V8" s="495"/>
      <c r="W8" s="496"/>
      <c r="AB8" s="51"/>
      <c r="AC8" s="51"/>
      <c r="AD8" s="51"/>
      <c r="AE8" s="51"/>
    </row>
    <row r="9" spans="1:32" s="336" customFormat="1" ht="39.950000000000003" customHeight="1" x14ac:dyDescent="0.2">
      <c r="A9" s="4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1"/>
      <c r="E9" s="358"/>
      <c r="F9" s="4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34"/>
      <c r="P9" s="26" t="s">
        <v>21</v>
      </c>
      <c r="Q9" s="424"/>
      <c r="R9" s="425"/>
      <c r="T9" s="356"/>
      <c r="U9" s="458"/>
      <c r="V9" s="497"/>
      <c r="W9" s="498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4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1"/>
      <c r="E10" s="358"/>
      <c r="F10" s="4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89" t="str">
        <f>IFERROR(VLOOKUP($D$10,Proxy,2,FALSE),"")</f>
        <v/>
      </c>
      <c r="I10" s="356"/>
      <c r="J10" s="356"/>
      <c r="K10" s="356"/>
      <c r="L10" s="356"/>
      <c r="M10" s="356"/>
      <c r="N10" s="335"/>
      <c r="P10" s="26" t="s">
        <v>22</v>
      </c>
      <c r="Q10" s="465"/>
      <c r="R10" s="466"/>
      <c r="U10" s="24" t="s">
        <v>23</v>
      </c>
      <c r="V10" s="383" t="s">
        <v>24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429"/>
      <c r="U11" s="24" t="s">
        <v>27</v>
      </c>
      <c r="V11" s="521" t="s">
        <v>28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53" t="s">
        <v>29</v>
      </c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5"/>
      <c r="N12" s="65"/>
      <c r="P12" s="24" t="s">
        <v>30</v>
      </c>
      <c r="Q12" s="435"/>
      <c r="R12" s="390"/>
      <c r="S12" s="23"/>
      <c r="U12" s="24"/>
      <c r="V12" s="370"/>
      <c r="W12" s="356"/>
      <c r="AB12" s="51"/>
      <c r="AC12" s="51"/>
      <c r="AD12" s="51"/>
      <c r="AE12" s="51"/>
    </row>
    <row r="13" spans="1:32" s="336" customFormat="1" ht="23.25" customHeight="1" x14ac:dyDescent="0.2">
      <c r="A13" s="453" t="s">
        <v>31</v>
      </c>
      <c r="B13" s="404"/>
      <c r="C13" s="404"/>
      <c r="D13" s="404"/>
      <c r="E13" s="404"/>
      <c r="F13" s="404"/>
      <c r="G13" s="404"/>
      <c r="H13" s="404"/>
      <c r="I13" s="404"/>
      <c r="J13" s="404"/>
      <c r="K13" s="404"/>
      <c r="L13" s="404"/>
      <c r="M13" s="405"/>
      <c r="N13" s="65"/>
      <c r="O13" s="26"/>
      <c r="P13" s="26" t="s">
        <v>32</v>
      </c>
      <c r="Q13" s="521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53" t="s">
        <v>33</v>
      </c>
      <c r="B14" s="404"/>
      <c r="C14" s="404"/>
      <c r="D14" s="404"/>
      <c r="E14" s="404"/>
      <c r="F14" s="404"/>
      <c r="G14" s="404"/>
      <c r="H14" s="404"/>
      <c r="I14" s="404"/>
      <c r="J14" s="404"/>
      <c r="K14" s="404"/>
      <c r="L14" s="404"/>
      <c r="M14" s="40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74" t="s">
        <v>34</v>
      </c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66"/>
      <c r="P15" s="446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7"/>
      <c r="Q16" s="447"/>
      <c r="R16" s="447"/>
      <c r="S16" s="447"/>
      <c r="T16" s="4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36</v>
      </c>
      <c r="B17" s="377" t="s">
        <v>37</v>
      </c>
      <c r="C17" s="439" t="s">
        <v>38</v>
      </c>
      <c r="D17" s="377" t="s">
        <v>39</v>
      </c>
      <c r="E17" s="415"/>
      <c r="F17" s="377" t="s">
        <v>40</v>
      </c>
      <c r="G17" s="377" t="s">
        <v>41</v>
      </c>
      <c r="H17" s="377" t="s">
        <v>42</v>
      </c>
      <c r="I17" s="377" t="s">
        <v>43</v>
      </c>
      <c r="J17" s="377" t="s">
        <v>44</v>
      </c>
      <c r="K17" s="377" t="s">
        <v>45</v>
      </c>
      <c r="L17" s="377" t="s">
        <v>46</v>
      </c>
      <c r="M17" s="377" t="s">
        <v>47</v>
      </c>
      <c r="N17" s="377" t="s">
        <v>48</v>
      </c>
      <c r="O17" s="377" t="s">
        <v>49</v>
      </c>
      <c r="P17" s="377" t="s">
        <v>50</v>
      </c>
      <c r="Q17" s="414"/>
      <c r="R17" s="414"/>
      <c r="S17" s="414"/>
      <c r="T17" s="415"/>
      <c r="U17" s="560" t="s">
        <v>51</v>
      </c>
      <c r="V17" s="405"/>
      <c r="W17" s="377" t="s">
        <v>52</v>
      </c>
      <c r="X17" s="377" t="s">
        <v>53</v>
      </c>
      <c r="Y17" s="561" t="s">
        <v>54</v>
      </c>
      <c r="Z17" s="506" t="s">
        <v>55</v>
      </c>
      <c r="AA17" s="487" t="s">
        <v>56</v>
      </c>
      <c r="AB17" s="487" t="s">
        <v>57</v>
      </c>
      <c r="AC17" s="487" t="s">
        <v>58</v>
      </c>
      <c r="AD17" s="487" t="s">
        <v>59</v>
      </c>
      <c r="AE17" s="537"/>
      <c r="AF17" s="538"/>
      <c r="AG17" s="69"/>
      <c r="BD17" s="68" t="s">
        <v>60</v>
      </c>
    </row>
    <row r="18" spans="1:68" ht="14.25" customHeight="1" x14ac:dyDescent="0.2">
      <c r="A18" s="378"/>
      <c r="B18" s="378"/>
      <c r="C18" s="378"/>
      <c r="D18" s="416"/>
      <c r="E18" s="418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6"/>
      <c r="Q18" s="417"/>
      <c r="R18" s="417"/>
      <c r="S18" s="417"/>
      <c r="T18" s="418"/>
      <c r="U18" s="70" t="s">
        <v>61</v>
      </c>
      <c r="V18" s="70" t="s">
        <v>62</v>
      </c>
      <c r="W18" s="378"/>
      <c r="X18" s="378"/>
      <c r="Y18" s="562"/>
      <c r="Z18" s="507"/>
      <c r="AA18" s="488"/>
      <c r="AB18" s="488"/>
      <c r="AC18" s="488"/>
      <c r="AD18" s="539"/>
      <c r="AE18" s="540"/>
      <c r="AF18" s="541"/>
      <c r="AG18" s="69"/>
      <c r="BD18" s="68"/>
    </row>
    <row r="19" spans="1:68" ht="27.75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customHeight="1" x14ac:dyDescent="0.25">
      <c r="A20" s="355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7"/>
      <c r="AB20" s="337"/>
      <c r="AC20" s="337"/>
    </row>
    <row r="21" spans="1:68" ht="14.25" customHeight="1" x14ac:dyDescent="0.25">
      <c r="A21" s="375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38"/>
      <c r="AB21" s="338"/>
      <c r="AC21" s="33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2">
        <v>4607111035752</v>
      </c>
      <c r="E22" s="353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7"/>
      <c r="R22" s="347"/>
      <c r="S22" s="347"/>
      <c r="T22" s="348"/>
      <c r="U22" s="34"/>
      <c r="V22" s="34"/>
      <c r="W22" s="35" t="s">
        <v>70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5"/>
      <c r="P23" s="359" t="s">
        <v>73</v>
      </c>
      <c r="Q23" s="360"/>
      <c r="R23" s="360"/>
      <c r="S23" s="360"/>
      <c r="T23" s="360"/>
      <c r="U23" s="360"/>
      <c r="V23" s="361"/>
      <c r="W23" s="37" t="s">
        <v>70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5"/>
      <c r="P24" s="359" t="s">
        <v>73</v>
      </c>
      <c r="Q24" s="360"/>
      <c r="R24" s="360"/>
      <c r="S24" s="360"/>
      <c r="T24" s="360"/>
      <c r="U24" s="360"/>
      <c r="V24" s="361"/>
      <c r="W24" s="37" t="s">
        <v>74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customHeight="1" x14ac:dyDescent="0.25">
      <c r="A26" s="355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7"/>
      <c r="AB26" s="337"/>
      <c r="AC26" s="337"/>
    </row>
    <row r="27" spans="1:68" ht="14.25" customHeight="1" x14ac:dyDescent="0.25">
      <c r="A27" s="375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38"/>
      <c r="AB27" s="338"/>
      <c r="AC27" s="338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52">
        <v>4607111036520</v>
      </c>
      <c r="E28" s="353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1" t="s">
        <v>81</v>
      </c>
      <c r="Q28" s="347"/>
      <c r="R28" s="347"/>
      <c r="S28" s="347"/>
      <c r="T28" s="348"/>
      <c r="U28" s="34"/>
      <c r="V28" s="34"/>
      <c r="W28" s="35" t="s">
        <v>70</v>
      </c>
      <c r="X28" s="342">
        <v>0</v>
      </c>
      <c r="Y28" s="34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52">
        <v>4607111036537</v>
      </c>
      <c r="E29" s="353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2" t="s">
        <v>86</v>
      </c>
      <c r="Q29" s="347"/>
      <c r="R29" s="347"/>
      <c r="S29" s="347"/>
      <c r="T29" s="348"/>
      <c r="U29" s="34"/>
      <c r="V29" s="34"/>
      <c r="W29" s="35" t="s">
        <v>70</v>
      </c>
      <c r="X29" s="342">
        <v>56</v>
      </c>
      <c r="Y29" s="343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4301132184</v>
      </c>
      <c r="D30" s="352">
        <v>4607111036599</v>
      </c>
      <c r="E30" s="353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4" t="s">
        <v>89</v>
      </c>
      <c r="Q30" s="347"/>
      <c r="R30" s="347"/>
      <c r="S30" s="347"/>
      <c r="T30" s="348"/>
      <c r="U30" s="34"/>
      <c r="V30" s="34"/>
      <c r="W30" s="35" t="s">
        <v>70</v>
      </c>
      <c r="X30" s="342">
        <v>0</v>
      </c>
      <c r="Y30" s="34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4301132183</v>
      </c>
      <c r="D31" s="352">
        <v>4607111036605</v>
      </c>
      <c r="E31" s="353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9" t="s">
        <v>92</v>
      </c>
      <c r="Q31" s="347"/>
      <c r="R31" s="347"/>
      <c r="S31" s="347"/>
      <c r="T31" s="348"/>
      <c r="U31" s="34"/>
      <c r="V31" s="34"/>
      <c r="W31" s="35" t="s">
        <v>70</v>
      </c>
      <c r="X31" s="342">
        <v>0</v>
      </c>
      <c r="Y31" s="34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4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5"/>
      <c r="P32" s="359" t="s">
        <v>73</v>
      </c>
      <c r="Q32" s="360"/>
      <c r="R32" s="360"/>
      <c r="S32" s="360"/>
      <c r="T32" s="360"/>
      <c r="U32" s="360"/>
      <c r="V32" s="361"/>
      <c r="W32" s="37" t="s">
        <v>70</v>
      </c>
      <c r="X32" s="344">
        <f>IFERROR(SUM(X28:X31),"0")</f>
        <v>56</v>
      </c>
      <c r="Y32" s="344">
        <f>IFERROR(SUM(Y28:Y31),"0")</f>
        <v>56</v>
      </c>
      <c r="Z32" s="344">
        <f>IFERROR(IF(Z28="",0,Z28),"0")+IFERROR(IF(Z29="",0,Z29),"0")+IFERROR(IF(Z30="",0,Z30),"0")+IFERROR(IF(Z31="",0,Z31),"0")</f>
        <v>0.52695999999999998</v>
      </c>
      <c r="AA32" s="345"/>
      <c r="AB32" s="345"/>
      <c r="AC32" s="345"/>
    </row>
    <row r="33" spans="1:68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65"/>
      <c r="P33" s="359" t="s">
        <v>73</v>
      </c>
      <c r="Q33" s="360"/>
      <c r="R33" s="360"/>
      <c r="S33" s="360"/>
      <c r="T33" s="360"/>
      <c r="U33" s="360"/>
      <c r="V33" s="361"/>
      <c r="W33" s="37" t="s">
        <v>74</v>
      </c>
      <c r="X33" s="344">
        <f>IFERROR(SUMPRODUCT(X28:X31*H28:H31),"0")</f>
        <v>84</v>
      </c>
      <c r="Y33" s="344">
        <f>IFERROR(SUMPRODUCT(Y28:Y31*H28:H31),"0")</f>
        <v>84</v>
      </c>
      <c r="Z33" s="37"/>
      <c r="AA33" s="345"/>
      <c r="AB33" s="345"/>
      <c r="AC33" s="345"/>
    </row>
    <row r="34" spans="1:68" ht="16.5" customHeight="1" x14ac:dyDescent="0.25">
      <c r="A34" s="355" t="s">
        <v>93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37"/>
      <c r="AB34" s="337"/>
      <c r="AC34" s="337"/>
    </row>
    <row r="35" spans="1:68" ht="14.25" customHeight="1" x14ac:dyDescent="0.25">
      <c r="A35" s="375" t="s">
        <v>64</v>
      </c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56"/>
      <c r="N35" s="356"/>
      <c r="O35" s="356"/>
      <c r="P35" s="356"/>
      <c r="Q35" s="356"/>
      <c r="R35" s="356"/>
      <c r="S35" s="356"/>
      <c r="T35" s="356"/>
      <c r="U35" s="356"/>
      <c r="V35" s="356"/>
      <c r="W35" s="356"/>
      <c r="X35" s="356"/>
      <c r="Y35" s="356"/>
      <c r="Z35" s="356"/>
      <c r="AA35" s="338"/>
      <c r="AB35" s="338"/>
      <c r="AC35" s="338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52">
        <v>4620207490075</v>
      </c>
      <c r="E36" s="353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8" t="s">
        <v>96</v>
      </c>
      <c r="Q36" s="347"/>
      <c r="R36" s="347"/>
      <c r="S36" s="347"/>
      <c r="T36" s="348"/>
      <c r="U36" s="34"/>
      <c r="V36" s="34"/>
      <c r="W36" s="35" t="s">
        <v>70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4301071092</v>
      </c>
      <c r="D37" s="352">
        <v>4620207490174</v>
      </c>
      <c r="E37" s="353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9" t="s">
        <v>100</v>
      </c>
      <c r="Q37" s="347"/>
      <c r="R37" s="347"/>
      <c r="S37" s="347"/>
      <c r="T37" s="348"/>
      <c r="U37" s="34"/>
      <c r="V37" s="34"/>
      <c r="W37" s="35" t="s">
        <v>70</v>
      </c>
      <c r="X37" s="342">
        <v>12</v>
      </c>
      <c r="Y37" s="34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101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102</v>
      </c>
      <c r="B38" s="54" t="s">
        <v>103</v>
      </c>
      <c r="C38" s="31">
        <v>4301071091</v>
      </c>
      <c r="D38" s="352">
        <v>4620207490044</v>
      </c>
      <c r="E38" s="353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9" t="s">
        <v>104</v>
      </c>
      <c r="Q38" s="347"/>
      <c r="R38" s="347"/>
      <c r="S38" s="347"/>
      <c r="T38" s="348"/>
      <c r="U38" s="34"/>
      <c r="V38" s="34"/>
      <c r="W38" s="35" t="s">
        <v>70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105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4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5"/>
      <c r="P39" s="359" t="s">
        <v>73</v>
      </c>
      <c r="Q39" s="360"/>
      <c r="R39" s="360"/>
      <c r="S39" s="360"/>
      <c r="T39" s="360"/>
      <c r="U39" s="360"/>
      <c r="V39" s="361"/>
      <c r="W39" s="37" t="s">
        <v>70</v>
      </c>
      <c r="X39" s="344">
        <f>IFERROR(SUM(X36:X38),"0")</f>
        <v>12</v>
      </c>
      <c r="Y39" s="344">
        <f>IFERROR(SUM(Y36:Y38),"0")</f>
        <v>12</v>
      </c>
      <c r="Z39" s="344">
        <f>IFERROR(IF(Z36="",0,Z36),"0")+IFERROR(IF(Z37="",0,Z37),"0")+IFERROR(IF(Z38="",0,Z38),"0")</f>
        <v>0.186</v>
      </c>
      <c r="AA39" s="345"/>
      <c r="AB39" s="345"/>
      <c r="AC39" s="345"/>
    </row>
    <row r="40" spans="1:68" x14ac:dyDescent="0.2">
      <c r="A40" s="356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65"/>
      <c r="P40" s="359" t="s">
        <v>73</v>
      </c>
      <c r="Q40" s="360"/>
      <c r="R40" s="360"/>
      <c r="S40" s="360"/>
      <c r="T40" s="360"/>
      <c r="U40" s="360"/>
      <c r="V40" s="361"/>
      <c r="W40" s="37" t="s">
        <v>74</v>
      </c>
      <c r="X40" s="344">
        <f>IFERROR(SUMPRODUCT(X36:X38*H36:H38),"0")</f>
        <v>67.199999999999989</v>
      </c>
      <c r="Y40" s="344">
        <f>IFERROR(SUMPRODUCT(Y36:Y38*H36:H38),"0")</f>
        <v>67.199999999999989</v>
      </c>
      <c r="Z40" s="37"/>
      <c r="AA40" s="345"/>
      <c r="AB40" s="345"/>
      <c r="AC40" s="345"/>
    </row>
    <row r="41" spans="1:68" ht="16.5" customHeight="1" x14ac:dyDescent="0.25">
      <c r="A41" s="355" t="s">
        <v>106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37"/>
      <c r="AB41" s="337"/>
      <c r="AC41" s="337"/>
    </row>
    <row r="42" spans="1:68" ht="14.25" customHeight="1" x14ac:dyDescent="0.25">
      <c r="A42" s="375" t="s">
        <v>64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38"/>
      <c r="AB42" s="338"/>
      <c r="AC42" s="338"/>
    </row>
    <row r="43" spans="1:68" ht="27" customHeight="1" x14ac:dyDescent="0.25">
      <c r="A43" s="54" t="s">
        <v>107</v>
      </c>
      <c r="B43" s="54" t="s">
        <v>108</v>
      </c>
      <c r="C43" s="31">
        <v>4301071032</v>
      </c>
      <c r="D43" s="352">
        <v>4607111038999</v>
      </c>
      <c r="E43" s="353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67</v>
      </c>
      <c r="L43" s="32" t="s">
        <v>109</v>
      </c>
      <c r="M43" s="33" t="s">
        <v>69</v>
      </c>
      <c r="N43" s="33"/>
      <c r="O43" s="32">
        <v>180</v>
      </c>
      <c r="P43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7"/>
      <c r="R43" s="347"/>
      <c r="S43" s="347"/>
      <c r="T43" s="348"/>
      <c r="U43" s="34"/>
      <c r="V43" s="34"/>
      <c r="W43" s="35" t="s">
        <v>70</v>
      </c>
      <c r="X43" s="342">
        <v>12</v>
      </c>
      <c r="Y43" s="343">
        <f t="shared" ref="Y43:Y50" si="0">IFERROR(IF(X43="","",X43),"")</f>
        <v>12</v>
      </c>
      <c r="Z43" s="36">
        <f t="shared" ref="Z43:Z50" si="1">IFERROR(IF(X43="","",X43*0.0155),"")</f>
        <v>0.186</v>
      </c>
      <c r="AA43" s="56"/>
      <c r="AB43" s="57"/>
      <c r="AC43" s="88" t="s">
        <v>110</v>
      </c>
      <c r="AG43" s="67"/>
      <c r="AJ43" s="71" t="s">
        <v>111</v>
      </c>
      <c r="AK43" s="71">
        <v>12</v>
      </c>
      <c r="BB43" s="89" t="s">
        <v>1</v>
      </c>
      <c r="BM43" s="67">
        <f t="shared" ref="BM43:BM50" si="2">IFERROR(X43*I43,"0")</f>
        <v>80.635199999999998</v>
      </c>
      <c r="BN43" s="67">
        <f t="shared" ref="BN43:BN50" si="3">IFERROR(Y43*I43,"0")</f>
        <v>80.635199999999998</v>
      </c>
      <c r="BO43" s="67">
        <f t="shared" ref="BO43:BO50" si="4">IFERROR(X43/J43,"0")</f>
        <v>0.14285714285714285</v>
      </c>
      <c r="BP43" s="67">
        <f t="shared" ref="BP43:BP50" si="5">IFERROR(Y43/J43,"0")</f>
        <v>0.14285714285714285</v>
      </c>
    </row>
    <row r="44" spans="1:68" ht="27" customHeight="1" x14ac:dyDescent="0.25">
      <c r="A44" s="54" t="s">
        <v>112</v>
      </c>
      <c r="B44" s="54" t="s">
        <v>113</v>
      </c>
      <c r="C44" s="31">
        <v>4301070972</v>
      </c>
      <c r="D44" s="352">
        <v>4607111037183</v>
      </c>
      <c r="E44" s="353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67</v>
      </c>
      <c r="L44" s="32" t="s">
        <v>114</v>
      </c>
      <c r="M44" s="33" t="s">
        <v>69</v>
      </c>
      <c r="N44" s="33"/>
      <c r="O44" s="32">
        <v>180</v>
      </c>
      <c r="P44" s="3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7"/>
      <c r="R44" s="347"/>
      <c r="S44" s="347"/>
      <c r="T44" s="348"/>
      <c r="U44" s="34"/>
      <c r="V44" s="34"/>
      <c r="W44" s="35" t="s">
        <v>70</v>
      </c>
      <c r="X44" s="342">
        <v>0</v>
      </c>
      <c r="Y44" s="343">
        <f t="shared" si="0"/>
        <v>0</v>
      </c>
      <c r="Z44" s="36">
        <f t="shared" si="1"/>
        <v>0</v>
      </c>
      <c r="AA44" s="56"/>
      <c r="AB44" s="57"/>
      <c r="AC44" s="90" t="s">
        <v>110</v>
      </c>
      <c r="AG44" s="67"/>
      <c r="AJ44" s="71" t="s">
        <v>115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116</v>
      </c>
      <c r="B45" s="54" t="s">
        <v>117</v>
      </c>
      <c r="C45" s="31">
        <v>4301071044</v>
      </c>
      <c r="D45" s="352">
        <v>4607111039385</v>
      </c>
      <c r="E45" s="353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67</v>
      </c>
      <c r="L45" s="32" t="s">
        <v>114</v>
      </c>
      <c r="M45" s="33" t="s">
        <v>69</v>
      </c>
      <c r="N45" s="33"/>
      <c r="O45" s="32">
        <v>180</v>
      </c>
      <c r="P45" s="4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7"/>
      <c r="R45" s="347"/>
      <c r="S45" s="347"/>
      <c r="T45" s="348"/>
      <c r="U45" s="34"/>
      <c r="V45" s="34"/>
      <c r="W45" s="35" t="s">
        <v>70</v>
      </c>
      <c r="X45" s="342">
        <v>48</v>
      </c>
      <c r="Y45" s="343">
        <f t="shared" si="0"/>
        <v>48</v>
      </c>
      <c r="Z45" s="36">
        <f t="shared" si="1"/>
        <v>0.74399999999999999</v>
      </c>
      <c r="AA45" s="56"/>
      <c r="AB45" s="57"/>
      <c r="AC45" s="92" t="s">
        <v>110</v>
      </c>
      <c r="AG45" s="67"/>
      <c r="AJ45" s="71" t="s">
        <v>115</v>
      </c>
      <c r="AK45" s="71">
        <v>84</v>
      </c>
      <c r="BB45" s="93" t="s">
        <v>1</v>
      </c>
      <c r="BM45" s="67">
        <f t="shared" si="2"/>
        <v>350.4</v>
      </c>
      <c r="BN45" s="67">
        <f t="shared" si="3"/>
        <v>350.4</v>
      </c>
      <c r="BO45" s="67">
        <f t="shared" si="4"/>
        <v>0.5714285714285714</v>
      </c>
      <c r="BP45" s="67">
        <f t="shared" si="5"/>
        <v>0.5714285714285714</v>
      </c>
    </row>
    <row r="46" spans="1:68" ht="27" customHeight="1" x14ac:dyDescent="0.25">
      <c r="A46" s="54" t="s">
        <v>118</v>
      </c>
      <c r="B46" s="54" t="s">
        <v>119</v>
      </c>
      <c r="C46" s="31">
        <v>4301071045</v>
      </c>
      <c r="D46" s="352">
        <v>4607111039392</v>
      </c>
      <c r="E46" s="353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67</v>
      </c>
      <c r="L46" s="32" t="s">
        <v>109</v>
      </c>
      <c r="M46" s="33" t="s">
        <v>69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7"/>
      <c r="R46" s="347"/>
      <c r="S46" s="347"/>
      <c r="T46" s="348"/>
      <c r="U46" s="34"/>
      <c r="V46" s="34"/>
      <c r="W46" s="35" t="s">
        <v>70</v>
      </c>
      <c r="X46" s="342">
        <v>12</v>
      </c>
      <c r="Y46" s="343">
        <f t="shared" si="0"/>
        <v>12</v>
      </c>
      <c r="Z46" s="36">
        <f t="shared" si="1"/>
        <v>0.186</v>
      </c>
      <c r="AA46" s="56"/>
      <c r="AB46" s="57"/>
      <c r="AC46" s="94" t="s">
        <v>120</v>
      </c>
      <c r="AG46" s="67"/>
      <c r="AJ46" s="71" t="s">
        <v>111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121</v>
      </c>
      <c r="B47" s="54" t="s">
        <v>122</v>
      </c>
      <c r="C47" s="31">
        <v>4301071031</v>
      </c>
      <c r="D47" s="352">
        <v>4607111038982</v>
      </c>
      <c r="E47" s="353"/>
      <c r="F47" s="341">
        <v>0.7</v>
      </c>
      <c r="G47" s="32">
        <v>10</v>
      </c>
      <c r="H47" s="341">
        <v>7</v>
      </c>
      <c r="I47" s="341">
        <v>7.2859999999999996</v>
      </c>
      <c r="J47" s="32">
        <v>84</v>
      </c>
      <c r="K47" s="32" t="s">
        <v>67</v>
      </c>
      <c r="L47" s="32" t="s">
        <v>109</v>
      </c>
      <c r="M47" s="33" t="s">
        <v>69</v>
      </c>
      <c r="N47" s="33"/>
      <c r="O47" s="32">
        <v>180</v>
      </c>
      <c r="P47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7"/>
      <c r="R47" s="347"/>
      <c r="S47" s="347"/>
      <c r="T47" s="348"/>
      <c r="U47" s="34"/>
      <c r="V47" s="34"/>
      <c r="W47" s="35" t="s">
        <v>70</v>
      </c>
      <c r="X47" s="342">
        <v>60</v>
      </c>
      <c r="Y47" s="343">
        <f t="shared" si="0"/>
        <v>60</v>
      </c>
      <c r="Z47" s="36">
        <f t="shared" si="1"/>
        <v>0.92999999999999994</v>
      </c>
      <c r="AA47" s="56"/>
      <c r="AB47" s="57"/>
      <c r="AC47" s="96" t="s">
        <v>120</v>
      </c>
      <c r="AG47" s="67"/>
      <c r="AJ47" s="71" t="s">
        <v>111</v>
      </c>
      <c r="AK47" s="71">
        <v>12</v>
      </c>
      <c r="BB47" s="97" t="s">
        <v>1</v>
      </c>
      <c r="BM47" s="67">
        <f t="shared" si="2"/>
        <v>437.15999999999997</v>
      </c>
      <c r="BN47" s="67">
        <f t="shared" si="3"/>
        <v>437.15999999999997</v>
      </c>
      <c r="BO47" s="67">
        <f t="shared" si="4"/>
        <v>0.7142857142857143</v>
      </c>
      <c r="BP47" s="67">
        <f t="shared" si="5"/>
        <v>0.7142857142857143</v>
      </c>
    </row>
    <row r="48" spans="1:68" ht="27" customHeight="1" x14ac:dyDescent="0.25">
      <c r="A48" s="54" t="s">
        <v>123</v>
      </c>
      <c r="B48" s="54" t="s">
        <v>124</v>
      </c>
      <c r="C48" s="31">
        <v>4301071046</v>
      </c>
      <c r="D48" s="352">
        <v>4607111039354</v>
      </c>
      <c r="E48" s="353"/>
      <c r="F48" s="341">
        <v>0.4</v>
      </c>
      <c r="G48" s="32">
        <v>16</v>
      </c>
      <c r="H48" s="341">
        <v>6.4</v>
      </c>
      <c r="I48" s="341">
        <v>6.7195999999999998</v>
      </c>
      <c r="J48" s="32">
        <v>84</v>
      </c>
      <c r="K48" s="32" t="s">
        <v>67</v>
      </c>
      <c r="L48" s="32" t="s">
        <v>109</v>
      </c>
      <c r="M48" s="33" t="s">
        <v>69</v>
      </c>
      <c r="N48" s="33"/>
      <c r="O48" s="32">
        <v>180</v>
      </c>
      <c r="P48" s="5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7"/>
      <c r="R48" s="347"/>
      <c r="S48" s="347"/>
      <c r="T48" s="348"/>
      <c r="U48" s="34"/>
      <c r="V48" s="34"/>
      <c r="W48" s="35" t="s">
        <v>70</v>
      </c>
      <c r="X48" s="342">
        <v>12</v>
      </c>
      <c r="Y48" s="343">
        <f t="shared" si="0"/>
        <v>12</v>
      </c>
      <c r="Z48" s="36">
        <f t="shared" si="1"/>
        <v>0.186</v>
      </c>
      <c r="AA48" s="56"/>
      <c r="AB48" s="57"/>
      <c r="AC48" s="98" t="s">
        <v>120</v>
      </c>
      <c r="AG48" s="67"/>
      <c r="AJ48" s="71" t="s">
        <v>111</v>
      </c>
      <c r="AK48" s="71">
        <v>12</v>
      </c>
      <c r="BB48" s="99" t="s">
        <v>1</v>
      </c>
      <c r="BM48" s="67">
        <f t="shared" si="2"/>
        <v>80.635199999999998</v>
      </c>
      <c r="BN48" s="67">
        <f t="shared" si="3"/>
        <v>80.635199999999998</v>
      </c>
      <c r="BO48" s="67">
        <f t="shared" si="4"/>
        <v>0.14285714285714285</v>
      </c>
      <c r="BP48" s="67">
        <f t="shared" si="5"/>
        <v>0.14285714285714285</v>
      </c>
    </row>
    <row r="49" spans="1:68" ht="27" customHeight="1" x14ac:dyDescent="0.25">
      <c r="A49" s="54" t="s">
        <v>125</v>
      </c>
      <c r="B49" s="54" t="s">
        <v>126</v>
      </c>
      <c r="C49" s="31">
        <v>4301070968</v>
      </c>
      <c r="D49" s="352">
        <v>4607111036889</v>
      </c>
      <c r="E49" s="353"/>
      <c r="F49" s="341">
        <v>0.9</v>
      </c>
      <c r="G49" s="32">
        <v>8</v>
      </c>
      <c r="H49" s="341">
        <v>7.2</v>
      </c>
      <c r="I49" s="341">
        <v>7.4859999999999998</v>
      </c>
      <c r="J49" s="32">
        <v>84</v>
      </c>
      <c r="K49" s="32" t="s">
        <v>67</v>
      </c>
      <c r="L49" s="32" t="s">
        <v>109</v>
      </c>
      <c r="M49" s="33" t="s">
        <v>69</v>
      </c>
      <c r="N49" s="33"/>
      <c r="O49" s="32">
        <v>180</v>
      </c>
      <c r="P49" s="5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7"/>
      <c r="R49" s="347"/>
      <c r="S49" s="347"/>
      <c r="T49" s="348"/>
      <c r="U49" s="34"/>
      <c r="V49" s="34"/>
      <c r="W49" s="35" t="s">
        <v>70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120</v>
      </c>
      <c r="AG49" s="67"/>
      <c r="AJ49" s="71" t="s">
        <v>111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4301071047</v>
      </c>
      <c r="D50" s="352">
        <v>4607111039330</v>
      </c>
      <c r="E50" s="353"/>
      <c r="F50" s="341">
        <v>0.7</v>
      </c>
      <c r="G50" s="32">
        <v>10</v>
      </c>
      <c r="H50" s="341">
        <v>7</v>
      </c>
      <c r="I50" s="341">
        <v>7.3</v>
      </c>
      <c r="J50" s="32">
        <v>84</v>
      </c>
      <c r="K50" s="32" t="s">
        <v>67</v>
      </c>
      <c r="L50" s="32" t="s">
        <v>109</v>
      </c>
      <c r="M50" s="33" t="s">
        <v>69</v>
      </c>
      <c r="N50" s="33"/>
      <c r="O50" s="32">
        <v>180</v>
      </c>
      <c r="P50" s="4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7"/>
      <c r="R50" s="347"/>
      <c r="S50" s="347"/>
      <c r="T50" s="348"/>
      <c r="U50" s="34"/>
      <c r="V50" s="34"/>
      <c r="W50" s="35" t="s">
        <v>70</v>
      </c>
      <c r="X50" s="342">
        <v>96</v>
      </c>
      <c r="Y50" s="343">
        <f t="shared" si="0"/>
        <v>96</v>
      </c>
      <c r="Z50" s="36">
        <f t="shared" si="1"/>
        <v>1.488</v>
      </c>
      <c r="AA50" s="56"/>
      <c r="AB50" s="57"/>
      <c r="AC50" s="102" t="s">
        <v>120</v>
      </c>
      <c r="AG50" s="67"/>
      <c r="AJ50" s="71" t="s">
        <v>111</v>
      </c>
      <c r="AK50" s="71">
        <v>12</v>
      </c>
      <c r="BB50" s="103" t="s">
        <v>1</v>
      </c>
      <c r="BM50" s="67">
        <f t="shared" si="2"/>
        <v>700.8</v>
      </c>
      <c r="BN50" s="67">
        <f t="shared" si="3"/>
        <v>700.8</v>
      </c>
      <c r="BO50" s="67">
        <f t="shared" si="4"/>
        <v>1.1428571428571428</v>
      </c>
      <c r="BP50" s="67">
        <f t="shared" si="5"/>
        <v>1.1428571428571428</v>
      </c>
    </row>
    <row r="51" spans="1:68" x14ac:dyDescent="0.2">
      <c r="A51" s="364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65"/>
      <c r="P51" s="359" t="s">
        <v>73</v>
      </c>
      <c r="Q51" s="360"/>
      <c r="R51" s="360"/>
      <c r="S51" s="360"/>
      <c r="T51" s="360"/>
      <c r="U51" s="360"/>
      <c r="V51" s="361"/>
      <c r="W51" s="37" t="s">
        <v>70</v>
      </c>
      <c r="X51" s="344">
        <f>IFERROR(SUM(X43:X50),"0")</f>
        <v>240</v>
      </c>
      <c r="Y51" s="344">
        <f>IFERROR(SUM(Y43:Y50),"0")</f>
        <v>240</v>
      </c>
      <c r="Z51" s="344">
        <f>IFERROR(IF(Z43="",0,Z43),"0")+IFERROR(IF(Z44="",0,Z44),"0")+IFERROR(IF(Z45="",0,Z45),"0")+IFERROR(IF(Z46="",0,Z46),"0")+IFERROR(IF(Z47="",0,Z47),"0")+IFERROR(IF(Z48="",0,Z48),"0")+IFERROR(IF(Z49="",0,Z49),"0")+IFERROR(IF(Z50="",0,Z50),"0")</f>
        <v>3.7199999999999998</v>
      </c>
      <c r="AA51" s="345"/>
      <c r="AB51" s="345"/>
      <c r="AC51" s="345"/>
    </row>
    <row r="52" spans="1:68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65"/>
      <c r="P52" s="359" t="s">
        <v>73</v>
      </c>
      <c r="Q52" s="360"/>
      <c r="R52" s="360"/>
      <c r="S52" s="360"/>
      <c r="T52" s="360"/>
      <c r="U52" s="360"/>
      <c r="V52" s="361"/>
      <c r="W52" s="37" t="s">
        <v>74</v>
      </c>
      <c r="X52" s="344">
        <f>IFERROR(SUMPRODUCT(X43:X50*H43:H50),"0")</f>
        <v>1658.4</v>
      </c>
      <c r="Y52" s="344">
        <f>IFERROR(SUMPRODUCT(Y43:Y50*H43:H50),"0")</f>
        <v>1658.4</v>
      </c>
      <c r="Z52" s="37"/>
      <c r="AA52" s="345"/>
      <c r="AB52" s="345"/>
      <c r="AC52" s="345"/>
    </row>
    <row r="53" spans="1:68" ht="16.5" customHeight="1" x14ac:dyDescent="0.25">
      <c r="A53" s="355" t="s">
        <v>129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56"/>
      <c r="Z53" s="356"/>
      <c r="AA53" s="337"/>
      <c r="AB53" s="337"/>
      <c r="AC53" s="337"/>
    </row>
    <row r="54" spans="1:68" ht="14.25" customHeight="1" x14ac:dyDescent="0.25">
      <c r="A54" s="375" t="s">
        <v>64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56"/>
      <c r="Z54" s="356"/>
      <c r="AA54" s="338"/>
      <c r="AB54" s="338"/>
      <c r="AC54" s="338"/>
    </row>
    <row r="55" spans="1:68" ht="16.5" customHeight="1" x14ac:dyDescent="0.25">
      <c r="A55" s="54" t="s">
        <v>130</v>
      </c>
      <c r="B55" s="54" t="s">
        <v>131</v>
      </c>
      <c r="C55" s="31">
        <v>4301071073</v>
      </c>
      <c r="D55" s="352">
        <v>4620207490822</v>
      </c>
      <c r="E55" s="353"/>
      <c r="F55" s="341">
        <v>0.43</v>
      </c>
      <c r="G55" s="32">
        <v>8</v>
      </c>
      <c r="H55" s="341">
        <v>3.44</v>
      </c>
      <c r="I55" s="341">
        <v>3.64</v>
      </c>
      <c r="J55" s="32">
        <v>144</v>
      </c>
      <c r="K55" s="32" t="s">
        <v>67</v>
      </c>
      <c r="L55" s="32" t="s">
        <v>68</v>
      </c>
      <c r="M55" s="33" t="s">
        <v>69</v>
      </c>
      <c r="N55" s="33"/>
      <c r="O55" s="32">
        <v>365</v>
      </c>
      <c r="P55" s="433" t="s">
        <v>132</v>
      </c>
      <c r="Q55" s="347"/>
      <c r="R55" s="347"/>
      <c r="S55" s="347"/>
      <c r="T55" s="348"/>
      <c r="U55" s="34"/>
      <c r="V55" s="34"/>
      <c r="W55" s="35" t="s">
        <v>70</v>
      </c>
      <c r="X55" s="342">
        <v>0</v>
      </c>
      <c r="Y55" s="343">
        <f>IFERROR(IF(X55="","",X55),"")</f>
        <v>0</v>
      </c>
      <c r="Z55" s="36">
        <f>IFERROR(IF(X55="","",X55*0.00866),"")</f>
        <v>0</v>
      </c>
      <c r="AA55" s="56"/>
      <c r="AB55" s="57" t="s">
        <v>133</v>
      </c>
      <c r="AC55" s="104" t="s">
        <v>134</v>
      </c>
      <c r="AG55" s="67"/>
      <c r="AJ55" s="71" t="s">
        <v>72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4"/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65"/>
      <c r="P56" s="359" t="s">
        <v>73</v>
      </c>
      <c r="Q56" s="360"/>
      <c r="R56" s="360"/>
      <c r="S56" s="360"/>
      <c r="T56" s="360"/>
      <c r="U56" s="360"/>
      <c r="V56" s="361"/>
      <c r="W56" s="37" t="s">
        <v>70</v>
      </c>
      <c r="X56" s="344">
        <f>IFERROR(SUM(X55:X55),"0")</f>
        <v>0</v>
      </c>
      <c r="Y56" s="344">
        <f>IFERROR(SUM(Y55:Y55),"0")</f>
        <v>0</v>
      </c>
      <c r="Z56" s="344">
        <f>IFERROR(IF(Z55="",0,Z55),"0")</f>
        <v>0</v>
      </c>
      <c r="AA56" s="345"/>
      <c r="AB56" s="345"/>
      <c r="AC56" s="345"/>
    </row>
    <row r="57" spans="1:68" x14ac:dyDescent="0.2">
      <c r="A57" s="356"/>
      <c r="B57" s="356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365"/>
      <c r="P57" s="359" t="s">
        <v>73</v>
      </c>
      <c r="Q57" s="360"/>
      <c r="R57" s="360"/>
      <c r="S57" s="360"/>
      <c r="T57" s="360"/>
      <c r="U57" s="360"/>
      <c r="V57" s="361"/>
      <c r="W57" s="37" t="s">
        <v>74</v>
      </c>
      <c r="X57" s="344">
        <f>IFERROR(SUMPRODUCT(X55:X55*H55:H55),"0")</f>
        <v>0</v>
      </c>
      <c r="Y57" s="344">
        <f>IFERROR(SUMPRODUCT(Y55:Y55*H55:H55),"0")</f>
        <v>0</v>
      </c>
      <c r="Z57" s="37"/>
      <c r="AA57" s="345"/>
      <c r="AB57" s="345"/>
      <c r="AC57" s="345"/>
    </row>
    <row r="58" spans="1:68" ht="14.25" customHeight="1" x14ac:dyDescent="0.25">
      <c r="A58" s="375" t="s">
        <v>135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356"/>
      <c r="P58" s="356"/>
      <c r="Q58" s="356"/>
      <c r="R58" s="356"/>
      <c r="S58" s="356"/>
      <c r="T58" s="356"/>
      <c r="U58" s="356"/>
      <c r="V58" s="356"/>
      <c r="W58" s="356"/>
      <c r="X58" s="356"/>
      <c r="Y58" s="356"/>
      <c r="Z58" s="356"/>
      <c r="AA58" s="338"/>
      <c r="AB58" s="338"/>
      <c r="AC58" s="338"/>
    </row>
    <row r="59" spans="1:68" ht="16.5" customHeight="1" x14ac:dyDescent="0.25">
      <c r="A59" s="54" t="s">
        <v>136</v>
      </c>
      <c r="B59" s="54" t="s">
        <v>137</v>
      </c>
      <c r="C59" s="31">
        <v>4301100087</v>
      </c>
      <c r="D59" s="352">
        <v>4607111039743</v>
      </c>
      <c r="E59" s="353"/>
      <c r="F59" s="341">
        <v>0.18</v>
      </c>
      <c r="G59" s="32">
        <v>6</v>
      </c>
      <c r="H59" s="341">
        <v>1.08</v>
      </c>
      <c r="I59" s="341">
        <v>2.34</v>
      </c>
      <c r="J59" s="32">
        <v>182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514" t="s">
        <v>138</v>
      </c>
      <c r="Q59" s="347"/>
      <c r="R59" s="347"/>
      <c r="S59" s="347"/>
      <c r="T59" s="348"/>
      <c r="U59" s="34"/>
      <c r="V59" s="34"/>
      <c r="W59" s="35" t="s">
        <v>70</v>
      </c>
      <c r="X59" s="342">
        <v>0</v>
      </c>
      <c r="Y59" s="343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139</v>
      </c>
      <c r="AG59" s="67"/>
      <c r="AJ59" s="71" t="s">
        <v>72</v>
      </c>
      <c r="AK59" s="71">
        <v>1</v>
      </c>
      <c r="BB59" s="107" t="s">
        <v>83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4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65"/>
      <c r="P60" s="359" t="s">
        <v>73</v>
      </c>
      <c r="Q60" s="360"/>
      <c r="R60" s="360"/>
      <c r="S60" s="360"/>
      <c r="T60" s="360"/>
      <c r="U60" s="360"/>
      <c r="V60" s="361"/>
      <c r="W60" s="37" t="s">
        <v>70</v>
      </c>
      <c r="X60" s="344">
        <f>IFERROR(SUM(X59:X59),"0")</f>
        <v>0</v>
      </c>
      <c r="Y60" s="344">
        <f>IFERROR(SUM(Y59:Y59),"0")</f>
        <v>0</v>
      </c>
      <c r="Z60" s="344">
        <f>IFERROR(IF(Z59="",0,Z59),"0")</f>
        <v>0</v>
      </c>
      <c r="AA60" s="345"/>
      <c r="AB60" s="345"/>
      <c r="AC60" s="345"/>
    </row>
    <row r="61" spans="1:68" x14ac:dyDescent="0.2">
      <c r="A61" s="356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65"/>
      <c r="P61" s="359" t="s">
        <v>73</v>
      </c>
      <c r="Q61" s="360"/>
      <c r="R61" s="360"/>
      <c r="S61" s="360"/>
      <c r="T61" s="360"/>
      <c r="U61" s="360"/>
      <c r="V61" s="361"/>
      <c r="W61" s="37" t="s">
        <v>74</v>
      </c>
      <c r="X61" s="344">
        <f>IFERROR(SUMPRODUCT(X59:X59*H59:H59),"0")</f>
        <v>0</v>
      </c>
      <c r="Y61" s="344">
        <f>IFERROR(SUMPRODUCT(Y59:Y59*H59:H59),"0")</f>
        <v>0</v>
      </c>
      <c r="Z61" s="37"/>
      <c r="AA61" s="345"/>
      <c r="AB61" s="345"/>
      <c r="AC61" s="345"/>
    </row>
    <row r="62" spans="1:68" ht="14.25" customHeight="1" x14ac:dyDescent="0.25">
      <c r="A62" s="375" t="s">
        <v>77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56"/>
      <c r="Z62" s="356"/>
      <c r="AA62" s="338"/>
      <c r="AB62" s="338"/>
      <c r="AC62" s="338"/>
    </row>
    <row r="63" spans="1:68" ht="27" customHeight="1" x14ac:dyDescent="0.25">
      <c r="A63" s="54" t="s">
        <v>140</v>
      </c>
      <c r="B63" s="54" t="s">
        <v>141</v>
      </c>
      <c r="C63" s="31">
        <v>4301132044</v>
      </c>
      <c r="D63" s="352">
        <v>4607111036971</v>
      </c>
      <c r="E63" s="353"/>
      <c r="F63" s="341">
        <v>0.25</v>
      </c>
      <c r="G63" s="32">
        <v>6</v>
      </c>
      <c r="H63" s="341">
        <v>1.5</v>
      </c>
      <c r="I63" s="341">
        <v>1.86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9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7"/>
      <c r="R63" s="347"/>
      <c r="S63" s="347"/>
      <c r="T63" s="348"/>
      <c r="U63" s="34"/>
      <c r="V63" s="34"/>
      <c r="W63" s="35" t="s">
        <v>70</v>
      </c>
      <c r="X63" s="342">
        <v>0</v>
      </c>
      <c r="Y63" s="343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142</v>
      </c>
      <c r="AG63" s="67"/>
      <c r="AJ63" s="71" t="s">
        <v>72</v>
      </c>
      <c r="AK63" s="71">
        <v>1</v>
      </c>
      <c r="BB63" s="109" t="s">
        <v>83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143</v>
      </c>
      <c r="B64" s="54" t="s">
        <v>144</v>
      </c>
      <c r="C64" s="31">
        <v>4301132194</v>
      </c>
      <c r="D64" s="352">
        <v>4607111039712</v>
      </c>
      <c r="E64" s="353"/>
      <c r="F64" s="341">
        <v>0.2</v>
      </c>
      <c r="G64" s="32">
        <v>6</v>
      </c>
      <c r="H64" s="341">
        <v>1.2</v>
      </c>
      <c r="I64" s="341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35" t="s">
        <v>145</v>
      </c>
      <c r="Q64" s="347"/>
      <c r="R64" s="347"/>
      <c r="S64" s="347"/>
      <c r="T64" s="348"/>
      <c r="U64" s="34"/>
      <c r="V64" s="34"/>
      <c r="W64" s="35" t="s">
        <v>70</v>
      </c>
      <c r="X64" s="342">
        <v>0</v>
      </c>
      <c r="Y64" s="343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146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4"/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65"/>
      <c r="P65" s="359" t="s">
        <v>73</v>
      </c>
      <c r="Q65" s="360"/>
      <c r="R65" s="360"/>
      <c r="S65" s="360"/>
      <c r="T65" s="360"/>
      <c r="U65" s="360"/>
      <c r="V65" s="361"/>
      <c r="W65" s="37" t="s">
        <v>70</v>
      </c>
      <c r="X65" s="344">
        <f>IFERROR(SUM(X63:X64),"0")</f>
        <v>0</v>
      </c>
      <c r="Y65" s="344">
        <f>IFERROR(SUM(Y63:Y64),"0")</f>
        <v>0</v>
      </c>
      <c r="Z65" s="344">
        <f>IFERROR(IF(Z63="",0,Z63),"0")+IFERROR(IF(Z64="",0,Z64),"0")</f>
        <v>0</v>
      </c>
      <c r="AA65" s="345"/>
      <c r="AB65" s="345"/>
      <c r="AC65" s="345"/>
    </row>
    <row r="66" spans="1:68" x14ac:dyDescent="0.2">
      <c r="A66" s="356"/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65"/>
      <c r="P66" s="359" t="s">
        <v>73</v>
      </c>
      <c r="Q66" s="360"/>
      <c r="R66" s="360"/>
      <c r="S66" s="360"/>
      <c r="T66" s="360"/>
      <c r="U66" s="360"/>
      <c r="V66" s="361"/>
      <c r="W66" s="37" t="s">
        <v>74</v>
      </c>
      <c r="X66" s="344">
        <f>IFERROR(SUMPRODUCT(X63:X64*H63:H64),"0")</f>
        <v>0</v>
      </c>
      <c r="Y66" s="344">
        <f>IFERROR(SUMPRODUCT(Y63:Y64*H63:H64),"0")</f>
        <v>0</v>
      </c>
      <c r="Z66" s="37"/>
      <c r="AA66" s="345"/>
      <c r="AB66" s="345"/>
      <c r="AC66" s="345"/>
    </row>
    <row r="67" spans="1:68" ht="14.25" customHeight="1" x14ac:dyDescent="0.25">
      <c r="A67" s="375" t="s">
        <v>147</v>
      </c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6"/>
      <c r="M67" s="356"/>
      <c r="N67" s="356"/>
      <c r="O67" s="356"/>
      <c r="P67" s="356"/>
      <c r="Q67" s="356"/>
      <c r="R67" s="356"/>
      <c r="S67" s="356"/>
      <c r="T67" s="356"/>
      <c r="U67" s="356"/>
      <c r="V67" s="356"/>
      <c r="W67" s="356"/>
      <c r="X67" s="356"/>
      <c r="Y67" s="356"/>
      <c r="Z67" s="356"/>
      <c r="AA67" s="338"/>
      <c r="AB67" s="338"/>
      <c r="AC67" s="338"/>
    </row>
    <row r="68" spans="1:68" ht="16.5" customHeight="1" x14ac:dyDescent="0.25">
      <c r="A68" s="54" t="s">
        <v>148</v>
      </c>
      <c r="B68" s="54" t="s">
        <v>149</v>
      </c>
      <c r="C68" s="31">
        <v>4301136018</v>
      </c>
      <c r="D68" s="352">
        <v>4607111037008</v>
      </c>
      <c r="E68" s="353"/>
      <c r="F68" s="341">
        <v>0.36</v>
      </c>
      <c r="G68" s="32">
        <v>4</v>
      </c>
      <c r="H68" s="341">
        <v>1.44</v>
      </c>
      <c r="I68" s="341">
        <v>1.74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7"/>
      <c r="R68" s="347"/>
      <c r="S68" s="347"/>
      <c r="T68" s="348"/>
      <c r="U68" s="34"/>
      <c r="V68" s="34"/>
      <c r="W68" s="35" t="s">
        <v>70</v>
      </c>
      <c r="X68" s="342">
        <v>0</v>
      </c>
      <c r="Y68" s="343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150</v>
      </c>
      <c r="AG68" s="67"/>
      <c r="AJ68" s="71" t="s">
        <v>72</v>
      </c>
      <c r="AK68" s="71">
        <v>1</v>
      </c>
      <c r="BB68" s="113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151</v>
      </c>
      <c r="B69" s="54" t="s">
        <v>152</v>
      </c>
      <c r="C69" s="31">
        <v>4301136015</v>
      </c>
      <c r="D69" s="352">
        <v>4607111037398</v>
      </c>
      <c r="E69" s="353"/>
      <c r="F69" s="341">
        <v>0.09</v>
      </c>
      <c r="G69" s="32">
        <v>24</v>
      </c>
      <c r="H69" s="341">
        <v>2.16</v>
      </c>
      <c r="I69" s="341">
        <v>4.0199999999999996</v>
      </c>
      <c r="J69" s="32">
        <v>126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7"/>
      <c r="R69" s="347"/>
      <c r="S69" s="347"/>
      <c r="T69" s="348"/>
      <c r="U69" s="34"/>
      <c r="V69" s="34"/>
      <c r="W69" s="35" t="s">
        <v>70</v>
      </c>
      <c r="X69" s="342">
        <v>0</v>
      </c>
      <c r="Y69" s="343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150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64"/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65"/>
      <c r="P70" s="359" t="s">
        <v>73</v>
      </c>
      <c r="Q70" s="360"/>
      <c r="R70" s="360"/>
      <c r="S70" s="360"/>
      <c r="T70" s="360"/>
      <c r="U70" s="360"/>
      <c r="V70" s="361"/>
      <c r="W70" s="37" t="s">
        <v>70</v>
      </c>
      <c r="X70" s="344">
        <f>IFERROR(SUM(X68:X69),"0")</f>
        <v>0</v>
      </c>
      <c r="Y70" s="344">
        <f>IFERROR(SUM(Y68:Y69),"0")</f>
        <v>0</v>
      </c>
      <c r="Z70" s="344">
        <f>IFERROR(IF(Z68="",0,Z68),"0")+IFERROR(IF(Z69="",0,Z69),"0")</f>
        <v>0</v>
      </c>
      <c r="AA70" s="345"/>
      <c r="AB70" s="345"/>
      <c r="AC70" s="345"/>
    </row>
    <row r="71" spans="1:68" x14ac:dyDescent="0.2">
      <c r="A71" s="356"/>
      <c r="B71" s="356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365"/>
      <c r="P71" s="359" t="s">
        <v>73</v>
      </c>
      <c r="Q71" s="360"/>
      <c r="R71" s="360"/>
      <c r="S71" s="360"/>
      <c r="T71" s="360"/>
      <c r="U71" s="360"/>
      <c r="V71" s="361"/>
      <c r="W71" s="37" t="s">
        <v>74</v>
      </c>
      <c r="X71" s="344">
        <f>IFERROR(SUMPRODUCT(X68:X69*H68:H69),"0")</f>
        <v>0</v>
      </c>
      <c r="Y71" s="344">
        <f>IFERROR(SUMPRODUCT(Y68:Y69*H68:H69),"0")</f>
        <v>0</v>
      </c>
      <c r="Z71" s="37"/>
      <c r="AA71" s="345"/>
      <c r="AB71" s="345"/>
      <c r="AC71" s="345"/>
    </row>
    <row r="72" spans="1:68" ht="14.25" customHeight="1" x14ac:dyDescent="0.25">
      <c r="A72" s="375" t="s">
        <v>153</v>
      </c>
      <c r="B72" s="356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  <c r="N72" s="356"/>
      <c r="O72" s="356"/>
      <c r="P72" s="356"/>
      <c r="Q72" s="356"/>
      <c r="R72" s="356"/>
      <c r="S72" s="356"/>
      <c r="T72" s="356"/>
      <c r="U72" s="356"/>
      <c r="V72" s="356"/>
      <c r="W72" s="356"/>
      <c r="X72" s="356"/>
      <c r="Y72" s="356"/>
      <c r="Z72" s="356"/>
      <c r="AA72" s="338"/>
      <c r="AB72" s="338"/>
      <c r="AC72" s="338"/>
    </row>
    <row r="73" spans="1:68" ht="16.5" customHeight="1" x14ac:dyDescent="0.25">
      <c r="A73" s="54" t="s">
        <v>154</v>
      </c>
      <c r="B73" s="54" t="s">
        <v>155</v>
      </c>
      <c r="C73" s="31">
        <v>4301135127</v>
      </c>
      <c r="D73" s="352">
        <v>4607111036995</v>
      </c>
      <c r="E73" s="353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4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7"/>
      <c r="R73" s="347"/>
      <c r="S73" s="347"/>
      <c r="T73" s="348"/>
      <c r="U73" s="34"/>
      <c r="V73" s="34"/>
      <c r="W73" s="35" t="s">
        <v>70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150</v>
      </c>
      <c r="AG73" s="67"/>
      <c r="AJ73" s="71" t="s">
        <v>72</v>
      </c>
      <c r="AK73" s="71">
        <v>1</v>
      </c>
      <c r="BB73" s="117" t="s">
        <v>83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156</v>
      </c>
      <c r="B74" s="54" t="s">
        <v>157</v>
      </c>
      <c r="C74" s="31">
        <v>4301135664</v>
      </c>
      <c r="D74" s="352">
        <v>4607111039705</v>
      </c>
      <c r="E74" s="353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80</v>
      </c>
      <c r="L74" s="32" t="s">
        <v>68</v>
      </c>
      <c r="M74" s="33" t="s">
        <v>69</v>
      </c>
      <c r="N74" s="33"/>
      <c r="O74" s="32">
        <v>365</v>
      </c>
      <c r="P74" s="454" t="s">
        <v>158</v>
      </c>
      <c r="Q74" s="347"/>
      <c r="R74" s="347"/>
      <c r="S74" s="347"/>
      <c r="T74" s="348"/>
      <c r="U74" s="34"/>
      <c r="V74" s="34"/>
      <c r="W74" s="35" t="s">
        <v>70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150</v>
      </c>
      <c r="AG74" s="67"/>
      <c r="AJ74" s="71" t="s">
        <v>72</v>
      </c>
      <c r="AK74" s="71">
        <v>1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4301135665</v>
      </c>
      <c r="D75" s="352">
        <v>4607111039729</v>
      </c>
      <c r="E75" s="353"/>
      <c r="F75" s="341">
        <v>0.2</v>
      </c>
      <c r="G75" s="32">
        <v>6</v>
      </c>
      <c r="H75" s="341">
        <v>1.2</v>
      </c>
      <c r="I75" s="341">
        <v>1.56</v>
      </c>
      <c r="J75" s="32">
        <v>140</v>
      </c>
      <c r="K75" s="32" t="s">
        <v>80</v>
      </c>
      <c r="L75" s="32" t="s">
        <v>68</v>
      </c>
      <c r="M75" s="33" t="s">
        <v>69</v>
      </c>
      <c r="N75" s="33"/>
      <c r="O75" s="32">
        <v>365</v>
      </c>
      <c r="P75" s="545" t="s">
        <v>161</v>
      </c>
      <c r="Q75" s="347"/>
      <c r="R75" s="347"/>
      <c r="S75" s="347"/>
      <c r="T75" s="348"/>
      <c r="U75" s="34"/>
      <c r="V75" s="34"/>
      <c r="W75" s="35" t="s">
        <v>70</v>
      </c>
      <c r="X75" s="342">
        <v>0</v>
      </c>
      <c r="Y75" s="343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162</v>
      </c>
      <c r="AG75" s="67"/>
      <c r="AJ75" s="71" t="s">
        <v>72</v>
      </c>
      <c r="AK75" s="71">
        <v>1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4301135200</v>
      </c>
      <c r="D76" s="352">
        <v>4607111038159</v>
      </c>
      <c r="E76" s="353"/>
      <c r="F76" s="341">
        <v>0.25</v>
      </c>
      <c r="G76" s="32">
        <v>6</v>
      </c>
      <c r="H76" s="341">
        <v>1.5</v>
      </c>
      <c r="I76" s="341">
        <v>1.86</v>
      </c>
      <c r="J76" s="32">
        <v>140</v>
      </c>
      <c r="K76" s="32" t="s">
        <v>80</v>
      </c>
      <c r="L76" s="32" t="s">
        <v>68</v>
      </c>
      <c r="M76" s="33" t="s">
        <v>69</v>
      </c>
      <c r="N76" s="33"/>
      <c r="O76" s="32">
        <v>365</v>
      </c>
      <c r="P76" s="459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7"/>
      <c r="R76" s="347"/>
      <c r="S76" s="347"/>
      <c r="T76" s="348"/>
      <c r="U76" s="34"/>
      <c r="V76" s="34"/>
      <c r="W76" s="35" t="s">
        <v>70</v>
      </c>
      <c r="X76" s="342">
        <v>0</v>
      </c>
      <c r="Y76" s="343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162</v>
      </c>
      <c r="AG76" s="67"/>
      <c r="AJ76" s="71" t="s">
        <v>72</v>
      </c>
      <c r="AK76" s="71">
        <v>1</v>
      </c>
      <c r="BB76" s="123" t="s">
        <v>83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165</v>
      </c>
      <c r="B77" s="54" t="s">
        <v>166</v>
      </c>
      <c r="C77" s="31">
        <v>4301135702</v>
      </c>
      <c r="D77" s="352">
        <v>4620207490228</v>
      </c>
      <c r="E77" s="353"/>
      <c r="F77" s="341">
        <v>0.2</v>
      </c>
      <c r="G77" s="32">
        <v>6</v>
      </c>
      <c r="H77" s="341">
        <v>1.2</v>
      </c>
      <c r="I77" s="341">
        <v>1.56</v>
      </c>
      <c r="J77" s="32">
        <v>140</v>
      </c>
      <c r="K77" s="32" t="s">
        <v>80</v>
      </c>
      <c r="L77" s="32" t="s">
        <v>68</v>
      </c>
      <c r="M77" s="33" t="s">
        <v>69</v>
      </c>
      <c r="N77" s="33"/>
      <c r="O77" s="32">
        <v>365</v>
      </c>
      <c r="P77" s="476" t="s">
        <v>167</v>
      </c>
      <c r="Q77" s="347"/>
      <c r="R77" s="347"/>
      <c r="S77" s="347"/>
      <c r="T77" s="348"/>
      <c r="U77" s="34"/>
      <c r="V77" s="34"/>
      <c r="W77" s="35" t="s">
        <v>70</v>
      </c>
      <c r="X77" s="342">
        <v>0</v>
      </c>
      <c r="Y77" s="343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162</v>
      </c>
      <c r="AG77" s="67"/>
      <c r="AJ77" s="71" t="s">
        <v>72</v>
      </c>
      <c r="AK77" s="71">
        <v>1</v>
      </c>
      <c r="BB77" s="125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4"/>
      <c r="B78" s="356"/>
      <c r="C78" s="35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65"/>
      <c r="P78" s="359" t="s">
        <v>73</v>
      </c>
      <c r="Q78" s="360"/>
      <c r="R78" s="360"/>
      <c r="S78" s="360"/>
      <c r="T78" s="360"/>
      <c r="U78" s="360"/>
      <c r="V78" s="361"/>
      <c r="W78" s="37" t="s">
        <v>70</v>
      </c>
      <c r="X78" s="344">
        <f>IFERROR(SUM(X73:X77),"0")</f>
        <v>0</v>
      </c>
      <c r="Y78" s="344">
        <f>IFERROR(SUM(Y73:Y77),"0")</f>
        <v>0</v>
      </c>
      <c r="Z78" s="344">
        <f>IFERROR(IF(Z73="",0,Z73),"0")+IFERROR(IF(Z74="",0,Z74),"0")+IFERROR(IF(Z75="",0,Z75),"0")+IFERROR(IF(Z76="",0,Z76),"0")+IFERROR(IF(Z77="",0,Z77),"0")</f>
        <v>0</v>
      </c>
      <c r="AA78" s="345"/>
      <c r="AB78" s="345"/>
      <c r="AC78" s="345"/>
    </row>
    <row r="79" spans="1:68" x14ac:dyDescent="0.2">
      <c r="A79" s="356"/>
      <c r="B79" s="356"/>
      <c r="C79" s="35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65"/>
      <c r="P79" s="359" t="s">
        <v>73</v>
      </c>
      <c r="Q79" s="360"/>
      <c r="R79" s="360"/>
      <c r="S79" s="360"/>
      <c r="T79" s="360"/>
      <c r="U79" s="360"/>
      <c r="V79" s="361"/>
      <c r="W79" s="37" t="s">
        <v>74</v>
      </c>
      <c r="X79" s="344">
        <f>IFERROR(SUMPRODUCT(X73:X77*H73:H77),"0")</f>
        <v>0</v>
      </c>
      <c r="Y79" s="344">
        <f>IFERROR(SUMPRODUCT(Y73:Y77*H73:H77),"0")</f>
        <v>0</v>
      </c>
      <c r="Z79" s="37"/>
      <c r="AA79" s="345"/>
      <c r="AB79" s="345"/>
      <c r="AC79" s="345"/>
    </row>
    <row r="80" spans="1:68" ht="16.5" customHeight="1" x14ac:dyDescent="0.25">
      <c r="A80" s="355" t="s">
        <v>168</v>
      </c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37"/>
      <c r="AB80" s="337"/>
      <c r="AC80" s="337"/>
    </row>
    <row r="81" spans="1:68" ht="14.25" customHeight="1" x14ac:dyDescent="0.25">
      <c r="A81" s="375" t="s">
        <v>64</v>
      </c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6"/>
      <c r="P81" s="356"/>
      <c r="Q81" s="356"/>
      <c r="R81" s="356"/>
      <c r="S81" s="356"/>
      <c r="T81" s="356"/>
      <c r="U81" s="356"/>
      <c r="V81" s="356"/>
      <c r="W81" s="356"/>
      <c r="X81" s="356"/>
      <c r="Y81" s="356"/>
      <c r="Z81" s="356"/>
      <c r="AA81" s="338"/>
      <c r="AB81" s="338"/>
      <c r="AC81" s="338"/>
    </row>
    <row r="82" spans="1:68" ht="27" customHeight="1" x14ac:dyDescent="0.25">
      <c r="A82" s="54" t="s">
        <v>169</v>
      </c>
      <c r="B82" s="54" t="s">
        <v>170</v>
      </c>
      <c r="C82" s="31">
        <v>4301070977</v>
      </c>
      <c r="D82" s="352">
        <v>4607111037411</v>
      </c>
      <c r="E82" s="353"/>
      <c r="F82" s="341">
        <v>2.7</v>
      </c>
      <c r="G82" s="32">
        <v>1</v>
      </c>
      <c r="H82" s="341">
        <v>2.7</v>
      </c>
      <c r="I82" s="341">
        <v>2.8132000000000001</v>
      </c>
      <c r="J82" s="32">
        <v>234</v>
      </c>
      <c r="K82" s="32" t="s">
        <v>171</v>
      </c>
      <c r="L82" s="32" t="s">
        <v>109</v>
      </c>
      <c r="M82" s="33" t="s">
        <v>69</v>
      </c>
      <c r="N82" s="33"/>
      <c r="O82" s="32">
        <v>180</v>
      </c>
      <c r="P82" s="5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7"/>
      <c r="R82" s="347"/>
      <c r="S82" s="347"/>
      <c r="T82" s="348"/>
      <c r="U82" s="34"/>
      <c r="V82" s="34"/>
      <c r="W82" s="35" t="s">
        <v>70</v>
      </c>
      <c r="X82" s="342">
        <v>36</v>
      </c>
      <c r="Y82" s="343">
        <f>IFERROR(IF(X82="","",X82),"")</f>
        <v>36</v>
      </c>
      <c r="Z82" s="36">
        <f>IFERROR(IF(X82="","",X82*0.00502),"")</f>
        <v>0.18071999999999999</v>
      </c>
      <c r="AA82" s="56"/>
      <c r="AB82" s="57"/>
      <c r="AC82" s="126" t="s">
        <v>172</v>
      </c>
      <c r="AG82" s="67"/>
      <c r="AJ82" s="71" t="s">
        <v>111</v>
      </c>
      <c r="AK82" s="71">
        <v>18</v>
      </c>
      <c r="BB82" s="127" t="s">
        <v>1</v>
      </c>
      <c r="BM82" s="67">
        <f>IFERROR(X82*I82,"0")</f>
        <v>101.27520000000001</v>
      </c>
      <c r="BN82" s="67">
        <f>IFERROR(Y82*I82,"0")</f>
        <v>101.27520000000001</v>
      </c>
      <c r="BO82" s="67">
        <f>IFERROR(X82/J82,"0")</f>
        <v>0.15384615384615385</v>
      </c>
      <c r="BP82" s="67">
        <f>IFERROR(Y82/J82,"0")</f>
        <v>0.15384615384615385</v>
      </c>
    </row>
    <row r="83" spans="1:68" ht="27" customHeight="1" x14ac:dyDescent="0.25">
      <c r="A83" s="54" t="s">
        <v>173</v>
      </c>
      <c r="B83" s="54" t="s">
        <v>174</v>
      </c>
      <c r="C83" s="31">
        <v>4301070981</v>
      </c>
      <c r="D83" s="352">
        <v>4607111036728</v>
      </c>
      <c r="E83" s="353"/>
      <c r="F83" s="341">
        <v>5</v>
      </c>
      <c r="G83" s="32">
        <v>1</v>
      </c>
      <c r="H83" s="341">
        <v>5</v>
      </c>
      <c r="I83" s="341">
        <v>5.2131999999999996</v>
      </c>
      <c r="J83" s="32">
        <v>144</v>
      </c>
      <c r="K83" s="32" t="s">
        <v>67</v>
      </c>
      <c r="L83" s="32" t="s">
        <v>114</v>
      </c>
      <c r="M83" s="33" t="s">
        <v>69</v>
      </c>
      <c r="N83" s="33"/>
      <c r="O83" s="32">
        <v>180</v>
      </c>
      <c r="P83" s="5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7"/>
      <c r="R83" s="347"/>
      <c r="S83" s="347"/>
      <c r="T83" s="348"/>
      <c r="U83" s="34"/>
      <c r="V83" s="34"/>
      <c r="W83" s="35" t="s">
        <v>70</v>
      </c>
      <c r="X83" s="342">
        <v>0</v>
      </c>
      <c r="Y83" s="343">
        <f>IFERROR(IF(X83="","",X83),"")</f>
        <v>0</v>
      </c>
      <c r="Z83" s="36">
        <f>IFERROR(IF(X83="","",X83*0.00866),"")</f>
        <v>0</v>
      </c>
      <c r="AA83" s="56"/>
      <c r="AB83" s="57"/>
      <c r="AC83" s="128" t="s">
        <v>172</v>
      </c>
      <c r="AG83" s="67"/>
      <c r="AJ83" s="71" t="s">
        <v>115</v>
      </c>
      <c r="AK83" s="71">
        <v>144</v>
      </c>
      <c r="BB83" s="129" t="s">
        <v>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64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6"/>
      <c r="N84" s="356"/>
      <c r="O84" s="365"/>
      <c r="P84" s="359" t="s">
        <v>73</v>
      </c>
      <c r="Q84" s="360"/>
      <c r="R84" s="360"/>
      <c r="S84" s="360"/>
      <c r="T84" s="360"/>
      <c r="U84" s="360"/>
      <c r="V84" s="361"/>
      <c r="W84" s="37" t="s">
        <v>70</v>
      </c>
      <c r="X84" s="344">
        <f>IFERROR(SUM(X82:X83),"0")</f>
        <v>36</v>
      </c>
      <c r="Y84" s="344">
        <f>IFERROR(SUM(Y82:Y83),"0")</f>
        <v>36</v>
      </c>
      <c r="Z84" s="344">
        <f>IFERROR(IF(Z82="",0,Z82),"0")+IFERROR(IF(Z83="",0,Z83),"0")</f>
        <v>0.18071999999999999</v>
      </c>
      <c r="AA84" s="345"/>
      <c r="AB84" s="345"/>
      <c r="AC84" s="345"/>
    </row>
    <row r="85" spans="1:68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6"/>
      <c r="N85" s="356"/>
      <c r="O85" s="365"/>
      <c r="P85" s="359" t="s">
        <v>73</v>
      </c>
      <c r="Q85" s="360"/>
      <c r="R85" s="360"/>
      <c r="S85" s="360"/>
      <c r="T85" s="360"/>
      <c r="U85" s="360"/>
      <c r="V85" s="361"/>
      <c r="W85" s="37" t="s">
        <v>74</v>
      </c>
      <c r="X85" s="344">
        <f>IFERROR(SUMPRODUCT(X82:X83*H82:H83),"0")</f>
        <v>97.2</v>
      </c>
      <c r="Y85" s="344">
        <f>IFERROR(SUMPRODUCT(Y82:Y83*H82:H83),"0")</f>
        <v>97.2</v>
      </c>
      <c r="Z85" s="37"/>
      <c r="AA85" s="345"/>
      <c r="AB85" s="345"/>
      <c r="AC85" s="345"/>
    </row>
    <row r="86" spans="1:68" ht="16.5" customHeight="1" x14ac:dyDescent="0.25">
      <c r="A86" s="355" t="s">
        <v>175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56"/>
      <c r="Z86" s="356"/>
      <c r="AA86" s="337"/>
      <c r="AB86" s="337"/>
      <c r="AC86" s="337"/>
    </row>
    <row r="87" spans="1:68" ht="14.25" customHeight="1" x14ac:dyDescent="0.25">
      <c r="A87" s="375" t="s">
        <v>153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56"/>
      <c r="Z87" s="356"/>
      <c r="AA87" s="338"/>
      <c r="AB87" s="338"/>
      <c r="AC87" s="338"/>
    </row>
    <row r="88" spans="1:68" ht="27" customHeight="1" x14ac:dyDescent="0.25">
      <c r="A88" s="54" t="s">
        <v>176</v>
      </c>
      <c r="B88" s="54" t="s">
        <v>177</v>
      </c>
      <c r="C88" s="31">
        <v>4301135584</v>
      </c>
      <c r="D88" s="352">
        <v>4607111033659</v>
      </c>
      <c r="E88" s="353"/>
      <c r="F88" s="341">
        <v>0.3</v>
      </c>
      <c r="G88" s="32">
        <v>12</v>
      </c>
      <c r="H88" s="341">
        <v>3.6</v>
      </c>
      <c r="I88" s="341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72" t="s">
        <v>178</v>
      </c>
      <c r="Q88" s="347"/>
      <c r="R88" s="347"/>
      <c r="S88" s="347"/>
      <c r="T88" s="348"/>
      <c r="U88" s="34"/>
      <c r="V88" s="34"/>
      <c r="W88" s="35" t="s">
        <v>70</v>
      </c>
      <c r="X88" s="342">
        <v>0</v>
      </c>
      <c r="Y88" s="343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179</v>
      </c>
      <c r="AG88" s="67"/>
      <c r="AJ88" s="71" t="s">
        <v>72</v>
      </c>
      <c r="AK88" s="71">
        <v>1</v>
      </c>
      <c r="BB88" s="131" t="s">
        <v>83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64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65"/>
      <c r="P89" s="359" t="s">
        <v>73</v>
      </c>
      <c r="Q89" s="360"/>
      <c r="R89" s="360"/>
      <c r="S89" s="360"/>
      <c r="T89" s="360"/>
      <c r="U89" s="360"/>
      <c r="V89" s="361"/>
      <c r="W89" s="37" t="s">
        <v>70</v>
      </c>
      <c r="X89" s="344">
        <f>IFERROR(SUM(X88:X88),"0")</f>
        <v>0</v>
      </c>
      <c r="Y89" s="344">
        <f>IFERROR(SUM(Y88:Y88),"0")</f>
        <v>0</v>
      </c>
      <c r="Z89" s="344">
        <f>IFERROR(IF(Z88="",0,Z88),"0")</f>
        <v>0</v>
      </c>
      <c r="AA89" s="345"/>
      <c r="AB89" s="345"/>
      <c r="AC89" s="345"/>
    </row>
    <row r="90" spans="1:68" x14ac:dyDescent="0.2">
      <c r="A90" s="356"/>
      <c r="B90" s="356"/>
      <c r="C90" s="356"/>
      <c r="D90" s="356"/>
      <c r="E90" s="356"/>
      <c r="F90" s="356"/>
      <c r="G90" s="356"/>
      <c r="H90" s="356"/>
      <c r="I90" s="356"/>
      <c r="J90" s="356"/>
      <c r="K90" s="356"/>
      <c r="L90" s="356"/>
      <c r="M90" s="356"/>
      <c r="N90" s="356"/>
      <c r="O90" s="365"/>
      <c r="P90" s="359" t="s">
        <v>73</v>
      </c>
      <c r="Q90" s="360"/>
      <c r="R90" s="360"/>
      <c r="S90" s="360"/>
      <c r="T90" s="360"/>
      <c r="U90" s="360"/>
      <c r="V90" s="361"/>
      <c r="W90" s="37" t="s">
        <v>74</v>
      </c>
      <c r="X90" s="344">
        <f>IFERROR(SUMPRODUCT(X88:X88*H88:H88),"0")</f>
        <v>0</v>
      </c>
      <c r="Y90" s="344">
        <f>IFERROR(SUMPRODUCT(Y88:Y88*H88:H88),"0")</f>
        <v>0</v>
      </c>
      <c r="Z90" s="37"/>
      <c r="AA90" s="345"/>
      <c r="AB90" s="345"/>
      <c r="AC90" s="345"/>
    </row>
    <row r="91" spans="1:68" ht="16.5" customHeight="1" x14ac:dyDescent="0.25">
      <c r="A91" s="355" t="s">
        <v>180</v>
      </c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356"/>
      <c r="P91" s="356"/>
      <c r="Q91" s="356"/>
      <c r="R91" s="356"/>
      <c r="S91" s="356"/>
      <c r="T91" s="356"/>
      <c r="U91" s="356"/>
      <c r="V91" s="356"/>
      <c r="W91" s="356"/>
      <c r="X91" s="356"/>
      <c r="Y91" s="356"/>
      <c r="Z91" s="356"/>
      <c r="AA91" s="337"/>
      <c r="AB91" s="337"/>
      <c r="AC91" s="337"/>
    </row>
    <row r="92" spans="1:68" ht="14.25" customHeight="1" x14ac:dyDescent="0.25">
      <c r="A92" s="375" t="s">
        <v>181</v>
      </c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56"/>
      <c r="P92" s="356"/>
      <c r="Q92" s="356"/>
      <c r="R92" s="356"/>
      <c r="S92" s="356"/>
      <c r="T92" s="356"/>
      <c r="U92" s="356"/>
      <c r="V92" s="356"/>
      <c r="W92" s="356"/>
      <c r="X92" s="356"/>
      <c r="Y92" s="356"/>
      <c r="Z92" s="356"/>
      <c r="AA92" s="338"/>
      <c r="AB92" s="338"/>
      <c r="AC92" s="338"/>
    </row>
    <row r="93" spans="1:68" ht="27" customHeight="1" x14ac:dyDescent="0.25">
      <c r="A93" s="54" t="s">
        <v>182</v>
      </c>
      <c r="B93" s="54" t="s">
        <v>183</v>
      </c>
      <c r="C93" s="31">
        <v>4301131041</v>
      </c>
      <c r="D93" s="352">
        <v>4607111034120</v>
      </c>
      <c r="E93" s="353"/>
      <c r="F93" s="341">
        <v>0.3</v>
      </c>
      <c r="G93" s="32">
        <v>12</v>
      </c>
      <c r="H93" s="341">
        <v>3.6</v>
      </c>
      <c r="I93" s="341">
        <v>4.3036000000000003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12" t="s">
        <v>184</v>
      </c>
      <c r="Q93" s="347"/>
      <c r="R93" s="347"/>
      <c r="S93" s="347"/>
      <c r="T93" s="348"/>
      <c r="U93" s="34"/>
      <c r="V93" s="34"/>
      <c r="W93" s="35" t="s">
        <v>70</v>
      </c>
      <c r="X93" s="342">
        <v>14</v>
      </c>
      <c r="Y93" s="343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185</v>
      </c>
      <c r="AG93" s="67"/>
      <c r="AJ93" s="71" t="s">
        <v>72</v>
      </c>
      <c r="AK93" s="71">
        <v>1</v>
      </c>
      <c r="BB93" s="133" t="s">
        <v>83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186</v>
      </c>
      <c r="B94" s="54" t="s">
        <v>187</v>
      </c>
      <c r="C94" s="31">
        <v>4301131021</v>
      </c>
      <c r="D94" s="352">
        <v>4607111034137</v>
      </c>
      <c r="E94" s="353"/>
      <c r="F94" s="341">
        <v>0.3</v>
      </c>
      <c r="G94" s="32">
        <v>12</v>
      </c>
      <c r="H94" s="341">
        <v>3.6</v>
      </c>
      <c r="I94" s="341">
        <v>4.3036000000000003</v>
      </c>
      <c r="J94" s="32">
        <v>70</v>
      </c>
      <c r="K94" s="32" t="s">
        <v>80</v>
      </c>
      <c r="L94" s="32" t="s">
        <v>109</v>
      </c>
      <c r="M94" s="33" t="s">
        <v>69</v>
      </c>
      <c r="N94" s="33"/>
      <c r="O94" s="32">
        <v>180</v>
      </c>
      <c r="P94" s="3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7"/>
      <c r="R94" s="347"/>
      <c r="S94" s="347"/>
      <c r="T94" s="348"/>
      <c r="U94" s="34"/>
      <c r="V94" s="34"/>
      <c r="W94" s="35" t="s">
        <v>70</v>
      </c>
      <c r="X94" s="342">
        <v>0</v>
      </c>
      <c r="Y94" s="343">
        <f>IFERROR(IF(X94="","",X94),"")</f>
        <v>0</v>
      </c>
      <c r="Z94" s="36">
        <f>IFERROR(IF(X94="","",X94*0.01788),"")</f>
        <v>0</v>
      </c>
      <c r="AA94" s="56"/>
      <c r="AB94" s="57"/>
      <c r="AC94" s="134" t="s">
        <v>188</v>
      </c>
      <c r="AG94" s="67"/>
      <c r="AJ94" s="71" t="s">
        <v>111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x14ac:dyDescent="0.2">
      <c r="A95" s="364"/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65"/>
      <c r="P95" s="359" t="s">
        <v>73</v>
      </c>
      <c r="Q95" s="360"/>
      <c r="R95" s="360"/>
      <c r="S95" s="360"/>
      <c r="T95" s="360"/>
      <c r="U95" s="360"/>
      <c r="V95" s="361"/>
      <c r="W95" s="37" t="s">
        <v>70</v>
      </c>
      <c r="X95" s="344">
        <f>IFERROR(SUM(X93:X94),"0")</f>
        <v>14</v>
      </c>
      <c r="Y95" s="344">
        <f>IFERROR(SUM(Y93:Y94),"0")</f>
        <v>14</v>
      </c>
      <c r="Z95" s="344">
        <f>IFERROR(IF(Z93="",0,Z93),"0")+IFERROR(IF(Z94="",0,Z94),"0")</f>
        <v>0.25031999999999999</v>
      </c>
      <c r="AA95" s="345"/>
      <c r="AB95" s="345"/>
      <c r="AC95" s="345"/>
    </row>
    <row r="96" spans="1:68" x14ac:dyDescent="0.2">
      <c r="A96" s="356"/>
      <c r="B96" s="356"/>
      <c r="C96" s="356"/>
      <c r="D96" s="356"/>
      <c r="E96" s="356"/>
      <c r="F96" s="356"/>
      <c r="G96" s="356"/>
      <c r="H96" s="356"/>
      <c r="I96" s="356"/>
      <c r="J96" s="356"/>
      <c r="K96" s="356"/>
      <c r="L96" s="356"/>
      <c r="M96" s="356"/>
      <c r="N96" s="356"/>
      <c r="O96" s="365"/>
      <c r="P96" s="359" t="s">
        <v>73</v>
      </c>
      <c r="Q96" s="360"/>
      <c r="R96" s="360"/>
      <c r="S96" s="360"/>
      <c r="T96" s="360"/>
      <c r="U96" s="360"/>
      <c r="V96" s="361"/>
      <c r="W96" s="37" t="s">
        <v>74</v>
      </c>
      <c r="X96" s="344">
        <f>IFERROR(SUMPRODUCT(X93:X94*H93:H94),"0")</f>
        <v>50.4</v>
      </c>
      <c r="Y96" s="344">
        <f>IFERROR(SUMPRODUCT(Y93:Y94*H93:H94),"0")</f>
        <v>50.4</v>
      </c>
      <c r="Z96" s="37"/>
      <c r="AA96" s="345"/>
      <c r="AB96" s="345"/>
      <c r="AC96" s="345"/>
    </row>
    <row r="97" spans="1:68" ht="16.5" customHeight="1" x14ac:dyDescent="0.25">
      <c r="A97" s="355" t="s">
        <v>189</v>
      </c>
      <c r="B97" s="356"/>
      <c r="C97" s="356"/>
      <c r="D97" s="356"/>
      <c r="E97" s="356"/>
      <c r="F97" s="356"/>
      <c r="G97" s="356"/>
      <c r="H97" s="356"/>
      <c r="I97" s="356"/>
      <c r="J97" s="356"/>
      <c r="K97" s="356"/>
      <c r="L97" s="356"/>
      <c r="M97" s="356"/>
      <c r="N97" s="356"/>
      <c r="O97" s="356"/>
      <c r="P97" s="356"/>
      <c r="Q97" s="356"/>
      <c r="R97" s="356"/>
      <c r="S97" s="356"/>
      <c r="T97" s="356"/>
      <c r="U97" s="356"/>
      <c r="V97" s="356"/>
      <c r="W97" s="356"/>
      <c r="X97" s="356"/>
      <c r="Y97" s="356"/>
      <c r="Z97" s="356"/>
      <c r="AA97" s="337"/>
      <c r="AB97" s="337"/>
      <c r="AC97" s="337"/>
    </row>
    <row r="98" spans="1:68" ht="14.25" customHeight="1" x14ac:dyDescent="0.25">
      <c r="A98" s="375" t="s">
        <v>153</v>
      </c>
      <c r="B98" s="356"/>
      <c r="C98" s="356"/>
      <c r="D98" s="356"/>
      <c r="E98" s="356"/>
      <c r="F98" s="356"/>
      <c r="G98" s="356"/>
      <c r="H98" s="356"/>
      <c r="I98" s="356"/>
      <c r="J98" s="356"/>
      <c r="K98" s="356"/>
      <c r="L98" s="356"/>
      <c r="M98" s="356"/>
      <c r="N98" s="356"/>
      <c r="O98" s="356"/>
      <c r="P98" s="356"/>
      <c r="Q98" s="356"/>
      <c r="R98" s="356"/>
      <c r="S98" s="356"/>
      <c r="T98" s="356"/>
      <c r="U98" s="356"/>
      <c r="V98" s="356"/>
      <c r="W98" s="356"/>
      <c r="X98" s="356"/>
      <c r="Y98" s="356"/>
      <c r="Z98" s="356"/>
      <c r="AA98" s="338"/>
      <c r="AB98" s="338"/>
      <c r="AC98" s="338"/>
    </row>
    <row r="99" spans="1:68" ht="27" customHeight="1" x14ac:dyDescent="0.25">
      <c r="A99" s="54" t="s">
        <v>190</v>
      </c>
      <c r="B99" s="54" t="s">
        <v>191</v>
      </c>
      <c r="C99" s="31">
        <v>4301135569</v>
      </c>
      <c r="D99" s="352">
        <v>4607111033628</v>
      </c>
      <c r="E99" s="353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80</v>
      </c>
      <c r="L99" s="32" t="s">
        <v>109</v>
      </c>
      <c r="M99" s="33" t="s">
        <v>69</v>
      </c>
      <c r="N99" s="33"/>
      <c r="O99" s="32">
        <v>180</v>
      </c>
      <c r="P99" s="385" t="s">
        <v>192</v>
      </c>
      <c r="Q99" s="347"/>
      <c r="R99" s="347"/>
      <c r="S99" s="347"/>
      <c r="T99" s="348"/>
      <c r="U99" s="34"/>
      <c r="V99" s="34"/>
      <c r="W99" s="35" t="s">
        <v>70</v>
      </c>
      <c r="X99" s="342">
        <v>42</v>
      </c>
      <c r="Y99" s="343">
        <f t="shared" ref="Y99:Y104" si="6">IFERROR(IF(X99="","",X99),"")</f>
        <v>42</v>
      </c>
      <c r="Z99" s="36">
        <f t="shared" ref="Z99:Z104" si="7">IFERROR(IF(X99="","",X99*0.01788),"")</f>
        <v>0.75095999999999996</v>
      </c>
      <c r="AA99" s="56"/>
      <c r="AB99" s="57"/>
      <c r="AC99" s="136" t="s">
        <v>179</v>
      </c>
      <c r="AG99" s="67"/>
      <c r="AJ99" s="71" t="s">
        <v>111</v>
      </c>
      <c r="AK99" s="71">
        <v>14</v>
      </c>
      <c r="BB99" s="137" t="s">
        <v>83</v>
      </c>
      <c r="BM99" s="67">
        <f t="shared" ref="BM99:BM104" si="8">IFERROR(X99*I99,"0")</f>
        <v>180.75120000000001</v>
      </c>
      <c r="BN99" s="67">
        <f t="shared" ref="BN99:BN104" si="9">IFERROR(Y99*I99,"0")</f>
        <v>180.75120000000001</v>
      </c>
      <c r="BO99" s="67">
        <f t="shared" ref="BO99:BO104" si="10">IFERROR(X99/J99,"0")</f>
        <v>0.6</v>
      </c>
      <c r="BP99" s="67">
        <f t="shared" ref="BP99:BP104" si="11">IFERROR(Y99/J99,"0")</f>
        <v>0.6</v>
      </c>
    </row>
    <row r="100" spans="1:68" ht="27" customHeight="1" x14ac:dyDescent="0.25">
      <c r="A100" s="54" t="s">
        <v>193</v>
      </c>
      <c r="B100" s="54" t="s">
        <v>194</v>
      </c>
      <c r="C100" s="31">
        <v>4301135565</v>
      </c>
      <c r="D100" s="352">
        <v>4607111033451</v>
      </c>
      <c r="E100" s="353"/>
      <c r="F100" s="341">
        <v>0.3</v>
      </c>
      <c r="G100" s="32">
        <v>12</v>
      </c>
      <c r="H100" s="341">
        <v>3.6</v>
      </c>
      <c r="I100" s="341">
        <v>4.3036000000000003</v>
      </c>
      <c r="J100" s="32">
        <v>70</v>
      </c>
      <c r="K100" s="32" t="s">
        <v>80</v>
      </c>
      <c r="L100" s="32" t="s">
        <v>114</v>
      </c>
      <c r="M100" s="33" t="s">
        <v>69</v>
      </c>
      <c r="N100" s="33"/>
      <c r="O100" s="32">
        <v>180</v>
      </c>
      <c r="P100" s="39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7"/>
      <c r="R100" s="347"/>
      <c r="S100" s="347"/>
      <c r="T100" s="348"/>
      <c r="U100" s="34"/>
      <c r="V100" s="34"/>
      <c r="W100" s="35" t="s">
        <v>70</v>
      </c>
      <c r="X100" s="342">
        <v>154</v>
      </c>
      <c r="Y100" s="343">
        <f t="shared" si="6"/>
        <v>154</v>
      </c>
      <c r="Z100" s="36">
        <f t="shared" si="7"/>
        <v>2.75352</v>
      </c>
      <c r="AA100" s="56"/>
      <c r="AB100" s="57"/>
      <c r="AC100" s="138" t="s">
        <v>179</v>
      </c>
      <c r="AG100" s="67"/>
      <c r="AJ100" s="71" t="s">
        <v>115</v>
      </c>
      <c r="AK100" s="71">
        <v>70</v>
      </c>
      <c r="BB100" s="139" t="s">
        <v>83</v>
      </c>
      <c r="BM100" s="67">
        <f t="shared" si="8"/>
        <v>662.75440000000003</v>
      </c>
      <c r="BN100" s="67">
        <f t="shared" si="9"/>
        <v>662.75440000000003</v>
      </c>
      <c r="BO100" s="67">
        <f t="shared" si="10"/>
        <v>2.2000000000000002</v>
      </c>
      <c r="BP100" s="67">
        <f t="shared" si="11"/>
        <v>2.2000000000000002</v>
      </c>
    </row>
    <row r="101" spans="1:68" ht="27" customHeight="1" x14ac:dyDescent="0.25">
      <c r="A101" s="54" t="s">
        <v>195</v>
      </c>
      <c r="B101" s="54" t="s">
        <v>196</v>
      </c>
      <c r="C101" s="31">
        <v>4301135575</v>
      </c>
      <c r="D101" s="352">
        <v>4607111035141</v>
      </c>
      <c r="E101" s="353"/>
      <c r="F101" s="341">
        <v>0.3</v>
      </c>
      <c r="G101" s="32">
        <v>12</v>
      </c>
      <c r="H101" s="341">
        <v>3.6</v>
      </c>
      <c r="I101" s="341">
        <v>4.3036000000000003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29" t="s">
        <v>197</v>
      </c>
      <c r="Q101" s="347"/>
      <c r="R101" s="347"/>
      <c r="S101" s="347"/>
      <c r="T101" s="348"/>
      <c r="U101" s="34"/>
      <c r="V101" s="34"/>
      <c r="W101" s="35" t="s">
        <v>70</v>
      </c>
      <c r="X101" s="342">
        <v>0</v>
      </c>
      <c r="Y101" s="343">
        <f t="shared" si="6"/>
        <v>0</v>
      </c>
      <c r="Z101" s="36">
        <f t="shared" si="7"/>
        <v>0</v>
      </c>
      <c r="AA101" s="56"/>
      <c r="AB101" s="57"/>
      <c r="AC101" s="140" t="s">
        <v>198</v>
      </c>
      <c r="AG101" s="67"/>
      <c r="AJ101" s="71" t="s">
        <v>72</v>
      </c>
      <c r="AK101" s="71">
        <v>1</v>
      </c>
      <c r="BB101" s="141" t="s">
        <v>83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199</v>
      </c>
      <c r="B102" s="54" t="s">
        <v>200</v>
      </c>
      <c r="C102" s="31">
        <v>4301135578</v>
      </c>
      <c r="D102" s="352">
        <v>4607111033444</v>
      </c>
      <c r="E102" s="353"/>
      <c r="F102" s="341">
        <v>0.3</v>
      </c>
      <c r="G102" s="32">
        <v>12</v>
      </c>
      <c r="H102" s="341">
        <v>3.6</v>
      </c>
      <c r="I102" s="341">
        <v>4.3036000000000003</v>
      </c>
      <c r="J102" s="32">
        <v>70</v>
      </c>
      <c r="K102" s="32" t="s">
        <v>80</v>
      </c>
      <c r="L102" s="32" t="s">
        <v>114</v>
      </c>
      <c r="M102" s="33" t="s">
        <v>69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7"/>
      <c r="R102" s="347"/>
      <c r="S102" s="347"/>
      <c r="T102" s="348"/>
      <c r="U102" s="34"/>
      <c r="V102" s="34"/>
      <c r="W102" s="35" t="s">
        <v>70</v>
      </c>
      <c r="X102" s="342">
        <v>140</v>
      </c>
      <c r="Y102" s="343">
        <f t="shared" si="6"/>
        <v>140</v>
      </c>
      <c r="Z102" s="36">
        <f t="shared" si="7"/>
        <v>2.5032000000000001</v>
      </c>
      <c r="AA102" s="56"/>
      <c r="AB102" s="57"/>
      <c r="AC102" s="142" t="s">
        <v>179</v>
      </c>
      <c r="AG102" s="67"/>
      <c r="AJ102" s="71" t="s">
        <v>115</v>
      </c>
      <c r="AK102" s="71">
        <v>70</v>
      </c>
      <c r="BB102" s="143" t="s">
        <v>83</v>
      </c>
      <c r="BM102" s="67">
        <f t="shared" si="8"/>
        <v>602.50400000000002</v>
      </c>
      <c r="BN102" s="67">
        <f t="shared" si="9"/>
        <v>602.50400000000002</v>
      </c>
      <c r="BO102" s="67">
        <f t="shared" si="10"/>
        <v>2</v>
      </c>
      <c r="BP102" s="67">
        <f t="shared" si="11"/>
        <v>2</v>
      </c>
    </row>
    <row r="103" spans="1:68" ht="27" customHeight="1" x14ac:dyDescent="0.25">
      <c r="A103" s="54" t="s">
        <v>201</v>
      </c>
      <c r="B103" s="54" t="s">
        <v>202</v>
      </c>
      <c r="C103" s="31">
        <v>4301135290</v>
      </c>
      <c r="D103" s="352">
        <v>4607111035028</v>
      </c>
      <c r="E103" s="353"/>
      <c r="F103" s="341">
        <v>0.48</v>
      </c>
      <c r="G103" s="32">
        <v>8</v>
      </c>
      <c r="H103" s="341">
        <v>3.84</v>
      </c>
      <c r="I103" s="341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7"/>
      <c r="R103" s="347"/>
      <c r="S103" s="347"/>
      <c r="T103" s="348"/>
      <c r="U103" s="34"/>
      <c r="V103" s="34"/>
      <c r="W103" s="35" t="s">
        <v>70</v>
      </c>
      <c r="X103" s="342">
        <v>0</v>
      </c>
      <c r="Y103" s="343">
        <f t="shared" si="6"/>
        <v>0</v>
      </c>
      <c r="Z103" s="36">
        <f t="shared" si="7"/>
        <v>0</v>
      </c>
      <c r="AA103" s="56"/>
      <c r="AB103" s="57"/>
      <c r="AC103" s="144" t="s">
        <v>198</v>
      </c>
      <c r="AG103" s="67"/>
      <c r="AJ103" s="71" t="s">
        <v>72</v>
      </c>
      <c r="AK103" s="71">
        <v>1</v>
      </c>
      <c r="BB103" s="145" t="s">
        <v>83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203</v>
      </c>
      <c r="B104" s="54" t="s">
        <v>204</v>
      </c>
      <c r="C104" s="31">
        <v>4301135285</v>
      </c>
      <c r="D104" s="352">
        <v>4607111036407</v>
      </c>
      <c r="E104" s="353"/>
      <c r="F104" s="341">
        <v>0.3</v>
      </c>
      <c r="G104" s="32">
        <v>14</v>
      </c>
      <c r="H104" s="341">
        <v>4.2</v>
      </c>
      <c r="I104" s="341">
        <v>4.5292000000000003</v>
      </c>
      <c r="J104" s="32">
        <v>70</v>
      </c>
      <c r="K104" s="32" t="s">
        <v>80</v>
      </c>
      <c r="L104" s="32" t="s">
        <v>109</v>
      </c>
      <c r="M104" s="33" t="s">
        <v>69</v>
      </c>
      <c r="N104" s="33"/>
      <c r="O104" s="32">
        <v>180</v>
      </c>
      <c r="P104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7"/>
      <c r="R104" s="347"/>
      <c r="S104" s="347"/>
      <c r="T104" s="348"/>
      <c r="U104" s="34"/>
      <c r="V104" s="34"/>
      <c r="W104" s="35" t="s">
        <v>70</v>
      </c>
      <c r="X104" s="342">
        <v>28</v>
      </c>
      <c r="Y104" s="343">
        <f t="shared" si="6"/>
        <v>28</v>
      </c>
      <c r="Z104" s="36">
        <f t="shared" si="7"/>
        <v>0.50063999999999997</v>
      </c>
      <c r="AA104" s="56"/>
      <c r="AB104" s="57"/>
      <c r="AC104" s="146" t="s">
        <v>205</v>
      </c>
      <c r="AG104" s="67"/>
      <c r="AJ104" s="71" t="s">
        <v>111</v>
      </c>
      <c r="AK104" s="71">
        <v>14</v>
      </c>
      <c r="BB104" s="147" t="s">
        <v>83</v>
      </c>
      <c r="BM104" s="67">
        <f t="shared" si="8"/>
        <v>126.81760000000001</v>
      </c>
      <c r="BN104" s="67">
        <f t="shared" si="9"/>
        <v>126.81760000000001</v>
      </c>
      <c r="BO104" s="67">
        <f t="shared" si="10"/>
        <v>0.4</v>
      </c>
      <c r="BP104" s="67">
        <f t="shared" si="11"/>
        <v>0.4</v>
      </c>
    </row>
    <row r="105" spans="1:68" x14ac:dyDescent="0.2">
      <c r="A105" s="364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5"/>
      <c r="P105" s="359" t="s">
        <v>73</v>
      </c>
      <c r="Q105" s="360"/>
      <c r="R105" s="360"/>
      <c r="S105" s="360"/>
      <c r="T105" s="360"/>
      <c r="U105" s="360"/>
      <c r="V105" s="361"/>
      <c r="W105" s="37" t="s">
        <v>70</v>
      </c>
      <c r="X105" s="344">
        <f>IFERROR(SUM(X99:X104),"0")</f>
        <v>364</v>
      </c>
      <c r="Y105" s="344">
        <f>IFERROR(SUM(Y99:Y104),"0")</f>
        <v>364</v>
      </c>
      <c r="Z105" s="344">
        <f>IFERROR(IF(Z99="",0,Z99),"0")+IFERROR(IF(Z100="",0,Z100),"0")+IFERROR(IF(Z101="",0,Z101),"0")+IFERROR(IF(Z102="",0,Z102),"0")+IFERROR(IF(Z103="",0,Z103),"0")+IFERROR(IF(Z104="",0,Z104),"0")</f>
        <v>6.5083200000000003</v>
      </c>
      <c r="AA105" s="345"/>
      <c r="AB105" s="345"/>
      <c r="AC105" s="345"/>
    </row>
    <row r="106" spans="1:68" x14ac:dyDescent="0.2">
      <c r="A106" s="356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65"/>
      <c r="P106" s="359" t="s">
        <v>73</v>
      </c>
      <c r="Q106" s="360"/>
      <c r="R106" s="360"/>
      <c r="S106" s="360"/>
      <c r="T106" s="360"/>
      <c r="U106" s="360"/>
      <c r="V106" s="361"/>
      <c r="W106" s="37" t="s">
        <v>74</v>
      </c>
      <c r="X106" s="344">
        <f>IFERROR(SUMPRODUCT(X99:X104*H99:H104),"0")</f>
        <v>1327.1999999999998</v>
      </c>
      <c r="Y106" s="344">
        <f>IFERROR(SUMPRODUCT(Y99:Y104*H99:H104),"0")</f>
        <v>1327.1999999999998</v>
      </c>
      <c r="Z106" s="37"/>
      <c r="AA106" s="345"/>
      <c r="AB106" s="345"/>
      <c r="AC106" s="345"/>
    </row>
    <row r="107" spans="1:68" ht="16.5" customHeight="1" x14ac:dyDescent="0.25">
      <c r="A107" s="355" t="s">
        <v>206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37"/>
      <c r="AB107" s="337"/>
      <c r="AC107" s="337"/>
    </row>
    <row r="108" spans="1:68" ht="14.25" customHeight="1" x14ac:dyDescent="0.25">
      <c r="A108" s="375" t="s">
        <v>147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38"/>
      <c r="AB108" s="338"/>
      <c r="AC108" s="338"/>
    </row>
    <row r="109" spans="1:68" ht="27" customHeight="1" x14ac:dyDescent="0.25">
      <c r="A109" s="54" t="s">
        <v>207</v>
      </c>
      <c r="B109" s="54" t="s">
        <v>208</v>
      </c>
      <c r="C109" s="31">
        <v>4301136042</v>
      </c>
      <c r="D109" s="352">
        <v>4607025784012</v>
      </c>
      <c r="E109" s="353"/>
      <c r="F109" s="341">
        <v>0.09</v>
      </c>
      <c r="G109" s="32">
        <v>24</v>
      </c>
      <c r="H109" s="341">
        <v>2.16</v>
      </c>
      <c r="I109" s="341">
        <v>2.4912000000000001</v>
      </c>
      <c r="J109" s="32">
        <v>126</v>
      </c>
      <c r="K109" s="32" t="s">
        <v>80</v>
      </c>
      <c r="L109" s="32" t="s">
        <v>109</v>
      </c>
      <c r="M109" s="33" t="s">
        <v>69</v>
      </c>
      <c r="N109" s="33"/>
      <c r="O109" s="32">
        <v>180</v>
      </c>
      <c r="P109" s="50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7"/>
      <c r="R109" s="347"/>
      <c r="S109" s="347"/>
      <c r="T109" s="348"/>
      <c r="U109" s="34"/>
      <c r="V109" s="34"/>
      <c r="W109" s="35" t="s">
        <v>70</v>
      </c>
      <c r="X109" s="342">
        <v>28</v>
      </c>
      <c r="Y109" s="343">
        <f>IFERROR(IF(X109="","",X109),"")</f>
        <v>28</v>
      </c>
      <c r="Z109" s="36">
        <f>IFERROR(IF(X109="","",X109*0.00936),"")</f>
        <v>0.26207999999999998</v>
      </c>
      <c r="AA109" s="56"/>
      <c r="AB109" s="57"/>
      <c r="AC109" s="148" t="s">
        <v>209</v>
      </c>
      <c r="AG109" s="67"/>
      <c r="AJ109" s="71" t="s">
        <v>111</v>
      </c>
      <c r="AK109" s="71">
        <v>14</v>
      </c>
      <c r="BB109" s="149" t="s">
        <v>83</v>
      </c>
      <c r="BM109" s="67">
        <f>IFERROR(X109*I109,"0")</f>
        <v>69.753600000000006</v>
      </c>
      <c r="BN109" s="67">
        <f>IFERROR(Y109*I109,"0")</f>
        <v>69.753600000000006</v>
      </c>
      <c r="BO109" s="67">
        <f>IFERROR(X109/J109,"0")</f>
        <v>0.22222222222222221</v>
      </c>
      <c r="BP109" s="67">
        <f>IFERROR(Y109/J109,"0")</f>
        <v>0.22222222222222221</v>
      </c>
    </row>
    <row r="110" spans="1:68" ht="27" customHeight="1" x14ac:dyDescent="0.25">
      <c r="A110" s="54" t="s">
        <v>210</v>
      </c>
      <c r="B110" s="54" t="s">
        <v>211</v>
      </c>
      <c r="C110" s="31">
        <v>4301136040</v>
      </c>
      <c r="D110" s="352">
        <v>4607025784319</v>
      </c>
      <c r="E110" s="353"/>
      <c r="F110" s="341">
        <v>0.36</v>
      </c>
      <c r="G110" s="32">
        <v>10</v>
      </c>
      <c r="H110" s="341">
        <v>3.6</v>
      </c>
      <c r="I110" s="341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7"/>
      <c r="R110" s="347"/>
      <c r="S110" s="347"/>
      <c r="T110" s="348"/>
      <c r="U110" s="34"/>
      <c r="V110" s="34"/>
      <c r="W110" s="35" t="s">
        <v>70</v>
      </c>
      <c r="X110" s="342">
        <v>0</v>
      </c>
      <c r="Y110" s="343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212</v>
      </c>
      <c r="AG110" s="67"/>
      <c r="AJ110" s="71" t="s">
        <v>72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4301136039</v>
      </c>
      <c r="D111" s="352">
        <v>4607111035370</v>
      </c>
      <c r="E111" s="353"/>
      <c r="F111" s="341">
        <v>0.14000000000000001</v>
      </c>
      <c r="G111" s="32">
        <v>22</v>
      </c>
      <c r="H111" s="341">
        <v>3.08</v>
      </c>
      <c r="I111" s="341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1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7"/>
      <c r="R111" s="347"/>
      <c r="S111" s="347"/>
      <c r="T111" s="348"/>
      <c r="U111" s="34"/>
      <c r="V111" s="34"/>
      <c r="W111" s="35" t="s">
        <v>70</v>
      </c>
      <c r="X111" s="342">
        <v>0</v>
      </c>
      <c r="Y111" s="343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215</v>
      </c>
      <c r="AG111" s="67"/>
      <c r="AJ111" s="71" t="s">
        <v>72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4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5"/>
      <c r="P112" s="359" t="s">
        <v>73</v>
      </c>
      <c r="Q112" s="360"/>
      <c r="R112" s="360"/>
      <c r="S112" s="360"/>
      <c r="T112" s="360"/>
      <c r="U112" s="360"/>
      <c r="V112" s="361"/>
      <c r="W112" s="37" t="s">
        <v>70</v>
      </c>
      <c r="X112" s="344">
        <f>IFERROR(SUM(X109:X111),"0")</f>
        <v>28</v>
      </c>
      <c r="Y112" s="344">
        <f>IFERROR(SUM(Y109:Y111),"0")</f>
        <v>28</v>
      </c>
      <c r="Z112" s="344">
        <f>IFERROR(IF(Z109="",0,Z109),"0")+IFERROR(IF(Z110="",0,Z110),"0")+IFERROR(IF(Z111="",0,Z111),"0")</f>
        <v>0.26207999999999998</v>
      </c>
      <c r="AA112" s="345"/>
      <c r="AB112" s="345"/>
      <c r="AC112" s="345"/>
    </row>
    <row r="113" spans="1:68" x14ac:dyDescent="0.2">
      <c r="A113" s="356"/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65"/>
      <c r="P113" s="359" t="s">
        <v>73</v>
      </c>
      <c r="Q113" s="360"/>
      <c r="R113" s="360"/>
      <c r="S113" s="360"/>
      <c r="T113" s="360"/>
      <c r="U113" s="360"/>
      <c r="V113" s="361"/>
      <c r="W113" s="37" t="s">
        <v>74</v>
      </c>
      <c r="X113" s="344">
        <f>IFERROR(SUMPRODUCT(X109:X111*H109:H111),"0")</f>
        <v>60.480000000000004</v>
      </c>
      <c r="Y113" s="344">
        <f>IFERROR(SUMPRODUCT(Y109:Y111*H109:H111),"0")</f>
        <v>60.480000000000004</v>
      </c>
      <c r="Z113" s="37"/>
      <c r="AA113" s="345"/>
      <c r="AB113" s="345"/>
      <c r="AC113" s="345"/>
    </row>
    <row r="114" spans="1:68" ht="16.5" customHeight="1" x14ac:dyDescent="0.25">
      <c r="A114" s="355" t="s">
        <v>216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37"/>
      <c r="AB114" s="337"/>
      <c r="AC114" s="337"/>
    </row>
    <row r="115" spans="1:68" ht="14.25" customHeight="1" x14ac:dyDescent="0.25">
      <c r="A115" s="375" t="s">
        <v>64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38"/>
      <c r="AB115" s="338"/>
      <c r="AC115" s="338"/>
    </row>
    <row r="116" spans="1:68" ht="27" customHeight="1" x14ac:dyDescent="0.25">
      <c r="A116" s="54" t="s">
        <v>217</v>
      </c>
      <c r="B116" s="54" t="s">
        <v>218</v>
      </c>
      <c r="C116" s="31">
        <v>4301071051</v>
      </c>
      <c r="D116" s="352">
        <v>4607111039262</v>
      </c>
      <c r="E116" s="353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67</v>
      </c>
      <c r="L116" s="32" t="s">
        <v>109</v>
      </c>
      <c r="M116" s="33" t="s">
        <v>69</v>
      </c>
      <c r="N116" s="33"/>
      <c r="O116" s="32">
        <v>180</v>
      </c>
      <c r="P116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7"/>
      <c r="R116" s="347"/>
      <c r="S116" s="347"/>
      <c r="T116" s="348"/>
      <c r="U116" s="34"/>
      <c r="V116" s="34"/>
      <c r="W116" s="35" t="s">
        <v>70</v>
      </c>
      <c r="X116" s="342">
        <v>12</v>
      </c>
      <c r="Y116" s="343">
        <f t="shared" ref="Y116:Y121" si="12">IFERROR(IF(X116="","",X116),"")</f>
        <v>12</v>
      </c>
      <c r="Z116" s="36">
        <f t="shared" ref="Z116:Z121" si="13">IFERROR(IF(X116="","",X116*0.0155),"")</f>
        <v>0.186</v>
      </c>
      <c r="AA116" s="56"/>
      <c r="AB116" s="57"/>
      <c r="AC116" s="154" t="s">
        <v>172</v>
      </c>
      <c r="AG116" s="67"/>
      <c r="AJ116" s="71" t="s">
        <v>111</v>
      </c>
      <c r="AK116" s="71">
        <v>12</v>
      </c>
      <c r="BB116" s="155" t="s">
        <v>1</v>
      </c>
      <c r="BM116" s="67">
        <f t="shared" ref="BM116:BM121" si="14">IFERROR(X116*I116,"0")</f>
        <v>80.635199999999998</v>
      </c>
      <c r="BN116" s="67">
        <f t="shared" ref="BN116:BN121" si="15">IFERROR(Y116*I116,"0")</f>
        <v>80.635199999999998</v>
      </c>
      <c r="BO116" s="67">
        <f t="shared" ref="BO116:BO121" si="16">IFERROR(X116/J116,"0")</f>
        <v>0.14285714285714285</v>
      </c>
      <c r="BP116" s="67">
        <f t="shared" ref="BP116:BP121" si="17">IFERROR(Y116/J116,"0")</f>
        <v>0.14285714285714285</v>
      </c>
    </row>
    <row r="117" spans="1:68" ht="27" customHeight="1" x14ac:dyDescent="0.25">
      <c r="A117" s="54" t="s">
        <v>219</v>
      </c>
      <c r="B117" s="54" t="s">
        <v>220</v>
      </c>
      <c r="C117" s="31">
        <v>4301070976</v>
      </c>
      <c r="D117" s="352">
        <v>4607111034144</v>
      </c>
      <c r="E117" s="353"/>
      <c r="F117" s="341">
        <v>0.9</v>
      </c>
      <c r="G117" s="32">
        <v>8</v>
      </c>
      <c r="H117" s="341">
        <v>7.2</v>
      </c>
      <c r="I117" s="341">
        <v>7.4859999999999998</v>
      </c>
      <c r="J117" s="32">
        <v>84</v>
      </c>
      <c r="K117" s="32" t="s">
        <v>67</v>
      </c>
      <c r="L117" s="32" t="s">
        <v>114</v>
      </c>
      <c r="M117" s="33" t="s">
        <v>69</v>
      </c>
      <c r="N117" s="33"/>
      <c r="O117" s="32">
        <v>180</v>
      </c>
      <c r="P117" s="43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7"/>
      <c r="R117" s="347"/>
      <c r="S117" s="347"/>
      <c r="T117" s="348"/>
      <c r="U117" s="34"/>
      <c r="V117" s="34"/>
      <c r="W117" s="35" t="s">
        <v>70</v>
      </c>
      <c r="X117" s="342">
        <v>0</v>
      </c>
      <c r="Y117" s="343">
        <f t="shared" si="12"/>
        <v>0</v>
      </c>
      <c r="Z117" s="36">
        <f t="shared" si="13"/>
        <v>0</v>
      </c>
      <c r="AA117" s="56"/>
      <c r="AB117" s="57"/>
      <c r="AC117" s="156" t="s">
        <v>172</v>
      </c>
      <c r="AG117" s="67"/>
      <c r="AJ117" s="71" t="s">
        <v>115</v>
      </c>
      <c r="AK117" s="71">
        <v>84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221</v>
      </c>
      <c r="B118" s="54" t="s">
        <v>222</v>
      </c>
      <c r="C118" s="31">
        <v>4301071038</v>
      </c>
      <c r="D118" s="352">
        <v>4607111039248</v>
      </c>
      <c r="E118" s="353"/>
      <c r="F118" s="341">
        <v>0.7</v>
      </c>
      <c r="G118" s="32">
        <v>10</v>
      </c>
      <c r="H118" s="341">
        <v>7</v>
      </c>
      <c r="I118" s="341">
        <v>7.3</v>
      </c>
      <c r="J118" s="32">
        <v>84</v>
      </c>
      <c r="K118" s="32" t="s">
        <v>67</v>
      </c>
      <c r="L118" s="32" t="s">
        <v>114</v>
      </c>
      <c r="M118" s="33" t="s">
        <v>69</v>
      </c>
      <c r="N118" s="33"/>
      <c r="O118" s="32">
        <v>180</v>
      </c>
      <c r="P118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7"/>
      <c r="R118" s="347"/>
      <c r="S118" s="347"/>
      <c r="T118" s="348"/>
      <c r="U118" s="34"/>
      <c r="V118" s="34"/>
      <c r="W118" s="35" t="s">
        <v>70</v>
      </c>
      <c r="X118" s="342">
        <v>192</v>
      </c>
      <c r="Y118" s="343">
        <f t="shared" si="12"/>
        <v>192</v>
      </c>
      <c r="Z118" s="36">
        <f t="shared" si="13"/>
        <v>2.976</v>
      </c>
      <c r="AA118" s="56"/>
      <c r="AB118" s="57"/>
      <c r="AC118" s="158" t="s">
        <v>172</v>
      </c>
      <c r="AG118" s="67"/>
      <c r="AJ118" s="71" t="s">
        <v>115</v>
      </c>
      <c r="AK118" s="71">
        <v>84</v>
      </c>
      <c r="BB118" s="159" t="s">
        <v>1</v>
      </c>
      <c r="BM118" s="67">
        <f t="shared" si="14"/>
        <v>1401.6</v>
      </c>
      <c r="BN118" s="67">
        <f t="shared" si="15"/>
        <v>1401.6</v>
      </c>
      <c r="BO118" s="67">
        <f t="shared" si="16"/>
        <v>2.2857142857142856</v>
      </c>
      <c r="BP118" s="67">
        <f t="shared" si="17"/>
        <v>2.2857142857142856</v>
      </c>
    </row>
    <row r="119" spans="1:68" ht="27" customHeight="1" x14ac:dyDescent="0.25">
      <c r="A119" s="54" t="s">
        <v>223</v>
      </c>
      <c r="B119" s="54" t="s">
        <v>224</v>
      </c>
      <c r="C119" s="31">
        <v>4301071049</v>
      </c>
      <c r="D119" s="352">
        <v>4607111039293</v>
      </c>
      <c r="E119" s="353"/>
      <c r="F119" s="341">
        <v>0.4</v>
      </c>
      <c r="G119" s="32">
        <v>16</v>
      </c>
      <c r="H119" s="341">
        <v>6.4</v>
      </c>
      <c r="I119" s="341">
        <v>6.7195999999999998</v>
      </c>
      <c r="J119" s="32">
        <v>84</v>
      </c>
      <c r="K119" s="32" t="s">
        <v>67</v>
      </c>
      <c r="L119" s="32" t="s">
        <v>109</v>
      </c>
      <c r="M119" s="33" t="s">
        <v>69</v>
      </c>
      <c r="N119" s="33"/>
      <c r="O119" s="32">
        <v>180</v>
      </c>
      <c r="P119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7"/>
      <c r="R119" s="347"/>
      <c r="S119" s="347"/>
      <c r="T119" s="348"/>
      <c r="U119" s="34"/>
      <c r="V119" s="34"/>
      <c r="W119" s="35" t="s">
        <v>70</v>
      </c>
      <c r="X119" s="342">
        <v>48</v>
      </c>
      <c r="Y119" s="343">
        <f t="shared" si="12"/>
        <v>48</v>
      </c>
      <c r="Z119" s="36">
        <f t="shared" si="13"/>
        <v>0.74399999999999999</v>
      </c>
      <c r="AA119" s="56"/>
      <c r="AB119" s="57"/>
      <c r="AC119" s="160" t="s">
        <v>172</v>
      </c>
      <c r="AG119" s="67"/>
      <c r="AJ119" s="71" t="s">
        <v>111</v>
      </c>
      <c r="AK119" s="71">
        <v>12</v>
      </c>
      <c r="BB119" s="161" t="s">
        <v>1</v>
      </c>
      <c r="BM119" s="67">
        <f t="shared" si="14"/>
        <v>322.54079999999999</v>
      </c>
      <c r="BN119" s="67">
        <f t="shared" si="15"/>
        <v>322.54079999999999</v>
      </c>
      <c r="BO119" s="67">
        <f t="shared" si="16"/>
        <v>0.5714285714285714</v>
      </c>
      <c r="BP119" s="67">
        <f t="shared" si="17"/>
        <v>0.5714285714285714</v>
      </c>
    </row>
    <row r="120" spans="1:68" ht="27" customHeight="1" x14ac:dyDescent="0.25">
      <c r="A120" s="54" t="s">
        <v>225</v>
      </c>
      <c r="B120" s="54" t="s">
        <v>226</v>
      </c>
      <c r="C120" s="31">
        <v>4301071039</v>
      </c>
      <c r="D120" s="352">
        <v>4607111039279</v>
      </c>
      <c r="E120" s="353"/>
      <c r="F120" s="341">
        <v>0.7</v>
      </c>
      <c r="G120" s="32">
        <v>10</v>
      </c>
      <c r="H120" s="341">
        <v>7</v>
      </c>
      <c r="I120" s="341">
        <v>7.3</v>
      </c>
      <c r="J120" s="32">
        <v>84</v>
      </c>
      <c r="K120" s="32" t="s">
        <v>67</v>
      </c>
      <c r="L120" s="32" t="s">
        <v>114</v>
      </c>
      <c r="M120" s="33" t="s">
        <v>69</v>
      </c>
      <c r="N120" s="33"/>
      <c r="O120" s="32">
        <v>180</v>
      </c>
      <c r="P120" s="40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7"/>
      <c r="R120" s="347"/>
      <c r="S120" s="347"/>
      <c r="T120" s="348"/>
      <c r="U120" s="34"/>
      <c r="V120" s="34"/>
      <c r="W120" s="35" t="s">
        <v>70</v>
      </c>
      <c r="X120" s="342">
        <v>312</v>
      </c>
      <c r="Y120" s="343">
        <f t="shared" si="12"/>
        <v>312</v>
      </c>
      <c r="Z120" s="36">
        <f t="shared" si="13"/>
        <v>4.8360000000000003</v>
      </c>
      <c r="AA120" s="56"/>
      <c r="AB120" s="57"/>
      <c r="AC120" s="162" t="s">
        <v>172</v>
      </c>
      <c r="AG120" s="67"/>
      <c r="AJ120" s="71" t="s">
        <v>115</v>
      </c>
      <c r="AK120" s="71">
        <v>84</v>
      </c>
      <c r="BB120" s="163" t="s">
        <v>1</v>
      </c>
      <c r="BM120" s="67">
        <f t="shared" si="14"/>
        <v>2277.6</v>
      </c>
      <c r="BN120" s="67">
        <f t="shared" si="15"/>
        <v>2277.6</v>
      </c>
      <c r="BO120" s="67">
        <f t="shared" si="16"/>
        <v>3.7142857142857144</v>
      </c>
      <c r="BP120" s="67">
        <f t="shared" si="17"/>
        <v>3.7142857142857144</v>
      </c>
    </row>
    <row r="121" spans="1:68" ht="27" customHeight="1" x14ac:dyDescent="0.25">
      <c r="A121" s="54" t="s">
        <v>227</v>
      </c>
      <c r="B121" s="54" t="s">
        <v>228</v>
      </c>
      <c r="C121" s="31">
        <v>4301070958</v>
      </c>
      <c r="D121" s="352">
        <v>4607111038098</v>
      </c>
      <c r="E121" s="353"/>
      <c r="F121" s="341">
        <v>0.8</v>
      </c>
      <c r="G121" s="32">
        <v>8</v>
      </c>
      <c r="H121" s="341">
        <v>6.4</v>
      </c>
      <c r="I121" s="341">
        <v>6.6859999999999999</v>
      </c>
      <c r="J121" s="32">
        <v>84</v>
      </c>
      <c r="K121" s="32" t="s">
        <v>67</v>
      </c>
      <c r="L121" s="32" t="s">
        <v>109</v>
      </c>
      <c r="M121" s="33" t="s">
        <v>69</v>
      </c>
      <c r="N121" s="33"/>
      <c r="O121" s="32">
        <v>180</v>
      </c>
      <c r="P121" s="54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347"/>
      <c r="R121" s="347"/>
      <c r="S121" s="347"/>
      <c r="T121" s="348"/>
      <c r="U121" s="34"/>
      <c r="V121" s="34"/>
      <c r="W121" s="35" t="s">
        <v>70</v>
      </c>
      <c r="X121" s="342">
        <v>72</v>
      </c>
      <c r="Y121" s="343">
        <f t="shared" si="12"/>
        <v>72</v>
      </c>
      <c r="Z121" s="36">
        <f t="shared" si="13"/>
        <v>1.1160000000000001</v>
      </c>
      <c r="AA121" s="56"/>
      <c r="AB121" s="57"/>
      <c r="AC121" s="164" t="s">
        <v>229</v>
      </c>
      <c r="AG121" s="67"/>
      <c r="AJ121" s="71" t="s">
        <v>111</v>
      </c>
      <c r="AK121" s="71">
        <v>12</v>
      </c>
      <c r="BB121" s="165" t="s">
        <v>1</v>
      </c>
      <c r="BM121" s="67">
        <f t="shared" si="14"/>
        <v>481.392</v>
      </c>
      <c r="BN121" s="67">
        <f t="shared" si="15"/>
        <v>481.392</v>
      </c>
      <c r="BO121" s="67">
        <f t="shared" si="16"/>
        <v>0.8571428571428571</v>
      </c>
      <c r="BP121" s="67">
        <f t="shared" si="17"/>
        <v>0.8571428571428571</v>
      </c>
    </row>
    <row r="122" spans="1:68" x14ac:dyDescent="0.2">
      <c r="A122" s="364"/>
      <c r="B122" s="356"/>
      <c r="C122" s="356"/>
      <c r="D122" s="356"/>
      <c r="E122" s="35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5"/>
      <c r="P122" s="359" t="s">
        <v>73</v>
      </c>
      <c r="Q122" s="360"/>
      <c r="R122" s="360"/>
      <c r="S122" s="360"/>
      <c r="T122" s="360"/>
      <c r="U122" s="360"/>
      <c r="V122" s="361"/>
      <c r="W122" s="37" t="s">
        <v>70</v>
      </c>
      <c r="X122" s="344">
        <f>IFERROR(SUM(X116:X121),"0")</f>
        <v>636</v>
      </c>
      <c r="Y122" s="344">
        <f>IFERROR(SUM(Y116:Y121),"0")</f>
        <v>636</v>
      </c>
      <c r="Z122" s="344">
        <f>IFERROR(IF(Z116="",0,Z116),"0")+IFERROR(IF(Z117="",0,Z117),"0")+IFERROR(IF(Z118="",0,Z118),"0")+IFERROR(IF(Z119="",0,Z119),"0")+IFERROR(IF(Z120="",0,Z120),"0")+IFERROR(IF(Z121="",0,Z121),"0")</f>
        <v>9.8580000000000005</v>
      </c>
      <c r="AA122" s="345"/>
      <c r="AB122" s="345"/>
      <c r="AC122" s="345"/>
    </row>
    <row r="123" spans="1:68" x14ac:dyDescent="0.2">
      <c r="A123" s="356"/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65"/>
      <c r="P123" s="359" t="s">
        <v>73</v>
      </c>
      <c r="Q123" s="360"/>
      <c r="R123" s="360"/>
      <c r="S123" s="360"/>
      <c r="T123" s="360"/>
      <c r="U123" s="360"/>
      <c r="V123" s="361"/>
      <c r="W123" s="37" t="s">
        <v>74</v>
      </c>
      <c r="X123" s="344">
        <f>IFERROR(SUMPRODUCT(X116:X121*H116:H121),"0")</f>
        <v>4372.8</v>
      </c>
      <c r="Y123" s="344">
        <f>IFERROR(SUMPRODUCT(Y116:Y121*H116:H121),"0")</f>
        <v>4372.8</v>
      </c>
      <c r="Z123" s="37"/>
      <c r="AA123" s="345"/>
      <c r="AB123" s="345"/>
      <c r="AC123" s="345"/>
    </row>
    <row r="124" spans="1:68" ht="16.5" customHeight="1" x14ac:dyDescent="0.25">
      <c r="A124" s="355" t="s">
        <v>230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  <c r="X124" s="356"/>
      <c r="Y124" s="356"/>
      <c r="Z124" s="356"/>
      <c r="AA124" s="337"/>
      <c r="AB124" s="337"/>
      <c r="AC124" s="337"/>
    </row>
    <row r="125" spans="1:68" ht="14.25" customHeight="1" x14ac:dyDescent="0.25">
      <c r="A125" s="375" t="s">
        <v>153</v>
      </c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  <c r="AA125" s="338"/>
      <c r="AB125" s="338"/>
      <c r="AC125" s="338"/>
    </row>
    <row r="126" spans="1:68" ht="27" customHeight="1" x14ac:dyDescent="0.25">
      <c r="A126" s="54" t="s">
        <v>231</v>
      </c>
      <c r="B126" s="54" t="s">
        <v>232</v>
      </c>
      <c r="C126" s="31">
        <v>4301135533</v>
      </c>
      <c r="D126" s="352">
        <v>4607111034014</v>
      </c>
      <c r="E126" s="353"/>
      <c r="F126" s="341">
        <v>0.25</v>
      </c>
      <c r="G126" s="32">
        <v>12</v>
      </c>
      <c r="H126" s="341">
        <v>3</v>
      </c>
      <c r="I126" s="341">
        <v>3.7035999999999998</v>
      </c>
      <c r="J126" s="32">
        <v>70</v>
      </c>
      <c r="K126" s="32" t="s">
        <v>80</v>
      </c>
      <c r="L126" s="32" t="s">
        <v>114</v>
      </c>
      <c r="M126" s="33" t="s">
        <v>69</v>
      </c>
      <c r="N126" s="33"/>
      <c r="O126" s="32">
        <v>180</v>
      </c>
      <c r="P126" s="5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7"/>
      <c r="R126" s="347"/>
      <c r="S126" s="347"/>
      <c r="T126" s="348"/>
      <c r="U126" s="34"/>
      <c r="V126" s="34"/>
      <c r="W126" s="35" t="s">
        <v>70</v>
      </c>
      <c r="X126" s="342">
        <v>126</v>
      </c>
      <c r="Y126" s="343">
        <f>IFERROR(IF(X126="","",X126),"")</f>
        <v>126</v>
      </c>
      <c r="Z126" s="36">
        <f>IFERROR(IF(X126="","",X126*0.01788),"")</f>
        <v>2.2528800000000002</v>
      </c>
      <c r="AA126" s="56"/>
      <c r="AB126" s="57"/>
      <c r="AC126" s="166" t="s">
        <v>233</v>
      </c>
      <c r="AG126" s="67"/>
      <c r="AJ126" s="71" t="s">
        <v>115</v>
      </c>
      <c r="AK126" s="71">
        <v>70</v>
      </c>
      <c r="BB126" s="167" t="s">
        <v>83</v>
      </c>
      <c r="BM126" s="67">
        <f>IFERROR(X126*I126,"0")</f>
        <v>466.65359999999998</v>
      </c>
      <c r="BN126" s="67">
        <f>IFERROR(Y126*I126,"0")</f>
        <v>466.65359999999998</v>
      </c>
      <c r="BO126" s="67">
        <f>IFERROR(X126/J126,"0")</f>
        <v>1.8</v>
      </c>
      <c r="BP126" s="67">
        <f>IFERROR(Y126/J126,"0")</f>
        <v>1.8</v>
      </c>
    </row>
    <row r="127" spans="1:68" ht="27" customHeight="1" x14ac:dyDescent="0.25">
      <c r="A127" s="54" t="s">
        <v>234</v>
      </c>
      <c r="B127" s="54" t="s">
        <v>235</v>
      </c>
      <c r="C127" s="31">
        <v>4301135532</v>
      </c>
      <c r="D127" s="352">
        <v>4607111033994</v>
      </c>
      <c r="E127" s="353"/>
      <c r="F127" s="341">
        <v>0.25</v>
      </c>
      <c r="G127" s="32">
        <v>12</v>
      </c>
      <c r="H127" s="341">
        <v>3</v>
      </c>
      <c r="I127" s="341">
        <v>3.7035999999999998</v>
      </c>
      <c r="J127" s="32">
        <v>70</v>
      </c>
      <c r="K127" s="32" t="s">
        <v>80</v>
      </c>
      <c r="L127" s="32" t="s">
        <v>114</v>
      </c>
      <c r="M127" s="33" t="s">
        <v>69</v>
      </c>
      <c r="N127" s="33"/>
      <c r="O127" s="32">
        <v>180</v>
      </c>
      <c r="P127" s="53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7"/>
      <c r="R127" s="347"/>
      <c r="S127" s="347"/>
      <c r="T127" s="348"/>
      <c r="U127" s="34"/>
      <c r="V127" s="34"/>
      <c r="W127" s="35" t="s">
        <v>70</v>
      </c>
      <c r="X127" s="342">
        <v>294</v>
      </c>
      <c r="Y127" s="343">
        <f>IFERROR(IF(X127="","",X127),"")</f>
        <v>294</v>
      </c>
      <c r="Z127" s="36">
        <f>IFERROR(IF(X127="","",X127*0.01788),"")</f>
        <v>5.2567199999999996</v>
      </c>
      <c r="AA127" s="56"/>
      <c r="AB127" s="57"/>
      <c r="AC127" s="168" t="s">
        <v>179</v>
      </c>
      <c r="AG127" s="67"/>
      <c r="AJ127" s="71" t="s">
        <v>115</v>
      </c>
      <c r="AK127" s="71">
        <v>70</v>
      </c>
      <c r="BB127" s="169" t="s">
        <v>83</v>
      </c>
      <c r="BM127" s="67">
        <f>IFERROR(X127*I127,"0")</f>
        <v>1088.8583999999998</v>
      </c>
      <c r="BN127" s="67">
        <f>IFERROR(Y127*I127,"0")</f>
        <v>1088.8583999999998</v>
      </c>
      <c r="BO127" s="67">
        <f>IFERROR(X127/J127,"0")</f>
        <v>4.2</v>
      </c>
      <c r="BP127" s="67">
        <f>IFERROR(Y127/J127,"0")</f>
        <v>4.2</v>
      </c>
    </row>
    <row r="128" spans="1:68" x14ac:dyDescent="0.2">
      <c r="A128" s="364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5"/>
      <c r="P128" s="359" t="s">
        <v>73</v>
      </c>
      <c r="Q128" s="360"/>
      <c r="R128" s="360"/>
      <c r="S128" s="360"/>
      <c r="T128" s="360"/>
      <c r="U128" s="360"/>
      <c r="V128" s="361"/>
      <c r="W128" s="37" t="s">
        <v>70</v>
      </c>
      <c r="X128" s="344">
        <f>IFERROR(SUM(X126:X127),"0")</f>
        <v>420</v>
      </c>
      <c r="Y128" s="344">
        <f>IFERROR(SUM(Y126:Y127),"0")</f>
        <v>420</v>
      </c>
      <c r="Z128" s="344">
        <f>IFERROR(IF(Z126="",0,Z126),"0")+IFERROR(IF(Z127="",0,Z127),"0")</f>
        <v>7.5095999999999998</v>
      </c>
      <c r="AA128" s="345"/>
      <c r="AB128" s="345"/>
      <c r="AC128" s="345"/>
    </row>
    <row r="129" spans="1:68" x14ac:dyDescent="0.2">
      <c r="A129" s="356"/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65"/>
      <c r="P129" s="359" t="s">
        <v>73</v>
      </c>
      <c r="Q129" s="360"/>
      <c r="R129" s="360"/>
      <c r="S129" s="360"/>
      <c r="T129" s="360"/>
      <c r="U129" s="360"/>
      <c r="V129" s="361"/>
      <c r="W129" s="37" t="s">
        <v>74</v>
      </c>
      <c r="X129" s="344">
        <f>IFERROR(SUMPRODUCT(X126:X127*H126:H127),"0")</f>
        <v>1260</v>
      </c>
      <c r="Y129" s="344">
        <f>IFERROR(SUMPRODUCT(Y126:Y127*H126:H127),"0")</f>
        <v>1260</v>
      </c>
      <c r="Z129" s="37"/>
      <c r="AA129" s="345"/>
      <c r="AB129" s="345"/>
      <c r="AC129" s="345"/>
    </row>
    <row r="130" spans="1:68" ht="16.5" customHeight="1" x14ac:dyDescent="0.25">
      <c r="A130" s="355" t="s">
        <v>236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37"/>
      <c r="AB130" s="337"/>
      <c r="AC130" s="337"/>
    </row>
    <row r="131" spans="1:68" ht="14.25" customHeight="1" x14ac:dyDescent="0.25">
      <c r="A131" s="375" t="s">
        <v>153</v>
      </c>
      <c r="B131" s="356"/>
      <c r="C131" s="356"/>
      <c r="D131" s="356"/>
      <c r="E131" s="356"/>
      <c r="F131" s="356"/>
      <c r="G131" s="356"/>
      <c r="H131" s="356"/>
      <c r="I131" s="356"/>
      <c r="J131" s="356"/>
      <c r="K131" s="356"/>
      <c r="L131" s="356"/>
      <c r="M131" s="356"/>
      <c r="N131" s="356"/>
      <c r="O131" s="356"/>
      <c r="P131" s="356"/>
      <c r="Q131" s="356"/>
      <c r="R131" s="356"/>
      <c r="S131" s="356"/>
      <c r="T131" s="356"/>
      <c r="U131" s="356"/>
      <c r="V131" s="356"/>
      <c r="W131" s="356"/>
      <c r="X131" s="356"/>
      <c r="Y131" s="356"/>
      <c r="Z131" s="356"/>
      <c r="AA131" s="338"/>
      <c r="AB131" s="338"/>
      <c r="AC131" s="338"/>
    </row>
    <row r="132" spans="1:68" ht="27" customHeight="1" x14ac:dyDescent="0.25">
      <c r="A132" s="54" t="s">
        <v>237</v>
      </c>
      <c r="B132" s="54" t="s">
        <v>238</v>
      </c>
      <c r="C132" s="31">
        <v>4301135311</v>
      </c>
      <c r="D132" s="352">
        <v>4607111039095</v>
      </c>
      <c r="E132" s="353"/>
      <c r="F132" s="341">
        <v>0.25</v>
      </c>
      <c r="G132" s="32">
        <v>12</v>
      </c>
      <c r="H132" s="341">
        <v>3</v>
      </c>
      <c r="I132" s="341">
        <v>3.7480000000000002</v>
      </c>
      <c r="J132" s="32">
        <v>70</v>
      </c>
      <c r="K132" s="32" t="s">
        <v>80</v>
      </c>
      <c r="L132" s="32" t="s">
        <v>109</v>
      </c>
      <c r="M132" s="33" t="s">
        <v>69</v>
      </c>
      <c r="N132" s="33"/>
      <c r="O132" s="32">
        <v>180</v>
      </c>
      <c r="P132" s="44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7"/>
      <c r="R132" s="347"/>
      <c r="S132" s="347"/>
      <c r="T132" s="348"/>
      <c r="U132" s="34"/>
      <c r="V132" s="34"/>
      <c r="W132" s="35" t="s">
        <v>70</v>
      </c>
      <c r="X132" s="342">
        <v>14</v>
      </c>
      <c r="Y132" s="34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239</v>
      </c>
      <c r="AG132" s="67"/>
      <c r="AJ132" s="71" t="s">
        <v>111</v>
      </c>
      <c r="AK132" s="71">
        <v>14</v>
      </c>
      <c r="BB132" s="171" t="s">
        <v>83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240</v>
      </c>
      <c r="B133" s="54" t="s">
        <v>241</v>
      </c>
      <c r="C133" s="31">
        <v>4301135534</v>
      </c>
      <c r="D133" s="352">
        <v>4607111034199</v>
      </c>
      <c r="E133" s="353"/>
      <c r="F133" s="341">
        <v>0.25</v>
      </c>
      <c r="G133" s="32">
        <v>12</v>
      </c>
      <c r="H133" s="341">
        <v>3</v>
      </c>
      <c r="I133" s="34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7"/>
      <c r="R133" s="347"/>
      <c r="S133" s="347"/>
      <c r="T133" s="348"/>
      <c r="U133" s="34"/>
      <c r="V133" s="34"/>
      <c r="W133" s="35" t="s">
        <v>70</v>
      </c>
      <c r="X133" s="342">
        <v>112</v>
      </c>
      <c r="Y133" s="343">
        <f>IFERROR(IF(X133="","",X133),"")</f>
        <v>112</v>
      </c>
      <c r="Z133" s="36">
        <f>IFERROR(IF(X133="","",X133*0.01788),"")</f>
        <v>2.0025599999999999</v>
      </c>
      <c r="AA133" s="56"/>
      <c r="AB133" s="57"/>
      <c r="AC133" s="172" t="s">
        <v>242</v>
      </c>
      <c r="AG133" s="67"/>
      <c r="AJ133" s="71" t="s">
        <v>72</v>
      </c>
      <c r="AK133" s="71">
        <v>1</v>
      </c>
      <c r="BB133" s="173" t="s">
        <v>83</v>
      </c>
      <c r="BM133" s="67">
        <f>IFERROR(X133*I133,"0")</f>
        <v>414.80319999999995</v>
      </c>
      <c r="BN133" s="67">
        <f>IFERROR(Y133*I133,"0")</f>
        <v>414.80319999999995</v>
      </c>
      <c r="BO133" s="67">
        <f>IFERROR(X133/J133,"0")</f>
        <v>1.6</v>
      </c>
      <c r="BP133" s="67">
        <f>IFERROR(Y133/J133,"0")</f>
        <v>1.6</v>
      </c>
    </row>
    <row r="134" spans="1:68" x14ac:dyDescent="0.2">
      <c r="A134" s="364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5"/>
      <c r="P134" s="359" t="s">
        <v>73</v>
      </c>
      <c r="Q134" s="360"/>
      <c r="R134" s="360"/>
      <c r="S134" s="360"/>
      <c r="T134" s="360"/>
      <c r="U134" s="360"/>
      <c r="V134" s="361"/>
      <c r="W134" s="37" t="s">
        <v>70</v>
      </c>
      <c r="X134" s="344">
        <f>IFERROR(SUM(X132:X133),"0")</f>
        <v>126</v>
      </c>
      <c r="Y134" s="344">
        <f>IFERROR(SUM(Y132:Y133),"0")</f>
        <v>126</v>
      </c>
      <c r="Z134" s="344">
        <f>IFERROR(IF(Z132="",0,Z132),"0")+IFERROR(IF(Z133="",0,Z133),"0")</f>
        <v>2.2528799999999998</v>
      </c>
      <c r="AA134" s="345"/>
      <c r="AB134" s="345"/>
      <c r="AC134" s="345"/>
    </row>
    <row r="135" spans="1:68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65"/>
      <c r="P135" s="359" t="s">
        <v>73</v>
      </c>
      <c r="Q135" s="360"/>
      <c r="R135" s="360"/>
      <c r="S135" s="360"/>
      <c r="T135" s="360"/>
      <c r="U135" s="360"/>
      <c r="V135" s="361"/>
      <c r="W135" s="37" t="s">
        <v>74</v>
      </c>
      <c r="X135" s="344">
        <f>IFERROR(SUMPRODUCT(X132:X133*H132:H133),"0")</f>
        <v>378</v>
      </c>
      <c r="Y135" s="344">
        <f>IFERROR(SUMPRODUCT(Y132:Y133*H132:H133),"0")</f>
        <v>378</v>
      </c>
      <c r="Z135" s="37"/>
      <c r="AA135" s="345"/>
      <c r="AB135" s="345"/>
      <c r="AC135" s="345"/>
    </row>
    <row r="136" spans="1:68" ht="16.5" customHeight="1" x14ac:dyDescent="0.25">
      <c r="A136" s="355" t="s">
        <v>243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37"/>
      <c r="AB136" s="337"/>
      <c r="AC136" s="337"/>
    </row>
    <row r="137" spans="1:68" ht="14.25" customHeight="1" x14ac:dyDescent="0.25">
      <c r="A137" s="375" t="s">
        <v>153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56"/>
      <c r="Z137" s="356"/>
      <c r="AA137" s="338"/>
      <c r="AB137" s="338"/>
      <c r="AC137" s="338"/>
    </row>
    <row r="138" spans="1:68" ht="27" customHeight="1" x14ac:dyDescent="0.25">
      <c r="A138" s="54" t="s">
        <v>244</v>
      </c>
      <c r="B138" s="54" t="s">
        <v>245</v>
      </c>
      <c r="C138" s="31">
        <v>4301135275</v>
      </c>
      <c r="D138" s="352">
        <v>4607111034380</v>
      </c>
      <c r="E138" s="353"/>
      <c r="F138" s="341">
        <v>0.25</v>
      </c>
      <c r="G138" s="32">
        <v>12</v>
      </c>
      <c r="H138" s="341">
        <v>3</v>
      </c>
      <c r="I138" s="341">
        <v>3.28</v>
      </c>
      <c r="J138" s="32">
        <v>70</v>
      </c>
      <c r="K138" s="32" t="s">
        <v>80</v>
      </c>
      <c r="L138" s="32" t="s">
        <v>109</v>
      </c>
      <c r="M138" s="33" t="s">
        <v>69</v>
      </c>
      <c r="N138" s="33"/>
      <c r="O138" s="32">
        <v>180</v>
      </c>
      <c r="P138" s="4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7"/>
      <c r="R138" s="347"/>
      <c r="S138" s="347"/>
      <c r="T138" s="348"/>
      <c r="U138" s="34"/>
      <c r="V138" s="34"/>
      <c r="W138" s="35" t="s">
        <v>70</v>
      </c>
      <c r="X138" s="342">
        <v>14</v>
      </c>
      <c r="Y138" s="343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246</v>
      </c>
      <c r="AG138" s="67"/>
      <c r="AJ138" s="71" t="s">
        <v>111</v>
      </c>
      <c r="AK138" s="71">
        <v>14</v>
      </c>
      <c r="BB138" s="175" t="s">
        <v>83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ht="27" customHeight="1" x14ac:dyDescent="0.25">
      <c r="A139" s="54" t="s">
        <v>247</v>
      </c>
      <c r="B139" s="54" t="s">
        <v>248</v>
      </c>
      <c r="C139" s="31">
        <v>4301135277</v>
      </c>
      <c r="D139" s="352">
        <v>4607111034397</v>
      </c>
      <c r="E139" s="353"/>
      <c r="F139" s="341">
        <v>0.25</v>
      </c>
      <c r="G139" s="32">
        <v>12</v>
      </c>
      <c r="H139" s="341">
        <v>3</v>
      </c>
      <c r="I139" s="341">
        <v>3.28</v>
      </c>
      <c r="J139" s="32">
        <v>70</v>
      </c>
      <c r="K139" s="32" t="s">
        <v>80</v>
      </c>
      <c r="L139" s="32" t="s">
        <v>114</v>
      </c>
      <c r="M139" s="33" t="s">
        <v>69</v>
      </c>
      <c r="N139" s="33"/>
      <c r="O139" s="32">
        <v>180</v>
      </c>
      <c r="P139" s="5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7"/>
      <c r="R139" s="347"/>
      <c r="S139" s="347"/>
      <c r="T139" s="348"/>
      <c r="U139" s="34"/>
      <c r="V139" s="34"/>
      <c r="W139" s="35" t="s">
        <v>70</v>
      </c>
      <c r="X139" s="342">
        <v>84</v>
      </c>
      <c r="Y139" s="343">
        <f>IFERROR(IF(X139="","",X139),"")</f>
        <v>84</v>
      </c>
      <c r="Z139" s="36">
        <f>IFERROR(IF(X139="","",X139*0.01788),"")</f>
        <v>1.5019199999999999</v>
      </c>
      <c r="AA139" s="56"/>
      <c r="AB139" s="57"/>
      <c r="AC139" s="176" t="s">
        <v>233</v>
      </c>
      <c r="AG139" s="67"/>
      <c r="AJ139" s="71" t="s">
        <v>115</v>
      </c>
      <c r="AK139" s="71">
        <v>70</v>
      </c>
      <c r="BB139" s="177" t="s">
        <v>83</v>
      </c>
      <c r="BM139" s="67">
        <f>IFERROR(X139*I139,"0")</f>
        <v>275.52</v>
      </c>
      <c r="BN139" s="67">
        <f>IFERROR(Y139*I139,"0")</f>
        <v>275.52</v>
      </c>
      <c r="BO139" s="67">
        <f>IFERROR(X139/J139,"0")</f>
        <v>1.2</v>
      </c>
      <c r="BP139" s="67">
        <f>IFERROR(Y139/J139,"0")</f>
        <v>1.2</v>
      </c>
    </row>
    <row r="140" spans="1:68" x14ac:dyDescent="0.2">
      <c r="A140" s="364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5"/>
      <c r="P140" s="359" t="s">
        <v>73</v>
      </c>
      <c r="Q140" s="360"/>
      <c r="R140" s="360"/>
      <c r="S140" s="360"/>
      <c r="T140" s="360"/>
      <c r="U140" s="360"/>
      <c r="V140" s="361"/>
      <c r="W140" s="37" t="s">
        <v>70</v>
      </c>
      <c r="X140" s="344">
        <f>IFERROR(SUM(X138:X139),"0")</f>
        <v>98</v>
      </c>
      <c r="Y140" s="344">
        <f>IFERROR(SUM(Y138:Y139),"0")</f>
        <v>98</v>
      </c>
      <c r="Z140" s="344">
        <f>IFERROR(IF(Z138="",0,Z138),"0")+IFERROR(IF(Z139="",0,Z139),"0")</f>
        <v>1.75224</v>
      </c>
      <c r="AA140" s="345"/>
      <c r="AB140" s="345"/>
      <c r="AC140" s="345"/>
    </row>
    <row r="141" spans="1:68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65"/>
      <c r="P141" s="359" t="s">
        <v>73</v>
      </c>
      <c r="Q141" s="360"/>
      <c r="R141" s="360"/>
      <c r="S141" s="360"/>
      <c r="T141" s="360"/>
      <c r="U141" s="360"/>
      <c r="V141" s="361"/>
      <c r="W141" s="37" t="s">
        <v>74</v>
      </c>
      <c r="X141" s="344">
        <f>IFERROR(SUMPRODUCT(X138:X139*H138:H139),"0")</f>
        <v>294</v>
      </c>
      <c r="Y141" s="344">
        <f>IFERROR(SUMPRODUCT(Y138:Y139*H138:H139),"0")</f>
        <v>294</v>
      </c>
      <c r="Z141" s="37"/>
      <c r="AA141" s="345"/>
      <c r="AB141" s="345"/>
      <c r="AC141" s="345"/>
    </row>
    <row r="142" spans="1:68" ht="16.5" customHeight="1" x14ac:dyDescent="0.25">
      <c r="A142" s="355" t="s">
        <v>249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37"/>
      <c r="AB142" s="337"/>
      <c r="AC142" s="337"/>
    </row>
    <row r="143" spans="1:68" ht="14.25" customHeight="1" x14ac:dyDescent="0.25">
      <c r="A143" s="375" t="s">
        <v>153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38"/>
      <c r="AB143" s="338"/>
      <c r="AC143" s="338"/>
    </row>
    <row r="144" spans="1:68" ht="27" customHeight="1" x14ac:dyDescent="0.25">
      <c r="A144" s="54" t="s">
        <v>250</v>
      </c>
      <c r="B144" s="54" t="s">
        <v>251</v>
      </c>
      <c r="C144" s="31">
        <v>4301135570</v>
      </c>
      <c r="D144" s="352">
        <v>4607111035806</v>
      </c>
      <c r="E144" s="353"/>
      <c r="F144" s="341">
        <v>0.25</v>
      </c>
      <c r="G144" s="32">
        <v>12</v>
      </c>
      <c r="H144" s="341">
        <v>3</v>
      </c>
      <c r="I144" s="341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50" t="s">
        <v>252</v>
      </c>
      <c r="Q144" s="347"/>
      <c r="R144" s="347"/>
      <c r="S144" s="347"/>
      <c r="T144" s="348"/>
      <c r="U144" s="34"/>
      <c r="V144" s="34"/>
      <c r="W144" s="35" t="s">
        <v>70</v>
      </c>
      <c r="X144" s="342">
        <v>0</v>
      </c>
      <c r="Y144" s="343">
        <f>IFERROR(IF(X144="","",X144),"")</f>
        <v>0</v>
      </c>
      <c r="Z144" s="36">
        <f>IFERROR(IF(X144="","",X144*0.01788),"")</f>
        <v>0</v>
      </c>
      <c r="AA144" s="56"/>
      <c r="AB144" s="57"/>
      <c r="AC144" s="178" t="s">
        <v>253</v>
      </c>
      <c r="AG144" s="67"/>
      <c r="AJ144" s="71" t="s">
        <v>72</v>
      </c>
      <c r="AK144" s="71">
        <v>1</v>
      </c>
      <c r="BB144" s="179" t="s">
        <v>83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64"/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65"/>
      <c r="P145" s="359" t="s">
        <v>73</v>
      </c>
      <c r="Q145" s="360"/>
      <c r="R145" s="360"/>
      <c r="S145" s="360"/>
      <c r="T145" s="360"/>
      <c r="U145" s="360"/>
      <c r="V145" s="361"/>
      <c r="W145" s="37" t="s">
        <v>70</v>
      </c>
      <c r="X145" s="344">
        <f>IFERROR(SUM(X144:X144),"0")</f>
        <v>0</v>
      </c>
      <c r="Y145" s="344">
        <f>IFERROR(SUM(Y144:Y144),"0")</f>
        <v>0</v>
      </c>
      <c r="Z145" s="344">
        <f>IFERROR(IF(Z144="",0,Z144),"0")</f>
        <v>0</v>
      </c>
      <c r="AA145" s="345"/>
      <c r="AB145" s="345"/>
      <c r="AC145" s="345"/>
    </row>
    <row r="146" spans="1:68" x14ac:dyDescent="0.2">
      <c r="A146" s="356"/>
      <c r="B146" s="356"/>
      <c r="C146" s="356"/>
      <c r="D146" s="356"/>
      <c r="E146" s="356"/>
      <c r="F146" s="356"/>
      <c r="G146" s="356"/>
      <c r="H146" s="356"/>
      <c r="I146" s="356"/>
      <c r="J146" s="356"/>
      <c r="K146" s="356"/>
      <c r="L146" s="356"/>
      <c r="M146" s="356"/>
      <c r="N146" s="356"/>
      <c r="O146" s="365"/>
      <c r="P146" s="359" t="s">
        <v>73</v>
      </c>
      <c r="Q146" s="360"/>
      <c r="R146" s="360"/>
      <c r="S146" s="360"/>
      <c r="T146" s="360"/>
      <c r="U146" s="360"/>
      <c r="V146" s="361"/>
      <c r="W146" s="37" t="s">
        <v>74</v>
      </c>
      <c r="X146" s="344">
        <f>IFERROR(SUMPRODUCT(X144:X144*H144:H144),"0")</f>
        <v>0</v>
      </c>
      <c r="Y146" s="344">
        <f>IFERROR(SUMPRODUCT(Y144:Y144*H144:H144),"0")</f>
        <v>0</v>
      </c>
      <c r="Z146" s="37"/>
      <c r="AA146" s="345"/>
      <c r="AB146" s="345"/>
      <c r="AC146" s="345"/>
    </row>
    <row r="147" spans="1:68" ht="16.5" customHeight="1" x14ac:dyDescent="0.25">
      <c r="A147" s="355" t="s">
        <v>254</v>
      </c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6"/>
      <c r="P147" s="356"/>
      <c r="Q147" s="356"/>
      <c r="R147" s="356"/>
      <c r="S147" s="356"/>
      <c r="T147" s="356"/>
      <c r="U147" s="356"/>
      <c r="V147" s="356"/>
      <c r="W147" s="356"/>
      <c r="X147" s="356"/>
      <c r="Y147" s="356"/>
      <c r="Z147" s="356"/>
      <c r="AA147" s="337"/>
      <c r="AB147" s="337"/>
      <c r="AC147" s="337"/>
    </row>
    <row r="148" spans="1:68" ht="14.25" customHeight="1" x14ac:dyDescent="0.25">
      <c r="A148" s="375" t="s">
        <v>153</v>
      </c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6"/>
      <c r="P148" s="356"/>
      <c r="Q148" s="356"/>
      <c r="R148" s="356"/>
      <c r="S148" s="356"/>
      <c r="T148" s="356"/>
      <c r="U148" s="356"/>
      <c r="V148" s="356"/>
      <c r="W148" s="356"/>
      <c r="X148" s="356"/>
      <c r="Y148" s="356"/>
      <c r="Z148" s="356"/>
      <c r="AA148" s="338"/>
      <c r="AB148" s="338"/>
      <c r="AC148" s="338"/>
    </row>
    <row r="149" spans="1:68" ht="16.5" customHeight="1" x14ac:dyDescent="0.25">
      <c r="A149" s="54" t="s">
        <v>255</v>
      </c>
      <c r="B149" s="54" t="s">
        <v>256</v>
      </c>
      <c r="C149" s="31">
        <v>4301135596</v>
      </c>
      <c r="D149" s="352">
        <v>4607111039613</v>
      </c>
      <c r="E149" s="353"/>
      <c r="F149" s="341">
        <v>0.09</v>
      </c>
      <c r="G149" s="32">
        <v>30</v>
      </c>
      <c r="H149" s="341">
        <v>2.7</v>
      </c>
      <c r="I149" s="341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7"/>
      <c r="R149" s="347"/>
      <c r="S149" s="347"/>
      <c r="T149" s="348"/>
      <c r="U149" s="34"/>
      <c r="V149" s="34"/>
      <c r="W149" s="35" t="s">
        <v>70</v>
      </c>
      <c r="X149" s="342">
        <v>0</v>
      </c>
      <c r="Y149" s="343">
        <f>IFERROR(IF(X149="","",X149),"")</f>
        <v>0</v>
      </c>
      <c r="Z149" s="36">
        <f>IFERROR(IF(X149="","",X149*0.00936),"")</f>
        <v>0</v>
      </c>
      <c r="AA149" s="56"/>
      <c r="AB149" s="57"/>
      <c r="AC149" s="180" t="s">
        <v>239</v>
      </c>
      <c r="AG149" s="67"/>
      <c r="AJ149" s="71" t="s">
        <v>72</v>
      </c>
      <c r="AK149" s="71">
        <v>1</v>
      </c>
      <c r="BB149" s="181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4"/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65"/>
      <c r="P150" s="359" t="s">
        <v>73</v>
      </c>
      <c r="Q150" s="360"/>
      <c r="R150" s="360"/>
      <c r="S150" s="360"/>
      <c r="T150" s="360"/>
      <c r="U150" s="360"/>
      <c r="V150" s="361"/>
      <c r="W150" s="37" t="s">
        <v>70</v>
      </c>
      <c r="X150" s="344">
        <f>IFERROR(SUM(X149:X149),"0")</f>
        <v>0</v>
      </c>
      <c r="Y150" s="344">
        <f>IFERROR(SUM(Y149:Y149),"0")</f>
        <v>0</v>
      </c>
      <c r="Z150" s="344">
        <f>IFERROR(IF(Z149="",0,Z149),"0")</f>
        <v>0</v>
      </c>
      <c r="AA150" s="345"/>
      <c r="AB150" s="345"/>
      <c r="AC150" s="345"/>
    </row>
    <row r="151" spans="1:68" x14ac:dyDescent="0.2">
      <c r="A151" s="356"/>
      <c r="B151" s="356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65"/>
      <c r="P151" s="359" t="s">
        <v>73</v>
      </c>
      <c r="Q151" s="360"/>
      <c r="R151" s="360"/>
      <c r="S151" s="360"/>
      <c r="T151" s="360"/>
      <c r="U151" s="360"/>
      <c r="V151" s="361"/>
      <c r="W151" s="37" t="s">
        <v>74</v>
      </c>
      <c r="X151" s="344">
        <f>IFERROR(SUMPRODUCT(X149:X149*H149:H149),"0")</f>
        <v>0</v>
      </c>
      <c r="Y151" s="344">
        <f>IFERROR(SUMPRODUCT(Y149:Y149*H149:H149),"0")</f>
        <v>0</v>
      </c>
      <c r="Z151" s="37"/>
      <c r="AA151" s="345"/>
      <c r="AB151" s="345"/>
      <c r="AC151" s="345"/>
    </row>
    <row r="152" spans="1:68" ht="16.5" customHeight="1" x14ac:dyDescent="0.25">
      <c r="A152" s="355" t="s">
        <v>257</v>
      </c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6"/>
      <c r="P152" s="356"/>
      <c r="Q152" s="356"/>
      <c r="R152" s="356"/>
      <c r="S152" s="356"/>
      <c r="T152" s="356"/>
      <c r="U152" s="356"/>
      <c r="V152" s="356"/>
      <c r="W152" s="356"/>
      <c r="X152" s="356"/>
      <c r="Y152" s="356"/>
      <c r="Z152" s="356"/>
      <c r="AA152" s="337"/>
      <c r="AB152" s="337"/>
      <c r="AC152" s="337"/>
    </row>
    <row r="153" spans="1:68" ht="14.25" customHeight="1" x14ac:dyDescent="0.25">
      <c r="A153" s="375" t="s">
        <v>258</v>
      </c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6"/>
      <c r="P153" s="356"/>
      <c r="Q153" s="356"/>
      <c r="R153" s="356"/>
      <c r="S153" s="356"/>
      <c r="T153" s="356"/>
      <c r="U153" s="356"/>
      <c r="V153" s="356"/>
      <c r="W153" s="356"/>
      <c r="X153" s="356"/>
      <c r="Y153" s="356"/>
      <c r="Z153" s="356"/>
      <c r="AA153" s="338"/>
      <c r="AB153" s="338"/>
      <c r="AC153" s="338"/>
    </row>
    <row r="154" spans="1:68" ht="27" customHeight="1" x14ac:dyDescent="0.25">
      <c r="A154" s="54" t="s">
        <v>259</v>
      </c>
      <c r="B154" s="54" t="s">
        <v>260</v>
      </c>
      <c r="C154" s="31">
        <v>4301071054</v>
      </c>
      <c r="D154" s="352">
        <v>4607111035639</v>
      </c>
      <c r="E154" s="353"/>
      <c r="F154" s="341">
        <v>0.2</v>
      </c>
      <c r="G154" s="32">
        <v>8</v>
      </c>
      <c r="H154" s="341">
        <v>1.6</v>
      </c>
      <c r="I154" s="341">
        <v>2.12</v>
      </c>
      <c r="J154" s="32">
        <v>72</v>
      </c>
      <c r="K154" s="32" t="s">
        <v>261</v>
      </c>
      <c r="L154" s="32" t="s">
        <v>68</v>
      </c>
      <c r="M154" s="33" t="s">
        <v>69</v>
      </c>
      <c r="N154" s="33"/>
      <c r="O154" s="32">
        <v>180</v>
      </c>
      <c r="P154" s="48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7"/>
      <c r="R154" s="347"/>
      <c r="S154" s="347"/>
      <c r="T154" s="348"/>
      <c r="U154" s="34"/>
      <c r="V154" s="34"/>
      <c r="W154" s="35" t="s">
        <v>70</v>
      </c>
      <c r="X154" s="342">
        <v>0</v>
      </c>
      <c r="Y154" s="343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262</v>
      </c>
      <c r="AG154" s="67"/>
      <c r="AJ154" s="71" t="s">
        <v>72</v>
      </c>
      <c r="AK154" s="71">
        <v>1</v>
      </c>
      <c r="BB154" s="183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4301135540</v>
      </c>
      <c r="D155" s="352">
        <v>4607111035646</v>
      </c>
      <c r="E155" s="353"/>
      <c r="F155" s="341">
        <v>0.2</v>
      </c>
      <c r="G155" s="32">
        <v>8</v>
      </c>
      <c r="H155" s="341">
        <v>1.6</v>
      </c>
      <c r="I155" s="341">
        <v>2.12</v>
      </c>
      <c r="J155" s="32">
        <v>72</v>
      </c>
      <c r="K155" s="32" t="s">
        <v>261</v>
      </c>
      <c r="L155" s="32" t="s">
        <v>68</v>
      </c>
      <c r="M155" s="33" t="s">
        <v>69</v>
      </c>
      <c r="N155" s="33"/>
      <c r="O155" s="32">
        <v>180</v>
      </c>
      <c r="P155" s="36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7"/>
      <c r="R155" s="347"/>
      <c r="S155" s="347"/>
      <c r="T155" s="348"/>
      <c r="U155" s="34"/>
      <c r="V155" s="34"/>
      <c r="W155" s="35" t="s">
        <v>70</v>
      </c>
      <c r="X155" s="342">
        <v>0</v>
      </c>
      <c r="Y155" s="343">
        <f>IFERROR(IF(X155="","",X155),"")</f>
        <v>0</v>
      </c>
      <c r="Z155" s="36">
        <f>IFERROR(IF(X155="","",X155*0.01157),"")</f>
        <v>0</v>
      </c>
      <c r="AA155" s="56"/>
      <c r="AB155" s="57"/>
      <c r="AC155" s="184" t="s">
        <v>262</v>
      </c>
      <c r="AG155" s="67"/>
      <c r="AJ155" s="71" t="s">
        <v>72</v>
      </c>
      <c r="AK155" s="71">
        <v>1</v>
      </c>
      <c r="BB155" s="185" t="s">
        <v>83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64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6"/>
      <c r="N156" s="356"/>
      <c r="O156" s="365"/>
      <c r="P156" s="359" t="s">
        <v>73</v>
      </c>
      <c r="Q156" s="360"/>
      <c r="R156" s="360"/>
      <c r="S156" s="360"/>
      <c r="T156" s="360"/>
      <c r="U156" s="360"/>
      <c r="V156" s="361"/>
      <c r="W156" s="37" t="s">
        <v>70</v>
      </c>
      <c r="X156" s="344">
        <f>IFERROR(SUM(X154:X155),"0")</f>
        <v>0</v>
      </c>
      <c r="Y156" s="344">
        <f>IFERROR(SUM(Y154:Y155),"0")</f>
        <v>0</v>
      </c>
      <c r="Z156" s="344">
        <f>IFERROR(IF(Z154="",0,Z154),"0")+IFERROR(IF(Z155="",0,Z155),"0")</f>
        <v>0</v>
      </c>
      <c r="AA156" s="345"/>
      <c r="AB156" s="345"/>
      <c r="AC156" s="345"/>
    </row>
    <row r="157" spans="1:68" x14ac:dyDescent="0.2">
      <c r="A157" s="356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65"/>
      <c r="P157" s="359" t="s">
        <v>73</v>
      </c>
      <c r="Q157" s="360"/>
      <c r="R157" s="360"/>
      <c r="S157" s="360"/>
      <c r="T157" s="360"/>
      <c r="U157" s="360"/>
      <c r="V157" s="361"/>
      <c r="W157" s="37" t="s">
        <v>74</v>
      </c>
      <c r="X157" s="344">
        <f>IFERROR(SUMPRODUCT(X154:X155*H154:H155),"0")</f>
        <v>0</v>
      </c>
      <c r="Y157" s="344">
        <f>IFERROR(SUMPRODUCT(Y154:Y155*H154:H155),"0")</f>
        <v>0</v>
      </c>
      <c r="Z157" s="37"/>
      <c r="AA157" s="345"/>
      <c r="AB157" s="345"/>
      <c r="AC157" s="345"/>
    </row>
    <row r="158" spans="1:68" ht="16.5" customHeight="1" x14ac:dyDescent="0.25">
      <c r="A158" s="355" t="s">
        <v>265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56"/>
      <c r="Z158" s="356"/>
      <c r="AA158" s="337"/>
      <c r="AB158" s="337"/>
      <c r="AC158" s="337"/>
    </row>
    <row r="159" spans="1:68" ht="14.25" customHeight="1" x14ac:dyDescent="0.25">
      <c r="A159" s="375" t="s">
        <v>153</v>
      </c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  <c r="AA159" s="338"/>
      <c r="AB159" s="338"/>
      <c r="AC159" s="338"/>
    </row>
    <row r="160" spans="1:68" ht="27" customHeight="1" x14ac:dyDescent="0.25">
      <c r="A160" s="54" t="s">
        <v>266</v>
      </c>
      <c r="B160" s="54" t="s">
        <v>267</v>
      </c>
      <c r="C160" s="31">
        <v>4301135281</v>
      </c>
      <c r="D160" s="352">
        <v>4607111036568</v>
      </c>
      <c r="E160" s="353"/>
      <c r="F160" s="341">
        <v>0.28000000000000003</v>
      </c>
      <c r="G160" s="32">
        <v>6</v>
      </c>
      <c r="H160" s="341">
        <v>1.68</v>
      </c>
      <c r="I160" s="341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347"/>
      <c r="R160" s="347"/>
      <c r="S160" s="347"/>
      <c r="T160" s="348"/>
      <c r="U160" s="34"/>
      <c r="V160" s="34"/>
      <c r="W160" s="35" t="s">
        <v>70</v>
      </c>
      <c r="X160" s="342">
        <v>0</v>
      </c>
      <c r="Y160" s="343">
        <f>IFERROR(IF(X160="","",X160),"")</f>
        <v>0</v>
      </c>
      <c r="Z160" s="36">
        <f>IFERROR(IF(X160="","",X160*0.00941),"")</f>
        <v>0</v>
      </c>
      <c r="AA160" s="56"/>
      <c r="AB160" s="57"/>
      <c r="AC160" s="186" t="s">
        <v>268</v>
      </c>
      <c r="AG160" s="67"/>
      <c r="AJ160" s="71" t="s">
        <v>72</v>
      </c>
      <c r="AK160" s="71">
        <v>1</v>
      </c>
      <c r="BB160" s="187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4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65"/>
      <c r="P161" s="359" t="s">
        <v>73</v>
      </c>
      <c r="Q161" s="360"/>
      <c r="R161" s="360"/>
      <c r="S161" s="360"/>
      <c r="T161" s="360"/>
      <c r="U161" s="360"/>
      <c r="V161" s="361"/>
      <c r="W161" s="37" t="s">
        <v>70</v>
      </c>
      <c r="X161" s="344">
        <f>IFERROR(SUM(X160:X160),"0")</f>
        <v>0</v>
      </c>
      <c r="Y161" s="344">
        <f>IFERROR(SUM(Y160:Y160),"0")</f>
        <v>0</v>
      </c>
      <c r="Z161" s="344">
        <f>IFERROR(IF(Z160="",0,Z160),"0")</f>
        <v>0</v>
      </c>
      <c r="AA161" s="345"/>
      <c r="AB161" s="345"/>
      <c r="AC161" s="345"/>
    </row>
    <row r="162" spans="1:68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65"/>
      <c r="P162" s="359" t="s">
        <v>73</v>
      </c>
      <c r="Q162" s="360"/>
      <c r="R162" s="360"/>
      <c r="S162" s="360"/>
      <c r="T162" s="360"/>
      <c r="U162" s="360"/>
      <c r="V162" s="361"/>
      <c r="W162" s="37" t="s">
        <v>74</v>
      </c>
      <c r="X162" s="344">
        <f>IFERROR(SUMPRODUCT(X160:X160*H160:H160),"0")</f>
        <v>0</v>
      </c>
      <c r="Y162" s="344">
        <f>IFERROR(SUMPRODUCT(Y160:Y160*H160:H160),"0")</f>
        <v>0</v>
      </c>
      <c r="Z162" s="37"/>
      <c r="AA162" s="345"/>
      <c r="AB162" s="345"/>
      <c r="AC162" s="345"/>
    </row>
    <row r="163" spans="1:68" ht="27.75" customHeight="1" x14ac:dyDescent="0.2">
      <c r="A163" s="381" t="s">
        <v>269</v>
      </c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382"/>
      <c r="P163" s="382"/>
      <c r="Q163" s="382"/>
      <c r="R163" s="382"/>
      <c r="S163" s="382"/>
      <c r="T163" s="382"/>
      <c r="U163" s="382"/>
      <c r="V163" s="382"/>
      <c r="W163" s="382"/>
      <c r="X163" s="382"/>
      <c r="Y163" s="382"/>
      <c r="Z163" s="382"/>
      <c r="AA163" s="48"/>
      <c r="AB163" s="48"/>
      <c r="AC163" s="48"/>
    </row>
    <row r="164" spans="1:68" ht="16.5" customHeight="1" x14ac:dyDescent="0.25">
      <c r="A164" s="355" t="s">
        <v>270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37"/>
      <c r="AB164" s="337"/>
      <c r="AC164" s="337"/>
    </row>
    <row r="165" spans="1:68" ht="14.25" customHeight="1" x14ac:dyDescent="0.25">
      <c r="A165" s="375" t="s">
        <v>153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38"/>
      <c r="AB165" s="338"/>
      <c r="AC165" s="338"/>
    </row>
    <row r="166" spans="1:68" ht="27" customHeight="1" x14ac:dyDescent="0.25">
      <c r="A166" s="54" t="s">
        <v>271</v>
      </c>
      <c r="B166" s="54" t="s">
        <v>272</v>
      </c>
      <c r="C166" s="31">
        <v>4301135317</v>
      </c>
      <c r="D166" s="352">
        <v>4607111039057</v>
      </c>
      <c r="E166" s="353"/>
      <c r="F166" s="341">
        <v>1.8</v>
      </c>
      <c r="G166" s="32">
        <v>1</v>
      </c>
      <c r="H166" s="341">
        <v>1.8</v>
      </c>
      <c r="I166" s="341">
        <v>1.9</v>
      </c>
      <c r="J166" s="32">
        <v>234</v>
      </c>
      <c r="K166" s="32" t="s">
        <v>171</v>
      </c>
      <c r="L166" s="32" t="s">
        <v>109</v>
      </c>
      <c r="M166" s="33" t="s">
        <v>69</v>
      </c>
      <c r="N166" s="33"/>
      <c r="O166" s="32">
        <v>180</v>
      </c>
      <c r="P166" s="409" t="s">
        <v>273</v>
      </c>
      <c r="Q166" s="347"/>
      <c r="R166" s="347"/>
      <c r="S166" s="347"/>
      <c r="T166" s="348"/>
      <c r="U166" s="34"/>
      <c r="V166" s="34"/>
      <c r="W166" s="35" t="s">
        <v>70</v>
      </c>
      <c r="X166" s="342">
        <v>0</v>
      </c>
      <c r="Y166" s="343">
        <f>IFERROR(IF(X166="","",X166),"")</f>
        <v>0</v>
      </c>
      <c r="Z166" s="36">
        <f>IFERROR(IF(X166="","",X166*0.00502),"")</f>
        <v>0</v>
      </c>
      <c r="AA166" s="56"/>
      <c r="AB166" s="57"/>
      <c r="AC166" s="188" t="s">
        <v>239</v>
      </c>
      <c r="AG166" s="67"/>
      <c r="AJ166" s="71" t="s">
        <v>111</v>
      </c>
      <c r="AK166" s="71">
        <v>18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64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5"/>
      <c r="P167" s="359" t="s">
        <v>73</v>
      </c>
      <c r="Q167" s="360"/>
      <c r="R167" s="360"/>
      <c r="S167" s="360"/>
      <c r="T167" s="360"/>
      <c r="U167" s="360"/>
      <c r="V167" s="361"/>
      <c r="W167" s="37" t="s">
        <v>70</v>
      </c>
      <c r="X167" s="344">
        <f>IFERROR(SUM(X166:X166),"0")</f>
        <v>0</v>
      </c>
      <c r="Y167" s="344">
        <f>IFERROR(SUM(Y166:Y166),"0")</f>
        <v>0</v>
      </c>
      <c r="Z167" s="344">
        <f>IFERROR(IF(Z166="",0,Z166),"0")</f>
        <v>0</v>
      </c>
      <c r="AA167" s="345"/>
      <c r="AB167" s="345"/>
      <c r="AC167" s="345"/>
    </row>
    <row r="168" spans="1:68" x14ac:dyDescent="0.2">
      <c r="A168" s="356"/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65"/>
      <c r="P168" s="359" t="s">
        <v>73</v>
      </c>
      <c r="Q168" s="360"/>
      <c r="R168" s="360"/>
      <c r="S168" s="360"/>
      <c r="T168" s="360"/>
      <c r="U168" s="360"/>
      <c r="V168" s="361"/>
      <c r="W168" s="37" t="s">
        <v>74</v>
      </c>
      <c r="X168" s="344">
        <f>IFERROR(SUMPRODUCT(X166:X166*H166:H166),"0")</f>
        <v>0</v>
      </c>
      <c r="Y168" s="344">
        <f>IFERROR(SUMPRODUCT(Y166:Y166*H166:H166),"0")</f>
        <v>0</v>
      </c>
      <c r="Z168" s="37"/>
      <c r="AA168" s="345"/>
      <c r="AB168" s="345"/>
      <c r="AC168" s="345"/>
    </row>
    <row r="169" spans="1:68" ht="16.5" customHeight="1" x14ac:dyDescent="0.25">
      <c r="A169" s="355" t="s">
        <v>274</v>
      </c>
      <c r="B169" s="356"/>
      <c r="C169" s="356"/>
      <c r="D169" s="356"/>
      <c r="E169" s="356"/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/>
      <c r="X169" s="356"/>
      <c r="Y169" s="356"/>
      <c r="Z169" s="356"/>
      <c r="AA169" s="337"/>
      <c r="AB169" s="337"/>
      <c r="AC169" s="337"/>
    </row>
    <row r="170" spans="1:68" ht="14.25" customHeight="1" x14ac:dyDescent="0.25">
      <c r="A170" s="375" t="s">
        <v>64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338"/>
      <c r="AB170" s="338"/>
      <c r="AC170" s="338"/>
    </row>
    <row r="171" spans="1:68" ht="16.5" customHeight="1" x14ac:dyDescent="0.25">
      <c r="A171" s="54" t="s">
        <v>275</v>
      </c>
      <c r="B171" s="54" t="s">
        <v>276</v>
      </c>
      <c r="C171" s="31">
        <v>4301071062</v>
      </c>
      <c r="D171" s="352">
        <v>4607111036384</v>
      </c>
      <c r="E171" s="353"/>
      <c r="F171" s="341">
        <v>5</v>
      </c>
      <c r="G171" s="32">
        <v>1</v>
      </c>
      <c r="H171" s="341">
        <v>5</v>
      </c>
      <c r="I171" s="341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402" t="s">
        <v>277</v>
      </c>
      <c r="Q171" s="347"/>
      <c r="R171" s="347"/>
      <c r="S171" s="347"/>
      <c r="T171" s="348"/>
      <c r="U171" s="34"/>
      <c r="V171" s="34"/>
      <c r="W171" s="35" t="s">
        <v>70</v>
      </c>
      <c r="X171" s="342">
        <v>0</v>
      </c>
      <c r="Y171" s="343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278</v>
      </c>
      <c r="AG171" s="67"/>
      <c r="AJ171" s="71" t="s">
        <v>72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customHeight="1" x14ac:dyDescent="0.25">
      <c r="A172" s="54" t="s">
        <v>279</v>
      </c>
      <c r="B172" s="54" t="s">
        <v>280</v>
      </c>
      <c r="C172" s="31">
        <v>4301071056</v>
      </c>
      <c r="D172" s="352">
        <v>4640242180250</v>
      </c>
      <c r="E172" s="353"/>
      <c r="F172" s="341">
        <v>5</v>
      </c>
      <c r="G172" s="32">
        <v>1</v>
      </c>
      <c r="H172" s="341">
        <v>5</v>
      </c>
      <c r="I172" s="341">
        <v>5.2131999999999996</v>
      </c>
      <c r="J172" s="32">
        <v>144</v>
      </c>
      <c r="K172" s="32" t="s">
        <v>67</v>
      </c>
      <c r="L172" s="32" t="s">
        <v>109</v>
      </c>
      <c r="M172" s="33" t="s">
        <v>69</v>
      </c>
      <c r="N172" s="33"/>
      <c r="O172" s="32">
        <v>180</v>
      </c>
      <c r="P172" s="368" t="s">
        <v>281</v>
      </c>
      <c r="Q172" s="347"/>
      <c r="R172" s="347"/>
      <c r="S172" s="347"/>
      <c r="T172" s="348"/>
      <c r="U172" s="34"/>
      <c r="V172" s="34"/>
      <c r="W172" s="35" t="s">
        <v>70</v>
      </c>
      <c r="X172" s="342">
        <v>0</v>
      </c>
      <c r="Y172" s="343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282</v>
      </c>
      <c r="AG172" s="67"/>
      <c r="AJ172" s="71" t="s">
        <v>111</v>
      </c>
      <c r="AK172" s="71">
        <v>12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4301071050</v>
      </c>
      <c r="D173" s="352">
        <v>4607111036216</v>
      </c>
      <c r="E173" s="353"/>
      <c r="F173" s="341">
        <v>5</v>
      </c>
      <c r="G173" s="32">
        <v>1</v>
      </c>
      <c r="H173" s="341">
        <v>5</v>
      </c>
      <c r="I173" s="341">
        <v>5.2131999999999996</v>
      </c>
      <c r="J173" s="32">
        <v>144</v>
      </c>
      <c r="K173" s="32" t="s">
        <v>67</v>
      </c>
      <c r="L173" s="32" t="s">
        <v>109</v>
      </c>
      <c r="M173" s="33" t="s">
        <v>69</v>
      </c>
      <c r="N173" s="33"/>
      <c r="O173" s="32">
        <v>180</v>
      </c>
      <c r="P17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7"/>
      <c r="R173" s="347"/>
      <c r="S173" s="347"/>
      <c r="T173" s="348"/>
      <c r="U173" s="34"/>
      <c r="V173" s="34"/>
      <c r="W173" s="35" t="s">
        <v>70</v>
      </c>
      <c r="X173" s="342">
        <v>24</v>
      </c>
      <c r="Y173" s="343">
        <f>IFERROR(IF(X173="","",X173),"")</f>
        <v>24</v>
      </c>
      <c r="Z173" s="36">
        <f>IFERROR(IF(X173="","",X173*0.00866),"")</f>
        <v>0.20783999999999997</v>
      </c>
      <c r="AA173" s="56"/>
      <c r="AB173" s="57"/>
      <c r="AC173" s="194" t="s">
        <v>285</v>
      </c>
      <c r="AG173" s="67"/>
      <c r="AJ173" s="71" t="s">
        <v>111</v>
      </c>
      <c r="AK173" s="71">
        <v>12</v>
      </c>
      <c r="BB173" s="195" t="s">
        <v>1</v>
      </c>
      <c r="BM173" s="67">
        <f>IFERROR(X173*I173,"0")</f>
        <v>125.11679999999998</v>
      </c>
      <c r="BN173" s="67">
        <f>IFERROR(Y173*I173,"0")</f>
        <v>125.11679999999998</v>
      </c>
      <c r="BO173" s="67">
        <f>IFERROR(X173/J173,"0")</f>
        <v>0.16666666666666666</v>
      </c>
      <c r="BP173" s="67">
        <f>IFERROR(Y173/J173,"0")</f>
        <v>0.16666666666666666</v>
      </c>
    </row>
    <row r="174" spans="1:68" ht="27" customHeight="1" x14ac:dyDescent="0.25">
      <c r="A174" s="54" t="s">
        <v>286</v>
      </c>
      <c r="B174" s="54" t="s">
        <v>287</v>
      </c>
      <c r="C174" s="31">
        <v>4301071061</v>
      </c>
      <c r="D174" s="352">
        <v>4607111036278</v>
      </c>
      <c r="E174" s="353"/>
      <c r="F174" s="341">
        <v>5</v>
      </c>
      <c r="G174" s="32">
        <v>1</v>
      </c>
      <c r="H174" s="341">
        <v>5</v>
      </c>
      <c r="I174" s="341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5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7"/>
      <c r="R174" s="347"/>
      <c r="S174" s="347"/>
      <c r="T174" s="348"/>
      <c r="U174" s="34"/>
      <c r="V174" s="34"/>
      <c r="W174" s="35" t="s">
        <v>70</v>
      </c>
      <c r="X174" s="342">
        <v>0</v>
      </c>
      <c r="Y174" s="343">
        <f>IFERROR(IF(X174="","",X174),"")</f>
        <v>0</v>
      </c>
      <c r="Z174" s="36">
        <f>IFERROR(IF(X174="","",X174*0.0155),"")</f>
        <v>0</v>
      </c>
      <c r="AA174" s="56"/>
      <c r="AB174" s="57"/>
      <c r="AC174" s="196" t="s">
        <v>288</v>
      </c>
      <c r="AG174" s="67"/>
      <c r="AJ174" s="71" t="s">
        <v>72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64"/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65"/>
      <c r="P175" s="359" t="s">
        <v>73</v>
      </c>
      <c r="Q175" s="360"/>
      <c r="R175" s="360"/>
      <c r="S175" s="360"/>
      <c r="T175" s="360"/>
      <c r="U175" s="360"/>
      <c r="V175" s="361"/>
      <c r="W175" s="37" t="s">
        <v>70</v>
      </c>
      <c r="X175" s="344">
        <f>IFERROR(SUM(X171:X174),"0")</f>
        <v>24</v>
      </c>
      <c r="Y175" s="344">
        <f>IFERROR(SUM(Y171:Y174),"0")</f>
        <v>24</v>
      </c>
      <c r="Z175" s="344">
        <f>IFERROR(IF(Z171="",0,Z171),"0")+IFERROR(IF(Z172="",0,Z172),"0")+IFERROR(IF(Z173="",0,Z173),"0")+IFERROR(IF(Z174="",0,Z174),"0")</f>
        <v>0.20783999999999997</v>
      </c>
      <c r="AA175" s="345"/>
      <c r="AB175" s="345"/>
      <c r="AC175" s="345"/>
    </row>
    <row r="176" spans="1:68" x14ac:dyDescent="0.2">
      <c r="A176" s="356"/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65"/>
      <c r="P176" s="359" t="s">
        <v>73</v>
      </c>
      <c r="Q176" s="360"/>
      <c r="R176" s="360"/>
      <c r="S176" s="360"/>
      <c r="T176" s="360"/>
      <c r="U176" s="360"/>
      <c r="V176" s="361"/>
      <c r="W176" s="37" t="s">
        <v>74</v>
      </c>
      <c r="X176" s="344">
        <f>IFERROR(SUMPRODUCT(X171:X174*H171:H174),"0")</f>
        <v>120</v>
      </c>
      <c r="Y176" s="344">
        <f>IFERROR(SUMPRODUCT(Y171:Y174*H171:H174),"0")</f>
        <v>120</v>
      </c>
      <c r="Z176" s="37"/>
      <c r="AA176" s="345"/>
      <c r="AB176" s="345"/>
      <c r="AC176" s="345"/>
    </row>
    <row r="177" spans="1:68" ht="14.25" customHeight="1" x14ac:dyDescent="0.25">
      <c r="A177" s="375" t="s">
        <v>289</v>
      </c>
      <c r="B177" s="356"/>
      <c r="C177" s="356"/>
      <c r="D177" s="356"/>
      <c r="E177" s="356"/>
      <c r="F177" s="356"/>
      <c r="G177" s="356"/>
      <c r="H177" s="356"/>
      <c r="I177" s="356"/>
      <c r="J177" s="356"/>
      <c r="K177" s="356"/>
      <c r="L177" s="356"/>
      <c r="M177" s="356"/>
      <c r="N177" s="356"/>
      <c r="O177" s="356"/>
      <c r="P177" s="356"/>
      <c r="Q177" s="356"/>
      <c r="R177" s="356"/>
      <c r="S177" s="356"/>
      <c r="T177" s="356"/>
      <c r="U177" s="356"/>
      <c r="V177" s="356"/>
      <c r="W177" s="356"/>
      <c r="X177" s="356"/>
      <c r="Y177" s="356"/>
      <c r="Z177" s="356"/>
      <c r="AA177" s="338"/>
      <c r="AB177" s="338"/>
      <c r="AC177" s="338"/>
    </row>
    <row r="178" spans="1:68" ht="27" customHeight="1" x14ac:dyDescent="0.25">
      <c r="A178" s="54" t="s">
        <v>290</v>
      </c>
      <c r="B178" s="54" t="s">
        <v>291</v>
      </c>
      <c r="C178" s="31">
        <v>4301080153</v>
      </c>
      <c r="D178" s="352">
        <v>4607111036827</v>
      </c>
      <c r="E178" s="353"/>
      <c r="F178" s="341">
        <v>1</v>
      </c>
      <c r="G178" s="32">
        <v>5</v>
      </c>
      <c r="H178" s="341">
        <v>5</v>
      </c>
      <c r="I178" s="341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7"/>
      <c r="R178" s="347"/>
      <c r="S178" s="347"/>
      <c r="T178" s="348"/>
      <c r="U178" s="34"/>
      <c r="V178" s="34"/>
      <c r="W178" s="35" t="s">
        <v>70</v>
      </c>
      <c r="X178" s="342">
        <v>0</v>
      </c>
      <c r="Y178" s="343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292</v>
      </c>
      <c r="AG178" s="67"/>
      <c r="AJ178" s="71" t="s">
        <v>72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293</v>
      </c>
      <c r="B179" s="54" t="s">
        <v>294</v>
      </c>
      <c r="C179" s="31">
        <v>4301080154</v>
      </c>
      <c r="D179" s="352">
        <v>4607111036834</v>
      </c>
      <c r="E179" s="353"/>
      <c r="F179" s="341">
        <v>1</v>
      </c>
      <c r="G179" s="32">
        <v>5</v>
      </c>
      <c r="H179" s="341">
        <v>5</v>
      </c>
      <c r="I179" s="341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7"/>
      <c r="R179" s="347"/>
      <c r="S179" s="347"/>
      <c r="T179" s="348"/>
      <c r="U179" s="34"/>
      <c r="V179" s="34"/>
      <c r="W179" s="35" t="s">
        <v>70</v>
      </c>
      <c r="X179" s="342">
        <v>0</v>
      </c>
      <c r="Y179" s="343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292</v>
      </c>
      <c r="AG179" s="67"/>
      <c r="AJ179" s="71" t="s">
        <v>72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4"/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65"/>
      <c r="P180" s="359" t="s">
        <v>73</v>
      </c>
      <c r="Q180" s="360"/>
      <c r="R180" s="360"/>
      <c r="S180" s="360"/>
      <c r="T180" s="360"/>
      <c r="U180" s="360"/>
      <c r="V180" s="361"/>
      <c r="W180" s="37" t="s">
        <v>70</v>
      </c>
      <c r="X180" s="344">
        <f>IFERROR(SUM(X178:X179),"0")</f>
        <v>0</v>
      </c>
      <c r="Y180" s="344">
        <f>IFERROR(SUM(Y178:Y179),"0")</f>
        <v>0</v>
      </c>
      <c r="Z180" s="344">
        <f>IFERROR(IF(Z178="",0,Z178),"0")+IFERROR(IF(Z179="",0,Z179),"0")</f>
        <v>0</v>
      </c>
      <c r="AA180" s="345"/>
      <c r="AB180" s="345"/>
      <c r="AC180" s="345"/>
    </row>
    <row r="181" spans="1:68" x14ac:dyDescent="0.2">
      <c r="A181" s="356"/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65"/>
      <c r="P181" s="359" t="s">
        <v>73</v>
      </c>
      <c r="Q181" s="360"/>
      <c r="R181" s="360"/>
      <c r="S181" s="360"/>
      <c r="T181" s="360"/>
      <c r="U181" s="360"/>
      <c r="V181" s="361"/>
      <c r="W181" s="37" t="s">
        <v>74</v>
      </c>
      <c r="X181" s="344">
        <f>IFERROR(SUMPRODUCT(X178:X179*H178:H179),"0")</f>
        <v>0</v>
      </c>
      <c r="Y181" s="344">
        <f>IFERROR(SUMPRODUCT(Y178:Y179*H178:H179),"0")</f>
        <v>0</v>
      </c>
      <c r="Z181" s="37"/>
      <c r="AA181" s="345"/>
      <c r="AB181" s="345"/>
      <c r="AC181" s="345"/>
    </row>
    <row r="182" spans="1:68" ht="27.75" customHeight="1" x14ac:dyDescent="0.2">
      <c r="A182" s="381" t="s">
        <v>295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customHeight="1" x14ac:dyDescent="0.25">
      <c r="A183" s="355" t="s">
        <v>296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37"/>
      <c r="AB183" s="337"/>
      <c r="AC183" s="337"/>
    </row>
    <row r="184" spans="1:68" ht="14.25" customHeight="1" x14ac:dyDescent="0.25">
      <c r="A184" s="375" t="s">
        <v>77</v>
      </c>
      <c r="B184" s="356"/>
      <c r="C184" s="356"/>
      <c r="D184" s="356"/>
      <c r="E184" s="356"/>
      <c r="F184" s="356"/>
      <c r="G184" s="356"/>
      <c r="H184" s="356"/>
      <c r="I184" s="356"/>
      <c r="J184" s="356"/>
      <c r="K184" s="356"/>
      <c r="L184" s="356"/>
      <c r="M184" s="356"/>
      <c r="N184" s="356"/>
      <c r="O184" s="356"/>
      <c r="P184" s="356"/>
      <c r="Q184" s="356"/>
      <c r="R184" s="356"/>
      <c r="S184" s="356"/>
      <c r="T184" s="356"/>
      <c r="U184" s="356"/>
      <c r="V184" s="356"/>
      <c r="W184" s="356"/>
      <c r="X184" s="356"/>
      <c r="Y184" s="356"/>
      <c r="Z184" s="356"/>
      <c r="AA184" s="338"/>
      <c r="AB184" s="338"/>
      <c r="AC184" s="338"/>
    </row>
    <row r="185" spans="1:68" ht="27" customHeight="1" x14ac:dyDescent="0.25">
      <c r="A185" s="54" t="s">
        <v>297</v>
      </c>
      <c r="B185" s="54" t="s">
        <v>298</v>
      </c>
      <c r="C185" s="31">
        <v>4301132097</v>
      </c>
      <c r="D185" s="352">
        <v>4607111035721</v>
      </c>
      <c r="E185" s="353"/>
      <c r="F185" s="341">
        <v>0.25</v>
      </c>
      <c r="G185" s="32">
        <v>12</v>
      </c>
      <c r="H185" s="341">
        <v>3</v>
      </c>
      <c r="I185" s="341">
        <v>3.3879999999999999</v>
      </c>
      <c r="J185" s="32">
        <v>70</v>
      </c>
      <c r="K185" s="32" t="s">
        <v>80</v>
      </c>
      <c r="L185" s="32" t="s">
        <v>114</v>
      </c>
      <c r="M185" s="33" t="s">
        <v>69</v>
      </c>
      <c r="N185" s="33"/>
      <c r="O185" s="32">
        <v>365</v>
      </c>
      <c r="P185" s="45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5" s="347"/>
      <c r="R185" s="347"/>
      <c r="S185" s="347"/>
      <c r="T185" s="348"/>
      <c r="U185" s="34"/>
      <c r="V185" s="34"/>
      <c r="W185" s="35" t="s">
        <v>70</v>
      </c>
      <c r="X185" s="342">
        <v>28</v>
      </c>
      <c r="Y185" s="34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202" t="s">
        <v>299</v>
      </c>
      <c r="AG185" s="67"/>
      <c r="AJ185" s="71" t="s">
        <v>115</v>
      </c>
      <c r="AK185" s="71">
        <v>70</v>
      </c>
      <c r="BB185" s="203" t="s">
        <v>83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customHeight="1" x14ac:dyDescent="0.25">
      <c r="A186" s="54" t="s">
        <v>300</v>
      </c>
      <c r="B186" s="54" t="s">
        <v>301</v>
      </c>
      <c r="C186" s="31">
        <v>4301132100</v>
      </c>
      <c r="D186" s="352">
        <v>4607111035691</v>
      </c>
      <c r="E186" s="353"/>
      <c r="F186" s="341">
        <v>0.25</v>
      </c>
      <c r="G186" s="32">
        <v>12</v>
      </c>
      <c r="H186" s="341">
        <v>3</v>
      </c>
      <c r="I186" s="341">
        <v>3.3879999999999999</v>
      </c>
      <c r="J186" s="32">
        <v>70</v>
      </c>
      <c r="K186" s="32" t="s">
        <v>80</v>
      </c>
      <c r="L186" s="32" t="s">
        <v>114</v>
      </c>
      <c r="M186" s="33" t="s">
        <v>69</v>
      </c>
      <c r="N186" s="33"/>
      <c r="O186" s="32">
        <v>365</v>
      </c>
      <c r="P186" s="54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347"/>
      <c r="R186" s="347"/>
      <c r="S186" s="347"/>
      <c r="T186" s="348"/>
      <c r="U186" s="34"/>
      <c r="V186" s="34"/>
      <c r="W186" s="35" t="s">
        <v>70</v>
      </c>
      <c r="X186" s="342">
        <v>28</v>
      </c>
      <c r="Y186" s="343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302</v>
      </c>
      <c r="AG186" s="67"/>
      <c r="AJ186" s="71" t="s">
        <v>115</v>
      </c>
      <c r="AK186" s="71">
        <v>70</v>
      </c>
      <c r="BB186" s="205" t="s">
        <v>83</v>
      </c>
      <c r="BM186" s="67">
        <f>IFERROR(X186*I186,"0")</f>
        <v>94.864000000000004</v>
      </c>
      <c r="BN186" s="67">
        <f>IFERROR(Y186*I186,"0")</f>
        <v>94.864000000000004</v>
      </c>
      <c r="BO186" s="67">
        <f>IFERROR(X186/J186,"0")</f>
        <v>0.4</v>
      </c>
      <c r="BP186" s="67">
        <f>IFERROR(Y186/J186,"0")</f>
        <v>0.4</v>
      </c>
    </row>
    <row r="187" spans="1:68" ht="27" customHeight="1" x14ac:dyDescent="0.25">
      <c r="A187" s="54" t="s">
        <v>303</v>
      </c>
      <c r="B187" s="54" t="s">
        <v>304</v>
      </c>
      <c r="C187" s="31">
        <v>4301132170</v>
      </c>
      <c r="D187" s="352">
        <v>4607111038487</v>
      </c>
      <c r="E187" s="353"/>
      <c r="F187" s="341">
        <v>0.25</v>
      </c>
      <c r="G187" s="32">
        <v>12</v>
      </c>
      <c r="H187" s="341">
        <v>3</v>
      </c>
      <c r="I187" s="341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2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7"/>
      <c r="R187" s="347"/>
      <c r="S187" s="347"/>
      <c r="T187" s="348"/>
      <c r="U187" s="34"/>
      <c r="V187" s="34"/>
      <c r="W187" s="35" t="s">
        <v>70</v>
      </c>
      <c r="X187" s="342">
        <v>0</v>
      </c>
      <c r="Y187" s="343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305</v>
      </c>
      <c r="AG187" s="67"/>
      <c r="AJ187" s="71" t="s">
        <v>72</v>
      </c>
      <c r="AK187" s="71">
        <v>1</v>
      </c>
      <c r="BB187" s="207" t="s">
        <v>83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64"/>
      <c r="B188" s="356"/>
      <c r="C188" s="356"/>
      <c r="D188" s="356"/>
      <c r="E188" s="356"/>
      <c r="F188" s="356"/>
      <c r="G188" s="356"/>
      <c r="H188" s="356"/>
      <c r="I188" s="356"/>
      <c r="J188" s="356"/>
      <c r="K188" s="356"/>
      <c r="L188" s="356"/>
      <c r="M188" s="356"/>
      <c r="N188" s="356"/>
      <c r="O188" s="365"/>
      <c r="P188" s="359" t="s">
        <v>73</v>
      </c>
      <c r="Q188" s="360"/>
      <c r="R188" s="360"/>
      <c r="S188" s="360"/>
      <c r="T188" s="360"/>
      <c r="U188" s="360"/>
      <c r="V188" s="361"/>
      <c r="W188" s="37" t="s">
        <v>70</v>
      </c>
      <c r="X188" s="344">
        <f>IFERROR(SUM(X185:X187),"0")</f>
        <v>56</v>
      </c>
      <c r="Y188" s="344">
        <f>IFERROR(SUM(Y185:Y187),"0")</f>
        <v>56</v>
      </c>
      <c r="Z188" s="344">
        <f>IFERROR(IF(Z185="",0,Z185),"0")+IFERROR(IF(Z186="",0,Z186),"0")+IFERROR(IF(Z187="",0,Z187),"0")</f>
        <v>1.0012799999999999</v>
      </c>
      <c r="AA188" s="345"/>
      <c r="AB188" s="345"/>
      <c r="AC188" s="345"/>
    </row>
    <row r="189" spans="1:68" x14ac:dyDescent="0.2">
      <c r="A189" s="356"/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65"/>
      <c r="P189" s="359" t="s">
        <v>73</v>
      </c>
      <c r="Q189" s="360"/>
      <c r="R189" s="360"/>
      <c r="S189" s="360"/>
      <c r="T189" s="360"/>
      <c r="U189" s="360"/>
      <c r="V189" s="361"/>
      <c r="W189" s="37" t="s">
        <v>74</v>
      </c>
      <c r="X189" s="344">
        <f>IFERROR(SUMPRODUCT(X185:X187*H185:H187),"0")</f>
        <v>168</v>
      </c>
      <c r="Y189" s="344">
        <f>IFERROR(SUMPRODUCT(Y185:Y187*H185:H187),"0")</f>
        <v>168</v>
      </c>
      <c r="Z189" s="37"/>
      <c r="AA189" s="345"/>
      <c r="AB189" s="345"/>
      <c r="AC189" s="345"/>
    </row>
    <row r="190" spans="1:68" ht="14.25" customHeight="1" x14ac:dyDescent="0.25">
      <c r="A190" s="375" t="s">
        <v>306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38"/>
      <c r="AB190" s="338"/>
      <c r="AC190" s="338"/>
    </row>
    <row r="191" spans="1:68" ht="27" customHeight="1" x14ac:dyDescent="0.25">
      <c r="A191" s="54" t="s">
        <v>307</v>
      </c>
      <c r="B191" s="54" t="s">
        <v>308</v>
      </c>
      <c r="C191" s="31">
        <v>4301051855</v>
      </c>
      <c r="D191" s="352">
        <v>4680115885875</v>
      </c>
      <c r="E191" s="353"/>
      <c r="F191" s="341">
        <v>1</v>
      </c>
      <c r="G191" s="32">
        <v>9</v>
      </c>
      <c r="H191" s="341">
        <v>9</v>
      </c>
      <c r="I191" s="341">
        <v>9.4350000000000005</v>
      </c>
      <c r="J191" s="32">
        <v>64</v>
      </c>
      <c r="K191" s="32" t="s">
        <v>309</v>
      </c>
      <c r="L191" s="32" t="s">
        <v>68</v>
      </c>
      <c r="M191" s="33" t="s">
        <v>310</v>
      </c>
      <c r="N191" s="33"/>
      <c r="O191" s="32">
        <v>365</v>
      </c>
      <c r="P191" s="536" t="s">
        <v>311</v>
      </c>
      <c r="Q191" s="347"/>
      <c r="R191" s="347"/>
      <c r="S191" s="347"/>
      <c r="T191" s="348"/>
      <c r="U191" s="34"/>
      <c r="V191" s="34"/>
      <c r="W191" s="35" t="s">
        <v>70</v>
      </c>
      <c r="X191" s="342">
        <v>0</v>
      </c>
      <c r="Y191" s="343">
        <f>IFERROR(IF(X191="","",X191),"")</f>
        <v>0</v>
      </c>
      <c r="Z191" s="36">
        <f>IFERROR(IF(X191="","",X191*0.01898),"")</f>
        <v>0</v>
      </c>
      <c r="AA191" s="56"/>
      <c r="AB191" s="57"/>
      <c r="AC191" s="208" t="s">
        <v>312</v>
      </c>
      <c r="AG191" s="67"/>
      <c r="AJ191" s="71" t="s">
        <v>72</v>
      </c>
      <c r="AK191" s="71">
        <v>1</v>
      </c>
      <c r="BB191" s="209" t="s">
        <v>313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64"/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65"/>
      <c r="P192" s="359" t="s">
        <v>73</v>
      </c>
      <c r="Q192" s="360"/>
      <c r="R192" s="360"/>
      <c r="S192" s="360"/>
      <c r="T192" s="360"/>
      <c r="U192" s="360"/>
      <c r="V192" s="361"/>
      <c r="W192" s="37" t="s">
        <v>70</v>
      </c>
      <c r="X192" s="344">
        <f>IFERROR(SUM(X191:X191),"0")</f>
        <v>0</v>
      </c>
      <c r="Y192" s="344">
        <f>IFERROR(SUM(Y191:Y191),"0")</f>
        <v>0</v>
      </c>
      <c r="Z192" s="344">
        <f>IFERROR(IF(Z191="",0,Z191),"0")</f>
        <v>0</v>
      </c>
      <c r="AA192" s="345"/>
      <c r="AB192" s="345"/>
      <c r="AC192" s="345"/>
    </row>
    <row r="193" spans="1:68" x14ac:dyDescent="0.2">
      <c r="A193" s="356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6"/>
      <c r="N193" s="356"/>
      <c r="O193" s="365"/>
      <c r="P193" s="359" t="s">
        <v>73</v>
      </c>
      <c r="Q193" s="360"/>
      <c r="R193" s="360"/>
      <c r="S193" s="360"/>
      <c r="T193" s="360"/>
      <c r="U193" s="360"/>
      <c r="V193" s="361"/>
      <c r="W193" s="37" t="s">
        <v>74</v>
      </c>
      <c r="X193" s="344">
        <f>IFERROR(SUMPRODUCT(X191:X191*H191:H191),"0")</f>
        <v>0</v>
      </c>
      <c r="Y193" s="344">
        <f>IFERROR(SUMPRODUCT(Y191:Y191*H191:H191),"0")</f>
        <v>0</v>
      </c>
      <c r="Z193" s="37"/>
      <c r="AA193" s="345"/>
      <c r="AB193" s="345"/>
      <c r="AC193" s="345"/>
    </row>
    <row r="194" spans="1:68" ht="16.5" customHeight="1" x14ac:dyDescent="0.25">
      <c r="A194" s="355" t="s">
        <v>314</v>
      </c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6"/>
      <c r="P194" s="356"/>
      <c r="Q194" s="356"/>
      <c r="R194" s="356"/>
      <c r="S194" s="356"/>
      <c r="T194" s="356"/>
      <c r="U194" s="356"/>
      <c r="V194" s="356"/>
      <c r="W194" s="356"/>
      <c r="X194" s="356"/>
      <c r="Y194" s="356"/>
      <c r="Z194" s="356"/>
      <c r="AA194" s="337"/>
      <c r="AB194" s="337"/>
      <c r="AC194" s="337"/>
    </row>
    <row r="195" spans="1:68" ht="14.25" customHeight="1" x14ac:dyDescent="0.25">
      <c r="A195" s="375" t="s">
        <v>314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56"/>
      <c r="Z195" s="356"/>
      <c r="AA195" s="338"/>
      <c r="AB195" s="338"/>
      <c r="AC195" s="338"/>
    </row>
    <row r="196" spans="1:68" ht="27" customHeight="1" x14ac:dyDescent="0.25">
      <c r="A196" s="54" t="s">
        <v>315</v>
      </c>
      <c r="B196" s="54" t="s">
        <v>316</v>
      </c>
      <c r="C196" s="31">
        <v>4301133002</v>
      </c>
      <c r="D196" s="352">
        <v>4607111035783</v>
      </c>
      <c r="E196" s="353"/>
      <c r="F196" s="341">
        <v>0.2</v>
      </c>
      <c r="G196" s="32">
        <v>8</v>
      </c>
      <c r="H196" s="341">
        <v>1.6</v>
      </c>
      <c r="I196" s="341">
        <v>2.12</v>
      </c>
      <c r="J196" s="32">
        <v>72</v>
      </c>
      <c r="K196" s="32" t="s">
        <v>261</v>
      </c>
      <c r="L196" s="32" t="s">
        <v>68</v>
      </c>
      <c r="M196" s="33" t="s">
        <v>69</v>
      </c>
      <c r="N196" s="33"/>
      <c r="O196" s="32">
        <v>180</v>
      </c>
      <c r="P196" s="53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6" s="347"/>
      <c r="R196" s="347"/>
      <c r="S196" s="347"/>
      <c r="T196" s="348"/>
      <c r="U196" s="34"/>
      <c r="V196" s="34"/>
      <c r="W196" s="35" t="s">
        <v>70</v>
      </c>
      <c r="X196" s="342">
        <v>0</v>
      </c>
      <c r="Y196" s="343">
        <f>IFERROR(IF(X196="","",X196),"")</f>
        <v>0</v>
      </c>
      <c r="Z196" s="36">
        <f>IFERROR(IF(X196="","",X196*0.01157),"")</f>
        <v>0</v>
      </c>
      <c r="AA196" s="56"/>
      <c r="AB196" s="57"/>
      <c r="AC196" s="210" t="s">
        <v>317</v>
      </c>
      <c r="AG196" s="67"/>
      <c r="AJ196" s="71" t="s">
        <v>72</v>
      </c>
      <c r="AK196" s="71">
        <v>1</v>
      </c>
      <c r="BB196" s="211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64"/>
      <c r="B197" s="356"/>
      <c r="C197" s="356"/>
      <c r="D197" s="356"/>
      <c r="E197" s="356"/>
      <c r="F197" s="356"/>
      <c r="G197" s="356"/>
      <c r="H197" s="356"/>
      <c r="I197" s="356"/>
      <c r="J197" s="356"/>
      <c r="K197" s="356"/>
      <c r="L197" s="356"/>
      <c r="M197" s="356"/>
      <c r="N197" s="356"/>
      <c r="O197" s="365"/>
      <c r="P197" s="359" t="s">
        <v>73</v>
      </c>
      <c r="Q197" s="360"/>
      <c r="R197" s="360"/>
      <c r="S197" s="360"/>
      <c r="T197" s="360"/>
      <c r="U197" s="360"/>
      <c r="V197" s="361"/>
      <c r="W197" s="37" t="s">
        <v>70</v>
      </c>
      <c r="X197" s="344">
        <f>IFERROR(SUM(X196:X196),"0")</f>
        <v>0</v>
      </c>
      <c r="Y197" s="344">
        <f>IFERROR(SUM(Y196:Y196),"0")</f>
        <v>0</v>
      </c>
      <c r="Z197" s="344">
        <f>IFERROR(IF(Z196="",0,Z196),"0")</f>
        <v>0</v>
      </c>
      <c r="AA197" s="345"/>
      <c r="AB197" s="345"/>
      <c r="AC197" s="345"/>
    </row>
    <row r="198" spans="1:68" x14ac:dyDescent="0.2">
      <c r="A198" s="356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65"/>
      <c r="P198" s="359" t="s">
        <v>73</v>
      </c>
      <c r="Q198" s="360"/>
      <c r="R198" s="360"/>
      <c r="S198" s="360"/>
      <c r="T198" s="360"/>
      <c r="U198" s="360"/>
      <c r="V198" s="361"/>
      <c r="W198" s="37" t="s">
        <v>74</v>
      </c>
      <c r="X198" s="344">
        <f>IFERROR(SUMPRODUCT(X196:X196*H196:H196),"0")</f>
        <v>0</v>
      </c>
      <c r="Y198" s="344">
        <f>IFERROR(SUMPRODUCT(Y196:Y196*H196:H196),"0")</f>
        <v>0</v>
      </c>
      <c r="Z198" s="37"/>
      <c r="AA198" s="345"/>
      <c r="AB198" s="345"/>
      <c r="AC198" s="345"/>
    </row>
    <row r="199" spans="1:68" ht="27.75" customHeight="1" x14ac:dyDescent="0.2">
      <c r="A199" s="381" t="s">
        <v>318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48"/>
      <c r="AB199" s="48"/>
      <c r="AC199" s="48"/>
    </row>
    <row r="200" spans="1:68" ht="16.5" customHeight="1" x14ac:dyDescent="0.25">
      <c r="A200" s="355" t="s">
        <v>319</v>
      </c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6"/>
      <c r="N200" s="356"/>
      <c r="O200" s="356"/>
      <c r="P200" s="356"/>
      <c r="Q200" s="356"/>
      <c r="R200" s="356"/>
      <c r="S200" s="356"/>
      <c r="T200" s="356"/>
      <c r="U200" s="356"/>
      <c r="V200" s="356"/>
      <c r="W200" s="356"/>
      <c r="X200" s="356"/>
      <c r="Y200" s="356"/>
      <c r="Z200" s="356"/>
      <c r="AA200" s="337"/>
      <c r="AB200" s="337"/>
      <c r="AC200" s="337"/>
    </row>
    <row r="201" spans="1:68" ht="14.25" customHeight="1" x14ac:dyDescent="0.25">
      <c r="A201" s="375" t="s">
        <v>153</v>
      </c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38"/>
      <c r="AB201" s="338"/>
      <c r="AC201" s="338"/>
    </row>
    <row r="202" spans="1:68" ht="27" customHeight="1" x14ac:dyDescent="0.25">
      <c r="A202" s="54" t="s">
        <v>320</v>
      </c>
      <c r="B202" s="54" t="s">
        <v>321</v>
      </c>
      <c r="C202" s="31">
        <v>4301135707</v>
      </c>
      <c r="D202" s="352">
        <v>4620207490198</v>
      </c>
      <c r="E202" s="353"/>
      <c r="F202" s="341">
        <v>0.2</v>
      </c>
      <c r="G202" s="32">
        <v>12</v>
      </c>
      <c r="H202" s="341">
        <v>2.4</v>
      </c>
      <c r="I202" s="341">
        <v>3.1036000000000001</v>
      </c>
      <c r="J202" s="32">
        <v>70</v>
      </c>
      <c r="K202" s="32" t="s">
        <v>80</v>
      </c>
      <c r="L202" s="32" t="s">
        <v>109</v>
      </c>
      <c r="M202" s="33" t="s">
        <v>69</v>
      </c>
      <c r="N202" s="33"/>
      <c r="O202" s="32">
        <v>180</v>
      </c>
      <c r="P202" s="5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47"/>
      <c r="R202" s="347"/>
      <c r="S202" s="347"/>
      <c r="T202" s="348"/>
      <c r="U202" s="34"/>
      <c r="V202" s="34"/>
      <c r="W202" s="35" t="s">
        <v>70</v>
      </c>
      <c r="X202" s="342">
        <v>14</v>
      </c>
      <c r="Y202" s="343">
        <f>IFERROR(IF(X202="","",X202),"")</f>
        <v>14</v>
      </c>
      <c r="Z202" s="36">
        <f>IFERROR(IF(X202="","",X202*0.01788),"")</f>
        <v>0.25031999999999999</v>
      </c>
      <c r="AA202" s="56"/>
      <c r="AB202" s="57"/>
      <c r="AC202" s="212" t="s">
        <v>322</v>
      </c>
      <c r="AG202" s="67"/>
      <c r="AJ202" s="71" t="s">
        <v>111</v>
      </c>
      <c r="AK202" s="71">
        <v>14</v>
      </c>
      <c r="BB202" s="213" t="s">
        <v>83</v>
      </c>
      <c r="BM202" s="67">
        <f>IFERROR(X202*I202,"0")</f>
        <v>43.450400000000002</v>
      </c>
      <c r="BN202" s="67">
        <f>IFERROR(Y202*I202,"0")</f>
        <v>43.450400000000002</v>
      </c>
      <c r="BO202" s="67">
        <f>IFERROR(X202/J202,"0")</f>
        <v>0.2</v>
      </c>
      <c r="BP202" s="67">
        <f>IFERROR(Y202/J202,"0")</f>
        <v>0.2</v>
      </c>
    </row>
    <row r="203" spans="1:68" ht="27" customHeight="1" x14ac:dyDescent="0.25">
      <c r="A203" s="54" t="s">
        <v>323</v>
      </c>
      <c r="B203" s="54" t="s">
        <v>324</v>
      </c>
      <c r="C203" s="31">
        <v>4301135719</v>
      </c>
      <c r="D203" s="352">
        <v>4620207490235</v>
      </c>
      <c r="E203" s="353"/>
      <c r="F203" s="341">
        <v>0.2</v>
      </c>
      <c r="G203" s="32">
        <v>12</v>
      </c>
      <c r="H203" s="341">
        <v>2.4</v>
      </c>
      <c r="I203" s="341">
        <v>3.1036000000000001</v>
      </c>
      <c r="J203" s="32">
        <v>70</v>
      </c>
      <c r="K203" s="32" t="s">
        <v>80</v>
      </c>
      <c r="L203" s="32" t="s">
        <v>109</v>
      </c>
      <c r="M203" s="33" t="s">
        <v>69</v>
      </c>
      <c r="N203" s="33"/>
      <c r="O203" s="32">
        <v>180</v>
      </c>
      <c r="P203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47"/>
      <c r="R203" s="347"/>
      <c r="S203" s="347"/>
      <c r="T203" s="348"/>
      <c r="U203" s="34"/>
      <c r="V203" s="34"/>
      <c r="W203" s="35" t="s">
        <v>70</v>
      </c>
      <c r="X203" s="342">
        <v>0</v>
      </c>
      <c r="Y203" s="343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325</v>
      </c>
      <c r="AG203" s="67"/>
      <c r="AJ203" s="71" t="s">
        <v>111</v>
      </c>
      <c r="AK203" s="71">
        <v>14</v>
      </c>
      <c r="BB203" s="215" t="s">
        <v>83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4301135697</v>
      </c>
      <c r="D204" s="352">
        <v>4620207490259</v>
      </c>
      <c r="E204" s="353"/>
      <c r="F204" s="341">
        <v>0.2</v>
      </c>
      <c r="G204" s="32">
        <v>12</v>
      </c>
      <c r="H204" s="341">
        <v>2.4</v>
      </c>
      <c r="I204" s="341">
        <v>3.1036000000000001</v>
      </c>
      <c r="J204" s="32">
        <v>70</v>
      </c>
      <c r="K204" s="32" t="s">
        <v>80</v>
      </c>
      <c r="L204" s="32" t="s">
        <v>109</v>
      </c>
      <c r="M204" s="33" t="s">
        <v>69</v>
      </c>
      <c r="N204" s="33"/>
      <c r="O204" s="32">
        <v>180</v>
      </c>
      <c r="P204" s="4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47"/>
      <c r="R204" s="347"/>
      <c r="S204" s="347"/>
      <c r="T204" s="348"/>
      <c r="U204" s="34"/>
      <c r="V204" s="34"/>
      <c r="W204" s="35" t="s">
        <v>70</v>
      </c>
      <c r="X204" s="342">
        <v>0</v>
      </c>
      <c r="Y204" s="343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111</v>
      </c>
      <c r="AK204" s="71">
        <v>14</v>
      </c>
      <c r="BB204" s="217" t="s">
        <v>83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4301135681</v>
      </c>
      <c r="D205" s="352">
        <v>4620207490143</v>
      </c>
      <c r="E205" s="353"/>
      <c r="F205" s="341">
        <v>0.22</v>
      </c>
      <c r="G205" s="32">
        <v>12</v>
      </c>
      <c r="H205" s="341">
        <v>2.64</v>
      </c>
      <c r="I205" s="341">
        <v>3.3435999999999999</v>
      </c>
      <c r="J205" s="32">
        <v>70</v>
      </c>
      <c r="K205" s="32" t="s">
        <v>80</v>
      </c>
      <c r="L205" s="32" t="s">
        <v>68</v>
      </c>
      <c r="M205" s="33" t="s">
        <v>69</v>
      </c>
      <c r="N205" s="33"/>
      <c r="O205" s="32">
        <v>180</v>
      </c>
      <c r="P205" s="42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47"/>
      <c r="R205" s="347"/>
      <c r="S205" s="347"/>
      <c r="T205" s="348"/>
      <c r="U205" s="34"/>
      <c r="V205" s="34"/>
      <c r="W205" s="35" t="s">
        <v>70</v>
      </c>
      <c r="X205" s="342">
        <v>0</v>
      </c>
      <c r="Y205" s="343">
        <f>IFERROR(IF(X205="","",X205),"")</f>
        <v>0</v>
      </c>
      <c r="Z205" s="36">
        <f>IFERROR(IF(X205="","",X205*0.01788),"")</f>
        <v>0</v>
      </c>
      <c r="AA205" s="56"/>
      <c r="AB205" s="57"/>
      <c r="AC205" s="218" t="s">
        <v>330</v>
      </c>
      <c r="AG205" s="67"/>
      <c r="AJ205" s="71" t="s">
        <v>72</v>
      </c>
      <c r="AK205" s="71">
        <v>1</v>
      </c>
      <c r="BB205" s="219" t="s">
        <v>83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64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65"/>
      <c r="P206" s="359" t="s">
        <v>73</v>
      </c>
      <c r="Q206" s="360"/>
      <c r="R206" s="360"/>
      <c r="S206" s="360"/>
      <c r="T206" s="360"/>
      <c r="U206" s="360"/>
      <c r="V206" s="361"/>
      <c r="W206" s="37" t="s">
        <v>70</v>
      </c>
      <c r="X206" s="344">
        <f>IFERROR(SUM(X202:X205),"0")</f>
        <v>14</v>
      </c>
      <c r="Y206" s="344">
        <f>IFERROR(SUM(Y202:Y205),"0")</f>
        <v>14</v>
      </c>
      <c r="Z206" s="344">
        <f>IFERROR(IF(Z202="",0,Z202),"0")+IFERROR(IF(Z203="",0,Z203),"0")+IFERROR(IF(Z204="",0,Z204),"0")+IFERROR(IF(Z205="",0,Z205),"0")</f>
        <v>0.25031999999999999</v>
      </c>
      <c r="AA206" s="345"/>
      <c r="AB206" s="345"/>
      <c r="AC206" s="345"/>
    </row>
    <row r="207" spans="1:68" x14ac:dyDescent="0.2">
      <c r="A207" s="356"/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65"/>
      <c r="P207" s="359" t="s">
        <v>73</v>
      </c>
      <c r="Q207" s="360"/>
      <c r="R207" s="360"/>
      <c r="S207" s="360"/>
      <c r="T207" s="360"/>
      <c r="U207" s="360"/>
      <c r="V207" s="361"/>
      <c r="W207" s="37" t="s">
        <v>74</v>
      </c>
      <c r="X207" s="344">
        <f>IFERROR(SUMPRODUCT(X202:X205*H202:H205),"0")</f>
        <v>33.6</v>
      </c>
      <c r="Y207" s="344">
        <f>IFERROR(SUMPRODUCT(Y202:Y205*H202:H205),"0")</f>
        <v>33.6</v>
      </c>
      <c r="Z207" s="37"/>
      <c r="AA207" s="345"/>
      <c r="AB207" s="345"/>
      <c r="AC207" s="345"/>
    </row>
    <row r="208" spans="1:68" ht="16.5" customHeight="1" x14ac:dyDescent="0.25">
      <c r="A208" s="355" t="s">
        <v>331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56"/>
      <c r="Z208" s="356"/>
      <c r="AA208" s="337"/>
      <c r="AB208" s="337"/>
      <c r="AC208" s="337"/>
    </row>
    <row r="209" spans="1:68" ht="14.25" customHeight="1" x14ac:dyDescent="0.25">
      <c r="A209" s="375" t="s">
        <v>64</v>
      </c>
      <c r="B209" s="356"/>
      <c r="C209" s="356"/>
      <c r="D209" s="356"/>
      <c r="E209" s="356"/>
      <c r="F209" s="356"/>
      <c r="G209" s="356"/>
      <c r="H209" s="356"/>
      <c r="I209" s="356"/>
      <c r="J209" s="356"/>
      <c r="K209" s="356"/>
      <c r="L209" s="356"/>
      <c r="M209" s="356"/>
      <c r="N209" s="356"/>
      <c r="O209" s="356"/>
      <c r="P209" s="356"/>
      <c r="Q209" s="356"/>
      <c r="R209" s="356"/>
      <c r="S209" s="356"/>
      <c r="T209" s="356"/>
      <c r="U209" s="356"/>
      <c r="V209" s="356"/>
      <c r="W209" s="356"/>
      <c r="X209" s="356"/>
      <c r="Y209" s="356"/>
      <c r="Z209" s="356"/>
      <c r="AA209" s="338"/>
      <c r="AB209" s="338"/>
      <c r="AC209" s="338"/>
    </row>
    <row r="210" spans="1:68" ht="16.5" customHeight="1" x14ac:dyDescent="0.25">
      <c r="A210" s="54" t="s">
        <v>332</v>
      </c>
      <c r="B210" s="54" t="s">
        <v>333</v>
      </c>
      <c r="C210" s="31">
        <v>4301070948</v>
      </c>
      <c r="D210" s="352">
        <v>4607111037022</v>
      </c>
      <c r="E210" s="353"/>
      <c r="F210" s="341">
        <v>0.7</v>
      </c>
      <c r="G210" s="32">
        <v>8</v>
      </c>
      <c r="H210" s="341">
        <v>5.6</v>
      </c>
      <c r="I210" s="341">
        <v>5.87</v>
      </c>
      <c r="J210" s="32">
        <v>84</v>
      </c>
      <c r="K210" s="32" t="s">
        <v>67</v>
      </c>
      <c r="L210" s="32" t="s">
        <v>114</v>
      </c>
      <c r="M210" s="33" t="s">
        <v>69</v>
      </c>
      <c r="N210" s="33"/>
      <c r="O210" s="32">
        <v>180</v>
      </c>
      <c r="P210" s="4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47"/>
      <c r="R210" s="347"/>
      <c r="S210" s="347"/>
      <c r="T210" s="348"/>
      <c r="U210" s="34"/>
      <c r="V210" s="34"/>
      <c r="W210" s="35" t="s">
        <v>70</v>
      </c>
      <c r="X210" s="342">
        <v>48</v>
      </c>
      <c r="Y210" s="343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20" t="s">
        <v>334</v>
      </c>
      <c r="AG210" s="67"/>
      <c r="AJ210" s="71" t="s">
        <v>115</v>
      </c>
      <c r="AK210" s="71">
        <v>84</v>
      </c>
      <c r="BB210" s="221" t="s">
        <v>1</v>
      </c>
      <c r="BM210" s="67">
        <f>IFERROR(X210*I210,"0")</f>
        <v>281.76</v>
      </c>
      <c r="BN210" s="67">
        <f>IFERROR(Y210*I210,"0")</f>
        <v>281.76</v>
      </c>
      <c r="BO210" s="67">
        <f>IFERROR(X210/J210,"0")</f>
        <v>0.5714285714285714</v>
      </c>
      <c r="BP210" s="67">
        <f>IFERROR(Y210/J210,"0")</f>
        <v>0.5714285714285714</v>
      </c>
    </row>
    <row r="211" spans="1:68" ht="27" customHeight="1" x14ac:dyDescent="0.25">
      <c r="A211" s="54" t="s">
        <v>335</v>
      </c>
      <c r="B211" s="54" t="s">
        <v>336</v>
      </c>
      <c r="C211" s="31">
        <v>4301070990</v>
      </c>
      <c r="D211" s="352">
        <v>4607111038494</v>
      </c>
      <c r="E211" s="353"/>
      <c r="F211" s="341">
        <v>0.7</v>
      </c>
      <c r="G211" s="32">
        <v>8</v>
      </c>
      <c r="H211" s="341">
        <v>5.6</v>
      </c>
      <c r="I211" s="341">
        <v>5.87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47"/>
      <c r="R211" s="347"/>
      <c r="S211" s="347"/>
      <c r="T211" s="348"/>
      <c r="U211" s="34"/>
      <c r="V211" s="34"/>
      <c r="W211" s="35" t="s">
        <v>70</v>
      </c>
      <c r="X211" s="342">
        <v>0</v>
      </c>
      <c r="Y211" s="343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337</v>
      </c>
      <c r="AG211" s="67"/>
      <c r="AJ211" s="71" t="s">
        <v>72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338</v>
      </c>
      <c r="B212" s="54" t="s">
        <v>339</v>
      </c>
      <c r="C212" s="31">
        <v>4301070966</v>
      </c>
      <c r="D212" s="352">
        <v>4607111038135</v>
      </c>
      <c r="E212" s="353"/>
      <c r="F212" s="341">
        <v>0.7</v>
      </c>
      <c r="G212" s="32">
        <v>8</v>
      </c>
      <c r="H212" s="341">
        <v>5.6</v>
      </c>
      <c r="I212" s="341">
        <v>5.87</v>
      </c>
      <c r="J212" s="32">
        <v>84</v>
      </c>
      <c r="K212" s="32" t="s">
        <v>67</v>
      </c>
      <c r="L212" s="32" t="s">
        <v>109</v>
      </c>
      <c r="M212" s="33" t="s">
        <v>69</v>
      </c>
      <c r="N212" s="33"/>
      <c r="O212" s="32">
        <v>180</v>
      </c>
      <c r="P212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47"/>
      <c r="R212" s="347"/>
      <c r="S212" s="347"/>
      <c r="T212" s="348"/>
      <c r="U212" s="34"/>
      <c r="V212" s="34"/>
      <c r="W212" s="35" t="s">
        <v>70</v>
      </c>
      <c r="X212" s="342">
        <v>12</v>
      </c>
      <c r="Y212" s="343">
        <f>IFERROR(IF(X212="","",X212),"")</f>
        <v>12</v>
      </c>
      <c r="Z212" s="36">
        <f>IFERROR(IF(X212="","",X212*0.0155),"")</f>
        <v>0.186</v>
      </c>
      <c r="AA212" s="56"/>
      <c r="AB212" s="57"/>
      <c r="AC212" s="224" t="s">
        <v>340</v>
      </c>
      <c r="AG212" s="67"/>
      <c r="AJ212" s="71" t="s">
        <v>111</v>
      </c>
      <c r="AK212" s="71">
        <v>12</v>
      </c>
      <c r="BB212" s="225" t="s">
        <v>1</v>
      </c>
      <c r="BM212" s="67">
        <f>IFERROR(X212*I212,"0")</f>
        <v>70.44</v>
      </c>
      <c r="BN212" s="67">
        <f>IFERROR(Y212*I212,"0")</f>
        <v>70.44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x14ac:dyDescent="0.2">
      <c r="A213" s="364"/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65"/>
      <c r="P213" s="359" t="s">
        <v>73</v>
      </c>
      <c r="Q213" s="360"/>
      <c r="R213" s="360"/>
      <c r="S213" s="360"/>
      <c r="T213" s="360"/>
      <c r="U213" s="360"/>
      <c r="V213" s="361"/>
      <c r="W213" s="37" t="s">
        <v>70</v>
      </c>
      <c r="X213" s="344">
        <f>IFERROR(SUM(X210:X212),"0")</f>
        <v>60</v>
      </c>
      <c r="Y213" s="344">
        <f>IFERROR(SUM(Y210:Y212),"0")</f>
        <v>60</v>
      </c>
      <c r="Z213" s="344">
        <f>IFERROR(IF(Z210="",0,Z210),"0")+IFERROR(IF(Z211="",0,Z211),"0")+IFERROR(IF(Z212="",0,Z212),"0")</f>
        <v>0.92999999999999994</v>
      </c>
      <c r="AA213" s="345"/>
      <c r="AB213" s="345"/>
      <c r="AC213" s="345"/>
    </row>
    <row r="214" spans="1:68" x14ac:dyDescent="0.2">
      <c r="A214" s="356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65"/>
      <c r="P214" s="359" t="s">
        <v>73</v>
      </c>
      <c r="Q214" s="360"/>
      <c r="R214" s="360"/>
      <c r="S214" s="360"/>
      <c r="T214" s="360"/>
      <c r="U214" s="360"/>
      <c r="V214" s="361"/>
      <c r="W214" s="37" t="s">
        <v>74</v>
      </c>
      <c r="X214" s="344">
        <f>IFERROR(SUMPRODUCT(X210:X212*H210:H212),"0")</f>
        <v>335.99999999999994</v>
      </c>
      <c r="Y214" s="344">
        <f>IFERROR(SUMPRODUCT(Y210:Y212*H210:H212),"0")</f>
        <v>335.99999999999994</v>
      </c>
      <c r="Z214" s="37"/>
      <c r="AA214" s="345"/>
      <c r="AB214" s="345"/>
      <c r="AC214" s="345"/>
    </row>
    <row r="215" spans="1:68" ht="16.5" customHeight="1" x14ac:dyDescent="0.25">
      <c r="A215" s="355" t="s">
        <v>341</v>
      </c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56"/>
      <c r="Z215" s="356"/>
      <c r="AA215" s="337"/>
      <c r="AB215" s="337"/>
      <c r="AC215" s="337"/>
    </row>
    <row r="216" spans="1:68" ht="14.25" customHeight="1" x14ac:dyDescent="0.25">
      <c r="A216" s="375" t="s">
        <v>64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56"/>
      <c r="Z216" s="356"/>
      <c r="AA216" s="338"/>
      <c r="AB216" s="338"/>
      <c r="AC216" s="338"/>
    </row>
    <row r="217" spans="1:68" ht="27" customHeight="1" x14ac:dyDescent="0.25">
      <c r="A217" s="54" t="s">
        <v>342</v>
      </c>
      <c r="B217" s="54" t="s">
        <v>343</v>
      </c>
      <c r="C217" s="31">
        <v>4301070996</v>
      </c>
      <c r="D217" s="352">
        <v>4607111038654</v>
      </c>
      <c r="E217" s="353"/>
      <c r="F217" s="341">
        <v>0.4</v>
      </c>
      <c r="G217" s="32">
        <v>16</v>
      </c>
      <c r="H217" s="341">
        <v>6.4</v>
      </c>
      <c r="I217" s="341">
        <v>6.63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47"/>
      <c r="R217" s="347"/>
      <c r="S217" s="347"/>
      <c r="T217" s="348"/>
      <c r="U217" s="34"/>
      <c r="V217" s="34"/>
      <c r="W217" s="35" t="s">
        <v>70</v>
      </c>
      <c r="X217" s="342">
        <v>0</v>
      </c>
      <c r="Y217" s="343">
        <f t="shared" ref="Y217:Y222" si="18">IFERROR(IF(X217="","",X217),"")</f>
        <v>0</v>
      </c>
      <c r="Z217" s="36">
        <f t="shared" ref="Z217:Z222" si="19">IFERROR(IF(X217="","",X217*0.0155),"")</f>
        <v>0</v>
      </c>
      <c r="AA217" s="56"/>
      <c r="AB217" s="57"/>
      <c r="AC217" s="226" t="s">
        <v>344</v>
      </c>
      <c r="AG217" s="67"/>
      <c r="AJ217" s="71" t="s">
        <v>72</v>
      </c>
      <c r="AK217" s="71">
        <v>1</v>
      </c>
      <c r="BB217" s="227" t="s">
        <v>1</v>
      </c>
      <c r="BM217" s="67">
        <f t="shared" ref="BM217:BM222" si="20">IFERROR(X217*I217,"0")</f>
        <v>0</v>
      </c>
      <c r="BN217" s="67">
        <f t="shared" ref="BN217:BN222" si="21">IFERROR(Y217*I217,"0")</f>
        <v>0</v>
      </c>
      <c r="BO217" s="67">
        <f t="shared" ref="BO217:BO222" si="22">IFERROR(X217/J217,"0")</f>
        <v>0</v>
      </c>
      <c r="BP217" s="67">
        <f t="shared" ref="BP217:BP222" si="23">IFERROR(Y217/J217,"0")</f>
        <v>0</v>
      </c>
    </row>
    <row r="218" spans="1:68" ht="27" customHeight="1" x14ac:dyDescent="0.25">
      <c r="A218" s="54" t="s">
        <v>345</v>
      </c>
      <c r="B218" s="54" t="s">
        <v>346</v>
      </c>
      <c r="C218" s="31">
        <v>4301070997</v>
      </c>
      <c r="D218" s="352">
        <v>4607111038586</v>
      </c>
      <c r="E218" s="353"/>
      <c r="F218" s="341">
        <v>0.7</v>
      </c>
      <c r="G218" s="32">
        <v>8</v>
      </c>
      <c r="H218" s="341">
        <v>5.6</v>
      </c>
      <c r="I218" s="341">
        <v>5.83</v>
      </c>
      <c r="J218" s="32">
        <v>84</v>
      </c>
      <c r="K218" s="32" t="s">
        <v>67</v>
      </c>
      <c r="L218" s="32" t="s">
        <v>109</v>
      </c>
      <c r="M218" s="33" t="s">
        <v>69</v>
      </c>
      <c r="N218" s="33"/>
      <c r="O218" s="32">
        <v>180</v>
      </c>
      <c r="P218" s="56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47"/>
      <c r="R218" s="347"/>
      <c r="S218" s="347"/>
      <c r="T218" s="348"/>
      <c r="U218" s="34"/>
      <c r="V218" s="34"/>
      <c r="W218" s="35" t="s">
        <v>70</v>
      </c>
      <c r="X218" s="342">
        <v>12</v>
      </c>
      <c r="Y218" s="343">
        <f t="shared" si="18"/>
        <v>12</v>
      </c>
      <c r="Z218" s="36">
        <f t="shared" si="19"/>
        <v>0.186</v>
      </c>
      <c r="AA218" s="56"/>
      <c r="AB218" s="57"/>
      <c r="AC218" s="228" t="s">
        <v>344</v>
      </c>
      <c r="AG218" s="67"/>
      <c r="AJ218" s="71" t="s">
        <v>111</v>
      </c>
      <c r="AK218" s="71">
        <v>12</v>
      </c>
      <c r="BB218" s="229" t="s">
        <v>1</v>
      </c>
      <c r="BM218" s="67">
        <f t="shared" si="20"/>
        <v>69.960000000000008</v>
      </c>
      <c r="BN218" s="67">
        <f t="shared" si="21"/>
        <v>69.960000000000008</v>
      </c>
      <c r="BO218" s="67">
        <f t="shared" si="22"/>
        <v>0.14285714285714285</v>
      </c>
      <c r="BP218" s="67">
        <f t="shared" si="23"/>
        <v>0.14285714285714285</v>
      </c>
    </row>
    <row r="219" spans="1:68" ht="27" customHeight="1" x14ac:dyDescent="0.25">
      <c r="A219" s="54" t="s">
        <v>347</v>
      </c>
      <c r="B219" s="54" t="s">
        <v>348</v>
      </c>
      <c r="C219" s="31">
        <v>4301070962</v>
      </c>
      <c r="D219" s="352">
        <v>4607111038609</v>
      </c>
      <c r="E219" s="353"/>
      <c r="F219" s="341">
        <v>0.4</v>
      </c>
      <c r="G219" s="32">
        <v>16</v>
      </c>
      <c r="H219" s="341">
        <v>6.4</v>
      </c>
      <c r="I219" s="341">
        <v>6.71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47"/>
      <c r="R219" s="347"/>
      <c r="S219" s="347"/>
      <c r="T219" s="348"/>
      <c r="U219" s="34"/>
      <c r="V219" s="34"/>
      <c r="W219" s="35" t="s">
        <v>70</v>
      </c>
      <c r="X219" s="342">
        <v>0</v>
      </c>
      <c r="Y219" s="343">
        <f t="shared" si="18"/>
        <v>0</v>
      </c>
      <c r="Z219" s="36">
        <f t="shared" si="19"/>
        <v>0</v>
      </c>
      <c r="AA219" s="56"/>
      <c r="AB219" s="57"/>
      <c r="AC219" s="230" t="s">
        <v>349</v>
      </c>
      <c r="AG219" s="67"/>
      <c r="AJ219" s="71" t="s">
        <v>72</v>
      </c>
      <c r="AK219" s="71">
        <v>1</v>
      </c>
      <c r="BB219" s="231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350</v>
      </c>
      <c r="B220" s="54" t="s">
        <v>351</v>
      </c>
      <c r="C220" s="31">
        <v>4301070963</v>
      </c>
      <c r="D220" s="352">
        <v>4607111038630</v>
      </c>
      <c r="E220" s="353"/>
      <c r="F220" s="341">
        <v>0.7</v>
      </c>
      <c r="G220" s="32">
        <v>8</v>
      </c>
      <c r="H220" s="341">
        <v>5.6</v>
      </c>
      <c r="I220" s="341">
        <v>5.87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0" s="347"/>
      <c r="R220" s="347"/>
      <c r="S220" s="347"/>
      <c r="T220" s="348"/>
      <c r="U220" s="34"/>
      <c r="V220" s="34"/>
      <c r="W220" s="35" t="s">
        <v>70</v>
      </c>
      <c r="X220" s="342">
        <v>0</v>
      </c>
      <c r="Y220" s="343">
        <f t="shared" si="18"/>
        <v>0</v>
      </c>
      <c r="Z220" s="36">
        <f t="shared" si="19"/>
        <v>0</v>
      </c>
      <c r="AA220" s="56"/>
      <c r="AB220" s="57"/>
      <c r="AC220" s="232" t="s">
        <v>349</v>
      </c>
      <c r="AG220" s="67"/>
      <c r="AJ220" s="71" t="s">
        <v>72</v>
      </c>
      <c r="AK220" s="71">
        <v>1</v>
      </c>
      <c r="BB220" s="233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352</v>
      </c>
      <c r="B221" s="54" t="s">
        <v>353</v>
      </c>
      <c r="C221" s="31">
        <v>4301070959</v>
      </c>
      <c r="D221" s="352">
        <v>4607111038616</v>
      </c>
      <c r="E221" s="353"/>
      <c r="F221" s="341">
        <v>0.4</v>
      </c>
      <c r="G221" s="32">
        <v>16</v>
      </c>
      <c r="H221" s="341">
        <v>6.4</v>
      </c>
      <c r="I221" s="341">
        <v>6.71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7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47"/>
      <c r="R221" s="347"/>
      <c r="S221" s="347"/>
      <c r="T221" s="348"/>
      <c r="U221" s="34"/>
      <c r="V221" s="34"/>
      <c r="W221" s="35" t="s">
        <v>70</v>
      </c>
      <c r="X221" s="342">
        <v>0</v>
      </c>
      <c r="Y221" s="343">
        <f t="shared" si="18"/>
        <v>0</v>
      </c>
      <c r="Z221" s="36">
        <f t="shared" si="19"/>
        <v>0</v>
      </c>
      <c r="AA221" s="56"/>
      <c r="AB221" s="57"/>
      <c r="AC221" s="234" t="s">
        <v>344</v>
      </c>
      <c r="AG221" s="67"/>
      <c r="AJ221" s="71" t="s">
        <v>72</v>
      </c>
      <c r="AK221" s="71">
        <v>1</v>
      </c>
      <c r="BB221" s="235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4301070960</v>
      </c>
      <c r="D222" s="352">
        <v>4607111038623</v>
      </c>
      <c r="E222" s="353"/>
      <c r="F222" s="341">
        <v>0.7</v>
      </c>
      <c r="G222" s="32">
        <v>8</v>
      </c>
      <c r="H222" s="341">
        <v>5.6</v>
      </c>
      <c r="I222" s="341">
        <v>5.87</v>
      </c>
      <c r="J222" s="32">
        <v>84</v>
      </c>
      <c r="K222" s="32" t="s">
        <v>67</v>
      </c>
      <c r="L222" s="32" t="s">
        <v>109</v>
      </c>
      <c r="M222" s="33" t="s">
        <v>69</v>
      </c>
      <c r="N222" s="33"/>
      <c r="O222" s="32">
        <v>180</v>
      </c>
      <c r="P222" s="5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47"/>
      <c r="R222" s="347"/>
      <c r="S222" s="347"/>
      <c r="T222" s="348"/>
      <c r="U222" s="34"/>
      <c r="V222" s="34"/>
      <c r="W222" s="35" t="s">
        <v>70</v>
      </c>
      <c r="X222" s="342">
        <v>72</v>
      </c>
      <c r="Y222" s="343">
        <f t="shared" si="18"/>
        <v>72</v>
      </c>
      <c r="Z222" s="36">
        <f t="shared" si="19"/>
        <v>1.1160000000000001</v>
      </c>
      <c r="AA222" s="56"/>
      <c r="AB222" s="57"/>
      <c r="AC222" s="236" t="s">
        <v>344</v>
      </c>
      <c r="AG222" s="67"/>
      <c r="AJ222" s="71" t="s">
        <v>111</v>
      </c>
      <c r="AK222" s="71">
        <v>12</v>
      </c>
      <c r="BB222" s="237" t="s">
        <v>1</v>
      </c>
      <c r="BM222" s="67">
        <f t="shared" si="20"/>
        <v>422.64</v>
      </c>
      <c r="BN222" s="67">
        <f t="shared" si="21"/>
        <v>422.64</v>
      </c>
      <c r="BO222" s="67">
        <f t="shared" si="22"/>
        <v>0.8571428571428571</v>
      </c>
      <c r="BP222" s="67">
        <f t="shared" si="23"/>
        <v>0.8571428571428571</v>
      </c>
    </row>
    <row r="223" spans="1:68" x14ac:dyDescent="0.2">
      <c r="A223" s="364"/>
      <c r="B223" s="356"/>
      <c r="C223" s="356"/>
      <c r="D223" s="356"/>
      <c r="E223" s="356"/>
      <c r="F223" s="356"/>
      <c r="G223" s="356"/>
      <c r="H223" s="356"/>
      <c r="I223" s="356"/>
      <c r="J223" s="356"/>
      <c r="K223" s="356"/>
      <c r="L223" s="356"/>
      <c r="M223" s="356"/>
      <c r="N223" s="356"/>
      <c r="O223" s="365"/>
      <c r="P223" s="359" t="s">
        <v>73</v>
      </c>
      <c r="Q223" s="360"/>
      <c r="R223" s="360"/>
      <c r="S223" s="360"/>
      <c r="T223" s="360"/>
      <c r="U223" s="360"/>
      <c r="V223" s="361"/>
      <c r="W223" s="37" t="s">
        <v>70</v>
      </c>
      <c r="X223" s="344">
        <f>IFERROR(SUM(X217:X222),"0")</f>
        <v>84</v>
      </c>
      <c r="Y223" s="344">
        <f>IFERROR(SUM(Y217:Y222),"0")</f>
        <v>84</v>
      </c>
      <c r="Z223" s="344">
        <f>IFERROR(IF(Z217="",0,Z217),"0")+IFERROR(IF(Z218="",0,Z218),"0")+IFERROR(IF(Z219="",0,Z219),"0")+IFERROR(IF(Z220="",0,Z220),"0")+IFERROR(IF(Z221="",0,Z221),"0")+IFERROR(IF(Z222="",0,Z222),"0")</f>
        <v>1.302</v>
      </c>
      <c r="AA223" s="345"/>
      <c r="AB223" s="345"/>
      <c r="AC223" s="345"/>
    </row>
    <row r="224" spans="1:68" x14ac:dyDescent="0.2">
      <c r="A224" s="356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6"/>
      <c r="N224" s="356"/>
      <c r="O224" s="365"/>
      <c r="P224" s="359" t="s">
        <v>73</v>
      </c>
      <c r="Q224" s="360"/>
      <c r="R224" s="360"/>
      <c r="S224" s="360"/>
      <c r="T224" s="360"/>
      <c r="U224" s="360"/>
      <c r="V224" s="361"/>
      <c r="W224" s="37" t="s">
        <v>74</v>
      </c>
      <c r="X224" s="344">
        <f>IFERROR(SUMPRODUCT(X217:X222*H217:H222),"0")</f>
        <v>470.4</v>
      </c>
      <c r="Y224" s="344">
        <f>IFERROR(SUMPRODUCT(Y217:Y222*H217:H222),"0")</f>
        <v>470.4</v>
      </c>
      <c r="Z224" s="37"/>
      <c r="AA224" s="345"/>
      <c r="AB224" s="345"/>
      <c r="AC224" s="345"/>
    </row>
    <row r="225" spans="1:68" ht="16.5" customHeight="1" x14ac:dyDescent="0.25">
      <c r="A225" s="355" t="s">
        <v>356</v>
      </c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6"/>
      <c r="N225" s="356"/>
      <c r="O225" s="356"/>
      <c r="P225" s="356"/>
      <c r="Q225" s="356"/>
      <c r="R225" s="356"/>
      <c r="S225" s="356"/>
      <c r="T225" s="356"/>
      <c r="U225" s="356"/>
      <c r="V225" s="356"/>
      <c r="W225" s="356"/>
      <c r="X225" s="356"/>
      <c r="Y225" s="356"/>
      <c r="Z225" s="356"/>
      <c r="AA225" s="337"/>
      <c r="AB225" s="337"/>
      <c r="AC225" s="337"/>
    </row>
    <row r="226" spans="1:68" ht="14.25" customHeight="1" x14ac:dyDescent="0.25">
      <c r="A226" s="375" t="s">
        <v>64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56"/>
      <c r="Z226" s="356"/>
      <c r="AA226" s="338"/>
      <c r="AB226" s="338"/>
      <c r="AC226" s="338"/>
    </row>
    <row r="227" spans="1:68" ht="27" customHeight="1" x14ac:dyDescent="0.25">
      <c r="A227" s="54" t="s">
        <v>357</v>
      </c>
      <c r="B227" s="54" t="s">
        <v>358</v>
      </c>
      <c r="C227" s="31">
        <v>4301070917</v>
      </c>
      <c r="D227" s="352">
        <v>4607111035912</v>
      </c>
      <c r="E227" s="353"/>
      <c r="F227" s="341">
        <v>0.43</v>
      </c>
      <c r="G227" s="32">
        <v>16</v>
      </c>
      <c r="H227" s="341">
        <v>6.88</v>
      </c>
      <c r="I227" s="341">
        <v>7.19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51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47"/>
      <c r="R227" s="347"/>
      <c r="S227" s="347"/>
      <c r="T227" s="348"/>
      <c r="U227" s="34"/>
      <c r="V227" s="34"/>
      <c r="W227" s="35" t="s">
        <v>70</v>
      </c>
      <c r="X227" s="342">
        <v>0</v>
      </c>
      <c r="Y227" s="343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360</v>
      </c>
      <c r="B228" s="54" t="s">
        <v>361</v>
      </c>
      <c r="C228" s="31">
        <v>4301070920</v>
      </c>
      <c r="D228" s="352">
        <v>4607111035929</v>
      </c>
      <c r="E228" s="353"/>
      <c r="F228" s="341">
        <v>0.9</v>
      </c>
      <c r="G228" s="32">
        <v>8</v>
      </c>
      <c r="H228" s="341">
        <v>7.2</v>
      </c>
      <c r="I228" s="341">
        <v>7.47</v>
      </c>
      <c r="J228" s="32">
        <v>84</v>
      </c>
      <c r="K228" s="32" t="s">
        <v>67</v>
      </c>
      <c r="L228" s="32" t="s">
        <v>109</v>
      </c>
      <c r="M228" s="33" t="s">
        <v>69</v>
      </c>
      <c r="N228" s="33"/>
      <c r="O228" s="32">
        <v>180</v>
      </c>
      <c r="P228" s="5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47"/>
      <c r="R228" s="347"/>
      <c r="S228" s="347"/>
      <c r="T228" s="348"/>
      <c r="U228" s="34"/>
      <c r="V228" s="34"/>
      <c r="W228" s="35" t="s">
        <v>70</v>
      </c>
      <c r="X228" s="342">
        <v>12</v>
      </c>
      <c r="Y228" s="343">
        <f>IFERROR(IF(X228="","",X228),"")</f>
        <v>12</v>
      </c>
      <c r="Z228" s="36">
        <f>IFERROR(IF(X228="","",X228*0.0155),"")</f>
        <v>0.186</v>
      </c>
      <c r="AA228" s="56"/>
      <c r="AB228" s="57"/>
      <c r="AC228" s="240" t="s">
        <v>359</v>
      </c>
      <c r="AG228" s="67"/>
      <c r="AJ228" s="71" t="s">
        <v>111</v>
      </c>
      <c r="AK228" s="71">
        <v>12</v>
      </c>
      <c r="BB228" s="241" t="s">
        <v>1</v>
      </c>
      <c r="BM228" s="67">
        <f>IFERROR(X228*I228,"0")</f>
        <v>89.64</v>
      </c>
      <c r="BN228" s="67">
        <f>IFERROR(Y228*I228,"0")</f>
        <v>89.64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362</v>
      </c>
      <c r="B229" s="54" t="s">
        <v>363</v>
      </c>
      <c r="C229" s="31">
        <v>4301070915</v>
      </c>
      <c r="D229" s="352">
        <v>4607111035882</v>
      </c>
      <c r="E229" s="353"/>
      <c r="F229" s="341">
        <v>0.43</v>
      </c>
      <c r="G229" s="32">
        <v>16</v>
      </c>
      <c r="H229" s="341">
        <v>6.88</v>
      </c>
      <c r="I229" s="341">
        <v>7.19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47"/>
      <c r="R229" s="347"/>
      <c r="S229" s="347"/>
      <c r="T229" s="348"/>
      <c r="U229" s="34"/>
      <c r="V229" s="34"/>
      <c r="W229" s="35" t="s">
        <v>70</v>
      </c>
      <c r="X229" s="342">
        <v>0</v>
      </c>
      <c r="Y229" s="343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364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365</v>
      </c>
      <c r="B230" s="54" t="s">
        <v>366</v>
      </c>
      <c r="C230" s="31">
        <v>4301070921</v>
      </c>
      <c r="D230" s="352">
        <v>4607111035905</v>
      </c>
      <c r="E230" s="353"/>
      <c r="F230" s="341">
        <v>0.9</v>
      </c>
      <c r="G230" s="32">
        <v>8</v>
      </c>
      <c r="H230" s="341">
        <v>7.2</v>
      </c>
      <c r="I230" s="341">
        <v>7.47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47"/>
      <c r="R230" s="347"/>
      <c r="S230" s="347"/>
      <c r="T230" s="348"/>
      <c r="U230" s="34"/>
      <c r="V230" s="34"/>
      <c r="W230" s="35" t="s">
        <v>70</v>
      </c>
      <c r="X230" s="342">
        <v>0</v>
      </c>
      <c r="Y230" s="343">
        <f>IFERROR(IF(X230="","",X230),"")</f>
        <v>0</v>
      </c>
      <c r="Z230" s="36">
        <f>IFERROR(IF(X230="","",X230*0.0155),"")</f>
        <v>0</v>
      </c>
      <c r="AA230" s="56"/>
      <c r="AB230" s="57"/>
      <c r="AC230" s="244" t="s">
        <v>364</v>
      </c>
      <c r="AG230" s="67"/>
      <c r="AJ230" s="71" t="s">
        <v>72</v>
      </c>
      <c r="AK230" s="71">
        <v>1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64"/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65"/>
      <c r="P231" s="359" t="s">
        <v>73</v>
      </c>
      <c r="Q231" s="360"/>
      <c r="R231" s="360"/>
      <c r="S231" s="360"/>
      <c r="T231" s="360"/>
      <c r="U231" s="360"/>
      <c r="V231" s="361"/>
      <c r="W231" s="37" t="s">
        <v>70</v>
      </c>
      <c r="X231" s="344">
        <f>IFERROR(SUM(X227:X230),"0")</f>
        <v>12</v>
      </c>
      <c r="Y231" s="344">
        <f>IFERROR(SUM(Y227:Y230),"0")</f>
        <v>12</v>
      </c>
      <c r="Z231" s="344">
        <f>IFERROR(IF(Z227="",0,Z227),"0")+IFERROR(IF(Z228="",0,Z228),"0")+IFERROR(IF(Z229="",0,Z229),"0")+IFERROR(IF(Z230="",0,Z230),"0")</f>
        <v>0.186</v>
      </c>
      <c r="AA231" s="345"/>
      <c r="AB231" s="345"/>
      <c r="AC231" s="345"/>
    </row>
    <row r="232" spans="1:68" x14ac:dyDescent="0.2">
      <c r="A232" s="356"/>
      <c r="B232" s="356"/>
      <c r="C232" s="356"/>
      <c r="D232" s="356"/>
      <c r="E232" s="356"/>
      <c r="F232" s="356"/>
      <c r="G232" s="356"/>
      <c r="H232" s="356"/>
      <c r="I232" s="356"/>
      <c r="J232" s="356"/>
      <c r="K232" s="356"/>
      <c r="L232" s="356"/>
      <c r="M232" s="356"/>
      <c r="N232" s="356"/>
      <c r="O232" s="365"/>
      <c r="P232" s="359" t="s">
        <v>73</v>
      </c>
      <c r="Q232" s="360"/>
      <c r="R232" s="360"/>
      <c r="S232" s="360"/>
      <c r="T232" s="360"/>
      <c r="U232" s="360"/>
      <c r="V232" s="361"/>
      <c r="W232" s="37" t="s">
        <v>74</v>
      </c>
      <c r="X232" s="344">
        <f>IFERROR(SUMPRODUCT(X227:X230*H227:H230),"0")</f>
        <v>86.4</v>
      </c>
      <c r="Y232" s="344">
        <f>IFERROR(SUMPRODUCT(Y227:Y230*H227:H230),"0")</f>
        <v>86.4</v>
      </c>
      <c r="Z232" s="37"/>
      <c r="AA232" s="345"/>
      <c r="AB232" s="345"/>
      <c r="AC232" s="345"/>
    </row>
    <row r="233" spans="1:68" ht="16.5" customHeight="1" x14ac:dyDescent="0.25">
      <c r="A233" s="355" t="s">
        <v>367</v>
      </c>
      <c r="B233" s="356"/>
      <c r="C233" s="356"/>
      <c r="D233" s="356"/>
      <c r="E233" s="356"/>
      <c r="F233" s="356"/>
      <c r="G233" s="356"/>
      <c r="H233" s="356"/>
      <c r="I233" s="356"/>
      <c r="J233" s="356"/>
      <c r="K233" s="356"/>
      <c r="L233" s="356"/>
      <c r="M233" s="356"/>
      <c r="N233" s="356"/>
      <c r="O233" s="356"/>
      <c r="P233" s="356"/>
      <c r="Q233" s="356"/>
      <c r="R233" s="356"/>
      <c r="S233" s="356"/>
      <c r="T233" s="356"/>
      <c r="U233" s="356"/>
      <c r="V233" s="356"/>
      <c r="W233" s="356"/>
      <c r="X233" s="356"/>
      <c r="Y233" s="356"/>
      <c r="Z233" s="356"/>
      <c r="AA233" s="337"/>
      <c r="AB233" s="337"/>
      <c r="AC233" s="337"/>
    </row>
    <row r="234" spans="1:68" ht="14.25" customHeight="1" x14ac:dyDescent="0.25">
      <c r="A234" s="375" t="s">
        <v>64</v>
      </c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56"/>
      <c r="N234" s="356"/>
      <c r="O234" s="356"/>
      <c r="P234" s="356"/>
      <c r="Q234" s="356"/>
      <c r="R234" s="356"/>
      <c r="S234" s="356"/>
      <c r="T234" s="356"/>
      <c r="U234" s="356"/>
      <c r="V234" s="356"/>
      <c r="W234" s="356"/>
      <c r="X234" s="356"/>
      <c r="Y234" s="356"/>
      <c r="Z234" s="356"/>
      <c r="AA234" s="338"/>
      <c r="AB234" s="338"/>
      <c r="AC234" s="338"/>
    </row>
    <row r="235" spans="1:68" ht="16.5" customHeight="1" x14ac:dyDescent="0.25">
      <c r="A235" s="54" t="s">
        <v>368</v>
      </c>
      <c r="B235" s="54" t="s">
        <v>369</v>
      </c>
      <c r="C235" s="31">
        <v>4301070912</v>
      </c>
      <c r="D235" s="352">
        <v>4607111037213</v>
      </c>
      <c r="E235" s="353"/>
      <c r="F235" s="341">
        <v>0.4</v>
      </c>
      <c r="G235" s="32">
        <v>8</v>
      </c>
      <c r="H235" s="341">
        <v>3.2</v>
      </c>
      <c r="I235" s="341">
        <v>3.44</v>
      </c>
      <c r="J235" s="32">
        <v>144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8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5" s="347"/>
      <c r="R235" s="347"/>
      <c r="S235" s="347"/>
      <c r="T235" s="348"/>
      <c r="U235" s="34"/>
      <c r="V235" s="34"/>
      <c r="W235" s="35" t="s">
        <v>70</v>
      </c>
      <c r="X235" s="342">
        <v>0</v>
      </c>
      <c r="Y235" s="343">
        <f>IFERROR(IF(X235="","",X235),"")</f>
        <v>0</v>
      </c>
      <c r="Z235" s="36">
        <f>IFERROR(IF(X235="","",X235*0.00866),"")</f>
        <v>0</v>
      </c>
      <c r="AA235" s="56"/>
      <c r="AB235" s="57"/>
      <c r="AC235" s="246" t="s">
        <v>370</v>
      </c>
      <c r="AG235" s="67"/>
      <c r="AJ235" s="71" t="s">
        <v>72</v>
      </c>
      <c r="AK235" s="71">
        <v>1</v>
      </c>
      <c r="BB235" s="24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4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5"/>
      <c r="P236" s="359" t="s">
        <v>73</v>
      </c>
      <c r="Q236" s="360"/>
      <c r="R236" s="360"/>
      <c r="S236" s="360"/>
      <c r="T236" s="360"/>
      <c r="U236" s="360"/>
      <c r="V236" s="361"/>
      <c r="W236" s="37" t="s">
        <v>70</v>
      </c>
      <c r="X236" s="344">
        <f>IFERROR(SUM(X235:X235),"0")</f>
        <v>0</v>
      </c>
      <c r="Y236" s="344">
        <f>IFERROR(SUM(Y235:Y235),"0")</f>
        <v>0</v>
      </c>
      <c r="Z236" s="344">
        <f>IFERROR(IF(Z235="",0,Z235),"0")</f>
        <v>0</v>
      </c>
      <c r="AA236" s="345"/>
      <c r="AB236" s="345"/>
      <c r="AC236" s="345"/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65"/>
      <c r="P237" s="359" t="s">
        <v>73</v>
      </c>
      <c r="Q237" s="360"/>
      <c r="R237" s="360"/>
      <c r="S237" s="360"/>
      <c r="T237" s="360"/>
      <c r="U237" s="360"/>
      <c r="V237" s="361"/>
      <c r="W237" s="37" t="s">
        <v>74</v>
      </c>
      <c r="X237" s="344">
        <f>IFERROR(SUMPRODUCT(X235:X235*H235:H235),"0")</f>
        <v>0</v>
      </c>
      <c r="Y237" s="344">
        <f>IFERROR(SUMPRODUCT(Y235:Y235*H235:H235),"0")</f>
        <v>0</v>
      </c>
      <c r="Z237" s="37"/>
      <c r="AA237" s="345"/>
      <c r="AB237" s="345"/>
      <c r="AC237" s="345"/>
    </row>
    <row r="238" spans="1:68" ht="16.5" customHeight="1" x14ac:dyDescent="0.25">
      <c r="A238" s="355" t="s">
        <v>371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37"/>
      <c r="AB238" s="337"/>
      <c r="AC238" s="337"/>
    </row>
    <row r="239" spans="1:68" ht="14.25" customHeight="1" x14ac:dyDescent="0.25">
      <c r="A239" s="375" t="s">
        <v>64</v>
      </c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  <c r="AA239" s="338"/>
      <c r="AB239" s="338"/>
      <c r="AC239" s="338"/>
    </row>
    <row r="240" spans="1:68" ht="27" customHeight="1" x14ac:dyDescent="0.25">
      <c r="A240" s="54" t="s">
        <v>372</v>
      </c>
      <c r="B240" s="54" t="s">
        <v>373</v>
      </c>
      <c r="C240" s="31">
        <v>4301071093</v>
      </c>
      <c r="D240" s="352">
        <v>4620207490709</v>
      </c>
      <c r="E240" s="353"/>
      <c r="F240" s="341">
        <v>0.65</v>
      </c>
      <c r="G240" s="32">
        <v>8</v>
      </c>
      <c r="H240" s="341">
        <v>5.2</v>
      </c>
      <c r="I240" s="341">
        <v>5.47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408" t="s">
        <v>374</v>
      </c>
      <c r="Q240" s="347"/>
      <c r="R240" s="347"/>
      <c r="S240" s="347"/>
      <c r="T240" s="348"/>
      <c r="U240" s="34"/>
      <c r="V240" s="34"/>
      <c r="W240" s="35" t="s">
        <v>70</v>
      </c>
      <c r="X240" s="342">
        <v>0</v>
      </c>
      <c r="Y240" s="343">
        <f>IFERROR(IF(X240="","",X240),"")</f>
        <v>0</v>
      </c>
      <c r="Z240" s="36">
        <f>IFERROR(IF(X240="","",X240*0.0155),"")</f>
        <v>0</v>
      </c>
      <c r="AA240" s="56"/>
      <c r="AB240" s="57" t="s">
        <v>133</v>
      </c>
      <c r="AC240" s="248" t="s">
        <v>375</v>
      </c>
      <c r="AG240" s="67"/>
      <c r="AJ240" s="71" t="s">
        <v>72</v>
      </c>
      <c r="AK240" s="71">
        <v>1</v>
      </c>
      <c r="BB240" s="24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4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65"/>
      <c r="P241" s="359" t="s">
        <v>73</v>
      </c>
      <c r="Q241" s="360"/>
      <c r="R241" s="360"/>
      <c r="S241" s="360"/>
      <c r="T241" s="360"/>
      <c r="U241" s="360"/>
      <c r="V241" s="361"/>
      <c r="W241" s="37" t="s">
        <v>70</v>
      </c>
      <c r="X241" s="344">
        <f>IFERROR(SUM(X240:X240),"0")</f>
        <v>0</v>
      </c>
      <c r="Y241" s="344">
        <f>IFERROR(SUM(Y240:Y240),"0")</f>
        <v>0</v>
      </c>
      <c r="Z241" s="344">
        <f>IFERROR(IF(Z240="",0,Z240),"0")</f>
        <v>0</v>
      </c>
      <c r="AA241" s="345"/>
      <c r="AB241" s="345"/>
      <c r="AC241" s="345"/>
    </row>
    <row r="242" spans="1:68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5"/>
      <c r="P242" s="359" t="s">
        <v>73</v>
      </c>
      <c r="Q242" s="360"/>
      <c r="R242" s="360"/>
      <c r="S242" s="360"/>
      <c r="T242" s="360"/>
      <c r="U242" s="360"/>
      <c r="V242" s="361"/>
      <c r="W242" s="37" t="s">
        <v>74</v>
      </c>
      <c r="X242" s="344">
        <f>IFERROR(SUMPRODUCT(X240:X240*H240:H240),"0")</f>
        <v>0</v>
      </c>
      <c r="Y242" s="344">
        <f>IFERROR(SUMPRODUCT(Y240:Y240*H240:H240),"0")</f>
        <v>0</v>
      </c>
      <c r="Z242" s="37"/>
      <c r="AA242" s="345"/>
      <c r="AB242" s="345"/>
      <c r="AC242" s="345"/>
    </row>
    <row r="243" spans="1:68" ht="14.25" customHeight="1" x14ac:dyDescent="0.25">
      <c r="A243" s="375" t="s">
        <v>153</v>
      </c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  <c r="AA243" s="338"/>
      <c r="AB243" s="338"/>
      <c r="AC243" s="338"/>
    </row>
    <row r="244" spans="1:68" ht="27" customHeight="1" x14ac:dyDescent="0.25">
      <c r="A244" s="54" t="s">
        <v>376</v>
      </c>
      <c r="B244" s="54" t="s">
        <v>377</v>
      </c>
      <c r="C244" s="31">
        <v>4301135692</v>
      </c>
      <c r="D244" s="352">
        <v>4620207490570</v>
      </c>
      <c r="E244" s="353"/>
      <c r="F244" s="341">
        <v>0.2</v>
      </c>
      <c r="G244" s="32">
        <v>12</v>
      </c>
      <c r="H244" s="341">
        <v>2.4</v>
      </c>
      <c r="I244" s="341">
        <v>3.1036000000000001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346" t="s">
        <v>378</v>
      </c>
      <c r="Q244" s="347"/>
      <c r="R244" s="347"/>
      <c r="S244" s="347"/>
      <c r="T244" s="348"/>
      <c r="U244" s="34"/>
      <c r="V244" s="34"/>
      <c r="W244" s="35" t="s">
        <v>70</v>
      </c>
      <c r="X244" s="342">
        <v>0</v>
      </c>
      <c r="Y244" s="343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379</v>
      </c>
      <c r="AG244" s="67"/>
      <c r="AJ244" s="71" t="s">
        <v>72</v>
      </c>
      <c r="AK244" s="71">
        <v>1</v>
      </c>
      <c r="BB244" s="251" t="s">
        <v>83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380</v>
      </c>
      <c r="B245" s="54" t="s">
        <v>381</v>
      </c>
      <c r="C245" s="31">
        <v>4301135691</v>
      </c>
      <c r="D245" s="352">
        <v>4620207490549</v>
      </c>
      <c r="E245" s="353"/>
      <c r="F245" s="341">
        <v>0.2</v>
      </c>
      <c r="G245" s="32">
        <v>12</v>
      </c>
      <c r="H245" s="341">
        <v>2.4</v>
      </c>
      <c r="I245" s="34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68" t="s">
        <v>382</v>
      </c>
      <c r="Q245" s="347"/>
      <c r="R245" s="347"/>
      <c r="S245" s="347"/>
      <c r="T245" s="348"/>
      <c r="U245" s="34"/>
      <c r="V245" s="34"/>
      <c r="W245" s="35" t="s">
        <v>70</v>
      </c>
      <c r="X245" s="342">
        <v>0</v>
      </c>
      <c r="Y245" s="343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379</v>
      </c>
      <c r="AG245" s="67"/>
      <c r="AJ245" s="71" t="s">
        <v>72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383</v>
      </c>
      <c r="B246" s="54" t="s">
        <v>384</v>
      </c>
      <c r="C246" s="31">
        <v>4301135694</v>
      </c>
      <c r="D246" s="352">
        <v>4620207490501</v>
      </c>
      <c r="E246" s="353"/>
      <c r="F246" s="341">
        <v>0.2</v>
      </c>
      <c r="G246" s="32">
        <v>12</v>
      </c>
      <c r="H246" s="341">
        <v>2.4</v>
      </c>
      <c r="I246" s="34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7" t="s">
        <v>385</v>
      </c>
      <c r="Q246" s="347"/>
      <c r="R246" s="347"/>
      <c r="S246" s="347"/>
      <c r="T246" s="348"/>
      <c r="U246" s="34"/>
      <c r="V246" s="34"/>
      <c r="W246" s="35" t="s">
        <v>70</v>
      </c>
      <c r="X246" s="342">
        <v>0</v>
      </c>
      <c r="Y246" s="34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379</v>
      </c>
      <c r="AG246" s="67"/>
      <c r="AJ246" s="71" t="s">
        <v>72</v>
      </c>
      <c r="AK246" s="71">
        <v>1</v>
      </c>
      <c r="BB246" s="255" t="s">
        <v>83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64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5"/>
      <c r="P247" s="359" t="s">
        <v>73</v>
      </c>
      <c r="Q247" s="360"/>
      <c r="R247" s="360"/>
      <c r="S247" s="360"/>
      <c r="T247" s="360"/>
      <c r="U247" s="360"/>
      <c r="V247" s="361"/>
      <c r="W247" s="37" t="s">
        <v>70</v>
      </c>
      <c r="X247" s="344">
        <f>IFERROR(SUM(X244:X246),"0")</f>
        <v>0</v>
      </c>
      <c r="Y247" s="344">
        <f>IFERROR(SUM(Y244:Y246),"0")</f>
        <v>0</v>
      </c>
      <c r="Z247" s="344">
        <f>IFERROR(IF(Z244="",0,Z244),"0")+IFERROR(IF(Z245="",0,Z245),"0")+IFERROR(IF(Z246="",0,Z246),"0")</f>
        <v>0</v>
      </c>
      <c r="AA247" s="345"/>
      <c r="AB247" s="345"/>
      <c r="AC247" s="345"/>
    </row>
    <row r="248" spans="1:68" x14ac:dyDescent="0.2">
      <c r="A248" s="356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65"/>
      <c r="P248" s="359" t="s">
        <v>73</v>
      </c>
      <c r="Q248" s="360"/>
      <c r="R248" s="360"/>
      <c r="S248" s="360"/>
      <c r="T248" s="360"/>
      <c r="U248" s="360"/>
      <c r="V248" s="361"/>
      <c r="W248" s="37" t="s">
        <v>74</v>
      </c>
      <c r="X248" s="344">
        <f>IFERROR(SUMPRODUCT(X244:X246*H244:H246),"0")</f>
        <v>0</v>
      </c>
      <c r="Y248" s="344">
        <f>IFERROR(SUMPRODUCT(Y244:Y246*H244:H246),"0")</f>
        <v>0</v>
      </c>
      <c r="Z248" s="37"/>
      <c r="AA248" s="345"/>
      <c r="AB248" s="345"/>
      <c r="AC248" s="345"/>
    </row>
    <row r="249" spans="1:68" ht="16.5" customHeight="1" x14ac:dyDescent="0.25">
      <c r="A249" s="355" t="s">
        <v>386</v>
      </c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6"/>
      <c r="N249" s="356"/>
      <c r="O249" s="356"/>
      <c r="P249" s="356"/>
      <c r="Q249" s="356"/>
      <c r="R249" s="356"/>
      <c r="S249" s="356"/>
      <c r="T249" s="356"/>
      <c r="U249" s="356"/>
      <c r="V249" s="356"/>
      <c r="W249" s="356"/>
      <c r="X249" s="356"/>
      <c r="Y249" s="356"/>
      <c r="Z249" s="356"/>
      <c r="AA249" s="337"/>
      <c r="AB249" s="337"/>
      <c r="AC249" s="337"/>
    </row>
    <row r="250" spans="1:68" ht="14.25" customHeight="1" x14ac:dyDescent="0.25">
      <c r="A250" s="375" t="s">
        <v>306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56"/>
      <c r="Z250" s="356"/>
      <c r="AA250" s="338"/>
      <c r="AB250" s="338"/>
      <c r="AC250" s="338"/>
    </row>
    <row r="251" spans="1:68" ht="27" customHeight="1" x14ac:dyDescent="0.25">
      <c r="A251" s="54" t="s">
        <v>387</v>
      </c>
      <c r="B251" s="54" t="s">
        <v>388</v>
      </c>
      <c r="C251" s="31">
        <v>4301051320</v>
      </c>
      <c r="D251" s="352">
        <v>4680115881334</v>
      </c>
      <c r="E251" s="353"/>
      <c r="F251" s="341">
        <v>0.33</v>
      </c>
      <c r="G251" s="32">
        <v>6</v>
      </c>
      <c r="H251" s="341">
        <v>1.98</v>
      </c>
      <c r="I251" s="341">
        <v>2.25</v>
      </c>
      <c r="J251" s="32">
        <v>182</v>
      </c>
      <c r="K251" s="32" t="s">
        <v>80</v>
      </c>
      <c r="L251" s="32" t="s">
        <v>68</v>
      </c>
      <c r="M251" s="33" t="s">
        <v>310</v>
      </c>
      <c r="N251" s="33"/>
      <c r="O251" s="32">
        <v>365</v>
      </c>
      <c r="P251" s="49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1" s="347"/>
      <c r="R251" s="347"/>
      <c r="S251" s="347"/>
      <c r="T251" s="348"/>
      <c r="U251" s="34"/>
      <c r="V251" s="34"/>
      <c r="W251" s="35" t="s">
        <v>70</v>
      </c>
      <c r="X251" s="342">
        <v>0</v>
      </c>
      <c r="Y251" s="343">
        <f>IFERROR(IF(X251="","",X251),"")</f>
        <v>0</v>
      </c>
      <c r="Z251" s="36">
        <f>IFERROR(IF(X251="","",X251*0.00651),"")</f>
        <v>0</v>
      </c>
      <c r="AA251" s="56"/>
      <c r="AB251" s="57"/>
      <c r="AC251" s="256" t="s">
        <v>389</v>
      </c>
      <c r="AG251" s="67"/>
      <c r="AJ251" s="71" t="s">
        <v>72</v>
      </c>
      <c r="AK251" s="71">
        <v>1</v>
      </c>
      <c r="BB251" s="257" t="s">
        <v>313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4"/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65"/>
      <c r="P252" s="359" t="s">
        <v>73</v>
      </c>
      <c r="Q252" s="360"/>
      <c r="R252" s="360"/>
      <c r="S252" s="360"/>
      <c r="T252" s="360"/>
      <c r="U252" s="360"/>
      <c r="V252" s="361"/>
      <c r="W252" s="37" t="s">
        <v>70</v>
      </c>
      <c r="X252" s="344">
        <f>IFERROR(SUM(X251:X251),"0")</f>
        <v>0</v>
      </c>
      <c r="Y252" s="344">
        <f>IFERROR(SUM(Y251:Y251),"0")</f>
        <v>0</v>
      </c>
      <c r="Z252" s="344">
        <f>IFERROR(IF(Z251="",0,Z251),"0")</f>
        <v>0</v>
      </c>
      <c r="AA252" s="345"/>
      <c r="AB252" s="345"/>
      <c r="AC252" s="345"/>
    </row>
    <row r="253" spans="1:68" x14ac:dyDescent="0.2">
      <c r="A253" s="35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5"/>
      <c r="P253" s="359" t="s">
        <v>73</v>
      </c>
      <c r="Q253" s="360"/>
      <c r="R253" s="360"/>
      <c r="S253" s="360"/>
      <c r="T253" s="360"/>
      <c r="U253" s="360"/>
      <c r="V253" s="361"/>
      <c r="W253" s="37" t="s">
        <v>74</v>
      </c>
      <c r="X253" s="344">
        <f>IFERROR(SUMPRODUCT(X251:X251*H251:H251),"0")</f>
        <v>0</v>
      </c>
      <c r="Y253" s="344">
        <f>IFERROR(SUMPRODUCT(Y251:Y251*H251:H251),"0")</f>
        <v>0</v>
      </c>
      <c r="Z253" s="37"/>
      <c r="AA253" s="345"/>
      <c r="AB253" s="345"/>
      <c r="AC253" s="345"/>
    </row>
    <row r="254" spans="1:68" ht="16.5" customHeight="1" x14ac:dyDescent="0.25">
      <c r="A254" s="355" t="s">
        <v>390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7"/>
      <c r="AB254" s="337"/>
      <c r="AC254" s="337"/>
    </row>
    <row r="255" spans="1:68" ht="14.25" customHeight="1" x14ac:dyDescent="0.25">
      <c r="A255" s="375" t="s">
        <v>64</v>
      </c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  <c r="AA255" s="338"/>
      <c r="AB255" s="338"/>
      <c r="AC255" s="338"/>
    </row>
    <row r="256" spans="1:68" ht="16.5" customHeight="1" x14ac:dyDescent="0.25">
      <c r="A256" s="54" t="s">
        <v>391</v>
      </c>
      <c r="B256" s="54" t="s">
        <v>392</v>
      </c>
      <c r="C256" s="31">
        <v>4301071063</v>
      </c>
      <c r="D256" s="352">
        <v>4607111039019</v>
      </c>
      <c r="E256" s="353"/>
      <c r="F256" s="341">
        <v>0.43</v>
      </c>
      <c r="G256" s="32">
        <v>16</v>
      </c>
      <c r="H256" s="341">
        <v>6.88</v>
      </c>
      <c r="I256" s="341">
        <v>7.2060000000000004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7"/>
      <c r="R256" s="347"/>
      <c r="S256" s="347"/>
      <c r="T256" s="348"/>
      <c r="U256" s="34"/>
      <c r="V256" s="34"/>
      <c r="W256" s="35" t="s">
        <v>70</v>
      </c>
      <c r="X256" s="342">
        <v>0</v>
      </c>
      <c r="Y256" s="343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393</v>
      </c>
      <c r="AG256" s="67"/>
      <c r="AJ256" s="71" t="s">
        <v>72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394</v>
      </c>
      <c r="B257" s="54" t="s">
        <v>395</v>
      </c>
      <c r="C257" s="31">
        <v>4301071000</v>
      </c>
      <c r="D257" s="352">
        <v>4607111038708</v>
      </c>
      <c r="E257" s="353"/>
      <c r="F257" s="341">
        <v>0.8</v>
      </c>
      <c r="G257" s="32">
        <v>8</v>
      </c>
      <c r="H257" s="341">
        <v>6.4</v>
      </c>
      <c r="I257" s="341">
        <v>6.67</v>
      </c>
      <c r="J257" s="32">
        <v>84</v>
      </c>
      <c r="K257" s="32" t="s">
        <v>67</v>
      </c>
      <c r="L257" s="32" t="s">
        <v>109</v>
      </c>
      <c r="M257" s="33" t="s">
        <v>69</v>
      </c>
      <c r="N257" s="33"/>
      <c r="O257" s="32">
        <v>180</v>
      </c>
      <c r="P257" s="5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7"/>
      <c r="R257" s="347"/>
      <c r="S257" s="347"/>
      <c r="T257" s="348"/>
      <c r="U257" s="34"/>
      <c r="V257" s="34"/>
      <c r="W257" s="35" t="s">
        <v>70</v>
      </c>
      <c r="X257" s="342">
        <v>12</v>
      </c>
      <c r="Y257" s="343">
        <f>IFERROR(IF(X257="","",X257),"")</f>
        <v>12</v>
      </c>
      <c r="Z257" s="36">
        <f>IFERROR(IF(X257="","",X257*0.0155),"")</f>
        <v>0.186</v>
      </c>
      <c r="AA257" s="56"/>
      <c r="AB257" s="57"/>
      <c r="AC257" s="260" t="s">
        <v>393</v>
      </c>
      <c r="AG257" s="67"/>
      <c r="AJ257" s="71" t="s">
        <v>111</v>
      </c>
      <c r="AK257" s="71">
        <v>12</v>
      </c>
      <c r="BB257" s="261" t="s">
        <v>1</v>
      </c>
      <c r="BM257" s="67">
        <f>IFERROR(X257*I257,"0")</f>
        <v>80.039999999999992</v>
      </c>
      <c r="BN257" s="67">
        <f>IFERROR(Y257*I257,"0")</f>
        <v>80.039999999999992</v>
      </c>
      <c r="BO257" s="67">
        <f>IFERROR(X257/J257,"0")</f>
        <v>0.14285714285714285</v>
      </c>
      <c r="BP257" s="67">
        <f>IFERROR(Y257/J257,"0")</f>
        <v>0.14285714285714285</v>
      </c>
    </row>
    <row r="258" spans="1:68" x14ac:dyDescent="0.2">
      <c r="A258" s="364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65"/>
      <c r="P258" s="359" t="s">
        <v>73</v>
      </c>
      <c r="Q258" s="360"/>
      <c r="R258" s="360"/>
      <c r="S258" s="360"/>
      <c r="T258" s="360"/>
      <c r="U258" s="360"/>
      <c r="V258" s="361"/>
      <c r="W258" s="37" t="s">
        <v>70</v>
      </c>
      <c r="X258" s="344">
        <f>IFERROR(SUM(X256:X257),"0")</f>
        <v>12</v>
      </c>
      <c r="Y258" s="344">
        <f>IFERROR(SUM(Y256:Y257),"0")</f>
        <v>12</v>
      </c>
      <c r="Z258" s="344">
        <f>IFERROR(IF(Z256="",0,Z256),"0")+IFERROR(IF(Z257="",0,Z257),"0")</f>
        <v>0.186</v>
      </c>
      <c r="AA258" s="345"/>
      <c r="AB258" s="345"/>
      <c r="AC258" s="345"/>
    </row>
    <row r="259" spans="1:68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5"/>
      <c r="P259" s="359" t="s">
        <v>73</v>
      </c>
      <c r="Q259" s="360"/>
      <c r="R259" s="360"/>
      <c r="S259" s="360"/>
      <c r="T259" s="360"/>
      <c r="U259" s="360"/>
      <c r="V259" s="361"/>
      <c r="W259" s="37" t="s">
        <v>74</v>
      </c>
      <c r="X259" s="344">
        <f>IFERROR(SUMPRODUCT(X256:X257*H256:H257),"0")</f>
        <v>76.800000000000011</v>
      </c>
      <c r="Y259" s="344">
        <f>IFERROR(SUMPRODUCT(Y256:Y257*H256:H257),"0")</f>
        <v>76.800000000000011</v>
      </c>
      <c r="Z259" s="37"/>
      <c r="AA259" s="345"/>
      <c r="AB259" s="345"/>
      <c r="AC259" s="345"/>
    </row>
    <row r="260" spans="1:68" ht="27.75" customHeight="1" x14ac:dyDescent="0.2">
      <c r="A260" s="381" t="s">
        <v>396</v>
      </c>
      <c r="B260" s="382"/>
      <c r="C260" s="382"/>
      <c r="D260" s="382"/>
      <c r="E260" s="382"/>
      <c r="F260" s="382"/>
      <c r="G260" s="382"/>
      <c r="H260" s="382"/>
      <c r="I260" s="382"/>
      <c r="J260" s="382"/>
      <c r="K260" s="382"/>
      <c r="L260" s="382"/>
      <c r="M260" s="382"/>
      <c r="N260" s="382"/>
      <c r="O260" s="382"/>
      <c r="P260" s="382"/>
      <c r="Q260" s="382"/>
      <c r="R260" s="382"/>
      <c r="S260" s="382"/>
      <c r="T260" s="382"/>
      <c r="U260" s="382"/>
      <c r="V260" s="382"/>
      <c r="W260" s="382"/>
      <c r="X260" s="382"/>
      <c r="Y260" s="382"/>
      <c r="Z260" s="382"/>
      <c r="AA260" s="48"/>
      <c r="AB260" s="48"/>
      <c r="AC260" s="48"/>
    </row>
    <row r="261" spans="1:68" ht="16.5" customHeight="1" x14ac:dyDescent="0.25">
      <c r="A261" s="355" t="s">
        <v>397</v>
      </c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  <c r="AA261" s="337"/>
      <c r="AB261" s="337"/>
      <c r="AC261" s="337"/>
    </row>
    <row r="262" spans="1:68" ht="14.25" customHeight="1" x14ac:dyDescent="0.25">
      <c r="A262" s="375" t="s">
        <v>64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38"/>
      <c r="AB262" s="338"/>
      <c r="AC262" s="338"/>
    </row>
    <row r="263" spans="1:68" ht="27" customHeight="1" x14ac:dyDescent="0.25">
      <c r="A263" s="54" t="s">
        <v>398</v>
      </c>
      <c r="B263" s="54" t="s">
        <v>399</v>
      </c>
      <c r="C263" s="31">
        <v>4301071036</v>
      </c>
      <c r="D263" s="352">
        <v>4607111036162</v>
      </c>
      <c r="E263" s="353"/>
      <c r="F263" s="341">
        <v>0.8</v>
      </c>
      <c r="G263" s="32">
        <v>8</v>
      </c>
      <c r="H263" s="341">
        <v>6.4</v>
      </c>
      <c r="I263" s="341">
        <v>6.6811999999999996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90</v>
      </c>
      <c r="P263" s="55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7"/>
      <c r="R263" s="347"/>
      <c r="S263" s="347"/>
      <c r="T263" s="348"/>
      <c r="U263" s="34"/>
      <c r="V263" s="34"/>
      <c r="W263" s="35" t="s">
        <v>70</v>
      </c>
      <c r="X263" s="342">
        <v>0</v>
      </c>
      <c r="Y263" s="343">
        <f>IFERROR(IF(X263="","",X263),"")</f>
        <v>0</v>
      </c>
      <c r="Z263" s="36">
        <f>IFERROR(IF(X263="","",X263*0.0155),"")</f>
        <v>0</v>
      </c>
      <c r="AA263" s="56"/>
      <c r="AB263" s="57"/>
      <c r="AC263" s="262" t="s">
        <v>400</v>
      </c>
      <c r="AG263" s="67"/>
      <c r="AJ263" s="71" t="s">
        <v>72</v>
      </c>
      <c r="AK263" s="71">
        <v>1</v>
      </c>
      <c r="BB263" s="263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65"/>
      <c r="P264" s="359" t="s">
        <v>73</v>
      </c>
      <c r="Q264" s="360"/>
      <c r="R264" s="360"/>
      <c r="S264" s="360"/>
      <c r="T264" s="360"/>
      <c r="U264" s="360"/>
      <c r="V264" s="361"/>
      <c r="W264" s="37" t="s">
        <v>70</v>
      </c>
      <c r="X264" s="344">
        <f>IFERROR(SUM(X263:X263),"0")</f>
        <v>0</v>
      </c>
      <c r="Y264" s="344">
        <f>IFERROR(SUM(Y263:Y263),"0")</f>
        <v>0</v>
      </c>
      <c r="Z264" s="344">
        <f>IFERROR(IF(Z263="",0,Z263),"0")</f>
        <v>0</v>
      </c>
      <c r="AA264" s="345"/>
      <c r="AB264" s="345"/>
      <c r="AC264" s="345"/>
    </row>
    <row r="265" spans="1:68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65"/>
      <c r="P265" s="359" t="s">
        <v>73</v>
      </c>
      <c r="Q265" s="360"/>
      <c r="R265" s="360"/>
      <c r="S265" s="360"/>
      <c r="T265" s="360"/>
      <c r="U265" s="360"/>
      <c r="V265" s="361"/>
      <c r="W265" s="37" t="s">
        <v>74</v>
      </c>
      <c r="X265" s="344">
        <f>IFERROR(SUMPRODUCT(X263:X263*H263:H263),"0")</f>
        <v>0</v>
      </c>
      <c r="Y265" s="344">
        <f>IFERROR(SUMPRODUCT(Y263:Y263*H263:H263),"0")</f>
        <v>0</v>
      </c>
      <c r="Z265" s="37"/>
      <c r="AA265" s="345"/>
      <c r="AB265" s="345"/>
      <c r="AC265" s="345"/>
    </row>
    <row r="266" spans="1:68" ht="27.75" customHeight="1" x14ac:dyDescent="0.2">
      <c r="A266" s="381" t="s">
        <v>401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48"/>
      <c r="AB266" s="48"/>
      <c r="AC266" s="48"/>
    </row>
    <row r="267" spans="1:68" ht="16.5" customHeight="1" x14ac:dyDescent="0.25">
      <c r="A267" s="355" t="s">
        <v>402</v>
      </c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  <c r="AA267" s="337"/>
      <c r="AB267" s="337"/>
      <c r="AC267" s="337"/>
    </row>
    <row r="268" spans="1:68" ht="14.25" customHeight="1" x14ac:dyDescent="0.25">
      <c r="A268" s="375" t="s">
        <v>64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38"/>
      <c r="AB268" s="338"/>
      <c r="AC268" s="338"/>
    </row>
    <row r="269" spans="1:68" ht="27" customHeight="1" x14ac:dyDescent="0.25">
      <c r="A269" s="54" t="s">
        <v>403</v>
      </c>
      <c r="B269" s="54" t="s">
        <v>404</v>
      </c>
      <c r="C269" s="31">
        <v>4301071029</v>
      </c>
      <c r="D269" s="352">
        <v>4607111035899</v>
      </c>
      <c r="E269" s="353"/>
      <c r="F269" s="341">
        <v>1</v>
      </c>
      <c r="G269" s="32">
        <v>5</v>
      </c>
      <c r="H269" s="341">
        <v>5</v>
      </c>
      <c r="I269" s="341">
        <v>5.2619999999999996</v>
      </c>
      <c r="J269" s="32">
        <v>84</v>
      </c>
      <c r="K269" s="32" t="s">
        <v>67</v>
      </c>
      <c r="L269" s="32" t="s">
        <v>114</v>
      </c>
      <c r="M269" s="33" t="s">
        <v>69</v>
      </c>
      <c r="N269" s="33"/>
      <c r="O269" s="32">
        <v>180</v>
      </c>
      <c r="P269" s="5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7"/>
      <c r="R269" s="347"/>
      <c r="S269" s="347"/>
      <c r="T269" s="348"/>
      <c r="U269" s="34"/>
      <c r="V269" s="34"/>
      <c r="W269" s="35" t="s">
        <v>70</v>
      </c>
      <c r="X269" s="342">
        <v>48</v>
      </c>
      <c r="Y269" s="343">
        <f>IFERROR(IF(X269="","",X269),"")</f>
        <v>48</v>
      </c>
      <c r="Z269" s="36">
        <f>IFERROR(IF(X269="","",X269*0.0155),"")</f>
        <v>0.74399999999999999</v>
      </c>
      <c r="AA269" s="56"/>
      <c r="AB269" s="57"/>
      <c r="AC269" s="264" t="s">
        <v>285</v>
      </c>
      <c r="AG269" s="67"/>
      <c r="AJ269" s="71" t="s">
        <v>115</v>
      </c>
      <c r="AK269" s="71">
        <v>84</v>
      </c>
      <c r="BB269" s="265" t="s">
        <v>1</v>
      </c>
      <c r="BM269" s="67">
        <f>IFERROR(X269*I269,"0")</f>
        <v>252.57599999999996</v>
      </c>
      <c r="BN269" s="67">
        <f>IFERROR(Y269*I269,"0")</f>
        <v>252.57599999999996</v>
      </c>
      <c r="BO269" s="67">
        <f>IFERROR(X269/J269,"0")</f>
        <v>0.5714285714285714</v>
      </c>
      <c r="BP269" s="67">
        <f>IFERROR(Y269/J269,"0")</f>
        <v>0.5714285714285714</v>
      </c>
    </row>
    <row r="270" spans="1:68" ht="27" customHeight="1" x14ac:dyDescent="0.25">
      <c r="A270" s="54" t="s">
        <v>405</v>
      </c>
      <c r="B270" s="54" t="s">
        <v>406</v>
      </c>
      <c r="C270" s="31">
        <v>4301070991</v>
      </c>
      <c r="D270" s="352">
        <v>4607111038180</v>
      </c>
      <c r="E270" s="353"/>
      <c r="F270" s="341">
        <v>0.4</v>
      </c>
      <c r="G270" s="32">
        <v>16</v>
      </c>
      <c r="H270" s="341">
        <v>6.4</v>
      </c>
      <c r="I270" s="341">
        <v>6.71</v>
      </c>
      <c r="J270" s="32">
        <v>84</v>
      </c>
      <c r="K270" s="32" t="s">
        <v>67</v>
      </c>
      <c r="L270" s="32" t="s">
        <v>109</v>
      </c>
      <c r="M270" s="33" t="s">
        <v>69</v>
      </c>
      <c r="N270" s="33"/>
      <c r="O270" s="32">
        <v>180</v>
      </c>
      <c r="P270" s="5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7"/>
      <c r="R270" s="347"/>
      <c r="S270" s="347"/>
      <c r="T270" s="348"/>
      <c r="U270" s="34"/>
      <c r="V270" s="34"/>
      <c r="W270" s="35" t="s">
        <v>70</v>
      </c>
      <c r="X270" s="342">
        <v>0</v>
      </c>
      <c r="Y270" s="343">
        <f>IFERROR(IF(X270="","",X270),"")</f>
        <v>0</v>
      </c>
      <c r="Z270" s="36">
        <f>IFERROR(IF(X270="","",X270*0.0155),"")</f>
        <v>0</v>
      </c>
      <c r="AA270" s="56"/>
      <c r="AB270" s="57"/>
      <c r="AC270" s="266" t="s">
        <v>407</v>
      </c>
      <c r="AG270" s="67"/>
      <c r="AJ270" s="71" t="s">
        <v>111</v>
      </c>
      <c r="AK270" s="71">
        <v>12</v>
      </c>
      <c r="BB270" s="267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4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5"/>
      <c r="P271" s="359" t="s">
        <v>73</v>
      </c>
      <c r="Q271" s="360"/>
      <c r="R271" s="360"/>
      <c r="S271" s="360"/>
      <c r="T271" s="360"/>
      <c r="U271" s="360"/>
      <c r="V271" s="361"/>
      <c r="W271" s="37" t="s">
        <v>70</v>
      </c>
      <c r="X271" s="344">
        <f>IFERROR(SUM(X269:X270),"0")</f>
        <v>48</v>
      </c>
      <c r="Y271" s="344">
        <f>IFERROR(SUM(Y269:Y270),"0")</f>
        <v>48</v>
      </c>
      <c r="Z271" s="344">
        <f>IFERROR(IF(Z269="",0,Z269),"0")+IFERROR(IF(Z270="",0,Z270),"0")</f>
        <v>0.74399999999999999</v>
      </c>
      <c r="AA271" s="345"/>
      <c r="AB271" s="345"/>
      <c r="AC271" s="345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5"/>
      <c r="P272" s="359" t="s">
        <v>73</v>
      </c>
      <c r="Q272" s="360"/>
      <c r="R272" s="360"/>
      <c r="S272" s="360"/>
      <c r="T272" s="360"/>
      <c r="U272" s="360"/>
      <c r="V272" s="361"/>
      <c r="W272" s="37" t="s">
        <v>74</v>
      </c>
      <c r="X272" s="344">
        <f>IFERROR(SUMPRODUCT(X269:X270*H269:H270),"0")</f>
        <v>240</v>
      </c>
      <c r="Y272" s="344">
        <f>IFERROR(SUMPRODUCT(Y269:Y270*H269:H270),"0")</f>
        <v>240</v>
      </c>
      <c r="Z272" s="37"/>
      <c r="AA272" s="345"/>
      <c r="AB272" s="345"/>
      <c r="AC272" s="345"/>
    </row>
    <row r="273" spans="1:68" ht="27.75" customHeight="1" x14ac:dyDescent="0.2">
      <c r="A273" s="381" t="s">
        <v>408</v>
      </c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382"/>
      <c r="P273" s="382"/>
      <c r="Q273" s="382"/>
      <c r="R273" s="382"/>
      <c r="S273" s="382"/>
      <c r="T273" s="382"/>
      <c r="U273" s="382"/>
      <c r="V273" s="382"/>
      <c r="W273" s="382"/>
      <c r="X273" s="382"/>
      <c r="Y273" s="382"/>
      <c r="Z273" s="382"/>
      <c r="AA273" s="48"/>
      <c r="AB273" s="48"/>
      <c r="AC273" s="48"/>
    </row>
    <row r="274" spans="1:68" ht="16.5" customHeight="1" x14ac:dyDescent="0.25">
      <c r="A274" s="355" t="s">
        <v>409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37"/>
      <c r="AB274" s="337"/>
      <c r="AC274" s="337"/>
    </row>
    <row r="275" spans="1:68" ht="14.25" customHeight="1" x14ac:dyDescent="0.25">
      <c r="A275" s="375" t="s">
        <v>314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38"/>
      <c r="AB275" s="338"/>
      <c r="AC275" s="338"/>
    </row>
    <row r="276" spans="1:68" ht="27" customHeight="1" x14ac:dyDescent="0.25">
      <c r="A276" s="54" t="s">
        <v>410</v>
      </c>
      <c r="B276" s="54" t="s">
        <v>411</v>
      </c>
      <c r="C276" s="31">
        <v>4301133004</v>
      </c>
      <c r="D276" s="352">
        <v>4607111039774</v>
      </c>
      <c r="E276" s="353"/>
      <c r="F276" s="341">
        <v>0.25</v>
      </c>
      <c r="G276" s="32">
        <v>12</v>
      </c>
      <c r="H276" s="341">
        <v>3</v>
      </c>
      <c r="I276" s="341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25" t="s">
        <v>412</v>
      </c>
      <c r="Q276" s="347"/>
      <c r="R276" s="347"/>
      <c r="S276" s="347"/>
      <c r="T276" s="348"/>
      <c r="U276" s="34"/>
      <c r="V276" s="34"/>
      <c r="W276" s="35" t="s">
        <v>70</v>
      </c>
      <c r="X276" s="342">
        <v>0</v>
      </c>
      <c r="Y276" s="343">
        <f>IFERROR(IF(X276="","",X276),"")</f>
        <v>0</v>
      </c>
      <c r="Z276" s="36">
        <f>IFERROR(IF(X276="","",X276*0.01788),"")</f>
        <v>0</v>
      </c>
      <c r="AA276" s="56"/>
      <c r="AB276" s="57"/>
      <c r="AC276" s="268" t="s">
        <v>413</v>
      </c>
      <c r="AG276" s="67"/>
      <c r="AJ276" s="71" t="s">
        <v>72</v>
      </c>
      <c r="AK276" s="71">
        <v>1</v>
      </c>
      <c r="BB276" s="269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4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5"/>
      <c r="P277" s="359" t="s">
        <v>73</v>
      </c>
      <c r="Q277" s="360"/>
      <c r="R277" s="360"/>
      <c r="S277" s="360"/>
      <c r="T277" s="360"/>
      <c r="U277" s="360"/>
      <c r="V277" s="361"/>
      <c r="W277" s="37" t="s">
        <v>70</v>
      </c>
      <c r="X277" s="344">
        <f>IFERROR(SUM(X276:X276),"0")</f>
        <v>0</v>
      </c>
      <c r="Y277" s="344">
        <f>IFERROR(SUM(Y276:Y276),"0")</f>
        <v>0</v>
      </c>
      <c r="Z277" s="344">
        <f>IFERROR(IF(Z276="",0,Z276),"0")</f>
        <v>0</v>
      </c>
      <c r="AA277" s="345"/>
      <c r="AB277" s="345"/>
      <c r="AC277" s="345"/>
    </row>
    <row r="278" spans="1:68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5"/>
      <c r="P278" s="359" t="s">
        <v>73</v>
      </c>
      <c r="Q278" s="360"/>
      <c r="R278" s="360"/>
      <c r="S278" s="360"/>
      <c r="T278" s="360"/>
      <c r="U278" s="360"/>
      <c r="V278" s="361"/>
      <c r="W278" s="37" t="s">
        <v>74</v>
      </c>
      <c r="X278" s="344">
        <f>IFERROR(SUMPRODUCT(X276:X276*H276:H276),"0")</f>
        <v>0</v>
      </c>
      <c r="Y278" s="344">
        <f>IFERROR(SUMPRODUCT(Y276:Y276*H276:H276),"0")</f>
        <v>0</v>
      </c>
      <c r="Z278" s="37"/>
      <c r="AA278" s="345"/>
      <c r="AB278" s="345"/>
      <c r="AC278" s="345"/>
    </row>
    <row r="279" spans="1:68" ht="14.25" customHeight="1" x14ac:dyDescent="0.25">
      <c r="A279" s="375" t="s">
        <v>153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38"/>
      <c r="AB279" s="338"/>
      <c r="AC279" s="338"/>
    </row>
    <row r="280" spans="1:68" ht="37.5" customHeight="1" x14ac:dyDescent="0.25">
      <c r="A280" s="54" t="s">
        <v>414</v>
      </c>
      <c r="B280" s="54" t="s">
        <v>415</v>
      </c>
      <c r="C280" s="31">
        <v>4301135400</v>
      </c>
      <c r="D280" s="352">
        <v>4607111039361</v>
      </c>
      <c r="E280" s="353"/>
      <c r="F280" s="341">
        <v>0.25</v>
      </c>
      <c r="G280" s="32">
        <v>12</v>
      </c>
      <c r="H280" s="341">
        <v>3</v>
      </c>
      <c r="I280" s="341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7"/>
      <c r="R280" s="347"/>
      <c r="S280" s="347"/>
      <c r="T280" s="348"/>
      <c r="U280" s="34"/>
      <c r="V280" s="34"/>
      <c r="W280" s="35" t="s">
        <v>70</v>
      </c>
      <c r="X280" s="342">
        <v>0</v>
      </c>
      <c r="Y280" s="343">
        <f>IFERROR(IF(X280="","",X280),"")</f>
        <v>0</v>
      </c>
      <c r="Z280" s="36">
        <f>IFERROR(IF(X280="","",X280*0.01788),"")</f>
        <v>0</v>
      </c>
      <c r="AA280" s="56"/>
      <c r="AB280" s="57"/>
      <c r="AC280" s="270" t="s">
        <v>413</v>
      </c>
      <c r="AG280" s="67"/>
      <c r="AJ280" s="71" t="s">
        <v>72</v>
      </c>
      <c r="AK280" s="71">
        <v>1</v>
      </c>
      <c r="BB280" s="271" t="s">
        <v>83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4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5"/>
      <c r="P281" s="359" t="s">
        <v>73</v>
      </c>
      <c r="Q281" s="360"/>
      <c r="R281" s="360"/>
      <c r="S281" s="360"/>
      <c r="T281" s="360"/>
      <c r="U281" s="360"/>
      <c r="V281" s="361"/>
      <c r="W281" s="37" t="s">
        <v>70</v>
      </c>
      <c r="X281" s="344">
        <f>IFERROR(SUM(X280:X280),"0")</f>
        <v>0</v>
      </c>
      <c r="Y281" s="344">
        <f>IFERROR(SUM(Y280:Y280),"0")</f>
        <v>0</v>
      </c>
      <c r="Z281" s="344">
        <f>IFERROR(IF(Z280="",0,Z280),"0")</f>
        <v>0</v>
      </c>
      <c r="AA281" s="345"/>
      <c r="AB281" s="345"/>
      <c r="AC281" s="345"/>
    </row>
    <row r="282" spans="1:68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5"/>
      <c r="P282" s="359" t="s">
        <v>73</v>
      </c>
      <c r="Q282" s="360"/>
      <c r="R282" s="360"/>
      <c r="S282" s="360"/>
      <c r="T282" s="360"/>
      <c r="U282" s="360"/>
      <c r="V282" s="361"/>
      <c r="W282" s="37" t="s">
        <v>74</v>
      </c>
      <c r="X282" s="344">
        <f>IFERROR(SUMPRODUCT(X280:X280*H280:H280),"0")</f>
        <v>0</v>
      </c>
      <c r="Y282" s="344">
        <f>IFERROR(SUMPRODUCT(Y280:Y280*H280:H280),"0")</f>
        <v>0</v>
      </c>
      <c r="Z282" s="37"/>
      <c r="AA282" s="345"/>
      <c r="AB282" s="345"/>
      <c r="AC282" s="345"/>
    </row>
    <row r="283" spans="1:68" ht="27.75" customHeight="1" x14ac:dyDescent="0.2">
      <c r="A283" s="381" t="s">
        <v>270</v>
      </c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382"/>
      <c r="P283" s="382"/>
      <c r="Q283" s="382"/>
      <c r="R283" s="382"/>
      <c r="S283" s="382"/>
      <c r="T283" s="382"/>
      <c r="U283" s="382"/>
      <c r="V283" s="382"/>
      <c r="W283" s="382"/>
      <c r="X283" s="382"/>
      <c r="Y283" s="382"/>
      <c r="Z283" s="382"/>
      <c r="AA283" s="48"/>
      <c r="AB283" s="48"/>
      <c r="AC283" s="48"/>
    </row>
    <row r="284" spans="1:68" ht="16.5" customHeight="1" x14ac:dyDescent="0.25">
      <c r="A284" s="355" t="s">
        <v>270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37"/>
      <c r="AB284" s="337"/>
      <c r="AC284" s="337"/>
    </row>
    <row r="285" spans="1:68" ht="14.25" customHeight="1" x14ac:dyDescent="0.25">
      <c r="A285" s="375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38"/>
      <c r="AB285" s="338"/>
      <c r="AC285" s="338"/>
    </row>
    <row r="286" spans="1:68" ht="27" customHeight="1" x14ac:dyDescent="0.25">
      <c r="A286" s="54" t="s">
        <v>416</v>
      </c>
      <c r="B286" s="54" t="s">
        <v>417</v>
      </c>
      <c r="C286" s="31">
        <v>4301071014</v>
      </c>
      <c r="D286" s="352">
        <v>4640242181264</v>
      </c>
      <c r="E286" s="353"/>
      <c r="F286" s="341">
        <v>0.7</v>
      </c>
      <c r="G286" s="32">
        <v>10</v>
      </c>
      <c r="H286" s="341">
        <v>7</v>
      </c>
      <c r="I286" s="341">
        <v>7.28</v>
      </c>
      <c r="J286" s="32">
        <v>84</v>
      </c>
      <c r="K286" s="32" t="s">
        <v>67</v>
      </c>
      <c r="L286" s="32" t="s">
        <v>109</v>
      </c>
      <c r="M286" s="33" t="s">
        <v>69</v>
      </c>
      <c r="N286" s="33"/>
      <c r="O286" s="32">
        <v>180</v>
      </c>
      <c r="P286" s="421" t="s">
        <v>418</v>
      </c>
      <c r="Q286" s="347"/>
      <c r="R286" s="347"/>
      <c r="S286" s="347"/>
      <c r="T286" s="348"/>
      <c r="U286" s="34"/>
      <c r="V286" s="34"/>
      <c r="W286" s="35" t="s">
        <v>70</v>
      </c>
      <c r="X286" s="342">
        <v>0</v>
      </c>
      <c r="Y286" s="343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419</v>
      </c>
      <c r="AG286" s="67"/>
      <c r="AJ286" s="71" t="s">
        <v>111</v>
      </c>
      <c r="AK286" s="71">
        <v>12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420</v>
      </c>
      <c r="B287" s="54" t="s">
        <v>421</v>
      </c>
      <c r="C287" s="31">
        <v>4301071021</v>
      </c>
      <c r="D287" s="352">
        <v>4640242181325</v>
      </c>
      <c r="E287" s="353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67</v>
      </c>
      <c r="L287" s="32" t="s">
        <v>109</v>
      </c>
      <c r="M287" s="33" t="s">
        <v>69</v>
      </c>
      <c r="N287" s="33"/>
      <c r="O287" s="32">
        <v>180</v>
      </c>
      <c r="P287" s="423" t="s">
        <v>422</v>
      </c>
      <c r="Q287" s="347"/>
      <c r="R287" s="347"/>
      <c r="S287" s="347"/>
      <c r="T287" s="348"/>
      <c r="U287" s="34"/>
      <c r="V287" s="34"/>
      <c r="W287" s="35" t="s">
        <v>70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419</v>
      </c>
      <c r="AG287" s="67"/>
      <c r="AJ287" s="71" t="s">
        <v>111</v>
      </c>
      <c r="AK287" s="71">
        <v>12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423</v>
      </c>
      <c r="B288" s="54" t="s">
        <v>424</v>
      </c>
      <c r="C288" s="31">
        <v>4301070993</v>
      </c>
      <c r="D288" s="352">
        <v>4640242180670</v>
      </c>
      <c r="E288" s="353"/>
      <c r="F288" s="341">
        <v>1</v>
      </c>
      <c r="G288" s="32">
        <v>6</v>
      </c>
      <c r="H288" s="341">
        <v>6</v>
      </c>
      <c r="I288" s="341">
        <v>6.23</v>
      </c>
      <c r="J288" s="32">
        <v>84</v>
      </c>
      <c r="K288" s="32" t="s">
        <v>67</v>
      </c>
      <c r="L288" s="32" t="s">
        <v>109</v>
      </c>
      <c r="M288" s="33" t="s">
        <v>69</v>
      </c>
      <c r="N288" s="33"/>
      <c r="O288" s="32">
        <v>180</v>
      </c>
      <c r="P288" s="551" t="s">
        <v>425</v>
      </c>
      <c r="Q288" s="347"/>
      <c r="R288" s="347"/>
      <c r="S288" s="347"/>
      <c r="T288" s="348"/>
      <c r="U288" s="34"/>
      <c r="V288" s="34"/>
      <c r="W288" s="35" t="s">
        <v>70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6" t="s">
        <v>426</v>
      </c>
      <c r="AG288" s="67"/>
      <c r="AJ288" s="71" t="s">
        <v>111</v>
      </c>
      <c r="AK288" s="71">
        <v>12</v>
      </c>
      <c r="BB288" s="277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4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5"/>
      <c r="P289" s="359" t="s">
        <v>73</v>
      </c>
      <c r="Q289" s="360"/>
      <c r="R289" s="360"/>
      <c r="S289" s="360"/>
      <c r="T289" s="360"/>
      <c r="U289" s="360"/>
      <c r="V289" s="361"/>
      <c r="W289" s="37" t="s">
        <v>70</v>
      </c>
      <c r="X289" s="344">
        <f>IFERROR(SUM(X286:X288),"0")</f>
        <v>0</v>
      </c>
      <c r="Y289" s="344">
        <f>IFERROR(SUM(Y286:Y288),"0")</f>
        <v>0</v>
      </c>
      <c r="Z289" s="344">
        <f>IFERROR(IF(Z286="",0,Z286),"0")+IFERROR(IF(Z287="",0,Z287),"0")+IFERROR(IF(Z288="",0,Z288),"0")</f>
        <v>0</v>
      </c>
      <c r="AA289" s="345"/>
      <c r="AB289" s="345"/>
      <c r="AC289" s="345"/>
    </row>
    <row r="290" spans="1:68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5"/>
      <c r="P290" s="359" t="s">
        <v>73</v>
      </c>
      <c r="Q290" s="360"/>
      <c r="R290" s="360"/>
      <c r="S290" s="360"/>
      <c r="T290" s="360"/>
      <c r="U290" s="360"/>
      <c r="V290" s="361"/>
      <c r="W290" s="37" t="s">
        <v>74</v>
      </c>
      <c r="X290" s="344">
        <f>IFERROR(SUMPRODUCT(X286:X288*H286:H288),"0")</f>
        <v>0</v>
      </c>
      <c r="Y290" s="344">
        <f>IFERROR(SUMPRODUCT(Y286:Y288*H286:H288),"0")</f>
        <v>0</v>
      </c>
      <c r="Z290" s="37"/>
      <c r="AA290" s="345"/>
      <c r="AB290" s="345"/>
      <c r="AC290" s="345"/>
    </row>
    <row r="291" spans="1:68" ht="14.25" customHeight="1" x14ac:dyDescent="0.25">
      <c r="A291" s="375" t="s">
        <v>181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38"/>
      <c r="AB291" s="338"/>
      <c r="AC291" s="338"/>
    </row>
    <row r="292" spans="1:68" ht="27" customHeight="1" x14ac:dyDescent="0.25">
      <c r="A292" s="54" t="s">
        <v>427</v>
      </c>
      <c r="B292" s="54" t="s">
        <v>428</v>
      </c>
      <c r="C292" s="31">
        <v>4301131019</v>
      </c>
      <c r="D292" s="352">
        <v>4640242180427</v>
      </c>
      <c r="E292" s="353"/>
      <c r="F292" s="341">
        <v>1.8</v>
      </c>
      <c r="G292" s="32">
        <v>1</v>
      </c>
      <c r="H292" s="341">
        <v>1.8</v>
      </c>
      <c r="I292" s="341">
        <v>1.915</v>
      </c>
      <c r="J292" s="32">
        <v>234</v>
      </c>
      <c r="K292" s="32" t="s">
        <v>171</v>
      </c>
      <c r="L292" s="32" t="s">
        <v>109</v>
      </c>
      <c r="M292" s="33" t="s">
        <v>69</v>
      </c>
      <c r="N292" s="33"/>
      <c r="O292" s="32">
        <v>180</v>
      </c>
      <c r="P292" s="55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7"/>
      <c r="R292" s="347"/>
      <c r="S292" s="347"/>
      <c r="T292" s="348"/>
      <c r="U292" s="34"/>
      <c r="V292" s="34"/>
      <c r="W292" s="35" t="s">
        <v>70</v>
      </c>
      <c r="X292" s="342">
        <v>0</v>
      </c>
      <c r="Y292" s="343">
        <f>IFERROR(IF(X292="","",X292),"")</f>
        <v>0</v>
      </c>
      <c r="Z292" s="36">
        <f>IFERROR(IF(X292="","",X292*0.00502),"")</f>
        <v>0</v>
      </c>
      <c r="AA292" s="56"/>
      <c r="AB292" s="57"/>
      <c r="AC292" s="278" t="s">
        <v>429</v>
      </c>
      <c r="AG292" s="67"/>
      <c r="AJ292" s="71" t="s">
        <v>111</v>
      </c>
      <c r="AK292" s="71">
        <v>18</v>
      </c>
      <c r="BB292" s="279" t="s">
        <v>83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4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5"/>
      <c r="P293" s="359" t="s">
        <v>73</v>
      </c>
      <c r="Q293" s="360"/>
      <c r="R293" s="360"/>
      <c r="S293" s="360"/>
      <c r="T293" s="360"/>
      <c r="U293" s="360"/>
      <c r="V293" s="361"/>
      <c r="W293" s="37" t="s">
        <v>70</v>
      </c>
      <c r="X293" s="344">
        <f>IFERROR(SUM(X292:X292),"0")</f>
        <v>0</v>
      </c>
      <c r="Y293" s="344">
        <f>IFERROR(SUM(Y292:Y292),"0")</f>
        <v>0</v>
      </c>
      <c r="Z293" s="344">
        <f>IFERROR(IF(Z292="",0,Z292),"0")</f>
        <v>0</v>
      </c>
      <c r="AA293" s="345"/>
      <c r="AB293" s="345"/>
      <c r="AC293" s="345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5"/>
      <c r="P294" s="359" t="s">
        <v>73</v>
      </c>
      <c r="Q294" s="360"/>
      <c r="R294" s="360"/>
      <c r="S294" s="360"/>
      <c r="T294" s="360"/>
      <c r="U294" s="360"/>
      <c r="V294" s="361"/>
      <c r="W294" s="37" t="s">
        <v>74</v>
      </c>
      <c r="X294" s="344">
        <f>IFERROR(SUMPRODUCT(X292:X292*H292:H292),"0")</f>
        <v>0</v>
      </c>
      <c r="Y294" s="344">
        <f>IFERROR(SUMPRODUCT(Y292:Y292*H292:H292),"0")</f>
        <v>0</v>
      </c>
      <c r="Z294" s="37"/>
      <c r="AA294" s="345"/>
      <c r="AB294" s="345"/>
      <c r="AC294" s="345"/>
    </row>
    <row r="295" spans="1:68" ht="14.25" customHeight="1" x14ac:dyDescent="0.25">
      <c r="A295" s="375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38"/>
      <c r="AB295" s="338"/>
      <c r="AC295" s="338"/>
    </row>
    <row r="296" spans="1:68" ht="27" customHeight="1" x14ac:dyDescent="0.25">
      <c r="A296" s="54" t="s">
        <v>430</v>
      </c>
      <c r="B296" s="54" t="s">
        <v>431</v>
      </c>
      <c r="C296" s="31">
        <v>4301132080</v>
      </c>
      <c r="D296" s="352">
        <v>4640242180397</v>
      </c>
      <c r="E296" s="353"/>
      <c r="F296" s="341">
        <v>1</v>
      </c>
      <c r="G296" s="32">
        <v>6</v>
      </c>
      <c r="H296" s="341">
        <v>6</v>
      </c>
      <c r="I296" s="341">
        <v>6.26</v>
      </c>
      <c r="J296" s="32">
        <v>84</v>
      </c>
      <c r="K296" s="32" t="s">
        <v>67</v>
      </c>
      <c r="L296" s="32" t="s">
        <v>114</v>
      </c>
      <c r="M296" s="33" t="s">
        <v>69</v>
      </c>
      <c r="N296" s="33"/>
      <c r="O296" s="32">
        <v>180</v>
      </c>
      <c r="P296" s="4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7"/>
      <c r="R296" s="347"/>
      <c r="S296" s="347"/>
      <c r="T296" s="348"/>
      <c r="U296" s="34"/>
      <c r="V296" s="34"/>
      <c r="W296" s="35" t="s">
        <v>70</v>
      </c>
      <c r="X296" s="342">
        <v>84</v>
      </c>
      <c r="Y296" s="343">
        <f>IFERROR(IF(X296="","",X296),"")</f>
        <v>84</v>
      </c>
      <c r="Z296" s="36">
        <f>IFERROR(IF(X296="","",X296*0.0155),"")</f>
        <v>1.302</v>
      </c>
      <c r="AA296" s="56"/>
      <c r="AB296" s="57"/>
      <c r="AC296" s="280" t="s">
        <v>432</v>
      </c>
      <c r="AG296" s="67"/>
      <c r="AJ296" s="71" t="s">
        <v>115</v>
      </c>
      <c r="AK296" s="71">
        <v>84</v>
      </c>
      <c r="BB296" s="281" t="s">
        <v>83</v>
      </c>
      <c r="BM296" s="67">
        <f>IFERROR(X296*I296,"0")</f>
        <v>525.84</v>
      </c>
      <c r="BN296" s="67">
        <f>IFERROR(Y296*I296,"0")</f>
        <v>525.84</v>
      </c>
      <c r="BO296" s="67">
        <f>IFERROR(X296/J296,"0")</f>
        <v>1</v>
      </c>
      <c r="BP296" s="67">
        <f>IFERROR(Y296/J296,"0")</f>
        <v>1</v>
      </c>
    </row>
    <row r="297" spans="1:68" ht="27" customHeight="1" x14ac:dyDescent="0.25">
      <c r="A297" s="54" t="s">
        <v>433</v>
      </c>
      <c r="B297" s="54" t="s">
        <v>434</v>
      </c>
      <c r="C297" s="31">
        <v>4301132104</v>
      </c>
      <c r="D297" s="352">
        <v>4640242181219</v>
      </c>
      <c r="E297" s="353"/>
      <c r="F297" s="341">
        <v>0.3</v>
      </c>
      <c r="G297" s="32">
        <v>9</v>
      </c>
      <c r="H297" s="341">
        <v>2.7</v>
      </c>
      <c r="I297" s="341">
        <v>2.8450000000000002</v>
      </c>
      <c r="J297" s="32">
        <v>234</v>
      </c>
      <c r="K297" s="32" t="s">
        <v>171</v>
      </c>
      <c r="L297" s="32" t="s">
        <v>109</v>
      </c>
      <c r="M297" s="33" t="s">
        <v>69</v>
      </c>
      <c r="N297" s="33"/>
      <c r="O297" s="32">
        <v>180</v>
      </c>
      <c r="P297" s="550" t="s">
        <v>435</v>
      </c>
      <c r="Q297" s="347"/>
      <c r="R297" s="347"/>
      <c r="S297" s="347"/>
      <c r="T297" s="348"/>
      <c r="U297" s="34"/>
      <c r="V297" s="34"/>
      <c r="W297" s="35" t="s">
        <v>70</v>
      </c>
      <c r="X297" s="342">
        <v>0</v>
      </c>
      <c r="Y297" s="343">
        <f>IFERROR(IF(X297="","",X297),"")</f>
        <v>0</v>
      </c>
      <c r="Z297" s="36">
        <f>IFERROR(IF(X297="","",X297*0.00502),"")</f>
        <v>0</v>
      </c>
      <c r="AA297" s="56"/>
      <c r="AB297" s="57"/>
      <c r="AC297" s="282" t="s">
        <v>432</v>
      </c>
      <c r="AG297" s="67"/>
      <c r="AJ297" s="71" t="s">
        <v>111</v>
      </c>
      <c r="AK297" s="71">
        <v>18</v>
      </c>
      <c r="BB297" s="283" t="s">
        <v>83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4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5"/>
      <c r="P298" s="359" t="s">
        <v>73</v>
      </c>
      <c r="Q298" s="360"/>
      <c r="R298" s="360"/>
      <c r="S298" s="360"/>
      <c r="T298" s="360"/>
      <c r="U298" s="360"/>
      <c r="V298" s="361"/>
      <c r="W298" s="37" t="s">
        <v>70</v>
      </c>
      <c r="X298" s="344">
        <f>IFERROR(SUM(X296:X297),"0")</f>
        <v>84</v>
      </c>
      <c r="Y298" s="344">
        <f>IFERROR(SUM(Y296:Y297),"0")</f>
        <v>84</v>
      </c>
      <c r="Z298" s="344">
        <f>IFERROR(IF(Z296="",0,Z296),"0")+IFERROR(IF(Z297="",0,Z297),"0")</f>
        <v>1.302</v>
      </c>
      <c r="AA298" s="345"/>
      <c r="AB298" s="345"/>
      <c r="AC298" s="345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5"/>
      <c r="P299" s="359" t="s">
        <v>73</v>
      </c>
      <c r="Q299" s="360"/>
      <c r="R299" s="360"/>
      <c r="S299" s="360"/>
      <c r="T299" s="360"/>
      <c r="U299" s="360"/>
      <c r="V299" s="361"/>
      <c r="W299" s="37" t="s">
        <v>74</v>
      </c>
      <c r="X299" s="344">
        <f>IFERROR(SUMPRODUCT(X296:X297*H296:H297),"0")</f>
        <v>504</v>
      </c>
      <c r="Y299" s="344">
        <f>IFERROR(SUMPRODUCT(Y296:Y297*H296:H297),"0")</f>
        <v>504</v>
      </c>
      <c r="Z299" s="37"/>
      <c r="AA299" s="345"/>
      <c r="AB299" s="345"/>
      <c r="AC299" s="345"/>
    </row>
    <row r="300" spans="1:68" ht="14.25" customHeight="1" x14ac:dyDescent="0.25">
      <c r="A300" s="375" t="s">
        <v>147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38"/>
      <c r="AB300" s="338"/>
      <c r="AC300" s="338"/>
    </row>
    <row r="301" spans="1:68" ht="27" customHeight="1" x14ac:dyDescent="0.25">
      <c r="A301" s="54" t="s">
        <v>436</v>
      </c>
      <c r="B301" s="54" t="s">
        <v>437</v>
      </c>
      <c r="C301" s="31">
        <v>4301136028</v>
      </c>
      <c r="D301" s="352">
        <v>4640242180304</v>
      </c>
      <c r="E301" s="353"/>
      <c r="F301" s="341">
        <v>2.7</v>
      </c>
      <c r="G301" s="32">
        <v>1</v>
      </c>
      <c r="H301" s="341">
        <v>2.7</v>
      </c>
      <c r="I301" s="341">
        <v>2.8906000000000001</v>
      </c>
      <c r="J301" s="32">
        <v>126</v>
      </c>
      <c r="K301" s="32" t="s">
        <v>80</v>
      </c>
      <c r="L301" s="32" t="s">
        <v>109</v>
      </c>
      <c r="M301" s="33" t="s">
        <v>69</v>
      </c>
      <c r="N301" s="33"/>
      <c r="O301" s="32">
        <v>180</v>
      </c>
      <c r="P301" s="523" t="s">
        <v>438</v>
      </c>
      <c r="Q301" s="347"/>
      <c r="R301" s="347"/>
      <c r="S301" s="347"/>
      <c r="T301" s="348"/>
      <c r="U301" s="34"/>
      <c r="V301" s="34"/>
      <c r="W301" s="35" t="s">
        <v>70</v>
      </c>
      <c r="X301" s="342">
        <v>14</v>
      </c>
      <c r="Y301" s="343">
        <f>IFERROR(IF(X301="","",X301),"")</f>
        <v>14</v>
      </c>
      <c r="Z301" s="36">
        <f>IFERROR(IF(X301="","",X301*0.00936),"")</f>
        <v>0.13103999999999999</v>
      </c>
      <c r="AA301" s="56"/>
      <c r="AB301" s="57"/>
      <c r="AC301" s="284" t="s">
        <v>439</v>
      </c>
      <c r="AG301" s="67"/>
      <c r="AJ301" s="71" t="s">
        <v>111</v>
      </c>
      <c r="AK301" s="71">
        <v>14</v>
      </c>
      <c r="BB301" s="285" t="s">
        <v>83</v>
      </c>
      <c r="BM301" s="67">
        <f>IFERROR(X301*I301,"0")</f>
        <v>40.468400000000003</v>
      </c>
      <c r="BN301" s="67">
        <f>IFERROR(Y301*I301,"0")</f>
        <v>40.468400000000003</v>
      </c>
      <c r="BO301" s="67">
        <f>IFERROR(X301/J301,"0")</f>
        <v>0.1111111111111111</v>
      </c>
      <c r="BP301" s="67">
        <f>IFERROR(Y301/J301,"0")</f>
        <v>0.1111111111111111</v>
      </c>
    </row>
    <row r="302" spans="1:68" ht="27" customHeight="1" x14ac:dyDescent="0.25">
      <c r="A302" s="54" t="s">
        <v>440</v>
      </c>
      <c r="B302" s="54" t="s">
        <v>441</v>
      </c>
      <c r="C302" s="31">
        <v>4301136026</v>
      </c>
      <c r="D302" s="352">
        <v>4640242180236</v>
      </c>
      <c r="E302" s="353"/>
      <c r="F302" s="341">
        <v>5</v>
      </c>
      <c r="G302" s="32">
        <v>1</v>
      </c>
      <c r="H302" s="341">
        <v>5</v>
      </c>
      <c r="I302" s="341">
        <v>5.2350000000000003</v>
      </c>
      <c r="J302" s="32">
        <v>84</v>
      </c>
      <c r="K302" s="32" t="s">
        <v>67</v>
      </c>
      <c r="L302" s="32" t="s">
        <v>114</v>
      </c>
      <c r="M302" s="33" t="s">
        <v>69</v>
      </c>
      <c r="N302" s="33"/>
      <c r="O302" s="32">
        <v>180</v>
      </c>
      <c r="P302" s="35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7"/>
      <c r="R302" s="347"/>
      <c r="S302" s="347"/>
      <c r="T302" s="348"/>
      <c r="U302" s="34"/>
      <c r="V302" s="34"/>
      <c r="W302" s="35" t="s">
        <v>70</v>
      </c>
      <c r="X302" s="342">
        <v>24</v>
      </c>
      <c r="Y302" s="343">
        <f>IFERROR(IF(X302="","",X302),"")</f>
        <v>24</v>
      </c>
      <c r="Z302" s="36">
        <f>IFERROR(IF(X302="","",X302*0.0155),"")</f>
        <v>0.372</v>
      </c>
      <c r="AA302" s="56"/>
      <c r="AB302" s="57"/>
      <c r="AC302" s="286" t="s">
        <v>439</v>
      </c>
      <c r="AG302" s="67"/>
      <c r="AJ302" s="71" t="s">
        <v>115</v>
      </c>
      <c r="AK302" s="71">
        <v>84</v>
      </c>
      <c r="BB302" s="287" t="s">
        <v>83</v>
      </c>
      <c r="BM302" s="67">
        <f>IFERROR(X302*I302,"0")</f>
        <v>125.64000000000001</v>
      </c>
      <c r="BN302" s="67">
        <f>IFERROR(Y302*I302,"0")</f>
        <v>125.64000000000001</v>
      </c>
      <c r="BO302" s="67">
        <f>IFERROR(X302/J302,"0")</f>
        <v>0.2857142857142857</v>
      </c>
      <c r="BP302" s="67">
        <f>IFERROR(Y302/J302,"0")</f>
        <v>0.2857142857142857</v>
      </c>
    </row>
    <row r="303" spans="1:68" ht="27" customHeight="1" x14ac:dyDescent="0.25">
      <c r="A303" s="54" t="s">
        <v>442</v>
      </c>
      <c r="B303" s="54" t="s">
        <v>443</v>
      </c>
      <c r="C303" s="31">
        <v>4301136029</v>
      </c>
      <c r="D303" s="352">
        <v>4640242180410</v>
      </c>
      <c r="E303" s="353"/>
      <c r="F303" s="341">
        <v>2.2400000000000002</v>
      </c>
      <c r="G303" s="32">
        <v>1</v>
      </c>
      <c r="H303" s="341">
        <v>2.2400000000000002</v>
      </c>
      <c r="I303" s="341">
        <v>2.4319999999999999</v>
      </c>
      <c r="J303" s="32">
        <v>126</v>
      </c>
      <c r="K303" s="32" t="s">
        <v>80</v>
      </c>
      <c r="L303" s="32" t="s">
        <v>109</v>
      </c>
      <c r="M303" s="33" t="s">
        <v>69</v>
      </c>
      <c r="N303" s="33"/>
      <c r="O303" s="32">
        <v>180</v>
      </c>
      <c r="P303" s="4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7"/>
      <c r="R303" s="347"/>
      <c r="S303" s="347"/>
      <c r="T303" s="348"/>
      <c r="U303" s="34"/>
      <c r="V303" s="34"/>
      <c r="W303" s="35" t="s">
        <v>70</v>
      </c>
      <c r="X303" s="342">
        <v>42</v>
      </c>
      <c r="Y303" s="343">
        <f>IFERROR(IF(X303="","",X303),"")</f>
        <v>42</v>
      </c>
      <c r="Z303" s="36">
        <f>IFERROR(IF(X303="","",X303*0.00936),"")</f>
        <v>0.39312000000000002</v>
      </c>
      <c r="AA303" s="56"/>
      <c r="AB303" s="57"/>
      <c r="AC303" s="288" t="s">
        <v>439</v>
      </c>
      <c r="AG303" s="67"/>
      <c r="AJ303" s="71" t="s">
        <v>111</v>
      </c>
      <c r="AK303" s="71">
        <v>14</v>
      </c>
      <c r="BB303" s="289" t="s">
        <v>83</v>
      </c>
      <c r="BM303" s="67">
        <f>IFERROR(X303*I303,"0")</f>
        <v>102.14399999999999</v>
      </c>
      <c r="BN303" s="67">
        <f>IFERROR(Y303*I303,"0")</f>
        <v>102.14399999999999</v>
      </c>
      <c r="BO303" s="67">
        <f>IFERROR(X303/J303,"0")</f>
        <v>0.33333333333333331</v>
      </c>
      <c r="BP303" s="67">
        <f>IFERROR(Y303/J303,"0")</f>
        <v>0.33333333333333331</v>
      </c>
    </row>
    <row r="304" spans="1:68" x14ac:dyDescent="0.2">
      <c r="A304" s="364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5"/>
      <c r="P304" s="359" t="s">
        <v>73</v>
      </c>
      <c r="Q304" s="360"/>
      <c r="R304" s="360"/>
      <c r="S304" s="360"/>
      <c r="T304" s="360"/>
      <c r="U304" s="360"/>
      <c r="V304" s="361"/>
      <c r="W304" s="37" t="s">
        <v>70</v>
      </c>
      <c r="X304" s="344">
        <f>IFERROR(SUM(X301:X303),"0")</f>
        <v>80</v>
      </c>
      <c r="Y304" s="344">
        <f>IFERROR(SUM(Y301:Y303),"0")</f>
        <v>80</v>
      </c>
      <c r="Z304" s="344">
        <f>IFERROR(IF(Z301="",0,Z301),"0")+IFERROR(IF(Z302="",0,Z302),"0")+IFERROR(IF(Z303="",0,Z303),"0")</f>
        <v>0.89615999999999996</v>
      </c>
      <c r="AA304" s="345"/>
      <c r="AB304" s="345"/>
      <c r="AC304" s="345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5"/>
      <c r="P305" s="359" t="s">
        <v>73</v>
      </c>
      <c r="Q305" s="360"/>
      <c r="R305" s="360"/>
      <c r="S305" s="360"/>
      <c r="T305" s="360"/>
      <c r="U305" s="360"/>
      <c r="V305" s="361"/>
      <c r="W305" s="37" t="s">
        <v>74</v>
      </c>
      <c r="X305" s="344">
        <f>IFERROR(SUMPRODUCT(X301:X303*H301:H303),"0")</f>
        <v>251.88000000000002</v>
      </c>
      <c r="Y305" s="344">
        <f>IFERROR(SUMPRODUCT(Y301:Y303*H301:H303),"0")</f>
        <v>251.88000000000002</v>
      </c>
      <c r="Z305" s="37"/>
      <c r="AA305" s="345"/>
      <c r="AB305" s="345"/>
      <c r="AC305" s="345"/>
    </row>
    <row r="306" spans="1:68" ht="14.25" customHeight="1" x14ac:dyDescent="0.25">
      <c r="A306" s="375" t="s">
        <v>153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38"/>
      <c r="AB306" s="338"/>
      <c r="AC306" s="338"/>
    </row>
    <row r="307" spans="1:68" ht="37.5" customHeight="1" x14ac:dyDescent="0.25">
      <c r="A307" s="54" t="s">
        <v>444</v>
      </c>
      <c r="B307" s="54" t="s">
        <v>445</v>
      </c>
      <c r="C307" s="31">
        <v>4301135504</v>
      </c>
      <c r="D307" s="352">
        <v>4640242181554</v>
      </c>
      <c r="E307" s="353"/>
      <c r="F307" s="341">
        <v>3</v>
      </c>
      <c r="G307" s="32">
        <v>1</v>
      </c>
      <c r="H307" s="341">
        <v>3</v>
      </c>
      <c r="I307" s="341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68" t="s">
        <v>446</v>
      </c>
      <c r="Q307" s="347"/>
      <c r="R307" s="347"/>
      <c r="S307" s="347"/>
      <c r="T307" s="348"/>
      <c r="U307" s="34"/>
      <c r="V307" s="34"/>
      <c r="W307" s="35" t="s">
        <v>70</v>
      </c>
      <c r="X307" s="342">
        <v>0</v>
      </c>
      <c r="Y307" s="343">
        <f t="shared" ref="Y307:Y327" si="24">IFERROR(IF(X307="","",X307),"")</f>
        <v>0</v>
      </c>
      <c r="Z307" s="36">
        <f>IFERROR(IF(X307="","",X307*0.00936),"")</f>
        <v>0</v>
      </c>
      <c r="AA307" s="56"/>
      <c r="AB307" s="57"/>
      <c r="AC307" s="290" t="s">
        <v>447</v>
      </c>
      <c r="AG307" s="67"/>
      <c r="AJ307" s="71" t="s">
        <v>72</v>
      </c>
      <c r="AK307" s="71">
        <v>1</v>
      </c>
      <c r="BB307" s="291" t="s">
        <v>83</v>
      </c>
      <c r="BM307" s="67">
        <f t="shared" ref="BM307:BM327" si="25">IFERROR(X307*I307,"0")</f>
        <v>0</v>
      </c>
      <c r="BN307" s="67">
        <f t="shared" ref="BN307:BN327" si="26">IFERROR(Y307*I307,"0")</f>
        <v>0</v>
      </c>
      <c r="BO307" s="67">
        <f t="shared" ref="BO307:BO327" si="27">IFERROR(X307/J307,"0")</f>
        <v>0</v>
      </c>
      <c r="BP307" s="67">
        <f t="shared" ref="BP307:BP327" si="28">IFERROR(Y307/J307,"0")</f>
        <v>0</v>
      </c>
    </row>
    <row r="308" spans="1:68" ht="27" customHeight="1" x14ac:dyDescent="0.25">
      <c r="A308" s="54" t="s">
        <v>448</v>
      </c>
      <c r="B308" s="54" t="s">
        <v>449</v>
      </c>
      <c r="C308" s="31">
        <v>4301135394</v>
      </c>
      <c r="D308" s="352">
        <v>4640242181561</v>
      </c>
      <c r="E308" s="353"/>
      <c r="F308" s="341">
        <v>3.7</v>
      </c>
      <c r="G308" s="32">
        <v>1</v>
      </c>
      <c r="H308" s="341">
        <v>3.7</v>
      </c>
      <c r="I308" s="341">
        <v>3.8919999999999999</v>
      </c>
      <c r="J308" s="32">
        <v>126</v>
      </c>
      <c r="K308" s="32" t="s">
        <v>80</v>
      </c>
      <c r="L308" s="32" t="s">
        <v>109</v>
      </c>
      <c r="M308" s="33" t="s">
        <v>69</v>
      </c>
      <c r="N308" s="33"/>
      <c r="O308" s="32">
        <v>180</v>
      </c>
      <c r="P308" s="450" t="s">
        <v>450</v>
      </c>
      <c r="Q308" s="347"/>
      <c r="R308" s="347"/>
      <c r="S308" s="347"/>
      <c r="T308" s="348"/>
      <c r="U308" s="34"/>
      <c r="V308" s="34"/>
      <c r="W308" s="35" t="s">
        <v>70</v>
      </c>
      <c r="X308" s="342">
        <v>28</v>
      </c>
      <c r="Y308" s="343">
        <f t="shared" si="24"/>
        <v>28</v>
      </c>
      <c r="Z308" s="36">
        <f>IFERROR(IF(X308="","",X308*0.00936),"")</f>
        <v>0.26207999999999998</v>
      </c>
      <c r="AA308" s="56"/>
      <c r="AB308" s="57"/>
      <c r="AC308" s="292" t="s">
        <v>451</v>
      </c>
      <c r="AG308" s="67"/>
      <c r="AJ308" s="71" t="s">
        <v>111</v>
      </c>
      <c r="AK308" s="71">
        <v>14</v>
      </c>
      <c r="BB308" s="293" t="s">
        <v>83</v>
      </c>
      <c r="BM308" s="67">
        <f t="shared" si="25"/>
        <v>108.976</v>
      </c>
      <c r="BN308" s="67">
        <f t="shared" si="26"/>
        <v>108.976</v>
      </c>
      <c r="BO308" s="67">
        <f t="shared" si="27"/>
        <v>0.22222222222222221</v>
      </c>
      <c r="BP308" s="67">
        <f t="shared" si="28"/>
        <v>0.22222222222222221</v>
      </c>
    </row>
    <row r="309" spans="1:68" ht="27" customHeight="1" x14ac:dyDescent="0.25">
      <c r="A309" s="54" t="s">
        <v>452</v>
      </c>
      <c r="B309" s="54" t="s">
        <v>453</v>
      </c>
      <c r="C309" s="31">
        <v>4301135374</v>
      </c>
      <c r="D309" s="352">
        <v>4640242181424</v>
      </c>
      <c r="E309" s="353"/>
      <c r="F309" s="341">
        <v>5.5</v>
      </c>
      <c r="G309" s="32">
        <v>1</v>
      </c>
      <c r="H309" s="341">
        <v>5.5</v>
      </c>
      <c r="I309" s="341">
        <v>5.7350000000000003</v>
      </c>
      <c r="J309" s="32">
        <v>84</v>
      </c>
      <c r="K309" s="32" t="s">
        <v>67</v>
      </c>
      <c r="L309" s="32" t="s">
        <v>109</v>
      </c>
      <c r="M309" s="33" t="s">
        <v>69</v>
      </c>
      <c r="N309" s="33"/>
      <c r="O309" s="32">
        <v>180</v>
      </c>
      <c r="P309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7"/>
      <c r="R309" s="347"/>
      <c r="S309" s="347"/>
      <c r="T309" s="348"/>
      <c r="U309" s="34"/>
      <c r="V309" s="34"/>
      <c r="W309" s="35" t="s">
        <v>70</v>
      </c>
      <c r="X309" s="342">
        <v>0</v>
      </c>
      <c r="Y309" s="343">
        <f t="shared" si="24"/>
        <v>0</v>
      </c>
      <c r="Z309" s="36">
        <f>IFERROR(IF(X309="","",X309*0.0155),"")</f>
        <v>0</v>
      </c>
      <c r="AA309" s="56"/>
      <c r="AB309" s="57"/>
      <c r="AC309" s="294" t="s">
        <v>447</v>
      </c>
      <c r="AG309" s="67"/>
      <c r="AJ309" s="71" t="s">
        <v>111</v>
      </c>
      <c r="AK309" s="71">
        <v>12</v>
      </c>
      <c r="BB309" s="29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454</v>
      </c>
      <c r="B310" s="54" t="s">
        <v>455</v>
      </c>
      <c r="C310" s="31">
        <v>4301135320</v>
      </c>
      <c r="D310" s="352">
        <v>4640242181592</v>
      </c>
      <c r="E310" s="353"/>
      <c r="F310" s="341">
        <v>3.5</v>
      </c>
      <c r="G310" s="32">
        <v>1</v>
      </c>
      <c r="H310" s="341">
        <v>3.5</v>
      </c>
      <c r="I310" s="341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55" t="s">
        <v>456</v>
      </c>
      <c r="Q310" s="347"/>
      <c r="R310" s="347"/>
      <c r="S310" s="347"/>
      <c r="T310" s="348"/>
      <c r="U310" s="34"/>
      <c r="V310" s="34"/>
      <c r="W310" s="35" t="s">
        <v>70</v>
      </c>
      <c r="X310" s="342">
        <v>0</v>
      </c>
      <c r="Y310" s="343">
        <f t="shared" si="24"/>
        <v>0</v>
      </c>
      <c r="Z310" s="36">
        <f t="shared" ref="Z310:Z318" si="29">IFERROR(IF(X310="","",X310*0.00936),"")</f>
        <v>0</v>
      </c>
      <c r="AA310" s="56"/>
      <c r="AB310" s="57"/>
      <c r="AC310" s="296" t="s">
        <v>457</v>
      </c>
      <c r="AG310" s="67"/>
      <c r="AJ310" s="71" t="s">
        <v>72</v>
      </c>
      <c r="AK310" s="71">
        <v>1</v>
      </c>
      <c r="BB310" s="29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458</v>
      </c>
      <c r="B311" s="54" t="s">
        <v>459</v>
      </c>
      <c r="C311" s="31">
        <v>4301135552</v>
      </c>
      <c r="D311" s="352">
        <v>4640242181431</v>
      </c>
      <c r="E311" s="353"/>
      <c r="F311" s="341">
        <v>3.5</v>
      </c>
      <c r="G311" s="32">
        <v>1</v>
      </c>
      <c r="H311" s="341">
        <v>3.5</v>
      </c>
      <c r="I311" s="341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63" t="s">
        <v>460</v>
      </c>
      <c r="Q311" s="347"/>
      <c r="R311" s="347"/>
      <c r="S311" s="347"/>
      <c r="T311" s="348"/>
      <c r="U311" s="34"/>
      <c r="V311" s="34"/>
      <c r="W311" s="35" t="s">
        <v>70</v>
      </c>
      <c r="X311" s="342">
        <v>0</v>
      </c>
      <c r="Y311" s="343">
        <f t="shared" si="24"/>
        <v>0</v>
      </c>
      <c r="Z311" s="36">
        <f t="shared" si="29"/>
        <v>0</v>
      </c>
      <c r="AA311" s="56"/>
      <c r="AB311" s="57"/>
      <c r="AC311" s="298" t="s">
        <v>461</v>
      </c>
      <c r="AG311" s="67"/>
      <c r="AJ311" s="71" t="s">
        <v>72</v>
      </c>
      <c r="AK311" s="71">
        <v>1</v>
      </c>
      <c r="BB311" s="29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462</v>
      </c>
      <c r="B312" s="54" t="s">
        <v>463</v>
      </c>
      <c r="C312" s="31">
        <v>4301135405</v>
      </c>
      <c r="D312" s="352">
        <v>4640242181523</v>
      </c>
      <c r="E312" s="353"/>
      <c r="F312" s="341">
        <v>3</v>
      </c>
      <c r="G312" s="32">
        <v>1</v>
      </c>
      <c r="H312" s="341">
        <v>3</v>
      </c>
      <c r="I312" s="341">
        <v>3.1920000000000002</v>
      </c>
      <c r="J312" s="32">
        <v>126</v>
      </c>
      <c r="K312" s="32" t="s">
        <v>80</v>
      </c>
      <c r="L312" s="32" t="s">
        <v>109</v>
      </c>
      <c r="M312" s="33" t="s">
        <v>69</v>
      </c>
      <c r="N312" s="33"/>
      <c r="O312" s="32">
        <v>180</v>
      </c>
      <c r="P312" s="42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7"/>
      <c r="R312" s="347"/>
      <c r="S312" s="347"/>
      <c r="T312" s="348"/>
      <c r="U312" s="34"/>
      <c r="V312" s="34"/>
      <c r="W312" s="35" t="s">
        <v>70</v>
      </c>
      <c r="X312" s="342">
        <v>14</v>
      </c>
      <c r="Y312" s="343">
        <f t="shared" si="24"/>
        <v>14</v>
      </c>
      <c r="Z312" s="36">
        <f t="shared" si="29"/>
        <v>0.13103999999999999</v>
      </c>
      <c r="AA312" s="56"/>
      <c r="AB312" s="57"/>
      <c r="AC312" s="300" t="s">
        <v>451</v>
      </c>
      <c r="AG312" s="67"/>
      <c r="AJ312" s="71" t="s">
        <v>111</v>
      </c>
      <c r="AK312" s="71">
        <v>14</v>
      </c>
      <c r="BB312" s="301" t="s">
        <v>83</v>
      </c>
      <c r="BM312" s="67">
        <f t="shared" si="25"/>
        <v>44.688000000000002</v>
      </c>
      <c r="BN312" s="67">
        <f t="shared" si="26"/>
        <v>44.688000000000002</v>
      </c>
      <c r="BO312" s="67">
        <f t="shared" si="27"/>
        <v>0.1111111111111111</v>
      </c>
      <c r="BP312" s="67">
        <f t="shared" si="28"/>
        <v>0.1111111111111111</v>
      </c>
    </row>
    <row r="313" spans="1:68" ht="37.5" customHeight="1" x14ac:dyDescent="0.25">
      <c r="A313" s="54" t="s">
        <v>464</v>
      </c>
      <c r="B313" s="54" t="s">
        <v>465</v>
      </c>
      <c r="C313" s="31">
        <v>4301135404</v>
      </c>
      <c r="D313" s="352">
        <v>4640242181516</v>
      </c>
      <c r="E313" s="353"/>
      <c r="F313" s="341">
        <v>3.7</v>
      </c>
      <c r="G313" s="32">
        <v>1</v>
      </c>
      <c r="H313" s="341">
        <v>3.7</v>
      </c>
      <c r="I313" s="341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6" t="s">
        <v>466</v>
      </c>
      <c r="Q313" s="347"/>
      <c r="R313" s="347"/>
      <c r="S313" s="347"/>
      <c r="T313" s="348"/>
      <c r="U313" s="34"/>
      <c r="V313" s="34"/>
      <c r="W313" s="35" t="s">
        <v>70</v>
      </c>
      <c r="X313" s="342">
        <v>0</v>
      </c>
      <c r="Y313" s="343">
        <f t="shared" si="24"/>
        <v>0</v>
      </c>
      <c r="Z313" s="36">
        <f t="shared" si="29"/>
        <v>0</v>
      </c>
      <c r="AA313" s="56"/>
      <c r="AB313" s="57"/>
      <c r="AC313" s="302" t="s">
        <v>461</v>
      </c>
      <c r="AG313" s="67"/>
      <c r="AJ313" s="71" t="s">
        <v>72</v>
      </c>
      <c r="AK313" s="71">
        <v>1</v>
      </c>
      <c r="BB313" s="30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467</v>
      </c>
      <c r="B314" s="54" t="s">
        <v>468</v>
      </c>
      <c r="C314" s="31">
        <v>4301135375</v>
      </c>
      <c r="D314" s="352">
        <v>4640242181486</v>
      </c>
      <c r="E314" s="353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80</v>
      </c>
      <c r="L314" s="32" t="s">
        <v>109</v>
      </c>
      <c r="M314" s="33" t="s">
        <v>69</v>
      </c>
      <c r="N314" s="33"/>
      <c r="O314" s="32">
        <v>180</v>
      </c>
      <c r="P314" s="50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7"/>
      <c r="R314" s="347"/>
      <c r="S314" s="347"/>
      <c r="T314" s="348"/>
      <c r="U314" s="34"/>
      <c r="V314" s="34"/>
      <c r="W314" s="35" t="s">
        <v>70</v>
      </c>
      <c r="X314" s="342">
        <v>0</v>
      </c>
      <c r="Y314" s="343">
        <f t="shared" si="24"/>
        <v>0</v>
      </c>
      <c r="Z314" s="36">
        <f t="shared" si="29"/>
        <v>0</v>
      </c>
      <c r="AA314" s="56"/>
      <c r="AB314" s="57"/>
      <c r="AC314" s="304" t="s">
        <v>447</v>
      </c>
      <c r="AG314" s="67"/>
      <c r="AJ314" s="71" t="s">
        <v>111</v>
      </c>
      <c r="AK314" s="71">
        <v>14</v>
      </c>
      <c r="BB314" s="30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37.5" customHeight="1" x14ac:dyDescent="0.25">
      <c r="A315" s="54" t="s">
        <v>469</v>
      </c>
      <c r="B315" s="54" t="s">
        <v>470</v>
      </c>
      <c r="C315" s="31">
        <v>4301135402</v>
      </c>
      <c r="D315" s="352">
        <v>4640242181493</v>
      </c>
      <c r="E315" s="353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1" t="s">
        <v>471</v>
      </c>
      <c r="Q315" s="347"/>
      <c r="R315" s="347"/>
      <c r="S315" s="347"/>
      <c r="T315" s="348"/>
      <c r="U315" s="34"/>
      <c r="V315" s="34"/>
      <c r="W315" s="35" t="s">
        <v>70</v>
      </c>
      <c r="X315" s="342">
        <v>0</v>
      </c>
      <c r="Y315" s="343">
        <f t="shared" si="24"/>
        <v>0</v>
      </c>
      <c r="Z315" s="36">
        <f t="shared" si="29"/>
        <v>0</v>
      </c>
      <c r="AA315" s="56"/>
      <c r="AB315" s="57"/>
      <c r="AC315" s="306" t="s">
        <v>447</v>
      </c>
      <c r="AG315" s="67"/>
      <c r="AJ315" s="71" t="s">
        <v>72</v>
      </c>
      <c r="AK315" s="71">
        <v>1</v>
      </c>
      <c r="BB315" s="30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37.5" customHeight="1" x14ac:dyDescent="0.25">
      <c r="A316" s="54" t="s">
        <v>472</v>
      </c>
      <c r="B316" s="54" t="s">
        <v>473</v>
      </c>
      <c r="C316" s="31">
        <v>4301135403</v>
      </c>
      <c r="D316" s="352">
        <v>4640242181509</v>
      </c>
      <c r="E316" s="353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80</v>
      </c>
      <c r="L316" s="32" t="s">
        <v>109</v>
      </c>
      <c r="M316" s="33" t="s">
        <v>69</v>
      </c>
      <c r="N316" s="33"/>
      <c r="O316" s="32">
        <v>180</v>
      </c>
      <c r="P316" s="38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7"/>
      <c r="R316" s="347"/>
      <c r="S316" s="347"/>
      <c r="T316" s="348"/>
      <c r="U316" s="34"/>
      <c r="V316" s="34"/>
      <c r="W316" s="35" t="s">
        <v>70</v>
      </c>
      <c r="X316" s="342">
        <v>0</v>
      </c>
      <c r="Y316" s="343">
        <f t="shared" si="24"/>
        <v>0</v>
      </c>
      <c r="Z316" s="36">
        <f t="shared" si="29"/>
        <v>0</v>
      </c>
      <c r="AA316" s="56"/>
      <c r="AB316" s="57"/>
      <c r="AC316" s="308" t="s">
        <v>447</v>
      </c>
      <c r="AG316" s="67"/>
      <c r="AJ316" s="71" t="s">
        <v>111</v>
      </c>
      <c r="AK316" s="71">
        <v>14</v>
      </c>
      <c r="BB316" s="30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4301135304</v>
      </c>
      <c r="D317" s="352">
        <v>4640242181240</v>
      </c>
      <c r="E317" s="353"/>
      <c r="F317" s="341">
        <v>0.3</v>
      </c>
      <c r="G317" s="32">
        <v>9</v>
      </c>
      <c r="H317" s="341">
        <v>2.7</v>
      </c>
      <c r="I317" s="341">
        <v>2.88</v>
      </c>
      <c r="J317" s="32">
        <v>126</v>
      </c>
      <c r="K317" s="32" t="s">
        <v>80</v>
      </c>
      <c r="L317" s="32" t="s">
        <v>109</v>
      </c>
      <c r="M317" s="33" t="s">
        <v>69</v>
      </c>
      <c r="N317" s="33"/>
      <c r="O317" s="32">
        <v>180</v>
      </c>
      <c r="P317" s="546" t="s">
        <v>476</v>
      </c>
      <c r="Q317" s="347"/>
      <c r="R317" s="347"/>
      <c r="S317" s="347"/>
      <c r="T317" s="348"/>
      <c r="U317" s="34"/>
      <c r="V317" s="34"/>
      <c r="W317" s="35" t="s">
        <v>70</v>
      </c>
      <c r="X317" s="342">
        <v>0</v>
      </c>
      <c r="Y317" s="343">
        <f t="shared" si="24"/>
        <v>0</v>
      </c>
      <c r="Z317" s="36">
        <f t="shared" si="29"/>
        <v>0</v>
      </c>
      <c r="AA317" s="56"/>
      <c r="AB317" s="57"/>
      <c r="AC317" s="310" t="s">
        <v>447</v>
      </c>
      <c r="AG317" s="67"/>
      <c r="AJ317" s="71" t="s">
        <v>111</v>
      </c>
      <c r="AK317" s="71">
        <v>14</v>
      </c>
      <c r="BB317" s="311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477</v>
      </c>
      <c r="B318" s="54" t="s">
        <v>478</v>
      </c>
      <c r="C318" s="31">
        <v>4301135310</v>
      </c>
      <c r="D318" s="352">
        <v>4640242181318</v>
      </c>
      <c r="E318" s="353"/>
      <c r="F318" s="341">
        <v>0.3</v>
      </c>
      <c r="G318" s="32">
        <v>9</v>
      </c>
      <c r="H318" s="341">
        <v>2.7</v>
      </c>
      <c r="I318" s="341">
        <v>2.988</v>
      </c>
      <c r="J318" s="32">
        <v>126</v>
      </c>
      <c r="K318" s="32" t="s">
        <v>80</v>
      </c>
      <c r="L318" s="32" t="s">
        <v>109</v>
      </c>
      <c r="M318" s="33" t="s">
        <v>69</v>
      </c>
      <c r="N318" s="33"/>
      <c r="O318" s="32">
        <v>180</v>
      </c>
      <c r="P318" s="492" t="s">
        <v>479</v>
      </c>
      <c r="Q318" s="347"/>
      <c r="R318" s="347"/>
      <c r="S318" s="347"/>
      <c r="T318" s="348"/>
      <c r="U318" s="34"/>
      <c r="V318" s="34"/>
      <c r="W318" s="35" t="s">
        <v>70</v>
      </c>
      <c r="X318" s="342">
        <v>0</v>
      </c>
      <c r="Y318" s="343">
        <f t="shared" si="24"/>
        <v>0</v>
      </c>
      <c r="Z318" s="36">
        <f t="shared" si="29"/>
        <v>0</v>
      </c>
      <c r="AA318" s="56"/>
      <c r="AB318" s="57"/>
      <c r="AC318" s="312" t="s">
        <v>451</v>
      </c>
      <c r="AG318" s="67"/>
      <c r="AJ318" s="71" t="s">
        <v>111</v>
      </c>
      <c r="AK318" s="71">
        <v>14</v>
      </c>
      <c r="BB318" s="313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480</v>
      </c>
      <c r="B319" s="54" t="s">
        <v>481</v>
      </c>
      <c r="C319" s="31">
        <v>4301135306</v>
      </c>
      <c r="D319" s="352">
        <v>4640242181578</v>
      </c>
      <c r="E319" s="353"/>
      <c r="F319" s="341">
        <v>0.3</v>
      </c>
      <c r="G319" s="32">
        <v>9</v>
      </c>
      <c r="H319" s="341">
        <v>2.7</v>
      </c>
      <c r="I319" s="341">
        <v>2.8450000000000002</v>
      </c>
      <c r="J319" s="32">
        <v>234</v>
      </c>
      <c r="K319" s="32" t="s">
        <v>171</v>
      </c>
      <c r="L319" s="32" t="s">
        <v>109</v>
      </c>
      <c r="M319" s="33" t="s">
        <v>69</v>
      </c>
      <c r="N319" s="33"/>
      <c r="O319" s="32">
        <v>180</v>
      </c>
      <c r="P319" s="557" t="s">
        <v>482</v>
      </c>
      <c r="Q319" s="347"/>
      <c r="R319" s="347"/>
      <c r="S319" s="347"/>
      <c r="T319" s="348"/>
      <c r="U319" s="34"/>
      <c r="V319" s="34"/>
      <c r="W319" s="35" t="s">
        <v>70</v>
      </c>
      <c r="X319" s="342">
        <v>0</v>
      </c>
      <c r="Y319" s="343">
        <f t="shared" si="24"/>
        <v>0</v>
      </c>
      <c r="Z319" s="36">
        <f>IFERROR(IF(X319="","",X319*0.00502),"")</f>
        <v>0</v>
      </c>
      <c r="AA319" s="56"/>
      <c r="AB319" s="57"/>
      <c r="AC319" s="314" t="s">
        <v>447</v>
      </c>
      <c r="AG319" s="67"/>
      <c r="AJ319" s="71" t="s">
        <v>111</v>
      </c>
      <c r="AK319" s="71">
        <v>18</v>
      </c>
      <c r="BB319" s="315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4301135305</v>
      </c>
      <c r="D320" s="352">
        <v>4640242181394</v>
      </c>
      <c r="E320" s="353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171</v>
      </c>
      <c r="L320" s="32" t="s">
        <v>109</v>
      </c>
      <c r="M320" s="33" t="s">
        <v>69</v>
      </c>
      <c r="N320" s="33"/>
      <c r="O320" s="32">
        <v>180</v>
      </c>
      <c r="P320" s="503" t="s">
        <v>485</v>
      </c>
      <c r="Q320" s="347"/>
      <c r="R320" s="347"/>
      <c r="S320" s="347"/>
      <c r="T320" s="348"/>
      <c r="U320" s="34"/>
      <c r="V320" s="34"/>
      <c r="W320" s="35" t="s">
        <v>70</v>
      </c>
      <c r="X320" s="342">
        <v>0</v>
      </c>
      <c r="Y320" s="343">
        <f t="shared" si="24"/>
        <v>0</v>
      </c>
      <c r="Z320" s="36">
        <f>IFERROR(IF(X320="","",X320*0.00502),"")</f>
        <v>0</v>
      </c>
      <c r="AA320" s="56"/>
      <c r="AB320" s="57"/>
      <c r="AC320" s="316" t="s">
        <v>447</v>
      </c>
      <c r="AG320" s="67"/>
      <c r="AJ320" s="71" t="s">
        <v>111</v>
      </c>
      <c r="AK320" s="71">
        <v>18</v>
      </c>
      <c r="BB320" s="317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4301135309</v>
      </c>
      <c r="D321" s="352">
        <v>4640242181332</v>
      </c>
      <c r="E321" s="353"/>
      <c r="F321" s="341">
        <v>0.3</v>
      </c>
      <c r="G321" s="32">
        <v>9</v>
      </c>
      <c r="H321" s="341">
        <v>2.7</v>
      </c>
      <c r="I321" s="341">
        <v>2.9079999999999999</v>
      </c>
      <c r="J321" s="32">
        <v>234</v>
      </c>
      <c r="K321" s="32" t="s">
        <v>171</v>
      </c>
      <c r="L321" s="32" t="s">
        <v>68</v>
      </c>
      <c r="M321" s="33" t="s">
        <v>69</v>
      </c>
      <c r="N321" s="33"/>
      <c r="O321" s="32">
        <v>180</v>
      </c>
      <c r="P321" s="518" t="s">
        <v>488</v>
      </c>
      <c r="Q321" s="347"/>
      <c r="R321" s="347"/>
      <c r="S321" s="347"/>
      <c r="T321" s="348"/>
      <c r="U321" s="34"/>
      <c r="V321" s="34"/>
      <c r="W321" s="35" t="s">
        <v>70</v>
      </c>
      <c r="X321" s="342">
        <v>0</v>
      </c>
      <c r="Y321" s="343">
        <f t="shared" si="24"/>
        <v>0</v>
      </c>
      <c r="Z321" s="36">
        <f>IFERROR(IF(X321="","",X321*0.00502),"")</f>
        <v>0</v>
      </c>
      <c r="AA321" s="56"/>
      <c r="AB321" s="57"/>
      <c r="AC321" s="318" t="s">
        <v>447</v>
      </c>
      <c r="AG321" s="67"/>
      <c r="AJ321" s="71" t="s">
        <v>72</v>
      </c>
      <c r="AK321" s="71">
        <v>1</v>
      </c>
      <c r="BB321" s="319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4301135308</v>
      </c>
      <c r="D322" s="352">
        <v>4640242181349</v>
      </c>
      <c r="E322" s="353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171</v>
      </c>
      <c r="L322" s="32" t="s">
        <v>109</v>
      </c>
      <c r="M322" s="33" t="s">
        <v>69</v>
      </c>
      <c r="N322" s="33"/>
      <c r="O322" s="32">
        <v>180</v>
      </c>
      <c r="P322" s="469" t="s">
        <v>491</v>
      </c>
      <c r="Q322" s="347"/>
      <c r="R322" s="347"/>
      <c r="S322" s="347"/>
      <c r="T322" s="348"/>
      <c r="U322" s="34"/>
      <c r="V322" s="34"/>
      <c r="W322" s="35" t="s">
        <v>70</v>
      </c>
      <c r="X322" s="342">
        <v>0</v>
      </c>
      <c r="Y322" s="343">
        <f t="shared" si="24"/>
        <v>0</v>
      </c>
      <c r="Z322" s="36">
        <f>IFERROR(IF(X322="","",X322*0.00502),"")</f>
        <v>0</v>
      </c>
      <c r="AA322" s="56"/>
      <c r="AB322" s="57"/>
      <c r="AC322" s="320" t="s">
        <v>447</v>
      </c>
      <c r="AG322" s="67"/>
      <c r="AJ322" s="71" t="s">
        <v>111</v>
      </c>
      <c r="AK322" s="71">
        <v>18</v>
      </c>
      <c r="BB322" s="321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4301135307</v>
      </c>
      <c r="D323" s="352">
        <v>4640242181370</v>
      </c>
      <c r="E323" s="353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171</v>
      </c>
      <c r="L323" s="32" t="s">
        <v>68</v>
      </c>
      <c r="M323" s="33" t="s">
        <v>69</v>
      </c>
      <c r="N323" s="33"/>
      <c r="O323" s="32">
        <v>180</v>
      </c>
      <c r="P323" s="519" t="s">
        <v>494</v>
      </c>
      <c r="Q323" s="347"/>
      <c r="R323" s="347"/>
      <c r="S323" s="347"/>
      <c r="T323" s="348"/>
      <c r="U323" s="34"/>
      <c r="V323" s="34"/>
      <c r="W323" s="35" t="s">
        <v>70</v>
      </c>
      <c r="X323" s="342">
        <v>0</v>
      </c>
      <c r="Y323" s="343">
        <f t="shared" si="24"/>
        <v>0</v>
      </c>
      <c r="Z323" s="36">
        <f>IFERROR(IF(X323="","",X323*0.00502),"")</f>
        <v>0</v>
      </c>
      <c r="AA323" s="56"/>
      <c r="AB323" s="57"/>
      <c r="AC323" s="322" t="s">
        <v>495</v>
      </c>
      <c r="AG323" s="67"/>
      <c r="AJ323" s="71" t="s">
        <v>72</v>
      </c>
      <c r="AK323" s="71">
        <v>1</v>
      </c>
      <c r="BB323" s="323" t="s">
        <v>83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ht="27" customHeight="1" x14ac:dyDescent="0.25">
      <c r="A324" s="54" t="s">
        <v>496</v>
      </c>
      <c r="B324" s="54" t="s">
        <v>497</v>
      </c>
      <c r="C324" s="31">
        <v>4301135318</v>
      </c>
      <c r="D324" s="352">
        <v>4607111037480</v>
      </c>
      <c r="E324" s="353"/>
      <c r="F324" s="341">
        <v>1</v>
      </c>
      <c r="G324" s="32">
        <v>4</v>
      </c>
      <c r="H324" s="341">
        <v>4</v>
      </c>
      <c r="I324" s="341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73" t="s">
        <v>498</v>
      </c>
      <c r="Q324" s="347"/>
      <c r="R324" s="347"/>
      <c r="S324" s="347"/>
      <c r="T324" s="348"/>
      <c r="U324" s="34"/>
      <c r="V324" s="34"/>
      <c r="W324" s="35" t="s">
        <v>70</v>
      </c>
      <c r="X324" s="342">
        <v>0</v>
      </c>
      <c r="Y324" s="343">
        <f t="shared" si="24"/>
        <v>0</v>
      </c>
      <c r="Z324" s="36">
        <f>IFERROR(IF(X324="","",X324*0.0155),"")</f>
        <v>0</v>
      </c>
      <c r="AA324" s="56"/>
      <c r="AB324" s="57"/>
      <c r="AC324" s="324" t="s">
        <v>499</v>
      </c>
      <c r="AG324" s="67"/>
      <c r="AJ324" s="71" t="s">
        <v>72</v>
      </c>
      <c r="AK324" s="71">
        <v>1</v>
      </c>
      <c r="BB324" s="325" t="s">
        <v>83</v>
      </c>
      <c r="BM324" s="67">
        <f t="shared" si="25"/>
        <v>0</v>
      </c>
      <c r="BN324" s="67">
        <f t="shared" si="26"/>
        <v>0</v>
      </c>
      <c r="BO324" s="67">
        <f t="shared" si="27"/>
        <v>0</v>
      </c>
      <c r="BP324" s="67">
        <f t="shared" si="28"/>
        <v>0</v>
      </c>
    </row>
    <row r="325" spans="1:68" ht="27" customHeight="1" x14ac:dyDescent="0.25">
      <c r="A325" s="54" t="s">
        <v>500</v>
      </c>
      <c r="B325" s="54" t="s">
        <v>501</v>
      </c>
      <c r="C325" s="31">
        <v>4301135319</v>
      </c>
      <c r="D325" s="352">
        <v>4607111037473</v>
      </c>
      <c r="E325" s="353"/>
      <c r="F325" s="341">
        <v>1</v>
      </c>
      <c r="G325" s="32">
        <v>4</v>
      </c>
      <c r="H325" s="341">
        <v>4</v>
      </c>
      <c r="I325" s="341">
        <v>4.2300000000000004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83" t="s">
        <v>502</v>
      </c>
      <c r="Q325" s="347"/>
      <c r="R325" s="347"/>
      <c r="S325" s="347"/>
      <c r="T325" s="348"/>
      <c r="U325" s="34"/>
      <c r="V325" s="34"/>
      <c r="W325" s="35" t="s">
        <v>70</v>
      </c>
      <c r="X325" s="342">
        <v>0</v>
      </c>
      <c r="Y325" s="343">
        <f t="shared" si="24"/>
        <v>0</v>
      </c>
      <c r="Z325" s="36">
        <f>IFERROR(IF(X325="","",X325*0.0155),"")</f>
        <v>0</v>
      </c>
      <c r="AA325" s="56"/>
      <c r="AB325" s="57"/>
      <c r="AC325" s="326" t="s">
        <v>503</v>
      </c>
      <c r="AG325" s="67"/>
      <c r="AJ325" s="71" t="s">
        <v>72</v>
      </c>
      <c r="AK325" s="71">
        <v>1</v>
      </c>
      <c r="BB325" s="327" t="s">
        <v>83</v>
      </c>
      <c r="BM325" s="67">
        <f t="shared" si="25"/>
        <v>0</v>
      </c>
      <c r="BN325" s="67">
        <f t="shared" si="26"/>
        <v>0</v>
      </c>
      <c r="BO325" s="67">
        <f t="shared" si="27"/>
        <v>0</v>
      </c>
      <c r="BP325" s="67">
        <f t="shared" si="28"/>
        <v>0</v>
      </c>
    </row>
    <row r="326" spans="1:68" ht="27" customHeight="1" x14ac:dyDescent="0.25">
      <c r="A326" s="54" t="s">
        <v>504</v>
      </c>
      <c r="B326" s="54" t="s">
        <v>505</v>
      </c>
      <c r="C326" s="31">
        <v>4301135198</v>
      </c>
      <c r="D326" s="352">
        <v>4640242180663</v>
      </c>
      <c r="E326" s="353"/>
      <c r="F326" s="341">
        <v>0.9</v>
      </c>
      <c r="G326" s="32">
        <v>4</v>
      </c>
      <c r="H326" s="341">
        <v>3.6</v>
      </c>
      <c r="I326" s="341">
        <v>3.83</v>
      </c>
      <c r="J326" s="32">
        <v>84</v>
      </c>
      <c r="K326" s="32" t="s">
        <v>67</v>
      </c>
      <c r="L326" s="32" t="s">
        <v>68</v>
      </c>
      <c r="M326" s="33" t="s">
        <v>69</v>
      </c>
      <c r="N326" s="33"/>
      <c r="O326" s="32">
        <v>180</v>
      </c>
      <c r="P326" s="373" t="s">
        <v>506</v>
      </c>
      <c r="Q326" s="347"/>
      <c r="R326" s="347"/>
      <c r="S326" s="347"/>
      <c r="T326" s="348"/>
      <c r="U326" s="34"/>
      <c r="V326" s="34"/>
      <c r="W326" s="35" t="s">
        <v>70</v>
      </c>
      <c r="X326" s="342">
        <v>0</v>
      </c>
      <c r="Y326" s="343">
        <f t="shared" si="24"/>
        <v>0</v>
      </c>
      <c r="Z326" s="36">
        <f>IFERROR(IF(X326="","",X326*0.0155),"")</f>
        <v>0</v>
      </c>
      <c r="AA326" s="56"/>
      <c r="AB326" s="57"/>
      <c r="AC326" s="328" t="s">
        <v>507</v>
      </c>
      <c r="AG326" s="67"/>
      <c r="AJ326" s="71" t="s">
        <v>72</v>
      </c>
      <c r="AK326" s="71">
        <v>1</v>
      </c>
      <c r="BB326" s="329" t="s">
        <v>83</v>
      </c>
      <c r="BM326" s="67">
        <f t="shared" si="25"/>
        <v>0</v>
      </c>
      <c r="BN326" s="67">
        <f t="shared" si="26"/>
        <v>0</v>
      </c>
      <c r="BO326" s="67">
        <f t="shared" si="27"/>
        <v>0</v>
      </c>
      <c r="BP326" s="67">
        <f t="shared" si="28"/>
        <v>0</v>
      </c>
    </row>
    <row r="327" spans="1:68" ht="27" customHeight="1" x14ac:dyDescent="0.25">
      <c r="A327" s="54" t="s">
        <v>508</v>
      </c>
      <c r="B327" s="54" t="s">
        <v>509</v>
      </c>
      <c r="C327" s="31">
        <v>4301135723</v>
      </c>
      <c r="D327" s="352">
        <v>4640242181783</v>
      </c>
      <c r="E327" s="353"/>
      <c r="F327" s="341">
        <v>0.3</v>
      </c>
      <c r="G327" s="32">
        <v>9</v>
      </c>
      <c r="H327" s="341">
        <v>2.7</v>
      </c>
      <c r="I327" s="341">
        <v>2.988</v>
      </c>
      <c r="J327" s="32">
        <v>126</v>
      </c>
      <c r="K327" s="32" t="s">
        <v>80</v>
      </c>
      <c r="L327" s="32" t="s">
        <v>68</v>
      </c>
      <c r="M327" s="33" t="s">
        <v>69</v>
      </c>
      <c r="N327" s="33"/>
      <c r="O327" s="32">
        <v>180</v>
      </c>
      <c r="P327" s="485" t="s">
        <v>510</v>
      </c>
      <c r="Q327" s="347"/>
      <c r="R327" s="347"/>
      <c r="S327" s="347"/>
      <c r="T327" s="348"/>
      <c r="U327" s="34"/>
      <c r="V327" s="34"/>
      <c r="W327" s="35" t="s">
        <v>70</v>
      </c>
      <c r="X327" s="342">
        <v>0</v>
      </c>
      <c r="Y327" s="343">
        <f t="shared" si="24"/>
        <v>0</v>
      </c>
      <c r="Z327" s="36">
        <f>IFERROR(IF(X327="","",X327*0.00936),"")</f>
        <v>0</v>
      </c>
      <c r="AA327" s="56"/>
      <c r="AB327" s="57"/>
      <c r="AC327" s="330" t="s">
        <v>511</v>
      </c>
      <c r="AG327" s="67"/>
      <c r="AJ327" s="71" t="s">
        <v>72</v>
      </c>
      <c r="AK327" s="71">
        <v>1</v>
      </c>
      <c r="BB327" s="331" t="s">
        <v>83</v>
      </c>
      <c r="BM327" s="67">
        <f t="shared" si="25"/>
        <v>0</v>
      </c>
      <c r="BN327" s="67">
        <f t="shared" si="26"/>
        <v>0</v>
      </c>
      <c r="BO327" s="67">
        <f t="shared" si="27"/>
        <v>0</v>
      </c>
      <c r="BP327" s="67">
        <f t="shared" si="28"/>
        <v>0</v>
      </c>
    </row>
    <row r="328" spans="1:68" x14ac:dyDescent="0.2">
      <c r="A328" s="364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5"/>
      <c r="P328" s="359" t="s">
        <v>73</v>
      </c>
      <c r="Q328" s="360"/>
      <c r="R328" s="360"/>
      <c r="S328" s="360"/>
      <c r="T328" s="360"/>
      <c r="U328" s="360"/>
      <c r="V328" s="361"/>
      <c r="W328" s="37" t="s">
        <v>70</v>
      </c>
      <c r="X328" s="344">
        <f>IFERROR(SUM(X307:X327),"0")</f>
        <v>42</v>
      </c>
      <c r="Y328" s="344">
        <f>IFERROR(SUM(Y307:Y327),"0")</f>
        <v>42</v>
      </c>
      <c r="Z328" s="344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0.39311999999999997</v>
      </c>
      <c r="AA328" s="345"/>
      <c r="AB328" s="345"/>
      <c r="AC328" s="345"/>
    </row>
    <row r="329" spans="1:68" x14ac:dyDescent="0.2">
      <c r="A329" s="356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65"/>
      <c r="P329" s="359" t="s">
        <v>73</v>
      </c>
      <c r="Q329" s="360"/>
      <c r="R329" s="360"/>
      <c r="S329" s="360"/>
      <c r="T329" s="360"/>
      <c r="U329" s="360"/>
      <c r="V329" s="361"/>
      <c r="W329" s="37" t="s">
        <v>74</v>
      </c>
      <c r="X329" s="344">
        <f>IFERROR(SUMPRODUCT(X307:X327*H307:H327),"0")</f>
        <v>145.60000000000002</v>
      </c>
      <c r="Y329" s="344">
        <f>IFERROR(SUMPRODUCT(Y307:Y327*H307:H327),"0")</f>
        <v>145.60000000000002</v>
      </c>
      <c r="Z329" s="37"/>
      <c r="AA329" s="345"/>
      <c r="AB329" s="345"/>
      <c r="AC329" s="345"/>
    </row>
    <row r="330" spans="1:68" ht="16.5" customHeight="1" x14ac:dyDescent="0.25">
      <c r="A330" s="355" t="s">
        <v>512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37"/>
      <c r="AB330" s="337"/>
      <c r="AC330" s="337"/>
    </row>
    <row r="331" spans="1:68" ht="14.25" customHeight="1" x14ac:dyDescent="0.25">
      <c r="A331" s="375" t="s">
        <v>153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56"/>
      <c r="Z331" s="356"/>
      <c r="AA331" s="338"/>
      <c r="AB331" s="338"/>
      <c r="AC331" s="338"/>
    </row>
    <row r="332" spans="1:68" ht="27" customHeight="1" x14ac:dyDescent="0.25">
      <c r="A332" s="54" t="s">
        <v>513</v>
      </c>
      <c r="B332" s="54" t="s">
        <v>514</v>
      </c>
      <c r="C332" s="31">
        <v>4301135268</v>
      </c>
      <c r="D332" s="352">
        <v>4640242181134</v>
      </c>
      <c r="E332" s="353"/>
      <c r="F332" s="341">
        <v>0.8</v>
      </c>
      <c r="G332" s="32">
        <v>5</v>
      </c>
      <c r="H332" s="341">
        <v>4</v>
      </c>
      <c r="I332" s="341">
        <v>4.2830000000000004</v>
      </c>
      <c r="J332" s="32">
        <v>84</v>
      </c>
      <c r="K332" s="32" t="s">
        <v>67</v>
      </c>
      <c r="L332" s="32" t="s">
        <v>68</v>
      </c>
      <c r="M332" s="33" t="s">
        <v>69</v>
      </c>
      <c r="N332" s="33"/>
      <c r="O332" s="32">
        <v>180</v>
      </c>
      <c r="P332" s="481" t="s">
        <v>515</v>
      </c>
      <c r="Q332" s="347"/>
      <c r="R332" s="347"/>
      <c r="S332" s="347"/>
      <c r="T332" s="348"/>
      <c r="U332" s="34"/>
      <c r="V332" s="34"/>
      <c r="W332" s="35" t="s">
        <v>70</v>
      </c>
      <c r="X332" s="342">
        <v>0</v>
      </c>
      <c r="Y332" s="343">
        <f>IFERROR(IF(X332="","",X332),"")</f>
        <v>0</v>
      </c>
      <c r="Z332" s="36">
        <f>IFERROR(IF(X332="","",X332*0.0155),"")</f>
        <v>0</v>
      </c>
      <c r="AA332" s="56"/>
      <c r="AB332" s="57"/>
      <c r="AC332" s="332" t="s">
        <v>516</v>
      </c>
      <c r="AG332" s="67"/>
      <c r="AJ332" s="71" t="s">
        <v>72</v>
      </c>
      <c r="AK332" s="71">
        <v>1</v>
      </c>
      <c r="BB332" s="333" t="s">
        <v>83</v>
      </c>
      <c r="BM332" s="67">
        <f>IFERROR(X332*I332,"0")</f>
        <v>0</v>
      </c>
      <c r="BN332" s="67">
        <f>IFERROR(Y332*I332,"0")</f>
        <v>0</v>
      </c>
      <c r="BO332" s="67">
        <f>IFERROR(X332/J332,"0")</f>
        <v>0</v>
      </c>
      <c r="BP332" s="67">
        <f>IFERROR(Y332/J332,"0")</f>
        <v>0</v>
      </c>
    </row>
    <row r="333" spans="1:68" x14ac:dyDescent="0.2">
      <c r="A333" s="364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5"/>
      <c r="P333" s="359" t="s">
        <v>73</v>
      </c>
      <c r="Q333" s="360"/>
      <c r="R333" s="360"/>
      <c r="S333" s="360"/>
      <c r="T333" s="360"/>
      <c r="U333" s="360"/>
      <c r="V333" s="361"/>
      <c r="W333" s="37" t="s">
        <v>70</v>
      </c>
      <c r="X333" s="344">
        <f>IFERROR(SUM(X332:X332),"0")</f>
        <v>0</v>
      </c>
      <c r="Y333" s="344">
        <f>IFERROR(SUM(Y332:Y332),"0")</f>
        <v>0</v>
      </c>
      <c r="Z333" s="344">
        <f>IFERROR(IF(Z332="",0,Z332),"0")</f>
        <v>0</v>
      </c>
      <c r="AA333" s="345"/>
      <c r="AB333" s="345"/>
      <c r="AC333" s="345"/>
    </row>
    <row r="334" spans="1:68" x14ac:dyDescent="0.2">
      <c r="A334" s="356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5"/>
      <c r="P334" s="359" t="s">
        <v>73</v>
      </c>
      <c r="Q334" s="360"/>
      <c r="R334" s="360"/>
      <c r="S334" s="360"/>
      <c r="T334" s="360"/>
      <c r="U334" s="360"/>
      <c r="V334" s="361"/>
      <c r="W334" s="37" t="s">
        <v>74</v>
      </c>
      <c r="X334" s="344">
        <f>IFERROR(SUMPRODUCT(X332:X332*H332:H332),"0")</f>
        <v>0</v>
      </c>
      <c r="Y334" s="344">
        <f>IFERROR(SUMPRODUCT(Y332:Y332*H332:H332),"0")</f>
        <v>0</v>
      </c>
      <c r="Z334" s="37"/>
      <c r="AA334" s="345"/>
      <c r="AB334" s="345"/>
      <c r="AC334" s="345"/>
    </row>
    <row r="335" spans="1:68" ht="15" customHeight="1" x14ac:dyDescent="0.2">
      <c r="A335" s="520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458"/>
      <c r="P335" s="403" t="s">
        <v>517</v>
      </c>
      <c r="Q335" s="404"/>
      <c r="R335" s="404"/>
      <c r="S335" s="404"/>
      <c r="T335" s="404"/>
      <c r="U335" s="404"/>
      <c r="V335" s="405"/>
      <c r="W335" s="37" t="s">
        <v>74</v>
      </c>
      <c r="X335" s="344">
        <f>IFERROR(X24+X33+X40+X52+X57+X61+X66+X71+X79+X85+X90+X96+X106+X113+X123+X129+X135+X141+X146+X151+X157+X162+X168+X176+X181+X189+X193+X198+X207+X214+X224+X232+X237+X242+X248+X253+X259+X265+X272+X278+X282+X290+X294+X299+X305+X329+X334,"0")</f>
        <v>12082.359999999999</v>
      </c>
      <c r="Y335" s="344">
        <f>IFERROR(Y24+Y33+Y40+Y52+Y57+Y61+Y66+Y71+Y79+Y85+Y90+Y96+Y106+Y113+Y123+Y129+Y135+Y141+Y146+Y151+Y157+Y162+Y168+Y176+Y181+Y189+Y193+Y198+Y207+Y214+Y224+Y232+Y237+Y242+Y248+Y253+Y259+Y265+Y272+Y278+Y282+Y290+Y294+Y299+Y305+Y329+Y334,"0")</f>
        <v>12082.359999999999</v>
      </c>
      <c r="Z335" s="37"/>
      <c r="AA335" s="345"/>
      <c r="AB335" s="345"/>
      <c r="AC335" s="345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458"/>
      <c r="P336" s="403" t="s">
        <v>518</v>
      </c>
      <c r="Q336" s="404"/>
      <c r="R336" s="404"/>
      <c r="S336" s="404"/>
      <c r="T336" s="404"/>
      <c r="U336" s="404"/>
      <c r="V336" s="405"/>
      <c r="W336" s="37" t="s">
        <v>74</v>
      </c>
      <c r="X336" s="344">
        <f>IFERROR(SUM(BM22:BM332),"0")</f>
        <v>13193.535599999996</v>
      </c>
      <c r="Y336" s="344">
        <f>IFERROR(SUM(BN22:BN332),"0")</f>
        <v>13193.535599999996</v>
      </c>
      <c r="Z336" s="37"/>
      <c r="AA336" s="345"/>
      <c r="AB336" s="345"/>
      <c r="AC336" s="345"/>
    </row>
    <row r="337" spans="1:37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458"/>
      <c r="P337" s="403" t="s">
        <v>519</v>
      </c>
      <c r="Q337" s="404"/>
      <c r="R337" s="404"/>
      <c r="S337" s="404"/>
      <c r="T337" s="404"/>
      <c r="U337" s="404"/>
      <c r="V337" s="405"/>
      <c r="W337" s="37" t="s">
        <v>520</v>
      </c>
      <c r="X337" s="38">
        <f>ROUNDUP(SUM(BO22:BO332),0)</f>
        <v>32</v>
      </c>
      <c r="Y337" s="38">
        <f>ROUNDUP(SUM(BP22:BP332),0)</f>
        <v>32</v>
      </c>
      <c r="Z337" s="37"/>
      <c r="AA337" s="345"/>
      <c r="AB337" s="345"/>
      <c r="AC337" s="345"/>
    </row>
    <row r="338" spans="1:37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458"/>
      <c r="P338" s="403" t="s">
        <v>521</v>
      </c>
      <c r="Q338" s="404"/>
      <c r="R338" s="404"/>
      <c r="S338" s="404"/>
      <c r="T338" s="404"/>
      <c r="U338" s="404"/>
      <c r="V338" s="405"/>
      <c r="W338" s="37" t="s">
        <v>74</v>
      </c>
      <c r="X338" s="344">
        <f>GrossWeightTotal+PalletQtyTotal*25</f>
        <v>13993.535599999996</v>
      </c>
      <c r="Y338" s="344">
        <f>GrossWeightTotalR+PalletQtyTotalR*25</f>
        <v>13993.535599999996</v>
      </c>
      <c r="Z338" s="37"/>
      <c r="AA338" s="345"/>
      <c r="AB338" s="345"/>
      <c r="AC338" s="345"/>
    </row>
    <row r="339" spans="1:37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458"/>
      <c r="P339" s="403" t="s">
        <v>522</v>
      </c>
      <c r="Q339" s="404"/>
      <c r="R339" s="404"/>
      <c r="S339" s="404"/>
      <c r="T339" s="404"/>
      <c r="U339" s="404"/>
      <c r="V339" s="405"/>
      <c r="W339" s="37" t="s">
        <v>520</v>
      </c>
      <c r="X339" s="344">
        <f>IFERROR(X23+X32+X39+X51+X56+X60+X65+X70+X78+X84+X89+X95+X105+X112+X122+X128+X134+X140+X145+X150+X156+X161+X167+X175+X180+X188+X192+X197+X206+X213+X223+X231+X236+X241+X247+X252+X258+X264+X271+X277+X281+X289+X293+X298+X304+X328+X333,"0")</f>
        <v>2546</v>
      </c>
      <c r="Y339" s="344">
        <f>IFERROR(Y23+Y32+Y39+Y51+Y56+Y60+Y65+Y70+Y78+Y84+Y89+Y95+Y105+Y112+Y122+Y128+Y134+Y140+Y145+Y150+Y156+Y161+Y167+Y175+Y180+Y188+Y192+Y197+Y206+Y213+Y223+Y231+Y236+Y241+Y247+Y252+Y258+Y264+Y271+Y277+Y281+Y289+Y293+Y298+Y304+Y328+Y333,"0")</f>
        <v>2546</v>
      </c>
      <c r="Z339" s="37"/>
      <c r="AA339" s="345"/>
      <c r="AB339" s="345"/>
      <c r="AC339" s="345"/>
    </row>
    <row r="340" spans="1:37" ht="14.25" customHeight="1" x14ac:dyDescent="0.2">
      <c r="A340" s="356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458"/>
      <c r="P340" s="403" t="s">
        <v>523</v>
      </c>
      <c r="Q340" s="404"/>
      <c r="R340" s="404"/>
      <c r="S340" s="404"/>
      <c r="T340" s="404"/>
      <c r="U340" s="404"/>
      <c r="V340" s="405"/>
      <c r="W340" s="39" t="s">
        <v>524</v>
      </c>
      <c r="X340" s="37"/>
      <c r="Y340" s="37"/>
      <c r="Z340" s="37">
        <f>IFERROR(Z23+Z32+Z39+Z51+Z56+Z60+Z65+Z70+Z78+Z84+Z89+Z95+Z105+Z112+Z122+Z128+Z134+Z140+Z145+Z150+Z156+Z161+Z167+Z175+Z180+Z188+Z192+Z197+Z206+Z213+Z223+Z231+Z236+Z241+Z247+Z252+Z258+Z264+Z271+Z277+Z281+Z289+Z293+Z298+Z304+Z328+Z333,"0")</f>
        <v>40.405840000000005</v>
      </c>
      <c r="AA340" s="345"/>
      <c r="AB340" s="345"/>
      <c r="AC340" s="345"/>
    </row>
    <row r="341" spans="1:37" ht="13.5" customHeight="1" thickBot="1" x14ac:dyDescent="0.25"/>
    <row r="342" spans="1:37" ht="27" customHeight="1" thickTop="1" thickBot="1" x14ac:dyDescent="0.25">
      <c r="A342" s="40" t="s">
        <v>525</v>
      </c>
      <c r="B342" s="339" t="s">
        <v>63</v>
      </c>
      <c r="C342" s="366" t="s">
        <v>75</v>
      </c>
      <c r="D342" s="440"/>
      <c r="E342" s="440"/>
      <c r="F342" s="440"/>
      <c r="G342" s="440"/>
      <c r="H342" s="440"/>
      <c r="I342" s="440"/>
      <c r="J342" s="440"/>
      <c r="K342" s="440"/>
      <c r="L342" s="440"/>
      <c r="M342" s="440"/>
      <c r="N342" s="440"/>
      <c r="O342" s="440"/>
      <c r="P342" s="440"/>
      <c r="Q342" s="440"/>
      <c r="R342" s="440"/>
      <c r="S342" s="440"/>
      <c r="T342" s="438"/>
      <c r="U342" s="366" t="s">
        <v>269</v>
      </c>
      <c r="V342" s="438"/>
      <c r="W342" s="366" t="s">
        <v>295</v>
      </c>
      <c r="X342" s="438"/>
      <c r="Y342" s="366" t="s">
        <v>318</v>
      </c>
      <c r="Z342" s="440"/>
      <c r="AA342" s="440"/>
      <c r="AB342" s="440"/>
      <c r="AC342" s="440"/>
      <c r="AD342" s="440"/>
      <c r="AE342" s="440"/>
      <c r="AF342" s="438"/>
      <c r="AG342" s="339" t="s">
        <v>396</v>
      </c>
      <c r="AH342" s="339" t="s">
        <v>401</v>
      </c>
      <c r="AI342" s="339" t="s">
        <v>408</v>
      </c>
      <c r="AJ342" s="366" t="s">
        <v>270</v>
      </c>
      <c r="AK342" s="438"/>
    </row>
    <row r="343" spans="1:37" ht="14.25" customHeight="1" thickTop="1" x14ac:dyDescent="0.2">
      <c r="A343" s="379" t="s">
        <v>526</v>
      </c>
      <c r="B343" s="366" t="s">
        <v>63</v>
      </c>
      <c r="C343" s="366" t="s">
        <v>76</v>
      </c>
      <c r="D343" s="366" t="s">
        <v>93</v>
      </c>
      <c r="E343" s="366" t="s">
        <v>106</v>
      </c>
      <c r="F343" s="366" t="s">
        <v>129</v>
      </c>
      <c r="G343" s="366" t="s">
        <v>168</v>
      </c>
      <c r="H343" s="366" t="s">
        <v>175</v>
      </c>
      <c r="I343" s="366" t="s">
        <v>180</v>
      </c>
      <c r="J343" s="366" t="s">
        <v>189</v>
      </c>
      <c r="K343" s="366" t="s">
        <v>206</v>
      </c>
      <c r="L343" s="366" t="s">
        <v>216</v>
      </c>
      <c r="M343" s="366" t="s">
        <v>230</v>
      </c>
      <c r="N343" s="340"/>
      <c r="O343" s="366" t="s">
        <v>236</v>
      </c>
      <c r="P343" s="366" t="s">
        <v>243</v>
      </c>
      <c r="Q343" s="366" t="s">
        <v>249</v>
      </c>
      <c r="R343" s="366" t="s">
        <v>254</v>
      </c>
      <c r="S343" s="366" t="s">
        <v>257</v>
      </c>
      <c r="T343" s="366" t="s">
        <v>265</v>
      </c>
      <c r="U343" s="366" t="s">
        <v>270</v>
      </c>
      <c r="V343" s="366" t="s">
        <v>274</v>
      </c>
      <c r="W343" s="366" t="s">
        <v>296</v>
      </c>
      <c r="X343" s="366" t="s">
        <v>314</v>
      </c>
      <c r="Y343" s="366" t="s">
        <v>319</v>
      </c>
      <c r="Z343" s="366" t="s">
        <v>331</v>
      </c>
      <c r="AA343" s="366" t="s">
        <v>341</v>
      </c>
      <c r="AB343" s="366" t="s">
        <v>356</v>
      </c>
      <c r="AC343" s="366" t="s">
        <v>367</v>
      </c>
      <c r="AD343" s="366" t="s">
        <v>371</v>
      </c>
      <c r="AE343" s="366" t="s">
        <v>386</v>
      </c>
      <c r="AF343" s="366" t="s">
        <v>390</v>
      </c>
      <c r="AG343" s="366" t="s">
        <v>397</v>
      </c>
      <c r="AH343" s="366" t="s">
        <v>402</v>
      </c>
      <c r="AI343" s="366" t="s">
        <v>409</v>
      </c>
      <c r="AJ343" s="366" t="s">
        <v>270</v>
      </c>
      <c r="AK343" s="366" t="s">
        <v>512</v>
      </c>
    </row>
    <row r="344" spans="1:37" ht="13.5" customHeight="1" thickBot="1" x14ac:dyDescent="0.25">
      <c r="A344" s="380"/>
      <c r="B344" s="367"/>
      <c r="C344" s="367"/>
      <c r="D344" s="367"/>
      <c r="E344" s="367"/>
      <c r="F344" s="367"/>
      <c r="G344" s="367"/>
      <c r="H344" s="367"/>
      <c r="I344" s="367"/>
      <c r="J344" s="367"/>
      <c r="K344" s="367"/>
      <c r="L344" s="367"/>
      <c r="M344" s="367"/>
      <c r="N344" s="340"/>
      <c r="O344" s="367"/>
      <c r="P344" s="367"/>
      <c r="Q344" s="367"/>
      <c r="R344" s="367"/>
      <c r="S344" s="367"/>
      <c r="T344" s="367"/>
      <c r="U344" s="367"/>
      <c r="V344" s="367"/>
      <c r="W344" s="367"/>
      <c r="X344" s="367"/>
      <c r="Y344" s="367"/>
      <c r="Z344" s="367"/>
      <c r="AA344" s="367"/>
      <c r="AB344" s="367"/>
      <c r="AC344" s="367"/>
      <c r="AD344" s="367"/>
      <c r="AE344" s="367"/>
      <c r="AF344" s="367"/>
      <c r="AG344" s="367"/>
      <c r="AH344" s="367"/>
      <c r="AI344" s="367"/>
      <c r="AJ344" s="367"/>
      <c r="AK344" s="367"/>
    </row>
    <row r="345" spans="1:37" ht="18" customHeight="1" thickTop="1" thickBot="1" x14ac:dyDescent="0.25">
      <c r="A345" s="40" t="s">
        <v>527</v>
      </c>
      <c r="B345" s="46">
        <f>IFERROR(X22*H22,"0")</f>
        <v>0</v>
      </c>
      <c r="C345" s="46">
        <f>IFERROR(X28*H28,"0")+IFERROR(X29*H29,"0")+IFERROR(X30*H30,"0")+IFERROR(X31*H31,"0")</f>
        <v>84</v>
      </c>
      <c r="D345" s="46">
        <f>IFERROR(X36*H36,"0")+IFERROR(X37*H37,"0")+IFERROR(X38*H38,"0")</f>
        <v>67.199999999999989</v>
      </c>
      <c r="E345" s="46">
        <f>IFERROR(X43*H43,"0")+IFERROR(X44*H44,"0")+IFERROR(X45*H45,"0")+IFERROR(X46*H46,"0")+IFERROR(X47*H47,"0")+IFERROR(X48*H48,"0")+IFERROR(X49*H49,"0")+IFERROR(X50*H50,"0")</f>
        <v>1658.4</v>
      </c>
      <c r="F345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5" s="46">
        <f>IFERROR(X82*H82,"0")+IFERROR(X83*H83,"0")</f>
        <v>97.2</v>
      </c>
      <c r="H345" s="46">
        <f>IFERROR(X88*H88,"0")</f>
        <v>0</v>
      </c>
      <c r="I345" s="46">
        <f>IFERROR(X93*H93,"0")+IFERROR(X94*H94,"0")</f>
        <v>50.4</v>
      </c>
      <c r="J345" s="46">
        <f>IFERROR(X99*H99,"0")+IFERROR(X100*H100,"0")+IFERROR(X101*H101,"0")+IFERROR(X102*H102,"0")+IFERROR(X103*H103,"0")+IFERROR(X104*H104,"0")</f>
        <v>1327.1999999999998</v>
      </c>
      <c r="K345" s="46">
        <f>IFERROR(X109*H109,"0")+IFERROR(X110*H110,"0")+IFERROR(X111*H111,"0")</f>
        <v>60.480000000000004</v>
      </c>
      <c r="L345" s="46">
        <f>IFERROR(X116*H116,"0")+IFERROR(X117*H117,"0")+IFERROR(X118*H118,"0")+IFERROR(X119*H119,"0")+IFERROR(X120*H120,"0")+IFERROR(X121*H121,"0")</f>
        <v>4372.8</v>
      </c>
      <c r="M345" s="46">
        <f>IFERROR(X126*H126,"0")+IFERROR(X127*H127,"0")</f>
        <v>1260</v>
      </c>
      <c r="N345" s="340"/>
      <c r="O345" s="46">
        <f>IFERROR(X132*H132,"0")+IFERROR(X133*H133,"0")</f>
        <v>378</v>
      </c>
      <c r="P345" s="46">
        <f>IFERROR(X138*H138,"0")+IFERROR(X139*H139,"0")</f>
        <v>294</v>
      </c>
      <c r="Q345" s="46">
        <f>IFERROR(X144*H144,"0")</f>
        <v>0</v>
      </c>
      <c r="R345" s="46">
        <f>IFERROR(X149*H149,"0")</f>
        <v>0</v>
      </c>
      <c r="S345" s="46">
        <f>IFERROR(X154*H154,"0")+IFERROR(X155*H155,"0")</f>
        <v>0</v>
      </c>
      <c r="T345" s="46">
        <f>IFERROR(X160*H160,"0")</f>
        <v>0</v>
      </c>
      <c r="U345" s="46">
        <f>IFERROR(X166*H166,"0")</f>
        <v>0</v>
      </c>
      <c r="V345" s="46">
        <f>IFERROR(X171*H171,"0")+IFERROR(X172*H172,"0")+IFERROR(X173*H173,"0")+IFERROR(X174*H174,"0")+IFERROR(X178*H178,"0")+IFERROR(X179*H179,"0")</f>
        <v>120</v>
      </c>
      <c r="W345" s="46">
        <f>IFERROR(X185*H185,"0")+IFERROR(X186*H186,"0")+IFERROR(X187*H187,"0")+IFERROR(X191*H191,"0")</f>
        <v>168</v>
      </c>
      <c r="X345" s="46">
        <f>IFERROR(X196*H196,"0")</f>
        <v>0</v>
      </c>
      <c r="Y345" s="46">
        <f>IFERROR(X202*H202,"0")+IFERROR(X203*H203,"0")+IFERROR(X204*H204,"0")+IFERROR(X205*H205,"0")</f>
        <v>33.6</v>
      </c>
      <c r="Z345" s="46">
        <f>IFERROR(X210*H210,"0")+IFERROR(X211*H211,"0")+IFERROR(X212*H212,"0")</f>
        <v>335.99999999999994</v>
      </c>
      <c r="AA345" s="46">
        <f>IFERROR(X217*H217,"0")+IFERROR(X218*H218,"0")+IFERROR(X219*H219,"0")+IFERROR(X220*H220,"0")+IFERROR(X221*H221,"0")+IFERROR(X222*H222,"0")</f>
        <v>470.4</v>
      </c>
      <c r="AB345" s="46">
        <f>IFERROR(X227*H227,"0")+IFERROR(X228*H228,"0")+IFERROR(X229*H229,"0")+IFERROR(X230*H230,"0")</f>
        <v>86.4</v>
      </c>
      <c r="AC345" s="46">
        <f>IFERROR(X235*H235,"0")</f>
        <v>0</v>
      </c>
      <c r="AD345" s="46">
        <f>IFERROR(X240*H240,"0")+IFERROR(X244*H244,"0")+IFERROR(X245*H245,"0")+IFERROR(X246*H246,"0")</f>
        <v>0</v>
      </c>
      <c r="AE345" s="46">
        <f>IFERROR(X251*H251,"0")</f>
        <v>0</v>
      </c>
      <c r="AF345" s="46">
        <f>IFERROR(X256*H256,"0")+IFERROR(X257*H257,"0")</f>
        <v>76.800000000000011</v>
      </c>
      <c r="AG345" s="46">
        <f>IFERROR(X263*H263,"0")</f>
        <v>0</v>
      </c>
      <c r="AH345" s="46">
        <f>IFERROR(X269*H269,"0")+IFERROR(X270*H270,"0")</f>
        <v>240</v>
      </c>
      <c r="AI345" s="46">
        <f>IFERROR(X276*H276,"0")+IFERROR(X280*H280,"0")</f>
        <v>0</v>
      </c>
      <c r="AJ345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901.48</v>
      </c>
      <c r="AK345" s="46">
        <f>IFERROR(X332*H332,"0")</f>
        <v>0</v>
      </c>
    </row>
    <row r="346" spans="1:37" ht="13.5" customHeight="1" thickTop="1" x14ac:dyDescent="0.2">
      <c r="C346" s="340"/>
    </row>
    <row r="347" spans="1:37" ht="19.5" customHeight="1" x14ac:dyDescent="0.2">
      <c r="A347" s="58" t="s">
        <v>528</v>
      </c>
      <c r="B347" s="58" t="s">
        <v>529</v>
      </c>
      <c r="C347" s="58" t="s">
        <v>530</v>
      </c>
    </row>
    <row r="348" spans="1:37" x14ac:dyDescent="0.2">
      <c r="A348" s="59">
        <f>SUMPRODUCT(--(BB:BB="ЗПФ"),--(W:W="кор"),H:H,Y:Y)+SUMPRODUCT(--(BB:BB="ЗПФ"),--(W:W="кг"),Y:Y)</f>
        <v>7525.2</v>
      </c>
      <c r="B348" s="60">
        <f>SUMPRODUCT(--(BB:BB="ПГП"),--(W:W="кор"),H:H,Y:Y)+SUMPRODUCT(--(BB:BB="ПГП"),--(W:W="кг"),Y:Y)</f>
        <v>4557.1600000000008</v>
      </c>
      <c r="C348" s="60">
        <f>SUMPRODUCT(--(BB:BB="КИЗ"),--(W:W="кор"),H:H,Y:Y)+SUMPRODUCT(--(BB:BB="КИЗ"),--(W:W="кг"),Y:Y)</f>
        <v>0</v>
      </c>
    </row>
  </sheetData>
  <sheetProtection algorithmName="SHA-512" hashValue="Pc7VKAzkZjusb/kGX/TyLHPIymF7uuHvx56yZ5cbH2M56RDkUbnRO1E7DT809tXa+t9LEr2EOabB4ETMJUUapw==" saltValue="1c1rE5g52o5laHHhOE2t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8">
    <mergeCell ref="P313:T313"/>
    <mergeCell ref="P202:T202"/>
    <mergeCell ref="P307:T307"/>
    <mergeCell ref="A188:O189"/>
    <mergeCell ref="X17:X18"/>
    <mergeCell ref="D50:E50"/>
    <mergeCell ref="D110:E110"/>
    <mergeCell ref="D44:E44"/>
    <mergeCell ref="Y343:Y344"/>
    <mergeCell ref="D286:E286"/>
    <mergeCell ref="AE343:AE344"/>
    <mergeCell ref="P145:V145"/>
    <mergeCell ref="P23:V23"/>
    <mergeCell ref="P272:V272"/>
    <mergeCell ref="D133:E133"/>
    <mergeCell ref="A35:Z35"/>
    <mergeCell ref="A262:Z262"/>
    <mergeCell ref="A62:Z62"/>
    <mergeCell ref="P83:T83"/>
    <mergeCell ref="P343:P344"/>
    <mergeCell ref="P319:T319"/>
    <mergeCell ref="D191:E191"/>
    <mergeCell ref="P122:V122"/>
    <mergeCell ref="P174:T174"/>
    <mergeCell ref="P149:T149"/>
    <mergeCell ref="A153:Z153"/>
    <mergeCell ref="A197:O198"/>
    <mergeCell ref="U342:V342"/>
    <mergeCell ref="A255:Z255"/>
    <mergeCell ref="P126:T126"/>
    <mergeCell ref="P218:T218"/>
    <mergeCell ref="P140:V140"/>
    <mergeCell ref="A136:Z136"/>
    <mergeCell ref="D121:E121"/>
    <mergeCell ref="P288:T288"/>
    <mergeCell ref="P305:V305"/>
    <mergeCell ref="P263:T263"/>
    <mergeCell ref="D244:E244"/>
    <mergeCell ref="A60:O61"/>
    <mergeCell ref="P228:T228"/>
    <mergeCell ref="D171:E171"/>
    <mergeCell ref="Q6:R6"/>
    <mergeCell ref="A267:Z267"/>
    <mergeCell ref="P292:T292"/>
    <mergeCell ref="D102:E102"/>
    <mergeCell ref="D196:E196"/>
    <mergeCell ref="V12:W12"/>
    <mergeCell ref="U17:V17"/>
    <mergeCell ref="Y17:Y18"/>
    <mergeCell ref="A8:C8"/>
    <mergeCell ref="A10:C10"/>
    <mergeCell ref="A21:Z21"/>
    <mergeCell ref="A194:Z194"/>
    <mergeCell ref="D173:E173"/>
    <mergeCell ref="D17:E18"/>
    <mergeCell ref="A213:O214"/>
    <mergeCell ref="A131:Z131"/>
    <mergeCell ref="AD17:AF18"/>
    <mergeCell ref="A39:O40"/>
    <mergeCell ref="Q343:Q344"/>
    <mergeCell ref="P167:V167"/>
    <mergeCell ref="D101:E101"/>
    <mergeCell ref="D76:E76"/>
    <mergeCell ref="F5:G5"/>
    <mergeCell ref="A25:Z25"/>
    <mergeCell ref="P186:T186"/>
    <mergeCell ref="P82:T82"/>
    <mergeCell ref="D221:E221"/>
    <mergeCell ref="V11:W11"/>
    <mergeCell ref="P75:T75"/>
    <mergeCell ref="P317:T317"/>
    <mergeCell ref="D323:E323"/>
    <mergeCell ref="A192:O193"/>
    <mergeCell ref="A254:Z254"/>
    <mergeCell ref="P121:T121"/>
    <mergeCell ref="D29:E29"/>
    <mergeCell ref="A134:O135"/>
    <mergeCell ref="A20:Z20"/>
    <mergeCell ref="A125:Z125"/>
    <mergeCell ref="P110:T110"/>
    <mergeCell ref="P66:V66"/>
    <mergeCell ref="P2:W3"/>
    <mergeCell ref="P133:T133"/>
    <mergeCell ref="P127:T127"/>
    <mergeCell ref="A170:Z170"/>
    <mergeCell ref="D228:E228"/>
    <mergeCell ref="A23:O24"/>
    <mergeCell ref="P64:T64"/>
    <mergeCell ref="D10:E10"/>
    <mergeCell ref="F10:G10"/>
    <mergeCell ref="P191:T191"/>
    <mergeCell ref="D99:E99"/>
    <mergeCell ref="P78:V78"/>
    <mergeCell ref="A130:Z130"/>
    <mergeCell ref="A201:Z201"/>
    <mergeCell ref="D218:E218"/>
    <mergeCell ref="P197:V197"/>
    <mergeCell ref="A114:Z114"/>
    <mergeCell ref="A107:Z107"/>
    <mergeCell ref="N17:N18"/>
    <mergeCell ref="D49:E49"/>
    <mergeCell ref="Q5:R5"/>
    <mergeCell ref="D120:E120"/>
    <mergeCell ref="F17:F18"/>
    <mergeCell ref="P49:T49"/>
    <mergeCell ref="P36:T36"/>
    <mergeCell ref="D321:E321"/>
    <mergeCell ref="P129:V129"/>
    <mergeCell ref="P101:T101"/>
    <mergeCell ref="A128:O129"/>
    <mergeCell ref="A233:Z233"/>
    <mergeCell ref="M17:M18"/>
    <mergeCell ref="I343:I344"/>
    <mergeCell ref="O17:O18"/>
    <mergeCell ref="P258:V258"/>
    <mergeCell ref="P223:V223"/>
    <mergeCell ref="P52:V52"/>
    <mergeCell ref="P102:T102"/>
    <mergeCell ref="P189:V189"/>
    <mergeCell ref="P196:T196"/>
    <mergeCell ref="P281:V281"/>
    <mergeCell ref="D270:E270"/>
    <mergeCell ref="D310:E310"/>
    <mergeCell ref="O343:O344"/>
    <mergeCell ref="A258:O259"/>
    <mergeCell ref="A249:Z249"/>
    <mergeCell ref="P289:V289"/>
    <mergeCell ref="D276:E276"/>
    <mergeCell ref="A9:C9"/>
    <mergeCell ref="D202:E202"/>
    <mergeCell ref="G343:G344"/>
    <mergeCell ref="A236:O237"/>
    <mergeCell ref="P323:T323"/>
    <mergeCell ref="P39:V39"/>
    <mergeCell ref="A91:Z91"/>
    <mergeCell ref="A335:O340"/>
    <mergeCell ref="P337:V337"/>
    <mergeCell ref="P70:V70"/>
    <mergeCell ref="P32:V32"/>
    <mergeCell ref="P134:V134"/>
    <mergeCell ref="Q13:R13"/>
    <mergeCell ref="P339:V339"/>
    <mergeCell ref="D318:E318"/>
    <mergeCell ref="P139:T139"/>
    <mergeCell ref="D155:E155"/>
    <mergeCell ref="D22:E22"/>
    <mergeCell ref="A333:O334"/>
    <mergeCell ref="D320:E320"/>
    <mergeCell ref="A284:Z284"/>
    <mergeCell ref="D149:E149"/>
    <mergeCell ref="P301:T301"/>
    <mergeCell ref="P178:T178"/>
    <mergeCell ref="AK343:AK344"/>
    <mergeCell ref="AA343:AA344"/>
    <mergeCell ref="P265:V265"/>
    <mergeCell ref="AC343:AC344"/>
    <mergeCell ref="A283:Z283"/>
    <mergeCell ref="A41:Z41"/>
    <mergeCell ref="P237:V237"/>
    <mergeCell ref="H5:M5"/>
    <mergeCell ref="A27:Z27"/>
    <mergeCell ref="P329:V329"/>
    <mergeCell ref="D212:E212"/>
    <mergeCell ref="D317:E317"/>
    <mergeCell ref="A285:Z285"/>
    <mergeCell ref="D6:M6"/>
    <mergeCell ref="A306:Z306"/>
    <mergeCell ref="P95:V95"/>
    <mergeCell ref="D83:E83"/>
    <mergeCell ref="D319:E319"/>
    <mergeCell ref="P227:T227"/>
    <mergeCell ref="A223:O224"/>
    <mergeCell ref="P93:T93"/>
    <mergeCell ref="D256:E256"/>
    <mergeCell ref="P269:T269"/>
    <mergeCell ref="A150:O151"/>
    <mergeCell ref="V6:W9"/>
    <mergeCell ref="P38:T38"/>
    <mergeCell ref="P109:T109"/>
    <mergeCell ref="D186:E186"/>
    <mergeCell ref="D217:E217"/>
    <mergeCell ref="P222:T222"/>
    <mergeCell ref="P22:T22"/>
    <mergeCell ref="P320:T320"/>
    <mergeCell ref="P314:T314"/>
    <mergeCell ref="P236:V236"/>
    <mergeCell ref="P257:T257"/>
    <mergeCell ref="A54:Z54"/>
    <mergeCell ref="P271:V271"/>
    <mergeCell ref="A231:O232"/>
    <mergeCell ref="D222:E222"/>
    <mergeCell ref="A295:Z295"/>
    <mergeCell ref="P57:V57"/>
    <mergeCell ref="G17:G18"/>
    <mergeCell ref="D314:E314"/>
    <mergeCell ref="A143:Z143"/>
    <mergeCell ref="P242:V242"/>
    <mergeCell ref="A289:O290"/>
    <mergeCell ref="A182:Z182"/>
    <mergeCell ref="A169:Z169"/>
    <mergeCell ref="AA17:AA18"/>
    <mergeCell ref="H10:M10"/>
    <mergeCell ref="AC17:AC18"/>
    <mergeCell ref="A72:Z72"/>
    <mergeCell ref="F343:F344"/>
    <mergeCell ref="A199:Z199"/>
    <mergeCell ref="P251:T251"/>
    <mergeCell ref="H343:H344"/>
    <mergeCell ref="W342:X342"/>
    <mergeCell ref="A175:O176"/>
    <mergeCell ref="P45:T45"/>
    <mergeCell ref="P318:T318"/>
    <mergeCell ref="P256:T256"/>
    <mergeCell ref="A112:O113"/>
    <mergeCell ref="P334:V334"/>
    <mergeCell ref="Z17:Z18"/>
    <mergeCell ref="AB17:AB18"/>
    <mergeCell ref="A225:Z225"/>
    <mergeCell ref="D288:E288"/>
    <mergeCell ref="P123:V123"/>
    <mergeCell ref="P59:T59"/>
    <mergeCell ref="P46:T46"/>
    <mergeCell ref="A241:O242"/>
    <mergeCell ref="D154:E154"/>
    <mergeCell ref="R343:R344"/>
    <mergeCell ref="A84:O85"/>
    <mergeCell ref="P247:V247"/>
    <mergeCell ref="A271:O272"/>
    <mergeCell ref="D75:E75"/>
    <mergeCell ref="P241:V241"/>
    <mergeCell ref="A78:O79"/>
    <mergeCell ref="A158:Z158"/>
    <mergeCell ref="P327:T327"/>
    <mergeCell ref="P252:V252"/>
    <mergeCell ref="P105:V105"/>
    <mergeCell ref="P212:T212"/>
    <mergeCell ref="P111:T111"/>
    <mergeCell ref="A273:Z273"/>
    <mergeCell ref="D292:E292"/>
    <mergeCell ref="A105:O106"/>
    <mergeCell ref="D227:E227"/>
    <mergeCell ref="P321:T321"/>
    <mergeCell ref="P276:T276"/>
    <mergeCell ref="D257:E257"/>
    <mergeCell ref="P270:T270"/>
    <mergeCell ref="P192:V192"/>
    <mergeCell ref="P290:V290"/>
    <mergeCell ref="P297:T297"/>
    <mergeCell ref="J9:M9"/>
    <mergeCell ref="A65:O66"/>
    <mergeCell ref="D127:E127"/>
    <mergeCell ref="AJ343:AJ344"/>
    <mergeCell ref="P37:T37"/>
    <mergeCell ref="A56:O57"/>
    <mergeCell ref="A298:O299"/>
    <mergeCell ref="D64:E64"/>
    <mergeCell ref="P235:T235"/>
    <mergeCell ref="P328:V328"/>
    <mergeCell ref="P213:V213"/>
    <mergeCell ref="A209:Z209"/>
    <mergeCell ref="P157:V157"/>
    <mergeCell ref="A147:Z147"/>
    <mergeCell ref="A274:Z274"/>
    <mergeCell ref="P150:V150"/>
    <mergeCell ref="D138:E138"/>
    <mergeCell ref="A67:Z67"/>
    <mergeCell ref="D203:E203"/>
    <mergeCell ref="A275:Z275"/>
    <mergeCell ref="AI343:AI344"/>
    <mergeCell ref="H17:H18"/>
    <mergeCell ref="P332:T332"/>
    <mergeCell ref="P217:T217"/>
    <mergeCell ref="P324:T324"/>
    <mergeCell ref="A261:Z261"/>
    <mergeCell ref="A92:Z92"/>
    <mergeCell ref="P338:V338"/>
    <mergeCell ref="D36:E36"/>
    <mergeCell ref="P71:V71"/>
    <mergeCell ref="A13:M13"/>
    <mergeCell ref="P79:V79"/>
    <mergeCell ref="P231:V231"/>
    <mergeCell ref="A15:M15"/>
    <mergeCell ref="A183:Z183"/>
    <mergeCell ref="D48:E48"/>
    <mergeCell ref="P229:T229"/>
    <mergeCell ref="P77:T77"/>
    <mergeCell ref="P204:T204"/>
    <mergeCell ref="P179:T179"/>
    <mergeCell ref="D204:E204"/>
    <mergeCell ref="D269:E269"/>
    <mergeCell ref="D296:E296"/>
    <mergeCell ref="P325:T325"/>
    <mergeCell ref="P154:T154"/>
    <mergeCell ref="P56:V56"/>
    <mergeCell ref="A51:O52"/>
    <mergeCell ref="P48:T48"/>
    <mergeCell ref="T5:U5"/>
    <mergeCell ref="D119:E119"/>
    <mergeCell ref="P76:T76"/>
    <mergeCell ref="V5:W5"/>
    <mergeCell ref="D246:E246"/>
    <mergeCell ref="P203:T203"/>
    <mergeCell ref="P294:V294"/>
    <mergeCell ref="D46:E46"/>
    <mergeCell ref="D111:E111"/>
    <mergeCell ref="A142:Z142"/>
    <mergeCell ref="Q8:R8"/>
    <mergeCell ref="P69:T69"/>
    <mergeCell ref="D219:E219"/>
    <mergeCell ref="D104:E104"/>
    <mergeCell ref="T6:U9"/>
    <mergeCell ref="Q10:R10"/>
    <mergeCell ref="D185:E185"/>
    <mergeCell ref="P85:V85"/>
    <mergeCell ref="A137:Z137"/>
    <mergeCell ref="A208:Z208"/>
    <mergeCell ref="P60:V60"/>
    <mergeCell ref="A252:O253"/>
    <mergeCell ref="P84:V84"/>
    <mergeCell ref="D43:E43"/>
    <mergeCell ref="A12:M12"/>
    <mergeCell ref="P293:V293"/>
    <mergeCell ref="AD343:AD344"/>
    <mergeCell ref="P74:T74"/>
    <mergeCell ref="A190:Z190"/>
    <mergeCell ref="A19:Z19"/>
    <mergeCell ref="P310:T310"/>
    <mergeCell ref="A14:M14"/>
    <mergeCell ref="D280:E280"/>
    <mergeCell ref="D109:E109"/>
    <mergeCell ref="P138:T138"/>
    <mergeCell ref="P311:T311"/>
    <mergeCell ref="P296:T296"/>
    <mergeCell ref="S343:S344"/>
    <mergeCell ref="D74:E74"/>
    <mergeCell ref="P151:V151"/>
    <mergeCell ref="U343:U344"/>
    <mergeCell ref="D68:E68"/>
    <mergeCell ref="P245:T245"/>
    <mergeCell ref="P322:T322"/>
    <mergeCell ref="D132:E132"/>
    <mergeCell ref="P211:T211"/>
    <mergeCell ref="P309:T309"/>
    <mergeCell ref="D59:E59"/>
    <mergeCell ref="A5:C5"/>
    <mergeCell ref="P135:V135"/>
    <mergeCell ref="P51:V51"/>
    <mergeCell ref="D179:E179"/>
    <mergeCell ref="AJ342:AK342"/>
    <mergeCell ref="A108:Z108"/>
    <mergeCell ref="D166:E166"/>
    <mergeCell ref="P128:V128"/>
    <mergeCell ref="A17:A18"/>
    <mergeCell ref="K17:K18"/>
    <mergeCell ref="C17:C18"/>
    <mergeCell ref="A238:Z238"/>
    <mergeCell ref="D103:E103"/>
    <mergeCell ref="D37:E37"/>
    <mergeCell ref="D230:E230"/>
    <mergeCell ref="C342:T342"/>
    <mergeCell ref="D9:E9"/>
    <mergeCell ref="D118:E118"/>
    <mergeCell ref="F9:G9"/>
    <mergeCell ref="P68:T68"/>
    <mergeCell ref="A247:O248"/>
    <mergeCell ref="D38:E38"/>
    <mergeCell ref="P253:V253"/>
    <mergeCell ref="P303:T303"/>
    <mergeCell ref="A6:C6"/>
    <mergeCell ref="D309:E309"/>
    <mergeCell ref="P118:T118"/>
    <mergeCell ref="D88:E88"/>
    <mergeCell ref="P336:V336"/>
    <mergeCell ref="D324:E324"/>
    <mergeCell ref="AG343:AG344"/>
    <mergeCell ref="P117:T117"/>
    <mergeCell ref="D311:E311"/>
    <mergeCell ref="P55:T55"/>
    <mergeCell ref="P280:T280"/>
    <mergeCell ref="Q12:R12"/>
    <mergeCell ref="P119:T119"/>
    <mergeCell ref="P246:T246"/>
    <mergeCell ref="A328:O329"/>
    <mergeCell ref="P298:V298"/>
    <mergeCell ref="P198:V198"/>
    <mergeCell ref="A250:Z250"/>
    <mergeCell ref="Z343:Z344"/>
    <mergeCell ref="P132:T132"/>
    <mergeCell ref="A122:O123"/>
    <mergeCell ref="AB343:AB344"/>
    <mergeCell ref="T343:T344"/>
    <mergeCell ref="P146:V146"/>
    <mergeCell ref="Q9:R9"/>
    <mergeCell ref="P312:T312"/>
    <mergeCell ref="A331:Z331"/>
    <mergeCell ref="P278:V278"/>
    <mergeCell ref="A159:Z159"/>
    <mergeCell ref="A97:Z97"/>
    <mergeCell ref="D322:E322"/>
    <mergeCell ref="P205:T205"/>
    <mergeCell ref="Q11:R11"/>
    <mergeCell ref="D63:E63"/>
    <mergeCell ref="P304:V304"/>
    <mergeCell ref="P181:V181"/>
    <mergeCell ref="A98:Z98"/>
    <mergeCell ref="D325:E325"/>
    <mergeCell ref="P15:T16"/>
    <mergeCell ref="D116:E116"/>
    <mergeCell ref="A177:Z177"/>
    <mergeCell ref="P219:T219"/>
    <mergeCell ref="A164:Z164"/>
    <mergeCell ref="D327:E327"/>
    <mergeCell ref="P210:T210"/>
    <mergeCell ref="P308:T308"/>
    <mergeCell ref="P185:T185"/>
    <mergeCell ref="A277:O278"/>
    <mergeCell ref="D77:E77"/>
    <mergeCell ref="P187:T187"/>
    <mergeCell ref="A304:O305"/>
    <mergeCell ref="D160:E160"/>
    <mergeCell ref="I17:I18"/>
    <mergeCell ref="P176:V176"/>
    <mergeCell ref="J343:J344"/>
    <mergeCell ref="P287:T287"/>
    <mergeCell ref="L343:L344"/>
    <mergeCell ref="D235:E235"/>
    <mergeCell ref="A239:Z239"/>
    <mergeCell ref="P214:V214"/>
    <mergeCell ref="K343:K344"/>
    <mergeCell ref="D93:E93"/>
    <mergeCell ref="D220:E220"/>
    <mergeCell ref="A195:Z195"/>
    <mergeCell ref="A42:Z42"/>
    <mergeCell ref="P43:T43"/>
    <mergeCell ref="P65:V65"/>
    <mergeCell ref="D251:E251"/>
    <mergeCell ref="A53:Z53"/>
    <mergeCell ref="A206:O207"/>
    <mergeCell ref="D178:E178"/>
    <mergeCell ref="D172:E172"/>
    <mergeCell ref="A26:Z26"/>
    <mergeCell ref="P230:T230"/>
    <mergeCell ref="D211:E211"/>
    <mergeCell ref="D1:F1"/>
    <mergeCell ref="P47:T47"/>
    <mergeCell ref="P282:V282"/>
    <mergeCell ref="A234:Z234"/>
    <mergeCell ref="J17:J18"/>
    <mergeCell ref="D82:E82"/>
    <mergeCell ref="P61:V61"/>
    <mergeCell ref="L17:L18"/>
    <mergeCell ref="D240:E240"/>
    <mergeCell ref="A184:Z184"/>
    <mergeCell ref="A165:Z165"/>
    <mergeCell ref="A115:Z115"/>
    <mergeCell ref="P112:V112"/>
    <mergeCell ref="P277:V277"/>
    <mergeCell ref="D100:E100"/>
    <mergeCell ref="P17:T18"/>
    <mergeCell ref="A148:Z148"/>
    <mergeCell ref="P63:T63"/>
    <mergeCell ref="A180:O181"/>
    <mergeCell ref="P50:T50"/>
    <mergeCell ref="D31:E31"/>
    <mergeCell ref="A300:Z300"/>
    <mergeCell ref="P264:V264"/>
    <mergeCell ref="P335:V335"/>
    <mergeCell ref="AF343:AF344"/>
    <mergeCell ref="A216:Z216"/>
    <mergeCell ref="AH343:AH344"/>
    <mergeCell ref="A87:Z87"/>
    <mergeCell ref="P333:V333"/>
    <mergeCell ref="D316:E316"/>
    <mergeCell ref="D210:E210"/>
    <mergeCell ref="D308:E308"/>
    <mergeCell ref="P166:T166"/>
    <mergeCell ref="P188:V188"/>
    <mergeCell ref="D245:E245"/>
    <mergeCell ref="D301:E301"/>
    <mergeCell ref="P116:T116"/>
    <mergeCell ref="P103:T103"/>
    <mergeCell ref="A293:O294"/>
    <mergeCell ref="P286:T286"/>
    <mergeCell ref="A167:O168"/>
    <mergeCell ref="D229:E229"/>
    <mergeCell ref="A156:O157"/>
    <mergeCell ref="P88:T88"/>
    <mergeCell ref="Y342:AF342"/>
    <mergeCell ref="H1:Q1"/>
    <mergeCell ref="A330:Z330"/>
    <mergeCell ref="A268:Z268"/>
    <mergeCell ref="A243:Z243"/>
    <mergeCell ref="P193:V193"/>
    <mergeCell ref="P120:T120"/>
    <mergeCell ref="P40:V40"/>
    <mergeCell ref="A163:Z163"/>
    <mergeCell ref="D28:E28"/>
    <mergeCell ref="D326:E326"/>
    <mergeCell ref="D313:E313"/>
    <mergeCell ref="D117:E117"/>
    <mergeCell ref="P171:T171"/>
    <mergeCell ref="D55:E55"/>
    <mergeCell ref="A95:O96"/>
    <mergeCell ref="D30:E30"/>
    <mergeCell ref="D5:E5"/>
    <mergeCell ref="D303:E303"/>
    <mergeCell ref="A32:O33"/>
    <mergeCell ref="D94:E94"/>
    <mergeCell ref="D69:E69"/>
    <mergeCell ref="P175:V175"/>
    <mergeCell ref="P240:T240"/>
    <mergeCell ref="P162:V162"/>
    <mergeCell ref="D7:M7"/>
    <mergeCell ref="A81:Z81"/>
    <mergeCell ref="P156:V156"/>
    <mergeCell ref="A152:Z152"/>
    <mergeCell ref="D315:E315"/>
    <mergeCell ref="D144:E144"/>
    <mergeCell ref="D302:E302"/>
    <mergeCell ref="E343:E344"/>
    <mergeCell ref="P173:T173"/>
    <mergeCell ref="P29:T29"/>
    <mergeCell ref="P100:T100"/>
    <mergeCell ref="P94:T94"/>
    <mergeCell ref="D8:M8"/>
    <mergeCell ref="P44:T44"/>
    <mergeCell ref="A226:Z226"/>
    <mergeCell ref="A161:O162"/>
    <mergeCell ref="P31:T31"/>
    <mergeCell ref="A291:Z291"/>
    <mergeCell ref="W343:W344"/>
    <mergeCell ref="P180:V180"/>
    <mergeCell ref="D139:E139"/>
    <mergeCell ref="D343:D344"/>
    <mergeCell ref="M343:M344"/>
    <mergeCell ref="P340:V340"/>
    <mergeCell ref="A343:A344"/>
    <mergeCell ref="P248:V248"/>
    <mergeCell ref="C343:C344"/>
    <mergeCell ref="A266:Z266"/>
    <mergeCell ref="A260:Z260"/>
    <mergeCell ref="P207:V207"/>
    <mergeCell ref="V10:W10"/>
    <mergeCell ref="P299:V299"/>
    <mergeCell ref="A124:Z124"/>
    <mergeCell ref="P99:T99"/>
    <mergeCell ref="D287:E287"/>
    <mergeCell ref="P316:T316"/>
    <mergeCell ref="P113:V113"/>
    <mergeCell ref="D126:E126"/>
    <mergeCell ref="P232:V232"/>
    <mergeCell ref="D47:E47"/>
    <mergeCell ref="P160:T160"/>
    <mergeCell ref="W17:W18"/>
    <mergeCell ref="A264:O265"/>
    <mergeCell ref="P96:V96"/>
    <mergeCell ref="P90:V90"/>
    <mergeCell ref="A86:Z86"/>
    <mergeCell ref="P161:V161"/>
    <mergeCell ref="B343:B344"/>
    <mergeCell ref="V343:V344"/>
    <mergeCell ref="X343:X344"/>
    <mergeCell ref="A80:Z80"/>
    <mergeCell ref="A281:O282"/>
    <mergeCell ref="D205:E205"/>
    <mergeCell ref="P172:T172"/>
    <mergeCell ref="R1:T1"/>
    <mergeCell ref="P28:T28"/>
    <mergeCell ref="P221:T221"/>
    <mergeCell ref="P326:T326"/>
    <mergeCell ref="D332:E332"/>
    <mergeCell ref="D307:E307"/>
    <mergeCell ref="A145:O146"/>
    <mergeCell ref="A89:O90"/>
    <mergeCell ref="D73:E73"/>
    <mergeCell ref="P30:T30"/>
    <mergeCell ref="A200:Z200"/>
    <mergeCell ref="P141:V141"/>
    <mergeCell ref="A140:O141"/>
    <mergeCell ref="P206:V206"/>
    <mergeCell ref="A58:Z58"/>
    <mergeCell ref="P168:V168"/>
    <mergeCell ref="P104:T104"/>
    <mergeCell ref="B17:B18"/>
    <mergeCell ref="P244:T244"/>
    <mergeCell ref="P73:T73"/>
    <mergeCell ref="P144:T144"/>
    <mergeCell ref="P315:T315"/>
    <mergeCell ref="D187:E187"/>
    <mergeCell ref="P302:T302"/>
    <mergeCell ref="D174:E174"/>
    <mergeCell ref="A34:Z34"/>
    <mergeCell ref="H9:I9"/>
    <mergeCell ref="D45:E45"/>
    <mergeCell ref="P224:V224"/>
    <mergeCell ref="P24:V24"/>
    <mergeCell ref="P89:V89"/>
    <mergeCell ref="D297:E297"/>
    <mergeCell ref="P259:V259"/>
    <mergeCell ref="P155:T155"/>
    <mergeCell ref="P220:T220"/>
    <mergeCell ref="D312:E312"/>
    <mergeCell ref="D263:E263"/>
    <mergeCell ref="A70:O71"/>
    <mergeCell ref="A215:Z215"/>
    <mergeCell ref="A279:Z279"/>
    <mergeCell ref="P106:V106"/>
    <mergeCell ref="P33:V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5 X59 X63:X64 X68:X69 X73:X77 X88 X93 X101 X103 X110:X111 X133 X144 X149 X154:X155 X160 X171 X174 X178:X179 X187 X191 X196 X205 X211 X217 X219:X221 X227 X229:X230 X235 X240 X244:X246 X251 X256 X263 X276 X280 X307 X310:X311 X313 X315 X321 X323:X327 X33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0 X82 X94 X99 X104 X109 X116 X119 X121 X132 X138 X166 X172:X173 X202:X204 X212 X218 X222 X228 X257 X270 X286:X288 X292 X297 X301 X303 X308:X309 X312 X314 X316:X320 X322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83 X100 X102 X117:X118 X120 X126:X127 X139 X185:X186 X210 X269 X296 X302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531</v>
      </c>
      <c r="H1" s="52"/>
    </row>
    <row r="3" spans="2:8" x14ac:dyDescent="0.2">
      <c r="B3" s="47" t="s">
        <v>532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533</v>
      </c>
      <c r="D6" s="47" t="s">
        <v>534</v>
      </c>
      <c r="E6" s="47"/>
    </row>
    <row r="8" spans="2:8" x14ac:dyDescent="0.2">
      <c r="B8" s="47" t="s">
        <v>19</v>
      </c>
      <c r="C8" s="47" t="s">
        <v>533</v>
      </c>
      <c r="D8" s="47"/>
      <c r="E8" s="47"/>
    </row>
    <row r="10" spans="2:8" x14ac:dyDescent="0.2">
      <c r="B10" s="47" t="s">
        <v>535</v>
      </c>
      <c r="C10" s="47"/>
      <c r="D10" s="47"/>
      <c r="E10" s="47"/>
    </row>
    <row r="11" spans="2:8" x14ac:dyDescent="0.2">
      <c r="B11" s="47" t="s">
        <v>536</v>
      </c>
      <c r="C11" s="47"/>
      <c r="D11" s="47"/>
      <c r="E11" s="47"/>
    </row>
    <row r="12" spans="2:8" x14ac:dyDescent="0.2">
      <c r="B12" s="47" t="s">
        <v>537</v>
      </c>
      <c r="C12" s="47"/>
      <c r="D12" s="47"/>
      <c r="E12" s="47"/>
    </row>
    <row r="13" spans="2:8" x14ac:dyDescent="0.2">
      <c r="B13" s="47" t="s">
        <v>538</v>
      </c>
      <c r="C13" s="47"/>
      <c r="D13" s="47"/>
      <c r="E13" s="47"/>
    </row>
    <row r="14" spans="2:8" x14ac:dyDescent="0.2">
      <c r="B14" s="47" t="s">
        <v>539</v>
      </c>
      <c r="C14" s="47"/>
      <c r="D14" s="47"/>
      <c r="E14" s="47"/>
    </row>
    <row r="15" spans="2:8" x14ac:dyDescent="0.2">
      <c r="B15" s="47" t="s">
        <v>540</v>
      </c>
      <c r="C15" s="47"/>
      <c r="D15" s="47"/>
      <c r="E15" s="47"/>
    </row>
    <row r="16" spans="2:8" x14ac:dyDescent="0.2">
      <c r="B16" s="47" t="s">
        <v>541</v>
      </c>
      <c r="C16" s="47"/>
      <c r="D16" s="47"/>
      <c r="E16" s="47"/>
    </row>
    <row r="17" spans="2:5" x14ac:dyDescent="0.2">
      <c r="B17" s="47" t="s">
        <v>542</v>
      </c>
      <c r="C17" s="47"/>
      <c r="D17" s="47"/>
      <c r="E17" s="47"/>
    </row>
    <row r="18" spans="2:5" x14ac:dyDescent="0.2">
      <c r="B18" s="47" t="s">
        <v>543</v>
      </c>
      <c r="C18" s="47"/>
      <c r="D18" s="47"/>
      <c r="E18" s="47"/>
    </row>
    <row r="19" spans="2:5" x14ac:dyDescent="0.2">
      <c r="B19" s="47" t="s">
        <v>544</v>
      </c>
      <c r="C19" s="47"/>
      <c r="D19" s="47"/>
      <c r="E19" s="47"/>
    </row>
    <row r="20" spans="2:5" x14ac:dyDescent="0.2">
      <c r="B20" s="47" t="s">
        <v>545</v>
      </c>
      <c r="C20" s="47"/>
      <c r="D20" s="47"/>
      <c r="E20" s="47"/>
    </row>
  </sheetData>
  <sheetProtection algorithmName="SHA-512" hashValue="88ycZgr5ANSlIDeVf8J6WdbnpYiB/HRHwEfI0jVNEjOYwi0idpnzsBhkqLjLYl4wGUDPSSmDiY05IPLDEQ9tog==" saltValue="4OD1RQmtGax1/95INeN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565</vt:i4>
      </vt:variant>
    </vt:vector>
  </HeadingPairs>
  <TitlesOfParts>
    <vt:vector size="5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2025-03-26T10:42:09Z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