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BF80CD-A3A1-415D-BD16-8D6536057A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заказа'!$X$563:$X$563</definedName>
    <definedName name="GrossWeightTotalR">'Бланк заказа'!$Y$563:$Y$563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заказа'!$X$564:$X$564</definedName>
    <definedName name="PalletQtyTotalR">'Бланк заказа'!$Y$564:$Y$564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заказа'!$B$205:$B$205</definedName>
    <definedName name="ProductId104">'Бланк заказа'!$B$206:$B$206</definedName>
    <definedName name="ProductId105">'Бланк заказа'!$B$211:$B$211</definedName>
    <definedName name="ProductId106">'Бланк заказа'!$B$212:$B$212</definedName>
    <definedName name="ProductId107">'Бланк заказа'!$B$213:$B$213</definedName>
    <definedName name="ProductId108">'Бланк заказа'!$B$214:$B$214</definedName>
    <definedName name="ProductId109">'Бланк заказа'!$B$215:$B$215</definedName>
    <definedName name="ProductId11">'Бланк заказа'!$B$43:$B$43</definedName>
    <definedName name="ProductId110">'Бланк заказа'!$B$216:$B$216</definedName>
    <definedName name="ProductId111">'Бланк заказа'!$B$217:$B$217</definedName>
    <definedName name="ProductId112">'Бланк заказа'!$B$218:$B$218</definedName>
    <definedName name="ProductId113">'Бланк заказа'!$B$222:$B$222</definedName>
    <definedName name="ProductId114">'Бланк заказа'!$B$223:$B$223</definedName>
    <definedName name="ProductId115">'Бланк заказа'!$B$228:$B$228</definedName>
    <definedName name="ProductId116">'Бланк заказа'!$B$229:$B$229</definedName>
    <definedName name="ProductId117">'Бланк заказа'!$B$230:$B$230</definedName>
    <definedName name="ProductId118">'Бланк заказа'!$B$231:$B$231</definedName>
    <definedName name="ProductId119">'Бланк заказа'!$B$232:$B$232</definedName>
    <definedName name="ProductId12">'Бланк заказа'!$B$48:$B$48</definedName>
    <definedName name="ProductId120">'Бланк заказа'!$B$233:$B$233</definedName>
    <definedName name="ProductId121">'Бланк заказа'!$B$238:$B$238</definedName>
    <definedName name="ProductId122">'Бланк заказа'!$B$243:$B$243</definedName>
    <definedName name="ProductId123">'Бланк заказа'!$B$244:$B$244</definedName>
    <definedName name="ProductId124">'Бланк заказа'!$B$245:$B$245</definedName>
    <definedName name="ProductId125">'Бланк заказа'!$B$250:$B$250</definedName>
    <definedName name="ProductId126">'Бланк заказа'!$B$251:$B$251</definedName>
    <definedName name="ProductId127">'Бланк заказа'!$B$252:$B$252</definedName>
    <definedName name="ProductId128">'Бланк заказа'!$B$253:$B$253</definedName>
    <definedName name="ProductId129">'Бланк заказа'!$B$254:$B$254</definedName>
    <definedName name="ProductId13">'Бланк заказа'!$B$49:$B$49</definedName>
    <definedName name="ProductId130">'Бланк заказа'!$B$259:$B$259</definedName>
    <definedName name="ProductId131">'Бланк заказа'!$B$263:$B$263</definedName>
    <definedName name="ProductId132">'Бланк заказа'!$B$267:$B$267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заказа'!$B$282:$B$282</definedName>
    <definedName name="ProductId137">'Бланк заказа'!$B$283:$B$283</definedName>
    <definedName name="ProductId138">'Бланк заказа'!$B$288:$B$288</definedName>
    <definedName name="ProductId139">'Бланк заказа'!$B$289:$B$289</definedName>
    <definedName name="ProductId14">'Бланк заказа'!$B$50:$B$50</definedName>
    <definedName name="ProductId140">'Бланк заказа'!$B$290:$B$290</definedName>
    <definedName name="ProductId141">'Бланк заказа'!$B$291:$B$291</definedName>
    <definedName name="ProductId142">'Бланк заказа'!$B$292:$B$292</definedName>
    <definedName name="ProductId143">'Бланк заказа'!$B$293:$B$293</definedName>
    <definedName name="ProductId144">'Бланк заказа'!$B$294:$B$294</definedName>
    <definedName name="ProductId145">'Бланк заказа'!$B$298:$B$298</definedName>
    <definedName name="ProductId146">'Бланк заказа'!$B$299:$B$299</definedName>
    <definedName name="ProductId147">'Бланк заказа'!$B$300:$B$300</definedName>
    <definedName name="ProductId148">'Бланк заказа'!$B$301:$B$301</definedName>
    <definedName name="ProductId149">'Бланк заказа'!$B$305:$B$305</definedName>
    <definedName name="ProductId15">'Бланк заказа'!$B$51:$B$51</definedName>
    <definedName name="ProductId150">'Бланк заказа'!$B$306:$B$306</definedName>
    <definedName name="ProductId151">'Бланк заказа'!$B$307:$B$307</definedName>
    <definedName name="ProductId152">'Бланк заказа'!$B$308:$B$308</definedName>
    <definedName name="ProductId153">'Бланк заказа'!$B$309:$B$309</definedName>
    <definedName name="ProductId154">'Бланк заказа'!$B$313:$B$313</definedName>
    <definedName name="ProductId155">'Бланк заказа'!$B$314:$B$314</definedName>
    <definedName name="ProductId156">'Бланк заказа'!$B$315:$B$315</definedName>
    <definedName name="ProductId157">'Бланк заказа'!$B$319:$B$319</definedName>
    <definedName name="ProductId158">'Бланк заказа'!$B$320:$B$320</definedName>
    <definedName name="ProductId159">'Бланк заказа'!$B$321:$B$321</definedName>
    <definedName name="ProductId16">'Бланк заказа'!$B$52:$B$52</definedName>
    <definedName name="ProductId160">'Бланк заказа'!$B$322:$B$322</definedName>
    <definedName name="ProductId161">'Бланк заказа'!$B$326:$B$326</definedName>
    <definedName name="ProductId162">'Бланк заказа'!$B$327:$B$327</definedName>
    <definedName name="ProductId163">'Бланк заказа'!$B$328:$B$328</definedName>
    <definedName name="ProductId164">'Бланк заказа'!$B$333:$B$333</definedName>
    <definedName name="ProductId165">'Бланк заказа'!$B$337:$B$337</definedName>
    <definedName name="ProductId166">'Бланк заказа'!$B$338:$B$338</definedName>
    <definedName name="ProductId167">'Бланк заказа'!$B$339:$B$339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заказа'!$B$368:$B$368</definedName>
    <definedName name="ProductId183">'Бланк заказа'!$B$373:$B$373</definedName>
    <definedName name="ProductId184">'Бланк заказа'!$B$374:$B$374</definedName>
    <definedName name="ProductId185">'Бланк заказа'!$B$375:$B$375</definedName>
    <definedName name="ProductId186">'Бланк заказа'!$B$376:$B$376</definedName>
    <definedName name="ProductId187">'Бланк заказа'!$B$377:$B$377</definedName>
    <definedName name="ProductId188">'Бланк заказа'!$B$378:$B$378</definedName>
    <definedName name="ProductId189">'Бланк заказа'!$B$382:$B$382</definedName>
    <definedName name="ProductId19">'Бланк заказа'!$B$58:$B$58</definedName>
    <definedName name="ProductId190">'Бланк заказа'!$B$383:$B$383</definedName>
    <definedName name="ProductId191">'Бланк заказа'!$B$387:$B$387</definedName>
    <definedName name="ProductId192">'Бланк заказа'!$B$388:$B$388</definedName>
    <definedName name="ProductId193">'Бланк заказа'!$B$389:$B$389</definedName>
    <definedName name="ProductId194">'Бланк заказа'!$B$390:$B$390</definedName>
    <definedName name="ProductId195">'Бланк заказа'!$B$391:$B$391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заказа'!$B$422:$B$422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заказа'!$B$435:$B$435</definedName>
    <definedName name="ProductId218">'Бланк заказа'!$B$436:$B$436</definedName>
    <definedName name="ProductId219">'Бланк заказа'!$B$441:$B$441</definedName>
    <definedName name="ProductId22">'Бланк заказа'!$B$61:$B$61</definedName>
    <definedName name="ProductId220">'Бланк заказа'!$B$445:$B$445</definedName>
    <definedName name="ProductId221">'Бланк заказа'!$B$451:$B$451</definedName>
    <definedName name="ProductId222">'Бланк заказа'!$B$452:$B$452</definedName>
    <definedName name="ProductId223">'Бланк заказа'!$B$453:$B$453</definedName>
    <definedName name="ProductId224">'Бланк заказа'!$B$454:$B$454</definedName>
    <definedName name="ProductId225">'Бланк заказа'!$B$455:$B$455</definedName>
    <definedName name="ProductId226">'Бланк заказа'!$B$456:$B$456</definedName>
    <definedName name="ProductId227">'Бланк заказа'!$B$457:$B$457</definedName>
    <definedName name="ProductId228">'Бланк заказа'!$B$458:$B$458</definedName>
    <definedName name="ProductId229">'Бланк заказа'!$B$459:$B$459</definedName>
    <definedName name="ProductId23">'Бланк заказа'!$B$65:$B$65</definedName>
    <definedName name="ProductId230">'Бланк заказа'!$B$460:$B$460</definedName>
    <definedName name="ProductId231">'Бланк заказа'!$B$461:$B$461</definedName>
    <definedName name="ProductId232">'Бланк заказа'!$B$462:$B$462</definedName>
    <definedName name="ProductId233">'Бланк заказа'!$B$463:$B$463</definedName>
    <definedName name="ProductId234">'Бланк заказа'!$B$464:$B$464</definedName>
    <definedName name="ProductId235">'Бланк заказа'!$B$465:$B$465</definedName>
    <definedName name="ProductId236">'Бланк заказа'!$B$469:$B$469</definedName>
    <definedName name="ProductId237">'Бланк заказа'!$B$470:$B$470</definedName>
    <definedName name="ProductId238">'Бланк заказа'!$B$471:$B$471</definedName>
    <definedName name="ProductId239">'Бланк заказа'!$B$472:$B$472</definedName>
    <definedName name="ProductId24">'Бланк заказа'!$B$66:$B$66</definedName>
    <definedName name="ProductId240">'Бланк заказа'!$B$476:$B$476</definedName>
    <definedName name="ProductId241">'Бланк заказа'!$B$477:$B$477</definedName>
    <definedName name="ProductId242">'Бланк заказа'!$B$478:$B$478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заказа'!$B$491:$B$491</definedName>
    <definedName name="ProductId253">'Бланк заказа'!$B$492:$B$492</definedName>
    <definedName name="ProductId254">'Бланк заказа'!$B$493:$B$493</definedName>
    <definedName name="ProductId255">'Бланк заказа'!$B$497:$B$497</definedName>
    <definedName name="ProductId256">'Бланк заказа'!$B$498:$B$498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заказа'!$B$71:$B$71</definedName>
    <definedName name="ProductId260">'Бланк заказа'!$B$507:$B$507</definedName>
    <definedName name="ProductId261">'Бланк заказа'!$B$508:$B$508</definedName>
    <definedName name="ProductId262">'Бланк заказа'!$B$509:$B$509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заказа'!$B$73:$B$73</definedName>
    <definedName name="ProductId280">'Бланк заказа'!$B$536:$B$536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заказа'!$B$559:$B$559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заказа'!$B$155:$B$155</definedName>
    <definedName name="ProductId73">'Бланк заказа'!$B$159:$B$159</definedName>
    <definedName name="ProductId74">'Бланк заказа'!$B$160:$B$160</definedName>
    <definedName name="ProductId75">'Бланк заказа'!$B$161:$B$161</definedName>
    <definedName name="ProductId76">'Бланк заказа'!$B$162:$B$162</definedName>
    <definedName name="ProductId77">'Бланк заказа'!$B$163:$B$163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заказа'!$B$172:$B$172</definedName>
    <definedName name="ProductId83">'Бланк заказа'!$B$173:$B$173</definedName>
    <definedName name="ProductId84">'Бланк заказа'!$B$177:$B$177</definedName>
    <definedName name="ProductId85">'Бланк заказа'!$B$178:$B$178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заказа'!$B$193:$B$193</definedName>
    <definedName name="ProductId95">'Бланк заказа'!$B$194:$B$194</definedName>
    <definedName name="ProductId96">'Бланк заказа'!$B$195:$B$195</definedName>
    <definedName name="ProductId97">'Бланк заказа'!$B$196:$B$196</definedName>
    <definedName name="ProductId98">'Бланк заказа'!$B$197:$B$197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заказа'!$X$205:$X$205</definedName>
    <definedName name="SalesQty104">'Бланк заказа'!$X$206:$X$206</definedName>
    <definedName name="SalesQty105">'Бланк заказа'!$X$211:$X$211</definedName>
    <definedName name="SalesQty106">'Бланк заказа'!$X$212:$X$212</definedName>
    <definedName name="SalesQty107">'Бланк заказа'!$X$213:$X$213</definedName>
    <definedName name="SalesQty108">'Бланк заказа'!$X$214:$X$214</definedName>
    <definedName name="SalesQty109">'Бланк заказа'!$X$215:$X$215</definedName>
    <definedName name="SalesQty11">'Бланк заказа'!$X$43:$X$43</definedName>
    <definedName name="SalesQty110">'Бланк заказа'!$X$216:$X$216</definedName>
    <definedName name="SalesQty111">'Бланк заказа'!$X$217:$X$217</definedName>
    <definedName name="SalesQty112">'Бланк заказа'!$X$218:$X$218</definedName>
    <definedName name="SalesQty113">'Бланк заказа'!$X$222:$X$222</definedName>
    <definedName name="SalesQty114">'Бланк заказа'!$X$223:$X$223</definedName>
    <definedName name="SalesQty115">'Бланк заказа'!$X$228:$X$228</definedName>
    <definedName name="SalesQty116">'Бланк заказа'!$X$229:$X$229</definedName>
    <definedName name="SalesQty117">'Бланк заказа'!$X$230:$X$230</definedName>
    <definedName name="SalesQty118">'Бланк заказа'!$X$231:$X$231</definedName>
    <definedName name="SalesQty119">'Бланк заказа'!$X$232:$X$232</definedName>
    <definedName name="SalesQty12">'Бланк заказа'!$X$48:$X$48</definedName>
    <definedName name="SalesQty120">'Бланк заказа'!$X$233:$X$233</definedName>
    <definedName name="SalesQty121">'Бланк заказа'!$X$238:$X$238</definedName>
    <definedName name="SalesQty122">'Бланк заказа'!$X$243:$X$243</definedName>
    <definedName name="SalesQty123">'Бланк заказа'!$X$244:$X$244</definedName>
    <definedName name="SalesQty124">'Бланк заказа'!$X$245:$X$245</definedName>
    <definedName name="SalesQty125">'Бланк заказа'!$X$250:$X$250</definedName>
    <definedName name="SalesQty126">'Бланк заказа'!$X$251:$X$251</definedName>
    <definedName name="SalesQty127">'Бланк заказа'!$X$252:$X$252</definedName>
    <definedName name="SalesQty128">'Бланк заказа'!$X$253:$X$253</definedName>
    <definedName name="SalesQty129">'Бланк заказа'!$X$254:$X$254</definedName>
    <definedName name="SalesQty13">'Бланк заказа'!$X$49:$X$49</definedName>
    <definedName name="SalesQty130">'Бланк заказа'!$X$259:$X$259</definedName>
    <definedName name="SalesQty131">'Бланк заказа'!$X$263:$X$263</definedName>
    <definedName name="SalesQty132">'Бланк заказа'!$X$267:$X$267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заказа'!$X$282:$X$282</definedName>
    <definedName name="SalesQty137">'Бланк заказа'!$X$283:$X$283</definedName>
    <definedName name="SalesQty138">'Бланк заказа'!$X$288:$X$288</definedName>
    <definedName name="SalesQty139">'Бланк заказа'!$X$289:$X$289</definedName>
    <definedName name="SalesQty14">'Бланк заказа'!$X$50:$X$50</definedName>
    <definedName name="SalesQty140">'Бланк заказа'!$X$290:$X$290</definedName>
    <definedName name="SalesQty141">'Бланк заказа'!$X$291:$X$291</definedName>
    <definedName name="SalesQty142">'Бланк заказа'!$X$292:$X$292</definedName>
    <definedName name="SalesQty143">'Бланк заказа'!$X$293:$X$293</definedName>
    <definedName name="SalesQty144">'Бланк заказа'!$X$294:$X$294</definedName>
    <definedName name="SalesQty145">'Бланк заказа'!$X$298:$X$298</definedName>
    <definedName name="SalesQty146">'Бланк заказа'!$X$299:$X$299</definedName>
    <definedName name="SalesQty147">'Бланк заказа'!$X$300:$X$300</definedName>
    <definedName name="SalesQty148">'Бланк заказа'!$X$301:$X$301</definedName>
    <definedName name="SalesQty149">'Бланк заказа'!$X$305:$X$305</definedName>
    <definedName name="SalesQty15">'Бланк заказа'!$X$51:$X$51</definedName>
    <definedName name="SalesQty150">'Бланк заказа'!$X$306:$X$306</definedName>
    <definedName name="SalesQty151">'Бланк заказа'!$X$307:$X$307</definedName>
    <definedName name="SalesQty152">'Бланк заказа'!$X$308:$X$308</definedName>
    <definedName name="SalesQty153">'Бланк заказа'!$X$309:$X$309</definedName>
    <definedName name="SalesQty154">'Бланк заказа'!$X$313:$X$313</definedName>
    <definedName name="SalesQty155">'Бланк заказа'!$X$314:$X$314</definedName>
    <definedName name="SalesQty156">'Бланк заказа'!$X$315:$X$315</definedName>
    <definedName name="SalesQty157">'Бланк заказа'!$X$319:$X$319</definedName>
    <definedName name="SalesQty158">'Бланк заказа'!$X$320:$X$320</definedName>
    <definedName name="SalesQty159">'Бланк заказа'!$X$321:$X$321</definedName>
    <definedName name="SalesQty16">'Бланк заказа'!$X$52:$X$52</definedName>
    <definedName name="SalesQty160">'Бланк заказа'!$X$322:$X$322</definedName>
    <definedName name="SalesQty161">'Бланк заказа'!$X$326:$X$326</definedName>
    <definedName name="SalesQty162">'Бланк заказа'!$X$327:$X$327</definedName>
    <definedName name="SalesQty163">'Бланк заказа'!$X$328:$X$328</definedName>
    <definedName name="SalesQty164">'Бланк заказа'!$X$333:$X$333</definedName>
    <definedName name="SalesQty165">'Бланк заказа'!$X$337:$X$337</definedName>
    <definedName name="SalesQty166">'Бланк заказа'!$X$338:$X$338</definedName>
    <definedName name="SalesQty167">'Бланк заказа'!$X$339:$X$339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заказа'!$X$368:$X$368</definedName>
    <definedName name="SalesQty183">'Бланк заказа'!$X$373:$X$373</definedName>
    <definedName name="SalesQty184">'Бланк заказа'!$X$374:$X$374</definedName>
    <definedName name="SalesQty185">'Бланк заказа'!$X$375:$X$375</definedName>
    <definedName name="SalesQty186">'Бланк заказа'!$X$376:$X$376</definedName>
    <definedName name="SalesQty187">'Бланк заказа'!$X$377:$X$377</definedName>
    <definedName name="SalesQty188">'Бланк заказа'!$X$378:$X$378</definedName>
    <definedName name="SalesQty189">'Бланк заказа'!$X$382:$X$382</definedName>
    <definedName name="SalesQty19">'Бланк заказа'!$X$58:$X$58</definedName>
    <definedName name="SalesQty190">'Бланк заказа'!$X$383:$X$383</definedName>
    <definedName name="SalesQty191">'Бланк заказа'!$X$387:$X$387</definedName>
    <definedName name="SalesQty192">'Бланк заказа'!$X$388:$X$388</definedName>
    <definedName name="SalesQty193">'Бланк заказа'!$X$389:$X$389</definedName>
    <definedName name="SalesQty194">'Бланк заказа'!$X$390:$X$390</definedName>
    <definedName name="SalesQty195">'Бланк заказа'!$X$391:$X$391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заказа'!$X$422:$X$422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заказа'!$X$435:$X$435</definedName>
    <definedName name="SalesQty218">'Бланк заказа'!$X$436:$X$436</definedName>
    <definedName name="SalesQty219">'Бланк заказа'!$X$441:$X$441</definedName>
    <definedName name="SalesQty22">'Бланк заказа'!$X$61:$X$61</definedName>
    <definedName name="SalesQty220">'Бланк заказа'!$X$445:$X$445</definedName>
    <definedName name="SalesQty221">'Бланк заказа'!$X$451:$X$451</definedName>
    <definedName name="SalesQty222">'Бланк заказа'!$X$452:$X$452</definedName>
    <definedName name="SalesQty223">'Бланк заказа'!$X$453:$X$453</definedName>
    <definedName name="SalesQty224">'Бланк заказа'!$X$454:$X$454</definedName>
    <definedName name="SalesQty225">'Бланк заказа'!$X$455:$X$455</definedName>
    <definedName name="SalesQty226">'Бланк заказа'!$X$456:$X$456</definedName>
    <definedName name="SalesQty227">'Бланк заказа'!$X$457:$X$457</definedName>
    <definedName name="SalesQty228">'Бланк заказа'!$X$458:$X$458</definedName>
    <definedName name="SalesQty229">'Бланк заказа'!$X$459:$X$459</definedName>
    <definedName name="SalesQty23">'Бланк заказа'!$X$65:$X$65</definedName>
    <definedName name="SalesQty230">'Бланк заказа'!$X$460:$X$460</definedName>
    <definedName name="SalesQty231">'Бланк заказа'!$X$461:$X$461</definedName>
    <definedName name="SalesQty232">'Бланк заказа'!$X$462:$X$462</definedName>
    <definedName name="SalesQty233">'Бланк заказа'!$X$463:$X$463</definedName>
    <definedName name="SalesQty234">'Бланк заказа'!$X$464:$X$464</definedName>
    <definedName name="SalesQty235">'Бланк заказа'!$X$465:$X$465</definedName>
    <definedName name="SalesQty236">'Бланк заказа'!$X$469:$X$469</definedName>
    <definedName name="SalesQty237">'Бланк заказа'!$X$470:$X$470</definedName>
    <definedName name="SalesQty238">'Бланк заказа'!$X$471:$X$471</definedName>
    <definedName name="SalesQty239">'Бланк заказа'!$X$472:$X$472</definedName>
    <definedName name="SalesQty24">'Бланк заказа'!$X$66:$X$66</definedName>
    <definedName name="SalesQty240">'Бланк заказа'!$X$476:$X$476</definedName>
    <definedName name="SalesQty241">'Бланк заказа'!$X$477:$X$477</definedName>
    <definedName name="SalesQty242">'Бланк заказа'!$X$478:$X$478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заказа'!$X$491:$X$491</definedName>
    <definedName name="SalesQty253">'Бланк заказа'!$X$492:$X$492</definedName>
    <definedName name="SalesQty254">'Бланк заказа'!$X$493:$X$493</definedName>
    <definedName name="SalesQty255">'Бланк заказа'!$X$497:$X$497</definedName>
    <definedName name="SalesQty256">'Бланк заказа'!$X$498:$X$498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заказа'!$X$71:$X$71</definedName>
    <definedName name="SalesQty260">'Бланк заказа'!$X$507:$X$507</definedName>
    <definedName name="SalesQty261">'Бланк заказа'!$X$508:$X$508</definedName>
    <definedName name="SalesQty262">'Бланк заказа'!$X$509:$X$509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заказа'!$X$73:$X$73</definedName>
    <definedName name="SalesQty280">'Бланк заказа'!$X$536:$X$536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заказа'!$X$559:$X$559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заказа'!$X$155:$X$155</definedName>
    <definedName name="SalesQty73">'Бланк заказа'!$X$159:$X$159</definedName>
    <definedName name="SalesQty74">'Бланк заказа'!$X$160:$X$160</definedName>
    <definedName name="SalesQty75">'Бланк заказа'!$X$161:$X$161</definedName>
    <definedName name="SalesQty76">'Бланк заказа'!$X$162:$X$162</definedName>
    <definedName name="SalesQty77">'Бланк заказа'!$X$163:$X$163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заказа'!$X$172:$X$172</definedName>
    <definedName name="SalesQty83">'Бланк заказа'!$X$173:$X$173</definedName>
    <definedName name="SalesQty84">'Бланк заказа'!$X$177:$X$177</definedName>
    <definedName name="SalesQty85">'Бланк заказа'!$X$178:$X$178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заказа'!$X$193:$X$193</definedName>
    <definedName name="SalesQty95">'Бланк заказа'!$X$194:$X$194</definedName>
    <definedName name="SalesQty96">'Бланк заказа'!$X$195:$X$195</definedName>
    <definedName name="SalesQty97">'Бланк заказа'!$X$196:$X$196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заказа'!$Y$205:$Y$205</definedName>
    <definedName name="SalesRoundBox104">'Бланк заказа'!$Y$206:$Y$206</definedName>
    <definedName name="SalesRoundBox105">'Бланк заказа'!$Y$211:$Y$211</definedName>
    <definedName name="SalesRoundBox106">'Бланк заказа'!$Y$212:$Y$212</definedName>
    <definedName name="SalesRoundBox107">'Бланк заказа'!$Y$213:$Y$213</definedName>
    <definedName name="SalesRoundBox108">'Бланк заказа'!$Y$214:$Y$214</definedName>
    <definedName name="SalesRoundBox109">'Бланк заказа'!$Y$215:$Y$215</definedName>
    <definedName name="SalesRoundBox11">'Бланк заказа'!$Y$43:$Y$43</definedName>
    <definedName name="SalesRoundBox110">'Бланк заказа'!$Y$216:$Y$216</definedName>
    <definedName name="SalesRoundBox111">'Бланк заказа'!$Y$217:$Y$217</definedName>
    <definedName name="SalesRoundBox112">'Бланк заказа'!$Y$218:$Y$218</definedName>
    <definedName name="SalesRoundBox113">'Бланк заказа'!$Y$222:$Y$222</definedName>
    <definedName name="SalesRoundBox114">'Бланк заказа'!$Y$223:$Y$223</definedName>
    <definedName name="SalesRoundBox115">'Бланк заказа'!$Y$228:$Y$228</definedName>
    <definedName name="SalesRoundBox116">'Бланк заказа'!$Y$229:$Y$229</definedName>
    <definedName name="SalesRoundBox117">'Бланк заказа'!$Y$230:$Y$230</definedName>
    <definedName name="SalesRoundBox118">'Бланк заказа'!$Y$231:$Y$231</definedName>
    <definedName name="SalesRoundBox119">'Бланк заказа'!$Y$232:$Y$232</definedName>
    <definedName name="SalesRoundBox12">'Бланк заказа'!$Y$48:$Y$48</definedName>
    <definedName name="SalesRoundBox120">'Бланк заказа'!$Y$233:$Y$233</definedName>
    <definedName name="SalesRoundBox121">'Бланк заказа'!$Y$238:$Y$238</definedName>
    <definedName name="SalesRoundBox122">'Бланк заказа'!$Y$243:$Y$243</definedName>
    <definedName name="SalesRoundBox123">'Бланк заказа'!$Y$244:$Y$244</definedName>
    <definedName name="SalesRoundBox124">'Бланк заказа'!$Y$245:$Y$245</definedName>
    <definedName name="SalesRoundBox125">'Бланк заказа'!$Y$250:$Y$250</definedName>
    <definedName name="SalesRoundBox126">'Бланк заказа'!$Y$251:$Y$251</definedName>
    <definedName name="SalesRoundBox127">'Бланк заказа'!$Y$252:$Y$252</definedName>
    <definedName name="SalesRoundBox128">'Бланк заказа'!$Y$253:$Y$253</definedName>
    <definedName name="SalesRoundBox129">'Бланк заказа'!$Y$254:$Y$254</definedName>
    <definedName name="SalesRoundBox13">'Бланк заказа'!$Y$49:$Y$49</definedName>
    <definedName name="SalesRoundBox130">'Бланк заказа'!$Y$259:$Y$259</definedName>
    <definedName name="SalesRoundBox131">'Бланк заказа'!$Y$263:$Y$263</definedName>
    <definedName name="SalesRoundBox132">'Бланк заказа'!$Y$267:$Y$267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заказа'!$Y$282:$Y$282</definedName>
    <definedName name="SalesRoundBox137">'Бланк заказа'!$Y$283:$Y$283</definedName>
    <definedName name="SalesRoundBox138">'Бланк заказа'!$Y$288:$Y$288</definedName>
    <definedName name="SalesRoundBox139">'Бланк заказа'!$Y$289:$Y$289</definedName>
    <definedName name="SalesRoundBox14">'Бланк заказа'!$Y$50:$Y$50</definedName>
    <definedName name="SalesRoundBox140">'Бланк заказа'!$Y$290:$Y$290</definedName>
    <definedName name="SalesRoundBox141">'Бланк заказа'!$Y$291:$Y$291</definedName>
    <definedName name="SalesRoundBox142">'Бланк заказа'!$Y$292:$Y$292</definedName>
    <definedName name="SalesRoundBox143">'Бланк заказа'!$Y$293:$Y$293</definedName>
    <definedName name="SalesRoundBox144">'Бланк заказа'!$Y$294:$Y$294</definedName>
    <definedName name="SalesRoundBox145">'Бланк заказа'!$Y$298:$Y$298</definedName>
    <definedName name="SalesRoundBox146">'Бланк заказа'!$Y$299:$Y$299</definedName>
    <definedName name="SalesRoundBox147">'Бланк заказа'!$Y$300:$Y$300</definedName>
    <definedName name="SalesRoundBox148">'Бланк заказа'!$Y$301:$Y$301</definedName>
    <definedName name="SalesRoundBox149">'Бланк заказа'!$Y$305:$Y$305</definedName>
    <definedName name="SalesRoundBox15">'Бланк заказа'!$Y$51:$Y$51</definedName>
    <definedName name="SalesRoundBox150">'Бланк заказа'!$Y$306:$Y$306</definedName>
    <definedName name="SalesRoundBox151">'Бланк заказа'!$Y$307:$Y$307</definedName>
    <definedName name="SalesRoundBox152">'Бланк заказа'!$Y$308:$Y$308</definedName>
    <definedName name="SalesRoundBox153">'Бланк заказа'!$Y$309:$Y$309</definedName>
    <definedName name="SalesRoundBox154">'Бланк заказа'!$Y$313:$Y$313</definedName>
    <definedName name="SalesRoundBox155">'Бланк заказа'!$Y$314:$Y$314</definedName>
    <definedName name="SalesRoundBox156">'Бланк заказа'!$Y$315:$Y$315</definedName>
    <definedName name="SalesRoundBox157">'Бланк заказа'!$Y$319:$Y$319</definedName>
    <definedName name="SalesRoundBox158">'Бланк заказа'!$Y$320:$Y$320</definedName>
    <definedName name="SalesRoundBox159">'Бланк заказа'!$Y$321:$Y$321</definedName>
    <definedName name="SalesRoundBox16">'Бланк заказа'!$Y$52:$Y$52</definedName>
    <definedName name="SalesRoundBox160">'Бланк заказа'!$Y$322:$Y$322</definedName>
    <definedName name="SalesRoundBox161">'Бланк заказа'!$Y$326:$Y$326</definedName>
    <definedName name="SalesRoundBox162">'Бланк заказа'!$Y$327:$Y$327</definedName>
    <definedName name="SalesRoundBox163">'Бланк заказа'!$Y$328:$Y$328</definedName>
    <definedName name="SalesRoundBox164">'Бланк заказа'!$Y$333:$Y$333</definedName>
    <definedName name="SalesRoundBox165">'Бланк заказа'!$Y$337:$Y$337</definedName>
    <definedName name="SalesRoundBox166">'Бланк заказа'!$Y$338:$Y$338</definedName>
    <definedName name="SalesRoundBox167">'Бланк заказа'!$Y$339:$Y$339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заказа'!$Y$368:$Y$368</definedName>
    <definedName name="SalesRoundBox183">'Бланк заказа'!$Y$373:$Y$373</definedName>
    <definedName name="SalesRoundBox184">'Бланк заказа'!$Y$374:$Y$374</definedName>
    <definedName name="SalesRoundBox185">'Бланк заказа'!$Y$375:$Y$375</definedName>
    <definedName name="SalesRoundBox186">'Бланк заказа'!$Y$376:$Y$376</definedName>
    <definedName name="SalesRoundBox187">'Бланк заказа'!$Y$377:$Y$377</definedName>
    <definedName name="SalesRoundBox188">'Бланк заказа'!$Y$378:$Y$378</definedName>
    <definedName name="SalesRoundBox189">'Бланк заказа'!$Y$382:$Y$382</definedName>
    <definedName name="SalesRoundBox19">'Бланк заказа'!$Y$58:$Y$58</definedName>
    <definedName name="SalesRoundBox190">'Бланк заказа'!$Y$383:$Y$383</definedName>
    <definedName name="SalesRoundBox191">'Бланк заказа'!$Y$387:$Y$387</definedName>
    <definedName name="SalesRoundBox192">'Бланк заказа'!$Y$388:$Y$388</definedName>
    <definedName name="SalesRoundBox193">'Бланк заказа'!$Y$389:$Y$389</definedName>
    <definedName name="SalesRoundBox194">'Бланк заказа'!$Y$390:$Y$390</definedName>
    <definedName name="SalesRoundBox195">'Бланк заказа'!$Y$391:$Y$391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заказа'!$Y$422:$Y$422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заказа'!$Y$435:$Y$435</definedName>
    <definedName name="SalesRoundBox218">'Бланк заказа'!$Y$436:$Y$436</definedName>
    <definedName name="SalesRoundBox219">'Бланк заказа'!$Y$441:$Y$441</definedName>
    <definedName name="SalesRoundBox22">'Бланк заказа'!$Y$61:$Y$61</definedName>
    <definedName name="SalesRoundBox220">'Бланк заказа'!$Y$445:$Y$445</definedName>
    <definedName name="SalesRoundBox221">'Бланк заказа'!$Y$451:$Y$451</definedName>
    <definedName name="SalesRoundBox222">'Бланк заказа'!$Y$452:$Y$452</definedName>
    <definedName name="SalesRoundBox223">'Бланк заказа'!$Y$453:$Y$453</definedName>
    <definedName name="SalesRoundBox224">'Бланк заказа'!$Y$454:$Y$454</definedName>
    <definedName name="SalesRoundBox225">'Бланк заказа'!$Y$455:$Y$455</definedName>
    <definedName name="SalesRoundBox226">'Бланк заказа'!$Y$456:$Y$456</definedName>
    <definedName name="SalesRoundBox227">'Бланк заказа'!$Y$457:$Y$457</definedName>
    <definedName name="SalesRoundBox228">'Бланк заказа'!$Y$458:$Y$458</definedName>
    <definedName name="SalesRoundBox229">'Бланк заказа'!$Y$459:$Y$459</definedName>
    <definedName name="SalesRoundBox23">'Бланк заказа'!$Y$65:$Y$65</definedName>
    <definedName name="SalesRoundBox230">'Бланк заказа'!$Y$460:$Y$460</definedName>
    <definedName name="SalesRoundBox231">'Бланк заказа'!$Y$461:$Y$461</definedName>
    <definedName name="SalesRoundBox232">'Бланк заказа'!$Y$462:$Y$462</definedName>
    <definedName name="SalesRoundBox233">'Бланк заказа'!$Y$463:$Y$463</definedName>
    <definedName name="SalesRoundBox234">'Бланк заказа'!$Y$464:$Y$464</definedName>
    <definedName name="SalesRoundBox235">'Бланк заказа'!$Y$465:$Y$465</definedName>
    <definedName name="SalesRoundBox236">'Бланк заказа'!$Y$469:$Y$469</definedName>
    <definedName name="SalesRoundBox237">'Бланк заказа'!$Y$470:$Y$470</definedName>
    <definedName name="SalesRoundBox238">'Бланк заказа'!$Y$471:$Y$471</definedName>
    <definedName name="SalesRoundBox239">'Бланк заказа'!$Y$472:$Y$472</definedName>
    <definedName name="SalesRoundBox24">'Бланк заказа'!$Y$66:$Y$66</definedName>
    <definedName name="SalesRoundBox240">'Бланк заказа'!$Y$476:$Y$476</definedName>
    <definedName name="SalesRoundBox241">'Бланк заказа'!$Y$477:$Y$477</definedName>
    <definedName name="SalesRoundBox242">'Бланк заказа'!$Y$478:$Y$478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заказа'!$Y$491:$Y$491</definedName>
    <definedName name="SalesRoundBox253">'Бланк заказа'!$Y$492:$Y$492</definedName>
    <definedName name="SalesRoundBox254">'Бланк заказа'!$Y$493:$Y$493</definedName>
    <definedName name="SalesRoundBox255">'Бланк заказа'!$Y$497:$Y$497</definedName>
    <definedName name="SalesRoundBox256">'Бланк заказа'!$Y$498:$Y$498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заказа'!$Y$71:$Y$71</definedName>
    <definedName name="SalesRoundBox260">'Бланк заказа'!$Y$507:$Y$507</definedName>
    <definedName name="SalesRoundBox261">'Бланк заказа'!$Y$508:$Y$508</definedName>
    <definedName name="SalesRoundBox262">'Бланк заказа'!$Y$509:$Y$509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заказа'!$Y$73:$Y$73</definedName>
    <definedName name="SalesRoundBox280">'Бланк заказа'!$Y$536:$Y$536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заказа'!$Y$559:$Y$559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заказа'!$Y$155:$Y$155</definedName>
    <definedName name="SalesRoundBox73">'Бланк заказа'!$Y$159:$Y$159</definedName>
    <definedName name="SalesRoundBox74">'Бланк заказа'!$Y$160:$Y$160</definedName>
    <definedName name="SalesRoundBox75">'Бланк заказа'!$Y$161:$Y$161</definedName>
    <definedName name="SalesRoundBox76">'Бланк заказа'!$Y$162:$Y$162</definedName>
    <definedName name="SalesRoundBox77">'Бланк заказа'!$Y$163:$Y$163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заказа'!$Y$172:$Y$172</definedName>
    <definedName name="SalesRoundBox83">'Бланк заказа'!$Y$173:$Y$173</definedName>
    <definedName name="SalesRoundBox84">'Бланк заказа'!$Y$177:$Y$177</definedName>
    <definedName name="SalesRoundBox85">'Бланк заказа'!$Y$178:$Y$178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заказа'!$Y$193:$Y$193</definedName>
    <definedName name="SalesRoundBox95">'Бланк заказа'!$Y$194:$Y$194</definedName>
    <definedName name="SalesRoundBox96">'Бланк заказа'!$Y$195:$Y$195</definedName>
    <definedName name="SalesRoundBox97">'Бланк заказа'!$Y$196:$Y$196</definedName>
    <definedName name="SalesRoundBox98">'Бланк заказа'!$Y$197:$Y$197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заказа'!$W$205:$W$205</definedName>
    <definedName name="UnitOfMeasure104">'Бланк заказа'!$W$206:$W$206</definedName>
    <definedName name="UnitOfMeasure105">'Бланк заказа'!$W$211:$W$211</definedName>
    <definedName name="UnitOfMeasure106">'Бланк заказа'!$W$212:$W$212</definedName>
    <definedName name="UnitOfMeasure107">'Бланк заказа'!$W$213:$W$213</definedName>
    <definedName name="UnitOfMeasure108">'Бланк заказа'!$W$214:$W$214</definedName>
    <definedName name="UnitOfMeasure109">'Бланк заказа'!$W$215:$W$215</definedName>
    <definedName name="UnitOfMeasure11">'Бланк заказа'!$W$43:$W$43</definedName>
    <definedName name="UnitOfMeasure110">'Бланк заказа'!$W$216:$W$216</definedName>
    <definedName name="UnitOfMeasure111">'Бланк заказа'!$W$217:$W$217</definedName>
    <definedName name="UnitOfMeasure112">'Бланк заказа'!$W$218:$W$218</definedName>
    <definedName name="UnitOfMeasure113">'Бланк заказа'!$W$222:$W$222</definedName>
    <definedName name="UnitOfMeasure114">'Бланк заказа'!$W$223:$W$223</definedName>
    <definedName name="UnitOfMeasure115">'Бланк заказа'!$W$228:$W$228</definedName>
    <definedName name="UnitOfMeasure116">'Бланк заказа'!$W$229:$W$229</definedName>
    <definedName name="UnitOfMeasure117">'Бланк заказа'!$W$230:$W$230</definedName>
    <definedName name="UnitOfMeasure118">'Бланк заказа'!$W$231:$W$231</definedName>
    <definedName name="UnitOfMeasure119">'Бланк заказа'!$W$232:$W$232</definedName>
    <definedName name="UnitOfMeasure12">'Бланк заказа'!$W$48:$W$48</definedName>
    <definedName name="UnitOfMeasure120">'Бланк заказа'!$W$233:$W$233</definedName>
    <definedName name="UnitOfMeasure121">'Бланк заказа'!$W$238:$W$238</definedName>
    <definedName name="UnitOfMeasure122">'Бланк заказа'!$W$243:$W$243</definedName>
    <definedName name="UnitOfMeasure123">'Бланк заказа'!$W$244:$W$244</definedName>
    <definedName name="UnitOfMeasure124">'Бланк заказа'!$W$245:$W$245</definedName>
    <definedName name="UnitOfMeasure125">'Бланк заказа'!$W$250:$W$250</definedName>
    <definedName name="UnitOfMeasure126">'Бланк заказа'!$W$251:$W$251</definedName>
    <definedName name="UnitOfMeasure127">'Бланк заказа'!$W$252:$W$252</definedName>
    <definedName name="UnitOfMeasure128">'Бланк заказа'!$W$253:$W$253</definedName>
    <definedName name="UnitOfMeasure129">'Бланк заказа'!$W$254:$W$254</definedName>
    <definedName name="UnitOfMeasure13">'Бланк заказа'!$W$49:$W$49</definedName>
    <definedName name="UnitOfMeasure130">'Бланк заказа'!$W$259:$W$259</definedName>
    <definedName name="UnitOfMeasure131">'Бланк заказа'!$W$263:$W$263</definedName>
    <definedName name="UnitOfMeasure132">'Бланк заказа'!$W$267:$W$267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заказа'!$W$282:$W$282</definedName>
    <definedName name="UnitOfMeasure137">'Бланк заказа'!$W$283:$W$283</definedName>
    <definedName name="UnitOfMeasure138">'Бланк заказа'!$W$288:$W$288</definedName>
    <definedName name="UnitOfMeasure139">'Бланк заказа'!$W$289:$W$289</definedName>
    <definedName name="UnitOfMeasure14">'Бланк заказа'!$W$50:$W$50</definedName>
    <definedName name="UnitOfMeasure140">'Бланк заказа'!$W$290:$W$290</definedName>
    <definedName name="UnitOfMeasure141">'Бланк заказа'!$W$291:$W$291</definedName>
    <definedName name="UnitOfMeasure142">'Бланк заказа'!$W$292:$W$292</definedName>
    <definedName name="UnitOfMeasure143">'Бланк заказа'!$W$293:$W$293</definedName>
    <definedName name="UnitOfMeasure144">'Бланк заказа'!$W$294:$W$294</definedName>
    <definedName name="UnitOfMeasure145">'Бланк заказа'!$W$298:$W$298</definedName>
    <definedName name="UnitOfMeasure146">'Бланк заказа'!$W$299:$W$299</definedName>
    <definedName name="UnitOfMeasure147">'Бланк заказа'!$W$300:$W$300</definedName>
    <definedName name="UnitOfMeasure148">'Бланк заказа'!$W$301:$W$301</definedName>
    <definedName name="UnitOfMeasure149">'Бланк заказа'!$W$305:$W$305</definedName>
    <definedName name="UnitOfMeasure15">'Бланк заказа'!$W$51:$W$51</definedName>
    <definedName name="UnitOfMeasure150">'Бланк заказа'!$W$306:$W$306</definedName>
    <definedName name="UnitOfMeasure151">'Бланк заказа'!$W$307:$W$307</definedName>
    <definedName name="UnitOfMeasure152">'Бланк заказа'!$W$308:$W$308</definedName>
    <definedName name="UnitOfMeasure153">'Бланк заказа'!$W$309:$W$309</definedName>
    <definedName name="UnitOfMeasure154">'Бланк заказа'!$W$313:$W$313</definedName>
    <definedName name="UnitOfMeasure155">'Бланк заказа'!$W$314:$W$314</definedName>
    <definedName name="UnitOfMeasure156">'Бланк заказа'!$W$315:$W$315</definedName>
    <definedName name="UnitOfMeasure157">'Бланк заказа'!$W$319:$W$319</definedName>
    <definedName name="UnitOfMeasure158">'Бланк заказа'!$W$320:$W$320</definedName>
    <definedName name="UnitOfMeasure159">'Бланк заказа'!$W$321:$W$321</definedName>
    <definedName name="UnitOfMeasure16">'Бланк заказа'!$W$52:$W$52</definedName>
    <definedName name="UnitOfMeasure160">'Бланк заказа'!$W$322:$W$322</definedName>
    <definedName name="UnitOfMeasure161">'Бланк заказа'!$W$326:$W$326</definedName>
    <definedName name="UnitOfMeasure162">'Бланк заказа'!$W$327:$W$327</definedName>
    <definedName name="UnitOfMeasure163">'Бланк заказа'!$W$328:$W$328</definedName>
    <definedName name="UnitOfMeasure164">'Бланк заказа'!$W$333:$W$333</definedName>
    <definedName name="UnitOfMeasure165">'Бланк заказа'!$W$337:$W$337</definedName>
    <definedName name="UnitOfMeasure166">'Бланк заказа'!$W$338:$W$338</definedName>
    <definedName name="UnitOfMeasure167">'Бланк заказа'!$W$339:$W$339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заказа'!$W$368:$W$368</definedName>
    <definedName name="UnitOfMeasure183">'Бланк заказа'!$W$373:$W$373</definedName>
    <definedName name="UnitOfMeasure184">'Бланк заказа'!$W$374:$W$374</definedName>
    <definedName name="UnitOfMeasure185">'Бланк заказа'!$W$375:$W$375</definedName>
    <definedName name="UnitOfMeasure186">'Бланк заказа'!$W$376:$W$376</definedName>
    <definedName name="UnitOfMeasure187">'Бланк заказа'!$W$377:$W$377</definedName>
    <definedName name="UnitOfMeasure188">'Бланк заказа'!$W$378:$W$378</definedName>
    <definedName name="UnitOfMeasure189">'Бланк заказа'!$W$382:$W$382</definedName>
    <definedName name="UnitOfMeasure19">'Бланк заказа'!$W$58:$W$58</definedName>
    <definedName name="UnitOfMeasure190">'Бланк заказа'!$W$383:$W$383</definedName>
    <definedName name="UnitOfMeasure191">'Бланк заказа'!$W$387:$W$387</definedName>
    <definedName name="UnitOfMeasure192">'Бланк заказа'!$W$388:$W$388</definedName>
    <definedName name="UnitOfMeasure193">'Бланк заказа'!$W$389:$W$389</definedName>
    <definedName name="UnitOfMeasure194">'Бланк заказа'!$W$390:$W$390</definedName>
    <definedName name="UnitOfMeasure195">'Бланк заказа'!$W$391:$W$391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заказа'!$W$422:$W$422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заказа'!$W$435:$W$435</definedName>
    <definedName name="UnitOfMeasure218">'Бланк заказа'!$W$436:$W$436</definedName>
    <definedName name="UnitOfMeasure219">'Бланк заказа'!$W$441:$W$441</definedName>
    <definedName name="UnitOfMeasure22">'Бланк заказа'!$W$61:$W$61</definedName>
    <definedName name="UnitOfMeasure220">'Бланк заказа'!$W$445:$W$445</definedName>
    <definedName name="UnitOfMeasure221">'Бланк заказа'!$W$451:$W$451</definedName>
    <definedName name="UnitOfMeasure222">'Бланк заказа'!$W$452:$W$452</definedName>
    <definedName name="UnitOfMeasure223">'Бланк заказа'!$W$453:$W$453</definedName>
    <definedName name="UnitOfMeasure224">'Бланк заказа'!$W$454:$W$454</definedName>
    <definedName name="UnitOfMeasure225">'Бланк заказа'!$W$455:$W$455</definedName>
    <definedName name="UnitOfMeasure226">'Бланк заказа'!$W$456:$W$456</definedName>
    <definedName name="UnitOfMeasure227">'Бланк заказа'!$W$457:$W$457</definedName>
    <definedName name="UnitOfMeasure228">'Бланк заказа'!$W$458:$W$458</definedName>
    <definedName name="UnitOfMeasure229">'Бланк заказа'!$W$459:$W$459</definedName>
    <definedName name="UnitOfMeasure23">'Бланк заказа'!$W$65:$W$65</definedName>
    <definedName name="UnitOfMeasure230">'Бланк заказа'!$W$460:$W$460</definedName>
    <definedName name="UnitOfMeasure231">'Бланк заказа'!$W$461:$W$461</definedName>
    <definedName name="UnitOfMeasure232">'Бланк заказа'!$W$462:$W$462</definedName>
    <definedName name="UnitOfMeasure233">'Бланк заказа'!$W$463:$W$463</definedName>
    <definedName name="UnitOfMeasure234">'Бланк заказа'!$W$464:$W$464</definedName>
    <definedName name="UnitOfMeasure235">'Бланк заказа'!$W$465:$W$465</definedName>
    <definedName name="UnitOfMeasure236">'Бланк заказа'!$W$469:$W$469</definedName>
    <definedName name="UnitOfMeasure237">'Бланк заказа'!$W$470:$W$470</definedName>
    <definedName name="UnitOfMeasure238">'Бланк заказа'!$W$471:$W$471</definedName>
    <definedName name="UnitOfMeasure239">'Бланк заказа'!$W$472:$W$472</definedName>
    <definedName name="UnitOfMeasure24">'Бланк заказа'!$W$66:$W$66</definedName>
    <definedName name="UnitOfMeasure240">'Бланк заказа'!$W$476:$W$476</definedName>
    <definedName name="UnitOfMeasure241">'Бланк заказа'!$W$477:$W$477</definedName>
    <definedName name="UnitOfMeasure242">'Бланк заказа'!$W$478:$W$478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заказа'!$W$491:$W$491</definedName>
    <definedName name="UnitOfMeasure253">'Бланк заказа'!$W$492:$W$492</definedName>
    <definedName name="UnitOfMeasure254">'Бланк заказа'!$W$493:$W$493</definedName>
    <definedName name="UnitOfMeasure255">'Бланк заказа'!$W$497:$W$497</definedName>
    <definedName name="UnitOfMeasure256">'Бланк заказа'!$W$498:$W$498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заказа'!$W$71:$W$71</definedName>
    <definedName name="UnitOfMeasure260">'Бланк заказа'!$W$507:$W$507</definedName>
    <definedName name="UnitOfMeasure261">'Бланк заказа'!$W$508:$W$508</definedName>
    <definedName name="UnitOfMeasure262">'Бланк заказа'!$W$509:$W$509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заказа'!$W$73:$W$73</definedName>
    <definedName name="UnitOfMeasure280">'Бланк заказа'!$W$536:$W$536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заказа'!$W$559:$W$559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заказа'!$W$155:$W$155</definedName>
    <definedName name="UnitOfMeasure73">'Бланк заказа'!$W$159:$W$159</definedName>
    <definedName name="UnitOfMeasure74">'Бланк заказа'!$W$160:$W$160</definedName>
    <definedName name="UnitOfMeasure75">'Бланк заказа'!$W$161:$W$161</definedName>
    <definedName name="UnitOfMeasure76">'Бланк заказа'!$W$162:$W$162</definedName>
    <definedName name="UnitOfMeasure77">'Бланк заказа'!$W$163:$W$163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заказа'!$W$172:$W$172</definedName>
    <definedName name="UnitOfMeasure83">'Бланк заказа'!$W$173:$W$173</definedName>
    <definedName name="UnitOfMeasure84">'Бланк заказа'!$W$177:$W$177</definedName>
    <definedName name="UnitOfMeasure85">'Бланк заказа'!$W$178:$W$178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заказа'!$W$193:$W$193</definedName>
    <definedName name="UnitOfMeasure95">'Бланк заказа'!$W$194:$W$194</definedName>
    <definedName name="UnitOfMeasure96">'Бланк заказа'!$W$195:$W$195</definedName>
    <definedName name="UnitOfMeasure97">'Бланк заказа'!$W$196:$W$196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61" i="1" l="1"/>
  <c r="Y560" i="1"/>
  <c r="X560" i="1"/>
  <c r="BP559" i="1"/>
  <c r="BO559" i="1"/>
  <c r="BN559" i="1"/>
  <c r="BM559" i="1"/>
  <c r="Z559" i="1"/>
  <c r="Z560" i="1" s="1"/>
  <c r="Y559" i="1"/>
  <c r="Y561" i="1" s="1"/>
  <c r="X557" i="1"/>
  <c r="X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Z552" i="1" s="1"/>
  <c r="Y550" i="1"/>
  <c r="X547" i="1"/>
  <c r="X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X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Y494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X474" i="1"/>
  <c r="X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7" i="1"/>
  <c r="X446" i="1"/>
  <c r="BO445" i="1"/>
  <c r="BM445" i="1"/>
  <c r="Y445" i="1"/>
  <c r="P445" i="1"/>
  <c r="X443" i="1"/>
  <c r="X442" i="1"/>
  <c r="BO441" i="1"/>
  <c r="BM441" i="1"/>
  <c r="Y441" i="1"/>
  <c r="P441" i="1"/>
  <c r="X438" i="1"/>
  <c r="X437" i="1"/>
  <c r="BO436" i="1"/>
  <c r="BM436" i="1"/>
  <c r="Y436" i="1"/>
  <c r="BO435" i="1"/>
  <c r="BM435" i="1"/>
  <c r="Y435" i="1"/>
  <c r="P435" i="1"/>
  <c r="X432" i="1"/>
  <c r="X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X425" i="1"/>
  <c r="X424" i="1"/>
  <c r="BO423" i="1"/>
  <c r="BM423" i="1"/>
  <c r="Y423" i="1"/>
  <c r="P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X397" i="1"/>
  <c r="X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X366" i="1"/>
  <c r="X365" i="1"/>
  <c r="BO364" i="1"/>
  <c r="BM364" i="1"/>
  <c r="Y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Y283" i="1"/>
  <c r="P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X261" i="1"/>
  <c r="X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X225" i="1"/>
  <c r="X224" i="1"/>
  <c r="BO223" i="1"/>
  <c r="BM223" i="1"/>
  <c r="Y223" i="1"/>
  <c r="P223" i="1"/>
  <c r="BO222" i="1"/>
  <c r="BM222" i="1"/>
  <c r="Y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X208" i="1"/>
  <c r="X207" i="1"/>
  <c r="BO206" i="1"/>
  <c r="BM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Y179" i="1" s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X139" i="1"/>
  <c r="X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O123" i="1"/>
  <c r="BM123" i="1"/>
  <c r="Y123" i="1"/>
  <c r="BP123" i="1" s="1"/>
  <c r="P123" i="1"/>
  <c r="BO122" i="1"/>
  <c r="BM122" i="1"/>
  <c r="Y122" i="1"/>
  <c r="BP122" i="1" s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72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56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00" i="1" l="1"/>
  <c r="BN200" i="1"/>
  <c r="Z200" i="1"/>
  <c r="BP222" i="1"/>
  <c r="BN222" i="1"/>
  <c r="Z222" i="1"/>
  <c r="BP254" i="1"/>
  <c r="BN254" i="1"/>
  <c r="Z254" i="1"/>
  <c r="BP307" i="1"/>
  <c r="BN307" i="1"/>
  <c r="Z307" i="1"/>
  <c r="BP348" i="1"/>
  <c r="BN348" i="1"/>
  <c r="Z348" i="1"/>
  <c r="Y366" i="1"/>
  <c r="Y365" i="1"/>
  <c r="BP363" i="1"/>
  <c r="BN363" i="1"/>
  <c r="Z363" i="1"/>
  <c r="BP389" i="1"/>
  <c r="BN389" i="1"/>
  <c r="Z389" i="1"/>
  <c r="BP428" i="1"/>
  <c r="BN428" i="1"/>
  <c r="Z428" i="1"/>
  <c r="BP452" i="1"/>
  <c r="BN452" i="1"/>
  <c r="Z452" i="1"/>
  <c r="BP460" i="1"/>
  <c r="BN460" i="1"/>
  <c r="Z460" i="1"/>
  <c r="BP462" i="1"/>
  <c r="BN462" i="1"/>
  <c r="Z462" i="1"/>
  <c r="BP498" i="1"/>
  <c r="BN498" i="1"/>
  <c r="Z498" i="1"/>
  <c r="Z49" i="1"/>
  <c r="BN49" i="1"/>
  <c r="Z61" i="1"/>
  <c r="BN61" i="1"/>
  <c r="Z73" i="1"/>
  <c r="BN73" i="1"/>
  <c r="Y102" i="1"/>
  <c r="Z107" i="1"/>
  <c r="BN107" i="1"/>
  <c r="Y128" i="1"/>
  <c r="Z137" i="1"/>
  <c r="Z138" i="1" s="1"/>
  <c r="BN137" i="1"/>
  <c r="BP137" i="1"/>
  <c r="Y138" i="1"/>
  <c r="Z141" i="1"/>
  <c r="BN141" i="1"/>
  <c r="Z162" i="1"/>
  <c r="BN162" i="1"/>
  <c r="Z165" i="1"/>
  <c r="BN165" i="1"/>
  <c r="Z184" i="1"/>
  <c r="BN184" i="1"/>
  <c r="BP188" i="1"/>
  <c r="BN188" i="1"/>
  <c r="Z188" i="1"/>
  <c r="BP217" i="1"/>
  <c r="BN217" i="1"/>
  <c r="Z217" i="1"/>
  <c r="L572" i="1"/>
  <c r="Y239" i="1"/>
  <c r="BP238" i="1"/>
  <c r="BN238" i="1"/>
  <c r="Z238" i="1"/>
  <c r="Z239" i="1" s="1"/>
  <c r="BP243" i="1"/>
  <c r="BN243" i="1"/>
  <c r="Z243" i="1"/>
  <c r="BP293" i="1"/>
  <c r="BN293" i="1"/>
  <c r="Z293" i="1"/>
  <c r="BP321" i="1"/>
  <c r="BN321" i="1"/>
  <c r="Z321" i="1"/>
  <c r="BP358" i="1"/>
  <c r="BN358" i="1"/>
  <c r="Z358" i="1"/>
  <c r="BP364" i="1"/>
  <c r="BN364" i="1"/>
  <c r="Z364" i="1"/>
  <c r="BP382" i="1"/>
  <c r="BN382" i="1"/>
  <c r="Z382" i="1"/>
  <c r="BP423" i="1"/>
  <c r="BN423" i="1"/>
  <c r="Z423" i="1"/>
  <c r="BP429" i="1"/>
  <c r="BN429" i="1"/>
  <c r="Z429" i="1"/>
  <c r="BP459" i="1"/>
  <c r="BN459" i="1"/>
  <c r="Z459" i="1"/>
  <c r="BP461" i="1"/>
  <c r="BN461" i="1"/>
  <c r="Z461" i="1"/>
  <c r="BP493" i="1"/>
  <c r="BN493" i="1"/>
  <c r="Z493" i="1"/>
  <c r="Y500" i="1"/>
  <c r="Y499" i="1"/>
  <c r="BP497" i="1"/>
  <c r="BN497" i="1"/>
  <c r="Z497" i="1"/>
  <c r="J9" i="1"/>
  <c r="F9" i="1"/>
  <c r="F10" i="1"/>
  <c r="Z24" i="1"/>
  <c r="BN24" i="1"/>
  <c r="X562" i="1"/>
  <c r="C572" i="1"/>
  <c r="Z38" i="1"/>
  <c r="BN38" i="1"/>
  <c r="D572" i="1"/>
  <c r="Z51" i="1"/>
  <c r="BN51" i="1"/>
  <c r="Z59" i="1"/>
  <c r="BN59" i="1"/>
  <c r="Z65" i="1"/>
  <c r="BN65" i="1"/>
  <c r="BP65" i="1"/>
  <c r="Z71" i="1"/>
  <c r="BN71" i="1"/>
  <c r="BP71" i="1"/>
  <c r="Z75" i="1"/>
  <c r="BN75" i="1"/>
  <c r="Y83" i="1"/>
  <c r="Z88" i="1"/>
  <c r="BN88" i="1"/>
  <c r="Z93" i="1"/>
  <c r="BN93" i="1"/>
  <c r="BP93" i="1"/>
  <c r="Z100" i="1"/>
  <c r="BN100" i="1"/>
  <c r="F572" i="1"/>
  <c r="Z109" i="1"/>
  <c r="BN109" i="1"/>
  <c r="Y117" i="1"/>
  <c r="Z115" i="1"/>
  <c r="BN115" i="1"/>
  <c r="Z120" i="1"/>
  <c r="BN120" i="1"/>
  <c r="Z123" i="1"/>
  <c r="BN123" i="1"/>
  <c r="BP124" i="1"/>
  <c r="BN124" i="1"/>
  <c r="Z124" i="1"/>
  <c r="BP143" i="1"/>
  <c r="BN143" i="1"/>
  <c r="Z143" i="1"/>
  <c r="BP144" i="1"/>
  <c r="BN144" i="1"/>
  <c r="Z144" i="1"/>
  <c r="BP167" i="1"/>
  <c r="BN167" i="1"/>
  <c r="Z167" i="1"/>
  <c r="BP186" i="1"/>
  <c r="BN186" i="1"/>
  <c r="Z186" i="1"/>
  <c r="BP198" i="1"/>
  <c r="BN198" i="1"/>
  <c r="Z198" i="1"/>
  <c r="BP215" i="1"/>
  <c r="BN215" i="1"/>
  <c r="Z215" i="1"/>
  <c r="BP233" i="1"/>
  <c r="BN233" i="1"/>
  <c r="Z233" i="1"/>
  <c r="BP252" i="1"/>
  <c r="BN252" i="1"/>
  <c r="Z252" i="1"/>
  <c r="BP291" i="1"/>
  <c r="BN291" i="1"/>
  <c r="Z291" i="1"/>
  <c r="BP305" i="1"/>
  <c r="BN305" i="1"/>
  <c r="Z305" i="1"/>
  <c r="BP132" i="1"/>
  <c r="BN132" i="1"/>
  <c r="Z132" i="1"/>
  <c r="BP160" i="1"/>
  <c r="BN160" i="1"/>
  <c r="Z160" i="1"/>
  <c r="BP178" i="1"/>
  <c r="BN178" i="1"/>
  <c r="Z178" i="1"/>
  <c r="BP182" i="1"/>
  <c r="BN182" i="1"/>
  <c r="Z182" i="1"/>
  <c r="BP194" i="1"/>
  <c r="BN194" i="1"/>
  <c r="Z194" i="1"/>
  <c r="BP206" i="1"/>
  <c r="BN206" i="1"/>
  <c r="Z206" i="1"/>
  <c r="BP211" i="1"/>
  <c r="BN211" i="1"/>
  <c r="Z211" i="1"/>
  <c r="BP229" i="1"/>
  <c r="BN229" i="1"/>
  <c r="Z229" i="1"/>
  <c r="BP245" i="1"/>
  <c r="BN245" i="1"/>
  <c r="Z245" i="1"/>
  <c r="P572" i="1"/>
  <c r="Y260" i="1"/>
  <c r="BP259" i="1"/>
  <c r="BN259" i="1"/>
  <c r="Z259" i="1"/>
  <c r="Z260" i="1" s="1"/>
  <c r="Y265" i="1"/>
  <c r="Y264" i="1"/>
  <c r="BP263" i="1"/>
  <c r="BN263" i="1"/>
  <c r="Z263" i="1"/>
  <c r="Z264" i="1" s="1"/>
  <c r="Y269" i="1"/>
  <c r="Y268" i="1"/>
  <c r="BP267" i="1"/>
  <c r="BN267" i="1"/>
  <c r="Z267" i="1"/>
  <c r="Z268" i="1" s="1"/>
  <c r="BP272" i="1"/>
  <c r="BN272" i="1"/>
  <c r="Z272" i="1"/>
  <c r="BP299" i="1"/>
  <c r="BN299" i="1"/>
  <c r="Z299" i="1"/>
  <c r="BP309" i="1"/>
  <c r="BN309" i="1"/>
  <c r="Z309" i="1"/>
  <c r="BP327" i="1"/>
  <c r="BN327" i="1"/>
  <c r="Z327" i="1"/>
  <c r="BP350" i="1"/>
  <c r="BN350" i="1"/>
  <c r="Z350" i="1"/>
  <c r="BP374" i="1"/>
  <c r="BN374" i="1"/>
  <c r="Z374" i="1"/>
  <c r="BP391" i="1"/>
  <c r="BN391" i="1"/>
  <c r="Z391" i="1"/>
  <c r="BP410" i="1"/>
  <c r="BN410" i="1"/>
  <c r="Z410" i="1"/>
  <c r="BP454" i="1"/>
  <c r="BN454" i="1"/>
  <c r="Z454" i="1"/>
  <c r="BP464" i="1"/>
  <c r="BN464" i="1"/>
  <c r="Z464" i="1"/>
  <c r="Y519" i="1"/>
  <c r="Y518" i="1"/>
  <c r="BP513" i="1"/>
  <c r="BN513" i="1"/>
  <c r="Z513" i="1"/>
  <c r="BP515" i="1"/>
  <c r="BN515" i="1"/>
  <c r="Z515" i="1"/>
  <c r="BP517" i="1"/>
  <c r="BN517" i="1"/>
  <c r="Z517" i="1"/>
  <c r="Y538" i="1"/>
  <c r="Y537" i="1"/>
  <c r="BP531" i="1"/>
  <c r="BN531" i="1"/>
  <c r="Z531" i="1"/>
  <c r="BP533" i="1"/>
  <c r="BN533" i="1"/>
  <c r="Z533" i="1"/>
  <c r="BP535" i="1"/>
  <c r="BN535" i="1"/>
  <c r="Z535" i="1"/>
  <c r="Y224" i="1"/>
  <c r="BP315" i="1"/>
  <c r="BN315" i="1"/>
  <c r="Z315" i="1"/>
  <c r="BP346" i="1"/>
  <c r="BN346" i="1"/>
  <c r="Z346" i="1"/>
  <c r="BP354" i="1"/>
  <c r="BN354" i="1"/>
  <c r="Z354" i="1"/>
  <c r="BP378" i="1"/>
  <c r="BN378" i="1"/>
  <c r="Z378" i="1"/>
  <c r="BP409" i="1"/>
  <c r="BN409" i="1"/>
  <c r="Z409" i="1"/>
  <c r="BP416" i="1"/>
  <c r="BN416" i="1"/>
  <c r="Z416" i="1"/>
  <c r="BP457" i="1"/>
  <c r="BN457" i="1"/>
  <c r="Z457" i="1"/>
  <c r="Y495" i="1"/>
  <c r="BP491" i="1"/>
  <c r="BN491" i="1"/>
  <c r="Z491" i="1"/>
  <c r="BP514" i="1"/>
  <c r="BN514" i="1"/>
  <c r="Z514" i="1"/>
  <c r="BP516" i="1"/>
  <c r="BN516" i="1"/>
  <c r="Z516" i="1"/>
  <c r="BP532" i="1"/>
  <c r="BN532" i="1"/>
  <c r="Z532" i="1"/>
  <c r="BP534" i="1"/>
  <c r="BN534" i="1"/>
  <c r="Z534" i="1"/>
  <c r="BP536" i="1"/>
  <c r="BN536" i="1"/>
  <c r="Z536" i="1"/>
  <c r="Y384" i="1"/>
  <c r="Y489" i="1"/>
  <c r="Z22" i="1"/>
  <c r="BN22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5" i="1"/>
  <c r="BP149" i="1"/>
  <c r="BN149" i="1"/>
  <c r="Z149" i="1"/>
  <c r="Z150" i="1" s="1"/>
  <c r="Y151" i="1"/>
  <c r="H572" i="1"/>
  <c r="Y156" i="1"/>
  <c r="BP155" i="1"/>
  <c r="BN155" i="1"/>
  <c r="Z155" i="1"/>
  <c r="Z156" i="1" s="1"/>
  <c r="Y157" i="1"/>
  <c r="Y169" i="1"/>
  <c r="BP159" i="1"/>
  <c r="BN159" i="1"/>
  <c r="Z159" i="1"/>
  <c r="BP163" i="1"/>
  <c r="BN163" i="1"/>
  <c r="Z163" i="1"/>
  <c r="BP166" i="1"/>
  <c r="BN166" i="1"/>
  <c r="Z166" i="1"/>
  <c r="BP183" i="1"/>
  <c r="BN183" i="1"/>
  <c r="Z183" i="1"/>
  <c r="BP187" i="1"/>
  <c r="BN187" i="1"/>
  <c r="Z187" i="1"/>
  <c r="BP195" i="1"/>
  <c r="BN195" i="1"/>
  <c r="Z195" i="1"/>
  <c r="BP199" i="1"/>
  <c r="BN199" i="1"/>
  <c r="Z199" i="1"/>
  <c r="BP212" i="1"/>
  <c r="BN212" i="1"/>
  <c r="Z212" i="1"/>
  <c r="BP216" i="1"/>
  <c r="BN216" i="1"/>
  <c r="Z216" i="1"/>
  <c r="BP230" i="1"/>
  <c r="BN230" i="1"/>
  <c r="Z230" i="1"/>
  <c r="Y234" i="1"/>
  <c r="BP244" i="1"/>
  <c r="BN244" i="1"/>
  <c r="Z244" i="1"/>
  <c r="Z246" i="1" s="1"/>
  <c r="BP253" i="1"/>
  <c r="BN253" i="1"/>
  <c r="Z253" i="1"/>
  <c r="BP290" i="1"/>
  <c r="BN290" i="1"/>
  <c r="Z290" i="1"/>
  <c r="BP294" i="1"/>
  <c r="BN294" i="1"/>
  <c r="Z294" i="1"/>
  <c r="Y296" i="1"/>
  <c r="Y303" i="1"/>
  <c r="BP298" i="1"/>
  <c r="BN298" i="1"/>
  <c r="Z298" i="1"/>
  <c r="Y302" i="1"/>
  <c r="BP306" i="1"/>
  <c r="BN306" i="1"/>
  <c r="Z306" i="1"/>
  <c r="Y310" i="1"/>
  <c r="BP314" i="1"/>
  <c r="BN314" i="1"/>
  <c r="Z314" i="1"/>
  <c r="Z316" i="1" s="1"/>
  <c r="Y316" i="1"/>
  <c r="BP388" i="1"/>
  <c r="BN388" i="1"/>
  <c r="Z388" i="1"/>
  <c r="Y392" i="1"/>
  <c r="Y396" i="1"/>
  <c r="BP395" i="1"/>
  <c r="BN395" i="1"/>
  <c r="Z395" i="1"/>
  <c r="Z396" i="1" s="1"/>
  <c r="Y397" i="1"/>
  <c r="BP405" i="1"/>
  <c r="BN405" i="1"/>
  <c r="Z405" i="1"/>
  <c r="BP408" i="1"/>
  <c r="BN408" i="1"/>
  <c r="Z408" i="1"/>
  <c r="Y413" i="1"/>
  <c r="BP417" i="1"/>
  <c r="BN417" i="1"/>
  <c r="Z417" i="1"/>
  <c r="Z418" i="1" s="1"/>
  <c r="Y419" i="1"/>
  <c r="Y425" i="1"/>
  <c r="BP422" i="1"/>
  <c r="BN422" i="1"/>
  <c r="Z422" i="1"/>
  <c r="Y424" i="1"/>
  <c r="G572" i="1"/>
  <c r="H9" i="1"/>
  <c r="B572" i="1"/>
  <c r="X563" i="1"/>
  <c r="X564" i="1"/>
  <c r="Z23" i="1"/>
  <c r="BN23" i="1"/>
  <c r="Z25" i="1"/>
  <c r="BN25" i="1"/>
  <c r="Y26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4" i="1"/>
  <c r="BN94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Z119" i="1"/>
  <c r="BN119" i="1"/>
  <c r="BP119" i="1"/>
  <c r="Z121" i="1"/>
  <c r="BN121" i="1"/>
  <c r="Z122" i="1"/>
  <c r="BN122" i="1"/>
  <c r="Z125" i="1"/>
  <c r="BN125" i="1"/>
  <c r="Z127" i="1"/>
  <c r="BN127" i="1"/>
  <c r="Z131" i="1"/>
  <c r="Z133" i="1" s="1"/>
  <c r="BN131" i="1"/>
  <c r="BP131" i="1"/>
  <c r="Y146" i="1"/>
  <c r="Z142" i="1"/>
  <c r="Z145" i="1" s="1"/>
  <c r="BN142" i="1"/>
  <c r="Y150" i="1"/>
  <c r="BP161" i="1"/>
  <c r="BN161" i="1"/>
  <c r="Z161" i="1"/>
  <c r="BP164" i="1"/>
  <c r="BN164" i="1"/>
  <c r="Z164" i="1"/>
  <c r="Y168" i="1"/>
  <c r="BP173" i="1"/>
  <c r="BN173" i="1"/>
  <c r="Z173" i="1"/>
  <c r="Z174" i="1" s="1"/>
  <c r="Y175" i="1"/>
  <c r="Y180" i="1"/>
  <c r="BP177" i="1"/>
  <c r="BN177" i="1"/>
  <c r="Z177" i="1"/>
  <c r="Z179" i="1" s="1"/>
  <c r="Y190" i="1"/>
  <c r="BP185" i="1"/>
  <c r="BN185" i="1"/>
  <c r="Z185" i="1"/>
  <c r="BP189" i="1"/>
  <c r="BN189" i="1"/>
  <c r="Z189" i="1"/>
  <c r="Y191" i="1"/>
  <c r="Y202" i="1"/>
  <c r="BP193" i="1"/>
  <c r="BN193" i="1"/>
  <c r="Z193" i="1"/>
  <c r="BP197" i="1"/>
  <c r="BN197" i="1"/>
  <c r="Z197" i="1"/>
  <c r="BP201" i="1"/>
  <c r="BN201" i="1"/>
  <c r="Z201" i="1"/>
  <c r="Y203" i="1"/>
  <c r="Y208" i="1"/>
  <c r="BP205" i="1"/>
  <c r="BN205" i="1"/>
  <c r="Z205" i="1"/>
  <c r="Z207" i="1" s="1"/>
  <c r="BP214" i="1"/>
  <c r="BN214" i="1"/>
  <c r="Z214" i="1"/>
  <c r="BP218" i="1"/>
  <c r="BN218" i="1"/>
  <c r="Z218" i="1"/>
  <c r="Y220" i="1"/>
  <c r="BP223" i="1"/>
  <c r="BN223" i="1"/>
  <c r="Z223" i="1"/>
  <c r="Z224" i="1" s="1"/>
  <c r="Y225" i="1"/>
  <c r="K572" i="1"/>
  <c r="Y235" i="1"/>
  <c r="BP228" i="1"/>
  <c r="BN228" i="1"/>
  <c r="Z228" i="1"/>
  <c r="BP232" i="1"/>
  <c r="BN232" i="1"/>
  <c r="Z232" i="1"/>
  <c r="Y246" i="1"/>
  <c r="BP251" i="1"/>
  <c r="BN251" i="1"/>
  <c r="Z251" i="1"/>
  <c r="Z255" i="1" s="1"/>
  <c r="Y255" i="1"/>
  <c r="BP273" i="1"/>
  <c r="BN273" i="1"/>
  <c r="Z273" i="1"/>
  <c r="Z274" i="1" s="1"/>
  <c r="Y275" i="1"/>
  <c r="R572" i="1"/>
  <c r="Y279" i="1"/>
  <c r="BP278" i="1"/>
  <c r="BN278" i="1"/>
  <c r="Z278" i="1"/>
  <c r="Z279" i="1" s="1"/>
  <c r="Y280" i="1"/>
  <c r="Y285" i="1"/>
  <c r="BP282" i="1"/>
  <c r="BN282" i="1"/>
  <c r="Z282" i="1"/>
  <c r="Z284" i="1" s="1"/>
  <c r="BP320" i="1"/>
  <c r="BN320" i="1"/>
  <c r="Z320" i="1"/>
  <c r="BP328" i="1"/>
  <c r="BN328" i="1"/>
  <c r="Z328" i="1"/>
  <c r="Y330" i="1"/>
  <c r="T572" i="1"/>
  <c r="Y334" i="1"/>
  <c r="BP333" i="1"/>
  <c r="BN333" i="1"/>
  <c r="Z333" i="1"/>
  <c r="Z334" i="1" s="1"/>
  <c r="Y335" i="1"/>
  <c r="Y340" i="1"/>
  <c r="BP337" i="1"/>
  <c r="BN337" i="1"/>
  <c r="Z337" i="1"/>
  <c r="Y341" i="1"/>
  <c r="BP347" i="1"/>
  <c r="BN347" i="1"/>
  <c r="Z347" i="1"/>
  <c r="BP351" i="1"/>
  <c r="BN351" i="1"/>
  <c r="Z351" i="1"/>
  <c r="Y355" i="1"/>
  <c r="BP359" i="1"/>
  <c r="BN359" i="1"/>
  <c r="Z359" i="1"/>
  <c r="Z360" i="1" s="1"/>
  <c r="Y361" i="1"/>
  <c r="Y369" i="1"/>
  <c r="BP368" i="1"/>
  <c r="BN368" i="1"/>
  <c r="Z368" i="1"/>
  <c r="Z369" i="1" s="1"/>
  <c r="Y370" i="1"/>
  <c r="V572" i="1"/>
  <c r="Y380" i="1"/>
  <c r="BP373" i="1"/>
  <c r="BN373" i="1"/>
  <c r="Z373" i="1"/>
  <c r="Y379" i="1"/>
  <c r="BP377" i="1"/>
  <c r="BN377" i="1"/>
  <c r="Z377" i="1"/>
  <c r="BP430" i="1"/>
  <c r="BN430" i="1"/>
  <c r="Z430" i="1"/>
  <c r="Y432" i="1"/>
  <c r="Y572" i="1"/>
  <c r="Y437" i="1"/>
  <c r="BP435" i="1"/>
  <c r="BN435" i="1"/>
  <c r="Z435" i="1"/>
  <c r="Y438" i="1"/>
  <c r="Y510" i="1"/>
  <c r="Y511" i="1"/>
  <c r="BP504" i="1"/>
  <c r="BN504" i="1"/>
  <c r="Z504" i="1"/>
  <c r="AB572" i="1"/>
  <c r="BP506" i="1"/>
  <c r="BN506" i="1"/>
  <c r="Z506" i="1"/>
  <c r="BP508" i="1"/>
  <c r="BN508" i="1"/>
  <c r="Z508" i="1"/>
  <c r="BP522" i="1"/>
  <c r="BN522" i="1"/>
  <c r="Z522" i="1"/>
  <c r="BP524" i="1"/>
  <c r="BN524" i="1"/>
  <c r="Z524" i="1"/>
  <c r="BP526" i="1"/>
  <c r="BN526" i="1"/>
  <c r="Z526" i="1"/>
  <c r="BP541" i="1"/>
  <c r="BN541" i="1"/>
  <c r="Z541" i="1"/>
  <c r="BP543" i="1"/>
  <c r="BN543" i="1"/>
  <c r="Z543" i="1"/>
  <c r="BP545" i="1"/>
  <c r="BN545" i="1"/>
  <c r="Z545" i="1"/>
  <c r="Y547" i="1"/>
  <c r="Y556" i="1"/>
  <c r="BP555" i="1"/>
  <c r="BN555" i="1"/>
  <c r="Z555" i="1"/>
  <c r="Z556" i="1" s="1"/>
  <c r="Y557" i="1"/>
  <c r="X572" i="1"/>
  <c r="I572" i="1"/>
  <c r="Y174" i="1"/>
  <c r="J572" i="1"/>
  <c r="Y219" i="1"/>
  <c r="Y240" i="1"/>
  <c r="M572" i="1"/>
  <c r="Y247" i="1"/>
  <c r="O572" i="1"/>
  <c r="Y256" i="1"/>
  <c r="Y261" i="1"/>
  <c r="Q572" i="1"/>
  <c r="Y274" i="1"/>
  <c r="S572" i="1"/>
  <c r="Y295" i="1"/>
  <c r="BP288" i="1"/>
  <c r="BP292" i="1"/>
  <c r="BN292" i="1"/>
  <c r="Z292" i="1"/>
  <c r="BP300" i="1"/>
  <c r="BN300" i="1"/>
  <c r="Z300" i="1"/>
  <c r="Y311" i="1"/>
  <c r="BP308" i="1"/>
  <c r="BN308" i="1"/>
  <c r="Z308" i="1"/>
  <c r="Z310" i="1" s="1"/>
  <c r="Y317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9" i="1"/>
  <c r="BN339" i="1"/>
  <c r="Z339" i="1"/>
  <c r="U572" i="1"/>
  <c r="Y356" i="1"/>
  <c r="BP345" i="1"/>
  <c r="BN345" i="1"/>
  <c r="Z345" i="1"/>
  <c r="BP349" i="1"/>
  <c r="BN349" i="1"/>
  <c r="Z349" i="1"/>
  <c r="BP353" i="1"/>
  <c r="BN353" i="1"/>
  <c r="Z353" i="1"/>
  <c r="Y360" i="1"/>
  <c r="BP375" i="1"/>
  <c r="BN375" i="1"/>
  <c r="Z375" i="1"/>
  <c r="BP383" i="1"/>
  <c r="BN383" i="1"/>
  <c r="Z383" i="1"/>
  <c r="Z384" i="1" s="1"/>
  <c r="Y385" i="1"/>
  <c r="Y393" i="1"/>
  <c r="BP387" i="1"/>
  <c r="BN387" i="1"/>
  <c r="Z387" i="1"/>
  <c r="BP390" i="1"/>
  <c r="BN390" i="1"/>
  <c r="Z390" i="1"/>
  <c r="BP406" i="1"/>
  <c r="BN406" i="1"/>
  <c r="Z406" i="1"/>
  <c r="BP411" i="1"/>
  <c r="BN411" i="1"/>
  <c r="Z411" i="1"/>
  <c r="Y418" i="1"/>
  <c r="Y431" i="1"/>
  <c r="BP427" i="1"/>
  <c r="BN427" i="1"/>
  <c r="Z427" i="1"/>
  <c r="BP436" i="1"/>
  <c r="BN436" i="1"/>
  <c r="Z436" i="1"/>
  <c r="Z572" i="1"/>
  <c r="Y442" i="1"/>
  <c r="BP441" i="1"/>
  <c r="BN441" i="1"/>
  <c r="Z441" i="1"/>
  <c r="Z442" i="1" s="1"/>
  <c r="Y443" i="1"/>
  <c r="Y446" i="1"/>
  <c r="BP445" i="1"/>
  <c r="BN445" i="1"/>
  <c r="Z445" i="1"/>
  <c r="Z446" i="1" s="1"/>
  <c r="Y447" i="1"/>
  <c r="AA572" i="1"/>
  <c r="Y466" i="1"/>
  <c r="BP451" i="1"/>
  <c r="BN451" i="1"/>
  <c r="Z451" i="1"/>
  <c r="BP455" i="1"/>
  <c r="BN455" i="1"/>
  <c r="Z455" i="1"/>
  <c r="BP458" i="1"/>
  <c r="BN458" i="1"/>
  <c r="Z458" i="1"/>
  <c r="BP465" i="1"/>
  <c r="BN465" i="1"/>
  <c r="Z465" i="1"/>
  <c r="Y467" i="1"/>
  <c r="Y473" i="1"/>
  <c r="BP469" i="1"/>
  <c r="BN469" i="1"/>
  <c r="Z469" i="1"/>
  <c r="Y474" i="1"/>
  <c r="BP471" i="1"/>
  <c r="BN471" i="1"/>
  <c r="Z471" i="1"/>
  <c r="BP483" i="1"/>
  <c r="BN483" i="1"/>
  <c r="Z483" i="1"/>
  <c r="BP486" i="1"/>
  <c r="BN486" i="1"/>
  <c r="Z486" i="1"/>
  <c r="W572" i="1"/>
  <c r="Y414" i="1"/>
  <c r="BP453" i="1"/>
  <c r="BN453" i="1"/>
  <c r="Z453" i="1"/>
  <c r="BP456" i="1"/>
  <c r="BN456" i="1"/>
  <c r="Z456" i="1"/>
  <c r="BP463" i="1"/>
  <c r="BN463" i="1"/>
  <c r="Z463" i="1"/>
  <c r="BP470" i="1"/>
  <c r="BN470" i="1"/>
  <c r="Z470" i="1"/>
  <c r="BP472" i="1"/>
  <c r="BN472" i="1"/>
  <c r="Z472" i="1"/>
  <c r="BP482" i="1"/>
  <c r="BN482" i="1"/>
  <c r="Z482" i="1"/>
  <c r="BP485" i="1"/>
  <c r="BN485" i="1"/>
  <c r="Z485" i="1"/>
  <c r="Y488" i="1"/>
  <c r="BP492" i="1"/>
  <c r="BN492" i="1"/>
  <c r="Z492" i="1"/>
  <c r="BP505" i="1"/>
  <c r="BN505" i="1"/>
  <c r="Z505" i="1"/>
  <c r="BP507" i="1"/>
  <c r="BN507" i="1"/>
  <c r="Z507" i="1"/>
  <c r="BP509" i="1"/>
  <c r="BN509" i="1"/>
  <c r="Z50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29" i="1"/>
  <c r="Y546" i="1"/>
  <c r="BP540" i="1"/>
  <c r="BN540" i="1"/>
  <c r="Z540" i="1"/>
  <c r="BP542" i="1"/>
  <c r="BN542" i="1"/>
  <c r="Z542" i="1"/>
  <c r="BP544" i="1"/>
  <c r="BN544" i="1"/>
  <c r="Z544" i="1"/>
  <c r="AC572" i="1"/>
  <c r="Y553" i="1"/>
  <c r="Z77" i="1" l="1"/>
  <c r="Z26" i="1"/>
  <c r="Z365" i="1"/>
  <c r="Z494" i="1"/>
  <c r="Z488" i="1"/>
  <c r="Z431" i="1"/>
  <c r="Z190" i="1"/>
  <c r="Z128" i="1"/>
  <c r="Z116" i="1"/>
  <c r="Z110" i="1"/>
  <c r="Z90" i="1"/>
  <c r="Z62" i="1"/>
  <c r="Z55" i="1"/>
  <c r="Z424" i="1"/>
  <c r="Z499" i="1"/>
  <c r="Z295" i="1"/>
  <c r="Z219" i="1"/>
  <c r="Z518" i="1"/>
  <c r="Z102" i="1"/>
  <c r="Y564" i="1"/>
  <c r="Y563" i="1"/>
  <c r="Z413" i="1"/>
  <c r="Z537" i="1"/>
  <c r="Y565" i="1"/>
  <c r="Z473" i="1"/>
  <c r="Z302" i="1"/>
  <c r="Z168" i="1"/>
  <c r="Y562" i="1"/>
  <c r="Z392" i="1"/>
  <c r="Z355" i="1"/>
  <c r="Z329" i="1"/>
  <c r="Z323" i="1"/>
  <c r="Z510" i="1"/>
  <c r="Z437" i="1"/>
  <c r="Z379" i="1"/>
  <c r="Z340" i="1"/>
  <c r="Z234" i="1"/>
  <c r="Z83" i="1"/>
  <c r="Z40" i="1"/>
  <c r="Y566" i="1"/>
  <c r="X565" i="1"/>
  <c r="Z546" i="1"/>
  <c r="Z528" i="1"/>
  <c r="Z466" i="1"/>
  <c r="Z202" i="1"/>
  <c r="Z567" i="1" l="1"/>
</calcChain>
</file>

<file path=xl/sharedStrings.xml><?xml version="1.0" encoding="utf-8"?>
<sst xmlns="http://schemas.openxmlformats.org/spreadsheetml/2006/main" count="2654" uniqueCount="952">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</sst>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4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3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7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6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55" customWidth="1"/>
    <col min="19" max="19" width="6.140625" style="6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55" customWidth="1"/>
    <col min="25" max="25" width="11" style="655" customWidth="1"/>
    <col min="26" max="26" width="10" style="655" customWidth="1"/>
    <col min="27" max="27" width="11.5703125" style="655" customWidth="1"/>
    <col min="28" max="28" width="10.42578125" style="655" customWidth="1"/>
    <col min="29" max="29" width="30" style="6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55" customWidth="1"/>
    <col min="34" max="34" width="9.140625" style="655" customWidth="1"/>
    <col min="35" max="16384" width="9.140625" style="655"/>
  </cols>
  <sheetData>
    <row r="1" spans="1:32" s="651" customFormat="1" ht="45" customHeight="1" x14ac:dyDescent="0.2">
      <c r="A1" s="41"/>
      <c r="B1" s="41"/>
      <c r="C1" s="41"/>
      <c r="D1" s="727" t="s">
        <v>0</v>
      </c>
      <c r="E1" s="728"/>
      <c r="F1" s="728"/>
      <c r="G1" s="12" t="s">
        <v>1</v>
      </c>
      <c r="H1" s="727" t="s">
        <v>2</v>
      </c>
      <c r="I1" s="728"/>
      <c r="J1" s="728"/>
      <c r="K1" s="728"/>
      <c r="L1" s="728"/>
      <c r="M1" s="728"/>
      <c r="N1" s="728"/>
      <c r="O1" s="728"/>
      <c r="P1" s="728"/>
      <c r="Q1" s="728"/>
      <c r="R1" s="733" t="s">
        <v>3</v>
      </c>
      <c r="S1" s="728"/>
      <c r="T1" s="7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1" customFormat="1" ht="23.45" customHeight="1" x14ac:dyDescent="0.2">
      <c r="A5" s="794" t="s">
        <v>8</v>
      </c>
      <c r="B5" s="704"/>
      <c r="C5" s="705"/>
      <c r="D5" s="736"/>
      <c r="E5" s="737"/>
      <c r="F5" s="982" t="s">
        <v>9</v>
      </c>
      <c r="G5" s="705"/>
      <c r="H5" s="736" t="s">
        <v>951</v>
      </c>
      <c r="I5" s="925"/>
      <c r="J5" s="925"/>
      <c r="K5" s="925"/>
      <c r="L5" s="925"/>
      <c r="M5" s="737"/>
      <c r="N5" s="58"/>
      <c r="P5" s="24" t="s">
        <v>10</v>
      </c>
      <c r="Q5" s="991">
        <v>45747</v>
      </c>
      <c r="R5" s="785"/>
      <c r="T5" s="840" t="s">
        <v>11</v>
      </c>
      <c r="U5" s="841"/>
      <c r="V5" s="843" t="s">
        <v>12</v>
      </c>
      <c r="W5" s="785"/>
      <c r="AB5" s="51"/>
      <c r="AC5" s="51"/>
      <c r="AD5" s="51"/>
      <c r="AE5" s="51"/>
    </row>
    <row r="6" spans="1:32" s="651" customFormat="1" ht="24" customHeight="1" x14ac:dyDescent="0.2">
      <c r="A6" s="794" t="s">
        <v>13</v>
      </c>
      <c r="B6" s="704"/>
      <c r="C6" s="705"/>
      <c r="D6" s="927" t="s">
        <v>14</v>
      </c>
      <c r="E6" s="928"/>
      <c r="F6" s="928"/>
      <c r="G6" s="928"/>
      <c r="H6" s="928"/>
      <c r="I6" s="928"/>
      <c r="J6" s="928"/>
      <c r="K6" s="928"/>
      <c r="L6" s="928"/>
      <c r="M6" s="785"/>
      <c r="N6" s="59"/>
      <c r="P6" s="24" t="s">
        <v>15</v>
      </c>
      <c r="Q6" s="1000" t="str">
        <f>IF(Q5=0," ",CHOOSE(WEEKDAY(Q5,2),"Понедельник","Вторник","Среда","Четверг","Пятница","Суббота","Воскресенье"))</f>
        <v>Понедельник</v>
      </c>
      <c r="R6" s="673"/>
      <c r="T6" s="846" t="s">
        <v>16</v>
      </c>
      <c r="U6" s="841"/>
      <c r="V6" s="909" t="s">
        <v>17</v>
      </c>
      <c r="W6" s="701"/>
      <c r="AB6" s="51"/>
      <c r="AC6" s="51"/>
      <c r="AD6" s="51"/>
      <c r="AE6" s="51"/>
    </row>
    <row r="7" spans="1:32" s="651" customFormat="1" ht="21.75" hidden="1" customHeight="1" x14ac:dyDescent="0.2">
      <c r="A7" s="55"/>
      <c r="B7" s="55"/>
      <c r="C7" s="55"/>
      <c r="D7" s="709" t="str">
        <f>IFERROR(VLOOKUP(DeliveryAddress,Table,3,0),1)</f>
        <v>1</v>
      </c>
      <c r="E7" s="710"/>
      <c r="F7" s="710"/>
      <c r="G7" s="710"/>
      <c r="H7" s="710"/>
      <c r="I7" s="710"/>
      <c r="J7" s="710"/>
      <c r="K7" s="710"/>
      <c r="L7" s="710"/>
      <c r="M7" s="711"/>
      <c r="N7" s="60"/>
      <c r="P7" s="24"/>
      <c r="Q7" s="42"/>
      <c r="R7" s="42"/>
      <c r="T7" s="680"/>
      <c r="U7" s="841"/>
      <c r="V7" s="910"/>
      <c r="W7" s="911"/>
      <c r="AB7" s="51"/>
      <c r="AC7" s="51"/>
      <c r="AD7" s="51"/>
      <c r="AE7" s="51"/>
    </row>
    <row r="8" spans="1:32" s="651" customFormat="1" ht="25.5" customHeight="1" x14ac:dyDescent="0.2">
      <c r="A8" s="1021" t="s">
        <v>18</v>
      </c>
      <c r="B8" s="664"/>
      <c r="C8" s="665"/>
      <c r="D8" s="720" t="s">
        <v>19</v>
      </c>
      <c r="E8" s="721"/>
      <c r="F8" s="721"/>
      <c r="G8" s="721"/>
      <c r="H8" s="721"/>
      <c r="I8" s="721"/>
      <c r="J8" s="721"/>
      <c r="K8" s="721"/>
      <c r="L8" s="721"/>
      <c r="M8" s="722"/>
      <c r="N8" s="61"/>
      <c r="P8" s="24" t="s">
        <v>20</v>
      </c>
      <c r="Q8" s="802">
        <v>0.375</v>
      </c>
      <c r="R8" s="711"/>
      <c r="T8" s="680"/>
      <c r="U8" s="841"/>
      <c r="V8" s="910"/>
      <c r="W8" s="911"/>
      <c r="AB8" s="51"/>
      <c r="AC8" s="51"/>
      <c r="AD8" s="51"/>
      <c r="AE8" s="51"/>
    </row>
    <row r="9" spans="1:32" s="651" customFormat="1" ht="39.950000000000003" customHeight="1" x14ac:dyDescent="0.2">
      <c r="A9" s="8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16"/>
      <c r="E9" s="662"/>
      <c r="F9" s="8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61" t="str">
        <f>IF(AND($A$9="Тип доверенности/получателя при получении в адресе перегруза:",$D$9="Разовая доверенность"),"Введите ФИО","")</f>
        <v/>
      </c>
      <c r="I9" s="662"/>
      <c r="J9" s="6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2"/>
      <c r="L9" s="662"/>
      <c r="M9" s="662"/>
      <c r="N9" s="649"/>
      <c r="P9" s="26" t="s">
        <v>21</v>
      </c>
      <c r="Q9" s="780"/>
      <c r="R9" s="781"/>
      <c r="T9" s="680"/>
      <c r="U9" s="841"/>
      <c r="V9" s="912"/>
      <c r="W9" s="913"/>
      <c r="X9" s="43"/>
      <c r="Y9" s="43"/>
      <c r="Z9" s="43"/>
      <c r="AA9" s="43"/>
      <c r="AB9" s="51"/>
      <c r="AC9" s="51"/>
      <c r="AD9" s="51"/>
      <c r="AE9" s="51"/>
    </row>
    <row r="10" spans="1:32" s="651" customFormat="1" ht="26.45" customHeight="1" x14ac:dyDescent="0.2">
      <c r="A10" s="8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16"/>
      <c r="E10" s="662"/>
      <c r="F10" s="8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893" t="str">
        <f>IFERROR(VLOOKUP($D$10,Proxy,2,FALSE),"")</f>
        <v/>
      </c>
      <c r="I10" s="680"/>
      <c r="J10" s="680"/>
      <c r="K10" s="680"/>
      <c r="L10" s="680"/>
      <c r="M10" s="680"/>
      <c r="N10" s="650"/>
      <c r="P10" s="26" t="s">
        <v>22</v>
      </c>
      <c r="Q10" s="847"/>
      <c r="R10" s="848"/>
      <c r="U10" s="24" t="s">
        <v>23</v>
      </c>
      <c r="V10" s="700" t="s">
        <v>24</v>
      </c>
      <c r="W10" s="701"/>
      <c r="X10" s="44"/>
      <c r="Y10" s="44"/>
      <c r="Z10" s="44"/>
      <c r="AA10" s="44"/>
      <c r="AB10" s="51"/>
      <c r="AC10" s="51"/>
      <c r="AD10" s="51"/>
      <c r="AE10" s="51"/>
    </row>
    <row r="11" spans="1:32" s="6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4"/>
      <c r="R11" s="785"/>
      <c r="U11" s="24" t="s">
        <v>27</v>
      </c>
      <c r="V11" s="952" t="s">
        <v>28</v>
      </c>
      <c r="W11" s="781"/>
      <c r="X11" s="45"/>
      <c r="Y11" s="45"/>
      <c r="Z11" s="45"/>
      <c r="AA11" s="45"/>
      <c r="AB11" s="51"/>
      <c r="AC11" s="51"/>
      <c r="AD11" s="51"/>
      <c r="AE11" s="51"/>
    </row>
    <row r="12" spans="1:32" s="651" customFormat="1" ht="18.600000000000001" customHeight="1" x14ac:dyDescent="0.2">
      <c r="A12" s="832" t="s">
        <v>29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05"/>
      <c r="N12" s="62"/>
      <c r="P12" s="24" t="s">
        <v>30</v>
      </c>
      <c r="Q12" s="802"/>
      <c r="R12" s="711"/>
      <c r="S12" s="23"/>
      <c r="U12" s="24"/>
      <c r="V12" s="728"/>
      <c r="W12" s="680"/>
      <c r="AB12" s="51"/>
      <c r="AC12" s="51"/>
      <c r="AD12" s="51"/>
      <c r="AE12" s="51"/>
    </row>
    <row r="13" spans="1:32" s="651" customFormat="1" ht="23.25" customHeight="1" x14ac:dyDescent="0.2">
      <c r="A13" s="832" t="s">
        <v>31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05"/>
      <c r="N13" s="62"/>
      <c r="O13" s="26"/>
      <c r="P13" s="26" t="s">
        <v>32</v>
      </c>
      <c r="Q13" s="952"/>
      <c r="R13" s="7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1" customFormat="1" ht="18.600000000000001" customHeight="1" x14ac:dyDescent="0.2">
      <c r="A14" s="832" t="s">
        <v>33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1" customFormat="1" ht="22.5" customHeight="1" x14ac:dyDescent="0.2">
      <c r="A15" s="864" t="s">
        <v>34</v>
      </c>
      <c r="B15" s="704"/>
      <c r="C15" s="704"/>
      <c r="D15" s="704"/>
      <c r="E15" s="704"/>
      <c r="F15" s="704"/>
      <c r="G15" s="704"/>
      <c r="H15" s="704"/>
      <c r="I15" s="704"/>
      <c r="J15" s="704"/>
      <c r="K15" s="704"/>
      <c r="L15" s="704"/>
      <c r="M15" s="705"/>
      <c r="N15" s="63"/>
      <c r="P15" s="820" t="s">
        <v>35</v>
      </c>
      <c r="Q15" s="728"/>
      <c r="R15" s="728"/>
      <c r="S15" s="728"/>
      <c r="T15" s="7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21"/>
      <c r="Q16" s="821"/>
      <c r="R16" s="821"/>
      <c r="S16" s="821"/>
      <c r="T16" s="8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7" t="s">
        <v>36</v>
      </c>
      <c r="B17" s="677" t="s">
        <v>37</v>
      </c>
      <c r="C17" s="812" t="s">
        <v>38</v>
      </c>
      <c r="D17" s="677" t="s">
        <v>39</v>
      </c>
      <c r="E17" s="760"/>
      <c r="F17" s="677" t="s">
        <v>40</v>
      </c>
      <c r="G17" s="677" t="s">
        <v>41</v>
      </c>
      <c r="H17" s="677" t="s">
        <v>42</v>
      </c>
      <c r="I17" s="677" t="s">
        <v>43</v>
      </c>
      <c r="J17" s="677" t="s">
        <v>44</v>
      </c>
      <c r="K17" s="677" t="s">
        <v>45</v>
      </c>
      <c r="L17" s="677" t="s">
        <v>46</v>
      </c>
      <c r="M17" s="677" t="s">
        <v>47</v>
      </c>
      <c r="N17" s="677" t="s">
        <v>48</v>
      </c>
      <c r="O17" s="677" t="s">
        <v>49</v>
      </c>
      <c r="P17" s="677" t="s">
        <v>50</v>
      </c>
      <c r="Q17" s="759"/>
      <c r="R17" s="759"/>
      <c r="S17" s="759"/>
      <c r="T17" s="760"/>
      <c r="U17" s="1016" t="s">
        <v>51</v>
      </c>
      <c r="V17" s="705"/>
      <c r="W17" s="677" t="s">
        <v>52</v>
      </c>
      <c r="X17" s="677" t="s">
        <v>53</v>
      </c>
      <c r="Y17" s="1018" t="s">
        <v>54</v>
      </c>
      <c r="Z17" s="903" t="s">
        <v>55</v>
      </c>
      <c r="AA17" s="896" t="s">
        <v>56</v>
      </c>
      <c r="AB17" s="896" t="s">
        <v>57</v>
      </c>
      <c r="AC17" s="896" t="s">
        <v>58</v>
      </c>
      <c r="AD17" s="896" t="s">
        <v>59</v>
      </c>
      <c r="AE17" s="977"/>
      <c r="AF17" s="978"/>
      <c r="AG17" s="66"/>
      <c r="BD17" s="65" t="s">
        <v>60</v>
      </c>
    </row>
    <row r="18" spans="1:68" ht="14.25" customHeight="1" x14ac:dyDescent="0.2">
      <c r="A18" s="678"/>
      <c r="B18" s="678"/>
      <c r="C18" s="678"/>
      <c r="D18" s="761"/>
      <c r="E18" s="763"/>
      <c r="F18" s="678"/>
      <c r="G18" s="678"/>
      <c r="H18" s="678"/>
      <c r="I18" s="678"/>
      <c r="J18" s="678"/>
      <c r="K18" s="678"/>
      <c r="L18" s="678"/>
      <c r="M18" s="678"/>
      <c r="N18" s="678"/>
      <c r="O18" s="678"/>
      <c r="P18" s="761"/>
      <c r="Q18" s="762"/>
      <c r="R18" s="762"/>
      <c r="S18" s="762"/>
      <c r="T18" s="763"/>
      <c r="U18" s="67" t="s">
        <v>61</v>
      </c>
      <c r="V18" s="67" t="s">
        <v>62</v>
      </c>
      <c r="W18" s="678"/>
      <c r="X18" s="678"/>
      <c r="Y18" s="1019"/>
      <c r="Z18" s="904"/>
      <c r="AA18" s="897"/>
      <c r="AB18" s="897"/>
      <c r="AC18" s="897"/>
      <c r="AD18" s="979"/>
      <c r="AE18" s="980"/>
      <c r="AF18" s="981"/>
      <c r="AG18" s="66"/>
      <c r="BD18" s="65"/>
    </row>
    <row r="19" spans="1:68" ht="27.75" hidden="1" customHeight="1" x14ac:dyDescent="0.2">
      <c r="A19" s="712" t="s">
        <v>63</v>
      </c>
      <c r="B19" s="713"/>
      <c r="C19" s="713"/>
      <c r="D19" s="713"/>
      <c r="E19" s="713"/>
      <c r="F19" s="713"/>
      <c r="G19" s="713"/>
      <c r="H19" s="713"/>
      <c r="I19" s="713"/>
      <c r="J19" s="713"/>
      <c r="K19" s="713"/>
      <c r="L19" s="713"/>
      <c r="M19" s="713"/>
      <c r="N19" s="713"/>
      <c r="O19" s="713"/>
      <c r="P19" s="713"/>
      <c r="Q19" s="713"/>
      <c r="R19" s="713"/>
      <c r="S19" s="713"/>
      <c r="T19" s="713"/>
      <c r="U19" s="713"/>
      <c r="V19" s="713"/>
      <c r="W19" s="713"/>
      <c r="X19" s="713"/>
      <c r="Y19" s="713"/>
      <c r="Z19" s="713"/>
      <c r="AA19" s="48"/>
      <c r="AB19" s="48"/>
      <c r="AC19" s="48"/>
    </row>
    <row r="20" spans="1:68" ht="16.5" hidden="1" customHeight="1" x14ac:dyDescent="0.25">
      <c r="A20" s="688" t="s">
        <v>63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52"/>
      <c r="AB20" s="652"/>
      <c r="AC20" s="652"/>
    </row>
    <row r="21" spans="1:68" ht="14.25" hidden="1" customHeight="1" x14ac:dyDescent="0.25">
      <c r="A21" s="682" t="s">
        <v>64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53"/>
      <c r="AB21" s="653"/>
      <c r="AC21" s="65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2">
        <v>4680115885912</v>
      </c>
      <c r="E22" s="673"/>
      <c r="F22" s="656">
        <v>0.3</v>
      </c>
      <c r="G22" s="32">
        <v>6</v>
      </c>
      <c r="H22" s="656">
        <v>1.8</v>
      </c>
      <c r="I22" s="65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67"/>
      <c r="R22" s="667"/>
      <c r="S22" s="667"/>
      <c r="T22" s="668"/>
      <c r="U22" s="34"/>
      <c r="V22" s="34"/>
      <c r="W22" s="35" t="s">
        <v>69</v>
      </c>
      <c r="X22" s="657">
        <v>60</v>
      </c>
      <c r="Y22" s="658">
        <f>IFERROR(IF(X22="",0,CEILING((X22/$H22),1)*$H22),"")</f>
        <v>61.2</v>
      </c>
      <c r="Z22" s="36">
        <f>IFERROR(IF(Y22=0,"",ROUNDUP(Y22/H22,0)*0.00651),"")</f>
        <v>0.22134000000000001</v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106</v>
      </c>
      <c r="BN22" s="64">
        <f>IFERROR(Y22*I22/H22,"0")</f>
        <v>108.12</v>
      </c>
      <c r="BO22" s="64">
        <f>IFERROR(1/J22*(X22/H22),"0")</f>
        <v>0.18315018315018317</v>
      </c>
      <c r="BP22" s="64">
        <f>IFERROR(1/J22*(Y22/H22),"0")</f>
        <v>0.18681318681318682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2">
        <v>4607091388237</v>
      </c>
      <c r="E23" s="673"/>
      <c r="F23" s="656">
        <v>0.42</v>
      </c>
      <c r="G23" s="32">
        <v>6</v>
      </c>
      <c r="H23" s="656">
        <v>2.52</v>
      </c>
      <c r="I23" s="65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67"/>
      <c r="R23" s="667"/>
      <c r="S23" s="667"/>
      <c r="T23" s="668"/>
      <c r="U23" s="34"/>
      <c r="V23" s="34"/>
      <c r="W23" s="35" t="s">
        <v>69</v>
      </c>
      <c r="X23" s="657">
        <v>0</v>
      </c>
      <c r="Y23" s="65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2">
        <v>4680115885905</v>
      </c>
      <c r="E24" s="673"/>
      <c r="F24" s="656">
        <v>0.3</v>
      </c>
      <c r="G24" s="32">
        <v>6</v>
      </c>
      <c r="H24" s="656">
        <v>1.8</v>
      </c>
      <c r="I24" s="65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67"/>
      <c r="R24" s="667"/>
      <c r="S24" s="667"/>
      <c r="T24" s="668"/>
      <c r="U24" s="34"/>
      <c r="V24" s="34"/>
      <c r="W24" s="35" t="s">
        <v>69</v>
      </c>
      <c r="X24" s="657">
        <v>0</v>
      </c>
      <c r="Y24" s="65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2">
        <v>4607091388244</v>
      </c>
      <c r="E25" s="673"/>
      <c r="F25" s="656">
        <v>0.42</v>
      </c>
      <c r="G25" s="32">
        <v>6</v>
      </c>
      <c r="H25" s="656">
        <v>2.52</v>
      </c>
      <c r="I25" s="65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67"/>
      <c r="R25" s="667"/>
      <c r="S25" s="667"/>
      <c r="T25" s="668"/>
      <c r="U25" s="34"/>
      <c r="V25" s="34"/>
      <c r="W25" s="35" t="s">
        <v>69</v>
      </c>
      <c r="X25" s="657">
        <v>0</v>
      </c>
      <c r="Y25" s="65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63" t="s">
        <v>80</v>
      </c>
      <c r="Q26" s="664"/>
      <c r="R26" s="664"/>
      <c r="S26" s="664"/>
      <c r="T26" s="664"/>
      <c r="U26" s="664"/>
      <c r="V26" s="665"/>
      <c r="W26" s="37" t="s">
        <v>81</v>
      </c>
      <c r="X26" s="659">
        <f>IFERROR(X22/H22,"0")+IFERROR(X23/H23,"0")+IFERROR(X24/H24,"0")+IFERROR(X25/H25,"0")</f>
        <v>33.333333333333336</v>
      </c>
      <c r="Y26" s="659">
        <f>IFERROR(Y22/H22,"0")+IFERROR(Y23/H23,"0")+IFERROR(Y24/H24,"0")+IFERROR(Y25/H25,"0")</f>
        <v>34</v>
      </c>
      <c r="Z26" s="659">
        <f>IFERROR(IF(Z22="",0,Z22),"0")+IFERROR(IF(Z23="",0,Z23),"0")+IFERROR(IF(Z24="",0,Z24),"0")+IFERROR(IF(Z25="",0,Z25),"0")</f>
        <v>0.22134000000000001</v>
      </c>
      <c r="AA26" s="660"/>
      <c r="AB26" s="660"/>
      <c r="AC26" s="660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63" t="s">
        <v>80</v>
      </c>
      <c r="Q27" s="664"/>
      <c r="R27" s="664"/>
      <c r="S27" s="664"/>
      <c r="T27" s="664"/>
      <c r="U27" s="664"/>
      <c r="V27" s="665"/>
      <c r="W27" s="37" t="s">
        <v>69</v>
      </c>
      <c r="X27" s="659">
        <f>IFERROR(SUM(X22:X25),"0")</f>
        <v>60</v>
      </c>
      <c r="Y27" s="659">
        <f>IFERROR(SUM(Y22:Y25),"0")</f>
        <v>61.2</v>
      </c>
      <c r="Z27" s="37"/>
      <c r="AA27" s="660"/>
      <c r="AB27" s="660"/>
      <c r="AC27" s="660"/>
    </row>
    <row r="28" spans="1:68" ht="14.25" hidden="1" customHeight="1" x14ac:dyDescent="0.25">
      <c r="A28" s="682" t="s">
        <v>82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53"/>
      <c r="AB28" s="653"/>
      <c r="AC28" s="65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2">
        <v>4607091388503</v>
      </c>
      <c r="E29" s="673"/>
      <c r="F29" s="656">
        <v>0.05</v>
      </c>
      <c r="G29" s="32">
        <v>12</v>
      </c>
      <c r="H29" s="656">
        <v>0.6</v>
      </c>
      <c r="I29" s="65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67"/>
      <c r="R29" s="667"/>
      <c r="S29" s="667"/>
      <c r="T29" s="668"/>
      <c r="U29" s="34"/>
      <c r="V29" s="34"/>
      <c r="W29" s="35" t="s">
        <v>69</v>
      </c>
      <c r="X29" s="657">
        <v>0</v>
      </c>
      <c r="Y29" s="65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63" t="s">
        <v>80</v>
      </c>
      <c r="Q30" s="664"/>
      <c r="R30" s="664"/>
      <c r="S30" s="664"/>
      <c r="T30" s="664"/>
      <c r="U30" s="664"/>
      <c r="V30" s="665"/>
      <c r="W30" s="37" t="s">
        <v>81</v>
      </c>
      <c r="X30" s="659">
        <f>IFERROR(X29/H29,"0")</f>
        <v>0</v>
      </c>
      <c r="Y30" s="659">
        <f>IFERROR(Y29/H29,"0")</f>
        <v>0</v>
      </c>
      <c r="Z30" s="659">
        <f>IFERROR(IF(Z29="",0,Z29),"0")</f>
        <v>0</v>
      </c>
      <c r="AA30" s="660"/>
      <c r="AB30" s="660"/>
      <c r="AC30" s="660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63" t="s">
        <v>80</v>
      </c>
      <c r="Q31" s="664"/>
      <c r="R31" s="664"/>
      <c r="S31" s="664"/>
      <c r="T31" s="664"/>
      <c r="U31" s="664"/>
      <c r="V31" s="665"/>
      <c r="W31" s="37" t="s">
        <v>69</v>
      </c>
      <c r="X31" s="659">
        <f>IFERROR(SUM(X29:X29),"0")</f>
        <v>0</v>
      </c>
      <c r="Y31" s="659">
        <f>IFERROR(SUM(Y29:Y29),"0")</f>
        <v>0</v>
      </c>
      <c r="Z31" s="37"/>
      <c r="AA31" s="660"/>
      <c r="AB31" s="660"/>
      <c r="AC31" s="660"/>
    </row>
    <row r="32" spans="1:68" ht="27.75" hidden="1" customHeight="1" x14ac:dyDescent="0.2">
      <c r="A32" s="712" t="s">
        <v>88</v>
      </c>
      <c r="B32" s="713"/>
      <c r="C32" s="713"/>
      <c r="D32" s="713"/>
      <c r="E32" s="713"/>
      <c r="F32" s="713"/>
      <c r="G32" s="713"/>
      <c r="H32" s="713"/>
      <c r="I32" s="713"/>
      <c r="J32" s="713"/>
      <c r="K32" s="713"/>
      <c r="L32" s="713"/>
      <c r="M32" s="713"/>
      <c r="N32" s="713"/>
      <c r="O32" s="713"/>
      <c r="P32" s="713"/>
      <c r="Q32" s="713"/>
      <c r="R32" s="713"/>
      <c r="S32" s="713"/>
      <c r="T32" s="713"/>
      <c r="U32" s="713"/>
      <c r="V32" s="713"/>
      <c r="W32" s="713"/>
      <c r="X32" s="713"/>
      <c r="Y32" s="713"/>
      <c r="Z32" s="713"/>
      <c r="AA32" s="48"/>
      <c r="AB32" s="48"/>
      <c r="AC32" s="48"/>
    </row>
    <row r="33" spans="1:68" ht="16.5" hidden="1" customHeight="1" x14ac:dyDescent="0.25">
      <c r="A33" s="688" t="s">
        <v>89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52"/>
      <c r="AB33" s="652"/>
      <c r="AC33" s="652"/>
    </row>
    <row r="34" spans="1:68" ht="14.25" hidden="1" customHeight="1" x14ac:dyDescent="0.25">
      <c r="A34" s="682" t="s">
        <v>90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53"/>
      <c r="AB34" s="653"/>
      <c r="AC34" s="65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2">
        <v>4607091385670</v>
      </c>
      <c r="E35" s="673"/>
      <c r="F35" s="656">
        <v>1.35</v>
      </c>
      <c r="G35" s="32">
        <v>8</v>
      </c>
      <c r="H35" s="656">
        <v>10.8</v>
      </c>
      <c r="I35" s="65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67"/>
      <c r="R35" s="667"/>
      <c r="S35" s="667"/>
      <c r="T35" s="668"/>
      <c r="U35" s="34"/>
      <c r="V35" s="34"/>
      <c r="W35" s="35" t="s">
        <v>69</v>
      </c>
      <c r="X35" s="657">
        <v>100</v>
      </c>
      <c r="Y35" s="658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2">
        <v>4680115883956</v>
      </c>
      <c r="E36" s="673"/>
      <c r="F36" s="656">
        <v>1.4</v>
      </c>
      <c r="G36" s="32">
        <v>8</v>
      </c>
      <c r="H36" s="656">
        <v>11.2</v>
      </c>
      <c r="I36" s="65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67"/>
      <c r="R36" s="667"/>
      <c r="S36" s="667"/>
      <c r="T36" s="668"/>
      <c r="U36" s="34"/>
      <c r="V36" s="34"/>
      <c r="W36" s="35" t="s">
        <v>69</v>
      </c>
      <c r="X36" s="657">
        <v>0</v>
      </c>
      <c r="Y36" s="65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2">
        <v>4607091385687</v>
      </c>
      <c r="E37" s="673"/>
      <c r="F37" s="656">
        <v>0.4</v>
      </c>
      <c r="G37" s="32">
        <v>10</v>
      </c>
      <c r="H37" s="656">
        <v>4</v>
      </c>
      <c r="I37" s="65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67"/>
      <c r="R37" s="667"/>
      <c r="S37" s="667"/>
      <c r="T37" s="668"/>
      <c r="U37" s="34"/>
      <c r="V37" s="34"/>
      <c r="W37" s="35" t="s">
        <v>69</v>
      </c>
      <c r="X37" s="657">
        <v>360</v>
      </c>
      <c r="Y37" s="658">
        <f>IFERROR(IF(X37="",0,CEILING((X37/$H37),1)*$H37),"")</f>
        <v>360</v>
      </c>
      <c r="Z37" s="36">
        <f>IFERROR(IF(Y37=0,"",ROUNDUP(Y37/H37,0)*0.00902),"")</f>
        <v>0.81180000000000008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378.9</v>
      </c>
      <c r="BN37" s="64">
        <f>IFERROR(Y37*I37/H37,"0")</f>
        <v>378.9</v>
      </c>
      <c r="BO37" s="64">
        <f>IFERROR(1/J37*(X37/H37),"0")</f>
        <v>0.68181818181818188</v>
      </c>
      <c r="BP37" s="64">
        <f>IFERROR(1/J37*(Y37/H37),"0")</f>
        <v>0.68181818181818188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2">
        <v>4680115882539</v>
      </c>
      <c r="E38" s="673"/>
      <c r="F38" s="656">
        <v>0.37</v>
      </c>
      <c r="G38" s="32">
        <v>10</v>
      </c>
      <c r="H38" s="656">
        <v>3.7</v>
      </c>
      <c r="I38" s="65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67"/>
      <c r="R38" s="667"/>
      <c r="S38" s="667"/>
      <c r="T38" s="668"/>
      <c r="U38" s="34"/>
      <c r="V38" s="34"/>
      <c r="W38" s="35" t="s">
        <v>69</v>
      </c>
      <c r="X38" s="657">
        <v>0</v>
      </c>
      <c r="Y38" s="65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2">
        <v>4680115883949</v>
      </c>
      <c r="E39" s="673"/>
      <c r="F39" s="656">
        <v>0.37</v>
      </c>
      <c r="G39" s="32">
        <v>10</v>
      </c>
      <c r="H39" s="656">
        <v>3.7</v>
      </c>
      <c r="I39" s="65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67"/>
      <c r="R39" s="667"/>
      <c r="S39" s="667"/>
      <c r="T39" s="668"/>
      <c r="U39" s="34"/>
      <c r="V39" s="34"/>
      <c r="W39" s="35" t="s">
        <v>69</v>
      </c>
      <c r="X39" s="657">
        <v>0</v>
      </c>
      <c r="Y39" s="65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79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63" t="s">
        <v>80</v>
      </c>
      <c r="Q40" s="664"/>
      <c r="R40" s="664"/>
      <c r="S40" s="664"/>
      <c r="T40" s="664"/>
      <c r="U40" s="664"/>
      <c r="V40" s="665"/>
      <c r="W40" s="37" t="s">
        <v>81</v>
      </c>
      <c r="X40" s="659">
        <f>IFERROR(X35/H35,"0")+IFERROR(X36/H36,"0")+IFERROR(X37/H37,"0")+IFERROR(X38/H38,"0")+IFERROR(X39/H39,"0")</f>
        <v>99.259259259259267</v>
      </c>
      <c r="Y40" s="659">
        <f>IFERROR(Y35/H35,"0")+IFERROR(Y36/H36,"0")+IFERROR(Y37/H37,"0")+IFERROR(Y38/H38,"0")+IFERROR(Y39/H39,"0")</f>
        <v>100</v>
      </c>
      <c r="Z40" s="659">
        <f>IFERROR(IF(Z35="",0,Z35),"0")+IFERROR(IF(Z36="",0,Z36),"0")+IFERROR(IF(Z37="",0,Z37),"0")+IFERROR(IF(Z38="",0,Z38),"0")+IFERROR(IF(Z39="",0,Z39),"0")</f>
        <v>1.0016</v>
      </c>
      <c r="AA40" s="660"/>
      <c r="AB40" s="660"/>
      <c r="AC40" s="660"/>
    </row>
    <row r="41" spans="1:68" x14ac:dyDescent="0.2">
      <c r="A41" s="680"/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1"/>
      <c r="P41" s="663" t="s">
        <v>80</v>
      </c>
      <c r="Q41" s="664"/>
      <c r="R41" s="664"/>
      <c r="S41" s="664"/>
      <c r="T41" s="664"/>
      <c r="U41" s="664"/>
      <c r="V41" s="665"/>
      <c r="W41" s="37" t="s">
        <v>69</v>
      </c>
      <c r="X41" s="659">
        <f>IFERROR(SUM(X35:X39),"0")</f>
        <v>460</v>
      </c>
      <c r="Y41" s="659">
        <f>IFERROR(SUM(Y35:Y39),"0")</f>
        <v>468</v>
      </c>
      <c r="Z41" s="37"/>
      <c r="AA41" s="660"/>
      <c r="AB41" s="660"/>
      <c r="AC41" s="660"/>
    </row>
    <row r="42" spans="1:68" ht="14.25" hidden="1" customHeight="1" x14ac:dyDescent="0.25">
      <c r="A42" s="682" t="s">
        <v>64</v>
      </c>
      <c r="B42" s="680"/>
      <c r="C42" s="680"/>
      <c r="D42" s="680"/>
      <c r="E42" s="680"/>
      <c r="F42" s="680"/>
      <c r="G42" s="680"/>
      <c r="H42" s="680"/>
      <c r="I42" s="680"/>
      <c r="J42" s="680"/>
      <c r="K42" s="680"/>
      <c r="L42" s="680"/>
      <c r="M42" s="680"/>
      <c r="N42" s="680"/>
      <c r="O42" s="680"/>
      <c r="P42" s="680"/>
      <c r="Q42" s="680"/>
      <c r="R42" s="680"/>
      <c r="S42" s="680"/>
      <c r="T42" s="680"/>
      <c r="U42" s="680"/>
      <c r="V42" s="680"/>
      <c r="W42" s="680"/>
      <c r="X42" s="680"/>
      <c r="Y42" s="680"/>
      <c r="Z42" s="680"/>
      <c r="AA42" s="653"/>
      <c r="AB42" s="653"/>
      <c r="AC42" s="65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2">
        <v>4680115884915</v>
      </c>
      <c r="E43" s="673"/>
      <c r="F43" s="656">
        <v>0.3</v>
      </c>
      <c r="G43" s="32">
        <v>6</v>
      </c>
      <c r="H43" s="656">
        <v>1.8</v>
      </c>
      <c r="I43" s="65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67"/>
      <c r="R43" s="667"/>
      <c r="S43" s="667"/>
      <c r="T43" s="668"/>
      <c r="U43" s="34"/>
      <c r="V43" s="34"/>
      <c r="W43" s="35" t="s">
        <v>69</v>
      </c>
      <c r="X43" s="657">
        <v>0</v>
      </c>
      <c r="Y43" s="65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79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63" t="s">
        <v>80</v>
      </c>
      <c r="Q44" s="664"/>
      <c r="R44" s="664"/>
      <c r="S44" s="664"/>
      <c r="T44" s="664"/>
      <c r="U44" s="664"/>
      <c r="V44" s="665"/>
      <c r="W44" s="37" t="s">
        <v>81</v>
      </c>
      <c r="X44" s="659">
        <f>IFERROR(X43/H43,"0")</f>
        <v>0</v>
      </c>
      <c r="Y44" s="659">
        <f>IFERROR(Y43/H43,"0")</f>
        <v>0</v>
      </c>
      <c r="Z44" s="659">
        <f>IFERROR(IF(Z43="",0,Z43),"0")</f>
        <v>0</v>
      </c>
      <c r="AA44" s="660"/>
      <c r="AB44" s="660"/>
      <c r="AC44" s="660"/>
    </row>
    <row r="45" spans="1:68" hidden="1" x14ac:dyDescent="0.2">
      <c r="A45" s="680"/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1"/>
      <c r="P45" s="663" t="s">
        <v>80</v>
      </c>
      <c r="Q45" s="664"/>
      <c r="R45" s="664"/>
      <c r="S45" s="664"/>
      <c r="T45" s="664"/>
      <c r="U45" s="664"/>
      <c r="V45" s="665"/>
      <c r="W45" s="37" t="s">
        <v>69</v>
      </c>
      <c r="X45" s="659">
        <f>IFERROR(SUM(X43:X43),"0")</f>
        <v>0</v>
      </c>
      <c r="Y45" s="659">
        <f>IFERROR(SUM(Y43:Y43),"0")</f>
        <v>0</v>
      </c>
      <c r="Z45" s="37"/>
      <c r="AA45" s="660"/>
      <c r="AB45" s="660"/>
      <c r="AC45" s="660"/>
    </row>
    <row r="46" spans="1:68" ht="16.5" hidden="1" customHeight="1" x14ac:dyDescent="0.25">
      <c r="A46" s="688" t="s">
        <v>112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52"/>
      <c r="AB46" s="652"/>
      <c r="AC46" s="652"/>
    </row>
    <row r="47" spans="1:68" ht="14.25" hidden="1" customHeight="1" x14ac:dyDescent="0.25">
      <c r="A47" s="682" t="s">
        <v>90</v>
      </c>
      <c r="B47" s="680"/>
      <c r="C47" s="680"/>
      <c r="D47" s="680"/>
      <c r="E47" s="680"/>
      <c r="F47" s="680"/>
      <c r="G47" s="680"/>
      <c r="H47" s="680"/>
      <c r="I47" s="680"/>
      <c r="J47" s="680"/>
      <c r="K47" s="680"/>
      <c r="L47" s="680"/>
      <c r="M47" s="680"/>
      <c r="N47" s="680"/>
      <c r="O47" s="680"/>
      <c r="P47" s="680"/>
      <c r="Q47" s="680"/>
      <c r="R47" s="680"/>
      <c r="S47" s="680"/>
      <c r="T47" s="680"/>
      <c r="U47" s="680"/>
      <c r="V47" s="680"/>
      <c r="W47" s="680"/>
      <c r="X47" s="680"/>
      <c r="Y47" s="680"/>
      <c r="Z47" s="680"/>
      <c r="AA47" s="653"/>
      <c r="AB47" s="653"/>
      <c r="AC47" s="65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2">
        <v>4680115885882</v>
      </c>
      <c r="E48" s="673"/>
      <c r="F48" s="656">
        <v>1.4</v>
      </c>
      <c r="G48" s="32">
        <v>8</v>
      </c>
      <c r="H48" s="656">
        <v>11.2</v>
      </c>
      <c r="I48" s="65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67"/>
      <c r="R48" s="667"/>
      <c r="S48" s="667"/>
      <c r="T48" s="668"/>
      <c r="U48" s="34"/>
      <c r="V48" s="34"/>
      <c r="W48" s="35" t="s">
        <v>69</v>
      </c>
      <c r="X48" s="657">
        <v>0</v>
      </c>
      <c r="Y48" s="65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2">
        <v>4680115881426</v>
      </c>
      <c r="E49" s="673"/>
      <c r="F49" s="656">
        <v>1.35</v>
      </c>
      <c r="G49" s="32">
        <v>8</v>
      </c>
      <c r="H49" s="656">
        <v>10.8</v>
      </c>
      <c r="I49" s="656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67"/>
      <c r="R49" s="667"/>
      <c r="S49" s="667"/>
      <c r="T49" s="668"/>
      <c r="U49" s="34"/>
      <c r="V49" s="34"/>
      <c r="W49" s="35" t="s">
        <v>69</v>
      </c>
      <c r="X49" s="657">
        <v>250</v>
      </c>
      <c r="Y49" s="658">
        <f t="shared" si="0"/>
        <v>259.20000000000005</v>
      </c>
      <c r="Z49" s="36">
        <f>IFERROR(IF(Y49=0,"",ROUNDUP(Y49/H49,0)*0.01898),"")</f>
        <v>0.45552000000000004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260.0694444444444</v>
      </c>
      <c r="BN49" s="64">
        <f t="shared" si="2"/>
        <v>269.64000000000004</v>
      </c>
      <c r="BO49" s="64">
        <f t="shared" si="3"/>
        <v>0.36168981481481477</v>
      </c>
      <c r="BP49" s="64">
        <f t="shared" si="4"/>
        <v>0.37500000000000006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72">
        <v>4680115880283</v>
      </c>
      <c r="E50" s="673"/>
      <c r="F50" s="656">
        <v>0.6</v>
      </c>
      <c r="G50" s="32">
        <v>8</v>
      </c>
      <c r="H50" s="656">
        <v>4.8</v>
      </c>
      <c r="I50" s="65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67"/>
      <c r="R50" s="667"/>
      <c r="S50" s="667"/>
      <c r="T50" s="668"/>
      <c r="U50" s="34"/>
      <c r="V50" s="34"/>
      <c r="W50" s="35" t="s">
        <v>69</v>
      </c>
      <c r="X50" s="657">
        <v>0</v>
      </c>
      <c r="Y50" s="65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72">
        <v>4680115882720</v>
      </c>
      <c r="E51" s="673"/>
      <c r="F51" s="656">
        <v>0.45</v>
      </c>
      <c r="G51" s="32">
        <v>10</v>
      </c>
      <c r="H51" s="656">
        <v>4.5</v>
      </c>
      <c r="I51" s="65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5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67"/>
      <c r="R51" s="667"/>
      <c r="S51" s="667"/>
      <c r="T51" s="668"/>
      <c r="U51" s="34"/>
      <c r="V51" s="34"/>
      <c r="W51" s="35" t="s">
        <v>69</v>
      </c>
      <c r="X51" s="657">
        <v>0</v>
      </c>
      <c r="Y51" s="65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72">
        <v>4680115881525</v>
      </c>
      <c r="E52" s="673"/>
      <c r="F52" s="656">
        <v>0.4</v>
      </c>
      <c r="G52" s="32">
        <v>10</v>
      </c>
      <c r="H52" s="656">
        <v>4</v>
      </c>
      <c r="I52" s="65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67"/>
      <c r="R52" s="667"/>
      <c r="S52" s="667"/>
      <c r="T52" s="668"/>
      <c r="U52" s="34"/>
      <c r="V52" s="34"/>
      <c r="W52" s="35" t="s">
        <v>69</v>
      </c>
      <c r="X52" s="657">
        <v>0</v>
      </c>
      <c r="Y52" s="65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72">
        <v>4680115885899</v>
      </c>
      <c r="E53" s="673"/>
      <c r="F53" s="656">
        <v>0.35</v>
      </c>
      <c r="G53" s="32">
        <v>6</v>
      </c>
      <c r="H53" s="656">
        <v>2.1</v>
      </c>
      <c r="I53" s="65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67"/>
      <c r="R53" s="667"/>
      <c r="S53" s="667"/>
      <c r="T53" s="668"/>
      <c r="U53" s="34"/>
      <c r="V53" s="34"/>
      <c r="W53" s="35" t="s">
        <v>69</v>
      </c>
      <c r="X53" s="657">
        <v>0</v>
      </c>
      <c r="Y53" s="65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72">
        <v>4680115881419</v>
      </c>
      <c r="E54" s="673"/>
      <c r="F54" s="656">
        <v>0.45</v>
      </c>
      <c r="G54" s="32">
        <v>10</v>
      </c>
      <c r="H54" s="656">
        <v>4.5</v>
      </c>
      <c r="I54" s="656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9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67"/>
      <c r="R54" s="667"/>
      <c r="S54" s="667"/>
      <c r="T54" s="668"/>
      <c r="U54" s="34"/>
      <c r="V54" s="34"/>
      <c r="W54" s="35" t="s">
        <v>69</v>
      </c>
      <c r="X54" s="657">
        <v>270</v>
      </c>
      <c r="Y54" s="658">
        <f t="shared" si="0"/>
        <v>270</v>
      </c>
      <c r="Z54" s="36">
        <f>IFERROR(IF(Y54=0,"",ROUNDUP(Y54/H54,0)*0.00902),"")</f>
        <v>0.54120000000000001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282.60000000000002</v>
      </c>
      <c r="BN54" s="64">
        <f t="shared" si="2"/>
        <v>282.60000000000002</v>
      </c>
      <c r="BO54" s="64">
        <f t="shared" si="3"/>
        <v>0.45454545454545459</v>
      </c>
      <c r="BP54" s="64">
        <f t="shared" si="4"/>
        <v>0.45454545454545459</v>
      </c>
    </row>
    <row r="55" spans="1:68" x14ac:dyDescent="0.2">
      <c r="A55" s="679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63" t="s">
        <v>80</v>
      </c>
      <c r="Q55" s="664"/>
      <c r="R55" s="664"/>
      <c r="S55" s="664"/>
      <c r="T55" s="664"/>
      <c r="U55" s="664"/>
      <c r="V55" s="665"/>
      <c r="W55" s="37" t="s">
        <v>81</v>
      </c>
      <c r="X55" s="659">
        <f>IFERROR(X48/H48,"0")+IFERROR(X49/H49,"0")+IFERROR(X50/H50,"0")+IFERROR(X51/H51,"0")+IFERROR(X52/H52,"0")+IFERROR(X53/H53,"0")+IFERROR(X54/H54,"0")</f>
        <v>83.148148148148152</v>
      </c>
      <c r="Y55" s="659">
        <f>IFERROR(Y48/H48,"0")+IFERROR(Y49/H49,"0")+IFERROR(Y50/H50,"0")+IFERROR(Y51/H51,"0")+IFERROR(Y52/H52,"0")+IFERROR(Y53/H53,"0")+IFERROR(Y54/H54,"0")</f>
        <v>84</v>
      </c>
      <c r="Z55" s="659">
        <f>IFERROR(IF(Z48="",0,Z48),"0")+IFERROR(IF(Z49="",0,Z49),"0")+IFERROR(IF(Z50="",0,Z50),"0")+IFERROR(IF(Z51="",0,Z51),"0")+IFERROR(IF(Z52="",0,Z52),"0")+IFERROR(IF(Z53="",0,Z53),"0")+IFERROR(IF(Z54="",0,Z54),"0")</f>
        <v>0.99672000000000005</v>
      </c>
      <c r="AA55" s="660"/>
      <c r="AB55" s="660"/>
      <c r="AC55" s="660"/>
    </row>
    <row r="56" spans="1:68" x14ac:dyDescent="0.2">
      <c r="A56" s="680"/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1"/>
      <c r="P56" s="663" t="s">
        <v>80</v>
      </c>
      <c r="Q56" s="664"/>
      <c r="R56" s="664"/>
      <c r="S56" s="664"/>
      <c r="T56" s="664"/>
      <c r="U56" s="664"/>
      <c r="V56" s="665"/>
      <c r="W56" s="37" t="s">
        <v>69</v>
      </c>
      <c r="X56" s="659">
        <f>IFERROR(SUM(X48:X54),"0")</f>
        <v>520</v>
      </c>
      <c r="Y56" s="659">
        <f>IFERROR(SUM(Y48:Y54),"0")</f>
        <v>529.20000000000005</v>
      </c>
      <c r="Z56" s="37"/>
      <c r="AA56" s="660"/>
      <c r="AB56" s="660"/>
      <c r="AC56" s="660"/>
    </row>
    <row r="57" spans="1:68" ht="14.25" hidden="1" customHeight="1" x14ac:dyDescent="0.25">
      <c r="A57" s="682" t="s">
        <v>133</v>
      </c>
      <c r="B57" s="680"/>
      <c r="C57" s="680"/>
      <c r="D57" s="680"/>
      <c r="E57" s="680"/>
      <c r="F57" s="680"/>
      <c r="G57" s="680"/>
      <c r="H57" s="680"/>
      <c r="I57" s="680"/>
      <c r="J57" s="680"/>
      <c r="K57" s="680"/>
      <c r="L57" s="680"/>
      <c r="M57" s="680"/>
      <c r="N57" s="680"/>
      <c r="O57" s="680"/>
      <c r="P57" s="680"/>
      <c r="Q57" s="680"/>
      <c r="R57" s="680"/>
      <c r="S57" s="680"/>
      <c r="T57" s="680"/>
      <c r="U57" s="680"/>
      <c r="V57" s="680"/>
      <c r="W57" s="680"/>
      <c r="X57" s="680"/>
      <c r="Y57" s="680"/>
      <c r="Z57" s="680"/>
      <c r="AA57" s="653"/>
      <c r="AB57" s="653"/>
      <c r="AC57" s="65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72">
        <v>4680115881440</v>
      </c>
      <c r="E58" s="673"/>
      <c r="F58" s="656">
        <v>1.35</v>
      </c>
      <c r="G58" s="32">
        <v>8</v>
      </c>
      <c r="H58" s="656">
        <v>10.8</v>
      </c>
      <c r="I58" s="65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67"/>
      <c r="R58" s="667"/>
      <c r="S58" s="667"/>
      <c r="T58" s="668"/>
      <c r="U58" s="34"/>
      <c r="V58" s="34"/>
      <c r="W58" s="35" t="s">
        <v>69</v>
      </c>
      <c r="X58" s="657">
        <v>60</v>
      </c>
      <c r="Y58" s="658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72">
        <v>4680115882751</v>
      </c>
      <c r="E59" s="673"/>
      <c r="F59" s="656">
        <v>0.45</v>
      </c>
      <c r="G59" s="32">
        <v>10</v>
      </c>
      <c r="H59" s="656">
        <v>4.5</v>
      </c>
      <c r="I59" s="65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67"/>
      <c r="R59" s="667"/>
      <c r="S59" s="667"/>
      <c r="T59" s="668"/>
      <c r="U59" s="34"/>
      <c r="V59" s="34"/>
      <c r="W59" s="35" t="s">
        <v>69</v>
      </c>
      <c r="X59" s="657">
        <v>0</v>
      </c>
      <c r="Y59" s="65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72">
        <v>4680115885950</v>
      </c>
      <c r="E60" s="673"/>
      <c r="F60" s="656">
        <v>0.37</v>
      </c>
      <c r="G60" s="32">
        <v>6</v>
      </c>
      <c r="H60" s="656">
        <v>2.2200000000000002</v>
      </c>
      <c r="I60" s="65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67"/>
      <c r="R60" s="667"/>
      <c r="S60" s="667"/>
      <c r="T60" s="668"/>
      <c r="U60" s="34"/>
      <c r="V60" s="34"/>
      <c r="W60" s="35" t="s">
        <v>69</v>
      </c>
      <c r="X60" s="657">
        <v>0</v>
      </c>
      <c r="Y60" s="65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72">
        <v>4680115881433</v>
      </c>
      <c r="E61" s="673"/>
      <c r="F61" s="656">
        <v>0.45</v>
      </c>
      <c r="G61" s="32">
        <v>6</v>
      </c>
      <c r="H61" s="656">
        <v>2.7</v>
      </c>
      <c r="I61" s="656">
        <v>2.88</v>
      </c>
      <c r="J61" s="32">
        <v>182</v>
      </c>
      <c r="K61" s="32" t="s">
        <v>67</v>
      </c>
      <c r="L61" s="32" t="s">
        <v>144</v>
      </c>
      <c r="M61" s="33" t="s">
        <v>94</v>
      </c>
      <c r="N61" s="33"/>
      <c r="O61" s="32">
        <v>50</v>
      </c>
      <c r="P61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67"/>
      <c r="R61" s="667"/>
      <c r="S61" s="667"/>
      <c r="T61" s="668"/>
      <c r="U61" s="34"/>
      <c r="V61" s="34"/>
      <c r="W61" s="35" t="s">
        <v>69</v>
      </c>
      <c r="X61" s="657">
        <v>135</v>
      </c>
      <c r="Y61" s="658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136</v>
      </c>
      <c r="AG61" s="64"/>
      <c r="AJ61" s="68" t="s">
        <v>145</v>
      </c>
      <c r="AK61" s="68">
        <v>37.799999999999997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79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63" t="s">
        <v>80</v>
      </c>
      <c r="Q62" s="664"/>
      <c r="R62" s="664"/>
      <c r="S62" s="664"/>
      <c r="T62" s="664"/>
      <c r="U62" s="664"/>
      <c r="V62" s="665"/>
      <c r="W62" s="37" t="s">
        <v>81</v>
      </c>
      <c r="X62" s="659">
        <f>IFERROR(X58/H58,"0")+IFERROR(X59/H59,"0")+IFERROR(X60/H60,"0")+IFERROR(X61/H61,"0")</f>
        <v>55.555555555555557</v>
      </c>
      <c r="Y62" s="659">
        <f>IFERROR(Y58/H58,"0")+IFERROR(Y59/H59,"0")+IFERROR(Y60/H60,"0")+IFERROR(Y61/H61,"0")</f>
        <v>56</v>
      </c>
      <c r="Z62" s="659">
        <f>IFERROR(IF(Z58="",0,Z58),"0")+IFERROR(IF(Z59="",0,Z59),"0")+IFERROR(IF(Z60="",0,Z60),"0")+IFERROR(IF(Z61="",0,Z61),"0")</f>
        <v>0.43937999999999999</v>
      </c>
      <c r="AA62" s="660"/>
      <c r="AB62" s="660"/>
      <c r="AC62" s="660"/>
    </row>
    <row r="63" spans="1:68" x14ac:dyDescent="0.2">
      <c r="A63" s="680"/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1"/>
      <c r="P63" s="663" t="s">
        <v>80</v>
      </c>
      <c r="Q63" s="664"/>
      <c r="R63" s="664"/>
      <c r="S63" s="664"/>
      <c r="T63" s="664"/>
      <c r="U63" s="664"/>
      <c r="V63" s="665"/>
      <c r="W63" s="37" t="s">
        <v>69</v>
      </c>
      <c r="X63" s="659">
        <f>IFERROR(SUM(X58:X61),"0")</f>
        <v>195</v>
      </c>
      <c r="Y63" s="659">
        <f>IFERROR(SUM(Y58:Y61),"0")</f>
        <v>199.8</v>
      </c>
      <c r="Z63" s="37"/>
      <c r="AA63" s="660"/>
      <c r="AB63" s="660"/>
      <c r="AC63" s="660"/>
    </row>
    <row r="64" spans="1:68" ht="14.25" hidden="1" customHeight="1" x14ac:dyDescent="0.25">
      <c r="A64" s="682" t="s">
        <v>146</v>
      </c>
      <c r="B64" s="680"/>
      <c r="C64" s="680"/>
      <c r="D64" s="680"/>
      <c r="E64" s="680"/>
      <c r="F64" s="680"/>
      <c r="G64" s="680"/>
      <c r="H64" s="680"/>
      <c r="I64" s="680"/>
      <c r="J64" s="680"/>
      <c r="K64" s="680"/>
      <c r="L64" s="680"/>
      <c r="M64" s="680"/>
      <c r="N64" s="680"/>
      <c r="O64" s="680"/>
      <c r="P64" s="680"/>
      <c r="Q64" s="680"/>
      <c r="R64" s="680"/>
      <c r="S64" s="680"/>
      <c r="T64" s="680"/>
      <c r="U64" s="680"/>
      <c r="V64" s="680"/>
      <c r="W64" s="680"/>
      <c r="X64" s="680"/>
      <c r="Y64" s="680"/>
      <c r="Z64" s="680"/>
      <c r="AA64" s="653"/>
      <c r="AB64" s="653"/>
      <c r="AC64" s="65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2">
        <v>4680115885073</v>
      </c>
      <c r="E65" s="673"/>
      <c r="F65" s="656">
        <v>0.3</v>
      </c>
      <c r="G65" s="32">
        <v>6</v>
      </c>
      <c r="H65" s="656">
        <v>1.8</v>
      </c>
      <c r="I65" s="65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67"/>
      <c r="R65" s="667"/>
      <c r="S65" s="667"/>
      <c r="T65" s="668"/>
      <c r="U65" s="34"/>
      <c r="V65" s="34"/>
      <c r="W65" s="35" t="s">
        <v>69</v>
      </c>
      <c r="X65" s="657">
        <v>0</v>
      </c>
      <c r="Y65" s="65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2">
        <v>4680115885059</v>
      </c>
      <c r="E66" s="673"/>
      <c r="F66" s="656">
        <v>0.3</v>
      </c>
      <c r="G66" s="32">
        <v>6</v>
      </c>
      <c r="H66" s="656">
        <v>1.8</v>
      </c>
      <c r="I66" s="65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67"/>
      <c r="R66" s="667"/>
      <c r="S66" s="667"/>
      <c r="T66" s="668"/>
      <c r="U66" s="34"/>
      <c r="V66" s="34"/>
      <c r="W66" s="35" t="s">
        <v>69</v>
      </c>
      <c r="X66" s="657">
        <v>0</v>
      </c>
      <c r="Y66" s="65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2">
        <v>4680115885097</v>
      </c>
      <c r="E67" s="673"/>
      <c r="F67" s="656">
        <v>0.3</v>
      </c>
      <c r="G67" s="32">
        <v>6</v>
      </c>
      <c r="H67" s="656">
        <v>1.8</v>
      </c>
      <c r="I67" s="65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67"/>
      <c r="R67" s="667"/>
      <c r="S67" s="667"/>
      <c r="T67" s="668"/>
      <c r="U67" s="34"/>
      <c r="V67" s="34"/>
      <c r="W67" s="35" t="s">
        <v>69</v>
      </c>
      <c r="X67" s="657">
        <v>0</v>
      </c>
      <c r="Y67" s="65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79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63" t="s">
        <v>80</v>
      </c>
      <c r="Q68" s="664"/>
      <c r="R68" s="664"/>
      <c r="S68" s="664"/>
      <c r="T68" s="664"/>
      <c r="U68" s="664"/>
      <c r="V68" s="665"/>
      <c r="W68" s="37" t="s">
        <v>81</v>
      </c>
      <c r="X68" s="659">
        <f>IFERROR(X65/H65,"0")+IFERROR(X66/H66,"0")+IFERROR(X67/H67,"0")</f>
        <v>0</v>
      </c>
      <c r="Y68" s="659">
        <f>IFERROR(Y65/H65,"0")+IFERROR(Y66/H66,"0")+IFERROR(Y67/H67,"0")</f>
        <v>0</v>
      </c>
      <c r="Z68" s="659">
        <f>IFERROR(IF(Z65="",0,Z65),"0")+IFERROR(IF(Z66="",0,Z66),"0")+IFERROR(IF(Z67="",0,Z67),"0")</f>
        <v>0</v>
      </c>
      <c r="AA68" s="660"/>
      <c r="AB68" s="660"/>
      <c r="AC68" s="660"/>
    </row>
    <row r="69" spans="1:68" hidden="1" x14ac:dyDescent="0.2">
      <c r="A69" s="680"/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1"/>
      <c r="P69" s="663" t="s">
        <v>80</v>
      </c>
      <c r="Q69" s="664"/>
      <c r="R69" s="664"/>
      <c r="S69" s="664"/>
      <c r="T69" s="664"/>
      <c r="U69" s="664"/>
      <c r="V69" s="665"/>
      <c r="W69" s="37" t="s">
        <v>69</v>
      </c>
      <c r="X69" s="659">
        <f>IFERROR(SUM(X65:X67),"0")</f>
        <v>0</v>
      </c>
      <c r="Y69" s="659">
        <f>IFERROR(SUM(Y65:Y67),"0")</f>
        <v>0</v>
      </c>
      <c r="Z69" s="37"/>
      <c r="AA69" s="660"/>
      <c r="AB69" s="660"/>
      <c r="AC69" s="660"/>
    </row>
    <row r="70" spans="1:68" ht="14.25" hidden="1" customHeight="1" x14ac:dyDescent="0.25">
      <c r="A70" s="682" t="s">
        <v>64</v>
      </c>
      <c r="B70" s="680"/>
      <c r="C70" s="680"/>
      <c r="D70" s="680"/>
      <c r="E70" s="680"/>
      <c r="F70" s="680"/>
      <c r="G70" s="680"/>
      <c r="H70" s="680"/>
      <c r="I70" s="680"/>
      <c r="J70" s="680"/>
      <c r="K70" s="680"/>
      <c r="L70" s="680"/>
      <c r="M70" s="680"/>
      <c r="N70" s="680"/>
      <c r="O70" s="680"/>
      <c r="P70" s="680"/>
      <c r="Q70" s="680"/>
      <c r="R70" s="680"/>
      <c r="S70" s="680"/>
      <c r="T70" s="680"/>
      <c r="U70" s="680"/>
      <c r="V70" s="680"/>
      <c r="W70" s="680"/>
      <c r="X70" s="680"/>
      <c r="Y70" s="680"/>
      <c r="Z70" s="680"/>
      <c r="AA70" s="653"/>
      <c r="AB70" s="653"/>
      <c r="AC70" s="65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2">
        <v>4680115881891</v>
      </c>
      <c r="E71" s="673"/>
      <c r="F71" s="656">
        <v>1.4</v>
      </c>
      <c r="G71" s="32">
        <v>6</v>
      </c>
      <c r="H71" s="656">
        <v>8.4</v>
      </c>
      <c r="I71" s="65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67"/>
      <c r="R71" s="667"/>
      <c r="S71" s="667"/>
      <c r="T71" s="668"/>
      <c r="U71" s="34"/>
      <c r="V71" s="34"/>
      <c r="W71" s="35" t="s">
        <v>69</v>
      </c>
      <c r="X71" s="657">
        <v>0</v>
      </c>
      <c r="Y71" s="65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2">
        <v>4680115885769</v>
      </c>
      <c r="E72" s="673"/>
      <c r="F72" s="656">
        <v>1.4</v>
      </c>
      <c r="G72" s="32">
        <v>6</v>
      </c>
      <c r="H72" s="656">
        <v>8.4</v>
      </c>
      <c r="I72" s="65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67"/>
      <c r="R72" s="667"/>
      <c r="S72" s="667"/>
      <c r="T72" s="668"/>
      <c r="U72" s="34"/>
      <c r="V72" s="34"/>
      <c r="W72" s="35" t="s">
        <v>69</v>
      </c>
      <c r="X72" s="657">
        <v>0</v>
      </c>
      <c r="Y72" s="65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2">
        <v>4680115884410</v>
      </c>
      <c r="E73" s="673"/>
      <c r="F73" s="656">
        <v>1.4</v>
      </c>
      <c r="G73" s="32">
        <v>6</v>
      </c>
      <c r="H73" s="656">
        <v>8.4</v>
      </c>
      <c r="I73" s="65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67"/>
      <c r="R73" s="667"/>
      <c r="S73" s="667"/>
      <c r="T73" s="668"/>
      <c r="U73" s="34"/>
      <c r="V73" s="34"/>
      <c r="W73" s="35" t="s">
        <v>69</v>
      </c>
      <c r="X73" s="657">
        <v>10</v>
      </c>
      <c r="Y73" s="658">
        <f t="shared" si="5"/>
        <v>16.8</v>
      </c>
      <c r="Z73" s="36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10.603571428571428</v>
      </c>
      <c r="BN73" s="64">
        <f t="shared" si="7"/>
        <v>17.814</v>
      </c>
      <c r="BO73" s="64">
        <f t="shared" si="8"/>
        <v>1.8601190476190476E-2</v>
      </c>
      <c r="BP73" s="64">
        <f t="shared" si="9"/>
        <v>3.125E-2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2">
        <v>4680115884311</v>
      </c>
      <c r="E74" s="673"/>
      <c r="F74" s="656">
        <v>0.3</v>
      </c>
      <c r="G74" s="32">
        <v>6</v>
      </c>
      <c r="H74" s="656">
        <v>1.8</v>
      </c>
      <c r="I74" s="65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67"/>
      <c r="R74" s="667"/>
      <c r="S74" s="667"/>
      <c r="T74" s="668"/>
      <c r="U74" s="34"/>
      <c r="V74" s="34"/>
      <c r="W74" s="35" t="s">
        <v>69</v>
      </c>
      <c r="X74" s="657">
        <v>0</v>
      </c>
      <c r="Y74" s="65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2">
        <v>4680115885929</v>
      </c>
      <c r="E75" s="673"/>
      <c r="F75" s="656">
        <v>0.42</v>
      </c>
      <c r="G75" s="32">
        <v>6</v>
      </c>
      <c r="H75" s="656">
        <v>2.52</v>
      </c>
      <c r="I75" s="65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9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67"/>
      <c r="R75" s="667"/>
      <c r="S75" s="667"/>
      <c r="T75" s="668"/>
      <c r="U75" s="34"/>
      <c r="V75" s="34"/>
      <c r="W75" s="35" t="s">
        <v>69</v>
      </c>
      <c r="X75" s="657">
        <v>0</v>
      </c>
      <c r="Y75" s="65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2">
        <v>4680115884403</v>
      </c>
      <c r="E76" s="673"/>
      <c r="F76" s="656">
        <v>0.3</v>
      </c>
      <c r="G76" s="32">
        <v>6</v>
      </c>
      <c r="H76" s="656">
        <v>1.8</v>
      </c>
      <c r="I76" s="65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67"/>
      <c r="R76" s="667"/>
      <c r="S76" s="667"/>
      <c r="T76" s="668"/>
      <c r="U76" s="34"/>
      <c r="V76" s="34"/>
      <c r="W76" s="35" t="s">
        <v>69</v>
      </c>
      <c r="X76" s="657">
        <v>0</v>
      </c>
      <c r="Y76" s="65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79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63" t="s">
        <v>80</v>
      </c>
      <c r="Q77" s="664"/>
      <c r="R77" s="664"/>
      <c r="S77" s="664"/>
      <c r="T77" s="664"/>
      <c r="U77" s="664"/>
      <c r="V77" s="665"/>
      <c r="W77" s="37" t="s">
        <v>81</v>
      </c>
      <c r="X77" s="659">
        <f>IFERROR(X71/H71,"0")+IFERROR(X72/H72,"0")+IFERROR(X73/H73,"0")+IFERROR(X74/H74,"0")+IFERROR(X75/H75,"0")+IFERROR(X76/H76,"0")</f>
        <v>1.1904761904761905</v>
      </c>
      <c r="Y77" s="659">
        <f>IFERROR(Y71/H71,"0")+IFERROR(Y72/H72,"0")+IFERROR(Y73/H73,"0")+IFERROR(Y74/H74,"0")+IFERROR(Y75/H75,"0")+IFERROR(Y76/H76,"0")</f>
        <v>2</v>
      </c>
      <c r="Z77" s="659">
        <f>IFERROR(IF(Z71="",0,Z71),"0")+IFERROR(IF(Z72="",0,Z72),"0")+IFERROR(IF(Z73="",0,Z73),"0")+IFERROR(IF(Z74="",0,Z74),"0")+IFERROR(IF(Z75="",0,Z75),"0")+IFERROR(IF(Z76="",0,Z76),"0")</f>
        <v>3.7960000000000001E-2</v>
      </c>
      <c r="AA77" s="660"/>
      <c r="AB77" s="660"/>
      <c r="AC77" s="660"/>
    </row>
    <row r="78" spans="1:68" x14ac:dyDescent="0.2">
      <c r="A78" s="680"/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1"/>
      <c r="P78" s="663" t="s">
        <v>80</v>
      </c>
      <c r="Q78" s="664"/>
      <c r="R78" s="664"/>
      <c r="S78" s="664"/>
      <c r="T78" s="664"/>
      <c r="U78" s="664"/>
      <c r="V78" s="665"/>
      <c r="W78" s="37" t="s">
        <v>69</v>
      </c>
      <c r="X78" s="659">
        <f>IFERROR(SUM(X71:X76),"0")</f>
        <v>10</v>
      </c>
      <c r="Y78" s="659">
        <f>IFERROR(SUM(Y71:Y76),"0")</f>
        <v>16.8</v>
      </c>
      <c r="Z78" s="37"/>
      <c r="AA78" s="660"/>
      <c r="AB78" s="660"/>
      <c r="AC78" s="660"/>
    </row>
    <row r="79" spans="1:68" ht="14.25" hidden="1" customHeight="1" x14ac:dyDescent="0.25">
      <c r="A79" s="682" t="s">
        <v>172</v>
      </c>
      <c r="B79" s="680"/>
      <c r="C79" s="680"/>
      <c r="D79" s="680"/>
      <c r="E79" s="680"/>
      <c r="F79" s="680"/>
      <c r="G79" s="680"/>
      <c r="H79" s="680"/>
      <c r="I79" s="680"/>
      <c r="J79" s="680"/>
      <c r="K79" s="680"/>
      <c r="L79" s="680"/>
      <c r="M79" s="680"/>
      <c r="N79" s="680"/>
      <c r="O79" s="680"/>
      <c r="P79" s="680"/>
      <c r="Q79" s="680"/>
      <c r="R79" s="680"/>
      <c r="S79" s="680"/>
      <c r="T79" s="680"/>
      <c r="U79" s="680"/>
      <c r="V79" s="680"/>
      <c r="W79" s="680"/>
      <c r="X79" s="680"/>
      <c r="Y79" s="680"/>
      <c r="Z79" s="680"/>
      <c r="AA79" s="653"/>
      <c r="AB79" s="653"/>
      <c r="AC79" s="653"/>
    </row>
    <row r="80" spans="1:68" ht="37.5" customHeight="1" x14ac:dyDescent="0.25">
      <c r="A80" s="54" t="s">
        <v>173</v>
      </c>
      <c r="B80" s="54" t="s">
        <v>174</v>
      </c>
      <c r="C80" s="31">
        <v>4301060371</v>
      </c>
      <c r="D80" s="672">
        <v>4680115881532</v>
      </c>
      <c r="E80" s="673"/>
      <c r="F80" s="656">
        <v>1.4</v>
      </c>
      <c r="G80" s="32">
        <v>6</v>
      </c>
      <c r="H80" s="656">
        <v>8.4</v>
      </c>
      <c r="I80" s="656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67"/>
      <c r="R80" s="667"/>
      <c r="S80" s="667"/>
      <c r="T80" s="668"/>
      <c r="U80" s="34"/>
      <c r="V80" s="34"/>
      <c r="W80" s="35" t="s">
        <v>69</v>
      </c>
      <c r="X80" s="657">
        <v>30</v>
      </c>
      <c r="Y80" s="658">
        <f>IFERROR(IF(X80="",0,CEILING((X80/$H80),1)*$H80),"")</f>
        <v>33.6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31.853571428571428</v>
      </c>
      <c r="BN80" s="64">
        <f>IFERROR(Y80*I80/H80,"0")</f>
        <v>35.676000000000002</v>
      </c>
      <c r="BO80" s="64">
        <f>IFERROR(1/J80*(X80/H80),"0")</f>
        <v>5.5803571428571425E-2</v>
      </c>
      <c r="BP80" s="64">
        <f>IFERROR(1/J80*(Y80/H80),"0")</f>
        <v>6.25E-2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4301060366</v>
      </c>
      <c r="D81" s="672">
        <v>4680115881532</v>
      </c>
      <c r="E81" s="673"/>
      <c r="F81" s="656">
        <v>1.3</v>
      </c>
      <c r="G81" s="32">
        <v>6</v>
      </c>
      <c r="H81" s="656">
        <v>7.8</v>
      </c>
      <c r="I81" s="656">
        <v>8.2349999999999994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6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67"/>
      <c r="R81" s="667"/>
      <c r="S81" s="667"/>
      <c r="T81" s="668"/>
      <c r="U81" s="34"/>
      <c r="V81" s="34"/>
      <c r="W81" s="35" t="s">
        <v>69</v>
      </c>
      <c r="X81" s="657">
        <v>0</v>
      </c>
      <c r="Y81" s="65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2">
        <v>4680115881464</v>
      </c>
      <c r="E82" s="673"/>
      <c r="F82" s="656">
        <v>0.4</v>
      </c>
      <c r="G82" s="32">
        <v>6</v>
      </c>
      <c r="H82" s="656">
        <v>2.4</v>
      </c>
      <c r="I82" s="65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9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67"/>
      <c r="R82" s="667"/>
      <c r="S82" s="667"/>
      <c r="T82" s="668"/>
      <c r="U82" s="34"/>
      <c r="V82" s="34"/>
      <c r="W82" s="35" t="s">
        <v>69</v>
      </c>
      <c r="X82" s="657">
        <v>0</v>
      </c>
      <c r="Y82" s="65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79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63" t="s">
        <v>80</v>
      </c>
      <c r="Q83" s="664"/>
      <c r="R83" s="664"/>
      <c r="S83" s="664"/>
      <c r="T83" s="664"/>
      <c r="U83" s="664"/>
      <c r="V83" s="665"/>
      <c r="W83" s="37" t="s">
        <v>81</v>
      </c>
      <c r="X83" s="659">
        <f>IFERROR(X80/H80,"0")+IFERROR(X81/H81,"0")+IFERROR(X82/H82,"0")</f>
        <v>3.5714285714285712</v>
      </c>
      <c r="Y83" s="659">
        <f>IFERROR(Y80/H80,"0")+IFERROR(Y81/H81,"0")+IFERROR(Y82/H82,"0")</f>
        <v>4</v>
      </c>
      <c r="Z83" s="659">
        <f>IFERROR(IF(Z80="",0,Z80),"0")+IFERROR(IF(Z81="",0,Z81),"0")+IFERROR(IF(Z82="",0,Z82),"0")</f>
        <v>7.5920000000000001E-2</v>
      </c>
      <c r="AA83" s="660"/>
      <c r="AB83" s="660"/>
      <c r="AC83" s="660"/>
    </row>
    <row r="84" spans="1:68" x14ac:dyDescent="0.2">
      <c r="A84" s="680"/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1"/>
      <c r="P84" s="663" t="s">
        <v>80</v>
      </c>
      <c r="Q84" s="664"/>
      <c r="R84" s="664"/>
      <c r="S84" s="664"/>
      <c r="T84" s="664"/>
      <c r="U84" s="664"/>
      <c r="V84" s="665"/>
      <c r="W84" s="37" t="s">
        <v>69</v>
      </c>
      <c r="X84" s="659">
        <f>IFERROR(SUM(X80:X82),"0")</f>
        <v>30</v>
      </c>
      <c r="Y84" s="659">
        <f>IFERROR(SUM(Y80:Y82),"0")</f>
        <v>33.6</v>
      </c>
      <c r="Z84" s="37"/>
      <c r="AA84" s="660"/>
      <c r="AB84" s="660"/>
      <c r="AC84" s="660"/>
    </row>
    <row r="85" spans="1:68" ht="16.5" hidden="1" customHeight="1" x14ac:dyDescent="0.25">
      <c r="A85" s="688" t="s">
        <v>180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52"/>
      <c r="AB85" s="652"/>
      <c r="AC85" s="652"/>
    </row>
    <row r="86" spans="1:68" ht="14.25" hidden="1" customHeight="1" x14ac:dyDescent="0.25">
      <c r="A86" s="682" t="s">
        <v>90</v>
      </c>
      <c r="B86" s="680"/>
      <c r="C86" s="680"/>
      <c r="D86" s="680"/>
      <c r="E86" s="680"/>
      <c r="F86" s="680"/>
      <c r="G86" s="680"/>
      <c r="H86" s="680"/>
      <c r="I86" s="680"/>
      <c r="J86" s="680"/>
      <c r="K86" s="680"/>
      <c r="L86" s="680"/>
      <c r="M86" s="680"/>
      <c r="N86" s="680"/>
      <c r="O86" s="680"/>
      <c r="P86" s="680"/>
      <c r="Q86" s="680"/>
      <c r="R86" s="680"/>
      <c r="S86" s="680"/>
      <c r="T86" s="680"/>
      <c r="U86" s="680"/>
      <c r="V86" s="680"/>
      <c r="W86" s="680"/>
      <c r="X86" s="680"/>
      <c r="Y86" s="680"/>
      <c r="Z86" s="680"/>
      <c r="AA86" s="653"/>
      <c r="AB86" s="653"/>
      <c r="AC86" s="65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2">
        <v>4680115881327</v>
      </c>
      <c r="E87" s="673"/>
      <c r="F87" s="656">
        <v>1.35</v>
      </c>
      <c r="G87" s="32">
        <v>8</v>
      </c>
      <c r="H87" s="656">
        <v>10.8</v>
      </c>
      <c r="I87" s="65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67"/>
      <c r="R87" s="667"/>
      <c r="S87" s="667"/>
      <c r="T87" s="668"/>
      <c r="U87" s="34"/>
      <c r="V87" s="34"/>
      <c r="W87" s="35" t="s">
        <v>69</v>
      </c>
      <c r="X87" s="657">
        <v>300</v>
      </c>
      <c r="Y87" s="658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2">
        <v>4680115881518</v>
      </c>
      <c r="E88" s="673"/>
      <c r="F88" s="656">
        <v>0.4</v>
      </c>
      <c r="G88" s="32">
        <v>10</v>
      </c>
      <c r="H88" s="656">
        <v>4</v>
      </c>
      <c r="I88" s="65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67"/>
      <c r="R88" s="667"/>
      <c r="S88" s="667"/>
      <c r="T88" s="668"/>
      <c r="U88" s="34"/>
      <c r="V88" s="34"/>
      <c r="W88" s="35" t="s">
        <v>69</v>
      </c>
      <c r="X88" s="657">
        <v>0</v>
      </c>
      <c r="Y88" s="65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2">
        <v>4680115881303</v>
      </c>
      <c r="E89" s="673"/>
      <c r="F89" s="656">
        <v>0.45</v>
      </c>
      <c r="G89" s="32">
        <v>10</v>
      </c>
      <c r="H89" s="656">
        <v>4.5</v>
      </c>
      <c r="I89" s="656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67"/>
      <c r="R89" s="667"/>
      <c r="S89" s="667"/>
      <c r="T89" s="668"/>
      <c r="U89" s="34"/>
      <c r="V89" s="34"/>
      <c r="W89" s="35" t="s">
        <v>69</v>
      </c>
      <c r="X89" s="657">
        <v>450</v>
      </c>
      <c r="Y89" s="65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679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63" t="s">
        <v>80</v>
      </c>
      <c r="Q90" s="664"/>
      <c r="R90" s="664"/>
      <c r="S90" s="664"/>
      <c r="T90" s="664"/>
      <c r="U90" s="664"/>
      <c r="V90" s="665"/>
      <c r="W90" s="37" t="s">
        <v>81</v>
      </c>
      <c r="X90" s="659">
        <f>IFERROR(X87/H87,"0")+IFERROR(X88/H88,"0")+IFERROR(X89/H89,"0")</f>
        <v>127.77777777777777</v>
      </c>
      <c r="Y90" s="659">
        <f>IFERROR(Y87/H87,"0")+IFERROR(Y88/H88,"0")+IFERROR(Y89/H89,"0")</f>
        <v>128</v>
      </c>
      <c r="Z90" s="659">
        <f>IFERROR(IF(Z87="",0,Z87),"0")+IFERROR(IF(Z88="",0,Z88),"0")+IFERROR(IF(Z89="",0,Z89),"0")</f>
        <v>1.43344</v>
      </c>
      <c r="AA90" s="660"/>
      <c r="AB90" s="660"/>
      <c r="AC90" s="660"/>
    </row>
    <row r="91" spans="1:68" x14ac:dyDescent="0.2">
      <c r="A91" s="680"/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1"/>
      <c r="P91" s="663" t="s">
        <v>80</v>
      </c>
      <c r="Q91" s="664"/>
      <c r="R91" s="664"/>
      <c r="S91" s="664"/>
      <c r="T91" s="664"/>
      <c r="U91" s="664"/>
      <c r="V91" s="665"/>
      <c r="W91" s="37" t="s">
        <v>69</v>
      </c>
      <c r="X91" s="659">
        <f>IFERROR(SUM(X87:X89),"0")</f>
        <v>750</v>
      </c>
      <c r="Y91" s="659">
        <f>IFERROR(SUM(Y87:Y89),"0")</f>
        <v>752.40000000000009</v>
      </c>
      <c r="Z91" s="37"/>
      <c r="AA91" s="660"/>
      <c r="AB91" s="660"/>
      <c r="AC91" s="660"/>
    </row>
    <row r="92" spans="1:68" ht="14.25" hidden="1" customHeight="1" x14ac:dyDescent="0.25">
      <c r="A92" s="682" t="s">
        <v>64</v>
      </c>
      <c r="B92" s="680"/>
      <c r="C92" s="680"/>
      <c r="D92" s="680"/>
      <c r="E92" s="680"/>
      <c r="F92" s="680"/>
      <c r="G92" s="680"/>
      <c r="H92" s="680"/>
      <c r="I92" s="680"/>
      <c r="J92" s="680"/>
      <c r="K92" s="680"/>
      <c r="L92" s="680"/>
      <c r="M92" s="680"/>
      <c r="N92" s="680"/>
      <c r="O92" s="680"/>
      <c r="P92" s="680"/>
      <c r="Q92" s="680"/>
      <c r="R92" s="680"/>
      <c r="S92" s="680"/>
      <c r="T92" s="680"/>
      <c r="U92" s="680"/>
      <c r="V92" s="680"/>
      <c r="W92" s="680"/>
      <c r="X92" s="680"/>
      <c r="Y92" s="680"/>
      <c r="Z92" s="680"/>
      <c r="AA92" s="653"/>
      <c r="AB92" s="653"/>
      <c r="AC92" s="653"/>
    </row>
    <row r="93" spans="1:68" ht="16.5" hidden="1" customHeight="1" x14ac:dyDescent="0.25">
      <c r="A93" s="54" t="s">
        <v>189</v>
      </c>
      <c r="B93" s="54" t="s">
        <v>190</v>
      </c>
      <c r="C93" s="31">
        <v>4301051712</v>
      </c>
      <c r="D93" s="672">
        <v>4607091386967</v>
      </c>
      <c r="E93" s="673"/>
      <c r="F93" s="656">
        <v>1.35</v>
      </c>
      <c r="G93" s="32">
        <v>6</v>
      </c>
      <c r="H93" s="656">
        <v>8.1</v>
      </c>
      <c r="I93" s="656">
        <v>8.6189999999999998</v>
      </c>
      <c r="J93" s="32">
        <v>64</v>
      </c>
      <c r="K93" s="32" t="s">
        <v>93</v>
      </c>
      <c r="L93" s="32"/>
      <c r="M93" s="33" t="s">
        <v>129</v>
      </c>
      <c r="N93" s="33"/>
      <c r="O93" s="32">
        <v>45</v>
      </c>
      <c r="P93" s="935" t="s">
        <v>191</v>
      </c>
      <c r="Q93" s="667"/>
      <c r="R93" s="667"/>
      <c r="S93" s="667"/>
      <c r="T93" s="668"/>
      <c r="U93" s="34"/>
      <c r="V93" s="34"/>
      <c r="W93" s="35" t="s">
        <v>69</v>
      </c>
      <c r="X93" s="657">
        <v>0</v>
      </c>
      <c r="Y93" s="65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193</v>
      </c>
      <c r="C94" s="31">
        <v>4301051437</v>
      </c>
      <c r="D94" s="672">
        <v>4607091386967</v>
      </c>
      <c r="E94" s="673"/>
      <c r="F94" s="656">
        <v>1.35</v>
      </c>
      <c r="G94" s="32">
        <v>6</v>
      </c>
      <c r="H94" s="656">
        <v>8.1</v>
      </c>
      <c r="I94" s="656">
        <v>8.6189999999999998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1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67"/>
      <c r="R94" s="667"/>
      <c r="S94" s="667"/>
      <c r="T94" s="668"/>
      <c r="U94" s="34"/>
      <c r="V94" s="34"/>
      <c r="W94" s="35" t="s">
        <v>69</v>
      </c>
      <c r="X94" s="657">
        <v>0</v>
      </c>
      <c r="Y94" s="65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4301051546</v>
      </c>
      <c r="D95" s="672">
        <v>4607091386967</v>
      </c>
      <c r="E95" s="673"/>
      <c r="F95" s="656">
        <v>1.4</v>
      </c>
      <c r="G95" s="32">
        <v>6</v>
      </c>
      <c r="H95" s="656">
        <v>8.4</v>
      </c>
      <c r="I95" s="656">
        <v>8.9190000000000005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5" s="667"/>
      <c r="R95" s="667"/>
      <c r="S95" s="667"/>
      <c r="T95" s="668"/>
      <c r="U95" s="34"/>
      <c r="V95" s="34"/>
      <c r="W95" s="35" t="s">
        <v>69</v>
      </c>
      <c r="X95" s="657">
        <v>160</v>
      </c>
      <c r="Y95" s="658">
        <f t="shared" si="10"/>
        <v>168</v>
      </c>
      <c r="Z95" s="36">
        <f>IFERROR(IF(Y95=0,"",ROUNDUP(Y95/H95,0)*0.01898),"")</f>
        <v>0.37959999999999999</v>
      </c>
      <c r="AA95" s="56"/>
      <c r="AB95" s="57"/>
      <c r="AC95" s="147" t="s">
        <v>194</v>
      </c>
      <c r="AG95" s="64"/>
      <c r="AJ95" s="68"/>
      <c r="AK95" s="68">
        <v>0</v>
      </c>
      <c r="BB95" s="148" t="s">
        <v>1</v>
      </c>
      <c r="BM95" s="64">
        <f t="shared" si="11"/>
        <v>169.88571428571427</v>
      </c>
      <c r="BN95" s="64">
        <f t="shared" si="12"/>
        <v>178.38</v>
      </c>
      <c r="BO95" s="64">
        <f t="shared" si="13"/>
        <v>0.29761904761904762</v>
      </c>
      <c r="BP95" s="64">
        <f t="shared" si="14"/>
        <v>0.3125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2">
        <v>4680115884953</v>
      </c>
      <c r="E96" s="673"/>
      <c r="F96" s="656">
        <v>0.37</v>
      </c>
      <c r="G96" s="32">
        <v>6</v>
      </c>
      <c r="H96" s="656">
        <v>2.2200000000000002</v>
      </c>
      <c r="I96" s="65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59" t="s">
        <v>198</v>
      </c>
      <c r="Q96" s="667"/>
      <c r="R96" s="667"/>
      <c r="S96" s="667"/>
      <c r="T96" s="668"/>
      <c r="U96" s="34"/>
      <c r="V96" s="34"/>
      <c r="W96" s="35" t="s">
        <v>69</v>
      </c>
      <c r="X96" s="657">
        <v>0</v>
      </c>
      <c r="Y96" s="65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672">
        <v>4607091385731</v>
      </c>
      <c r="E97" s="673"/>
      <c r="F97" s="656">
        <v>0.45</v>
      </c>
      <c r="G97" s="32">
        <v>6</v>
      </c>
      <c r="H97" s="656">
        <v>2.7</v>
      </c>
      <c r="I97" s="65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34" t="s">
        <v>202</v>
      </c>
      <c r="Q97" s="667"/>
      <c r="R97" s="667"/>
      <c r="S97" s="667"/>
      <c r="T97" s="668"/>
      <c r="U97" s="34"/>
      <c r="V97" s="34"/>
      <c r="W97" s="35" t="s">
        <v>69</v>
      </c>
      <c r="X97" s="657">
        <v>585</v>
      </c>
      <c r="Y97" s="658">
        <f t="shared" si="10"/>
        <v>585.90000000000009</v>
      </c>
      <c r="Z97" s="36">
        <f>IFERROR(IF(Y97=0,"",ROUNDUP(Y97/H97,0)*0.00651),"")</f>
        <v>1.4126700000000001</v>
      </c>
      <c r="AA97" s="56"/>
      <c r="AB97" s="57"/>
      <c r="AC97" s="151" t="s">
        <v>194</v>
      </c>
      <c r="AG97" s="64"/>
      <c r="AJ97" s="68"/>
      <c r="AK97" s="68">
        <v>0</v>
      </c>
      <c r="BB97" s="152" t="s">
        <v>1</v>
      </c>
      <c r="BM97" s="64">
        <f t="shared" si="11"/>
        <v>639.6</v>
      </c>
      <c r="BN97" s="64">
        <f t="shared" si="12"/>
        <v>640.58400000000006</v>
      </c>
      <c r="BO97" s="64">
        <f t="shared" si="13"/>
        <v>1.1904761904761905</v>
      </c>
      <c r="BP97" s="64">
        <f t="shared" si="14"/>
        <v>1.1923076923076925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672">
        <v>4607091385731</v>
      </c>
      <c r="E98" s="673"/>
      <c r="F98" s="656">
        <v>0.45</v>
      </c>
      <c r="G98" s="32">
        <v>6</v>
      </c>
      <c r="H98" s="656">
        <v>2.7</v>
      </c>
      <c r="I98" s="656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26" t="s">
        <v>204</v>
      </c>
      <c r="Q98" s="667"/>
      <c r="R98" s="667"/>
      <c r="S98" s="667"/>
      <c r="T98" s="668"/>
      <c r="U98" s="34"/>
      <c r="V98" s="34"/>
      <c r="W98" s="35" t="s">
        <v>69</v>
      </c>
      <c r="X98" s="657">
        <v>0</v>
      </c>
      <c r="Y98" s="65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2">
        <v>4680115880894</v>
      </c>
      <c r="E99" s="673"/>
      <c r="F99" s="656">
        <v>0.33</v>
      </c>
      <c r="G99" s="32">
        <v>6</v>
      </c>
      <c r="H99" s="656">
        <v>1.98</v>
      </c>
      <c r="I99" s="65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67"/>
      <c r="R99" s="667"/>
      <c r="S99" s="667"/>
      <c r="T99" s="668"/>
      <c r="U99" s="34"/>
      <c r="V99" s="34"/>
      <c r="W99" s="35" t="s">
        <v>69</v>
      </c>
      <c r="X99" s="657">
        <v>0</v>
      </c>
      <c r="Y99" s="65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672">
        <v>4680115880214</v>
      </c>
      <c r="E100" s="673"/>
      <c r="F100" s="656">
        <v>0.45</v>
      </c>
      <c r="G100" s="32">
        <v>4</v>
      </c>
      <c r="H100" s="656">
        <v>1.8</v>
      </c>
      <c r="I100" s="65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67"/>
      <c r="R100" s="667"/>
      <c r="S100" s="667"/>
      <c r="T100" s="668"/>
      <c r="U100" s="34"/>
      <c r="V100" s="34"/>
      <c r="W100" s="35" t="s">
        <v>69</v>
      </c>
      <c r="X100" s="657">
        <v>0</v>
      </c>
      <c r="Y100" s="65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672">
        <v>4680115880214</v>
      </c>
      <c r="E101" s="673"/>
      <c r="F101" s="656">
        <v>0.45</v>
      </c>
      <c r="G101" s="32">
        <v>6</v>
      </c>
      <c r="H101" s="656">
        <v>2.7</v>
      </c>
      <c r="I101" s="65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9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67"/>
      <c r="R101" s="667"/>
      <c r="S101" s="667"/>
      <c r="T101" s="668"/>
      <c r="U101" s="34"/>
      <c r="V101" s="34"/>
      <c r="W101" s="35" t="s">
        <v>69</v>
      </c>
      <c r="X101" s="657">
        <v>0</v>
      </c>
      <c r="Y101" s="65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79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63" t="s">
        <v>80</v>
      </c>
      <c r="Q102" s="664"/>
      <c r="R102" s="664"/>
      <c r="S102" s="664"/>
      <c r="T102" s="664"/>
      <c r="U102" s="664"/>
      <c r="V102" s="665"/>
      <c r="W102" s="37" t="s">
        <v>81</v>
      </c>
      <c r="X102" s="659">
        <f>IFERROR(X93/H93,"0")+IFERROR(X94/H94,"0")+IFERROR(X95/H95,"0")+IFERROR(X96/H96,"0")+IFERROR(X97/H97,"0")+IFERROR(X98/H98,"0")+IFERROR(X99/H99,"0")+IFERROR(X100/H100,"0")+IFERROR(X101/H101,"0")</f>
        <v>235.71428571428569</v>
      </c>
      <c r="Y102" s="659">
        <f>IFERROR(Y93/H93,"0")+IFERROR(Y94/H94,"0")+IFERROR(Y95/H95,"0")+IFERROR(Y96/H96,"0")+IFERROR(Y97/H97,"0")+IFERROR(Y98/H98,"0")+IFERROR(Y99/H99,"0")+IFERROR(Y100/H100,"0")+IFERROR(Y101/H101,"0")</f>
        <v>237.00000000000003</v>
      </c>
      <c r="Z102" s="65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1.79227</v>
      </c>
      <c r="AA102" s="660"/>
      <c r="AB102" s="660"/>
      <c r="AC102" s="660"/>
    </row>
    <row r="103" spans="1:68" x14ac:dyDescent="0.2">
      <c r="A103" s="680"/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1"/>
      <c r="P103" s="663" t="s">
        <v>80</v>
      </c>
      <c r="Q103" s="664"/>
      <c r="R103" s="664"/>
      <c r="S103" s="664"/>
      <c r="T103" s="664"/>
      <c r="U103" s="664"/>
      <c r="V103" s="665"/>
      <c r="W103" s="37" t="s">
        <v>69</v>
      </c>
      <c r="X103" s="659">
        <f>IFERROR(SUM(X93:X101),"0")</f>
        <v>745</v>
      </c>
      <c r="Y103" s="659">
        <f>IFERROR(SUM(Y93:Y101),"0")</f>
        <v>753.90000000000009</v>
      </c>
      <c r="Z103" s="37"/>
      <c r="AA103" s="660"/>
      <c r="AB103" s="660"/>
      <c r="AC103" s="660"/>
    </row>
    <row r="104" spans="1:68" ht="16.5" hidden="1" customHeight="1" x14ac:dyDescent="0.25">
      <c r="A104" s="688" t="s">
        <v>211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52"/>
      <c r="AB104" s="652"/>
      <c r="AC104" s="652"/>
    </row>
    <row r="105" spans="1:68" ht="14.25" hidden="1" customHeight="1" x14ac:dyDescent="0.25">
      <c r="A105" s="682" t="s">
        <v>90</v>
      </c>
      <c r="B105" s="680"/>
      <c r="C105" s="680"/>
      <c r="D105" s="680"/>
      <c r="E105" s="680"/>
      <c r="F105" s="680"/>
      <c r="G105" s="680"/>
      <c r="H105" s="680"/>
      <c r="I105" s="680"/>
      <c r="J105" s="680"/>
      <c r="K105" s="680"/>
      <c r="L105" s="680"/>
      <c r="M105" s="680"/>
      <c r="N105" s="680"/>
      <c r="O105" s="680"/>
      <c r="P105" s="680"/>
      <c r="Q105" s="680"/>
      <c r="R105" s="680"/>
      <c r="S105" s="680"/>
      <c r="T105" s="680"/>
      <c r="U105" s="680"/>
      <c r="V105" s="680"/>
      <c r="W105" s="680"/>
      <c r="X105" s="680"/>
      <c r="Y105" s="680"/>
      <c r="Z105" s="680"/>
      <c r="AA105" s="653"/>
      <c r="AB105" s="653"/>
      <c r="AC105" s="653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2">
        <v>4680115882133</v>
      </c>
      <c r="E106" s="673"/>
      <c r="F106" s="656">
        <v>1.35</v>
      </c>
      <c r="G106" s="32">
        <v>8</v>
      </c>
      <c r="H106" s="656">
        <v>10.8</v>
      </c>
      <c r="I106" s="65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3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67"/>
      <c r="R106" s="667"/>
      <c r="S106" s="667"/>
      <c r="T106" s="668"/>
      <c r="U106" s="34"/>
      <c r="V106" s="34"/>
      <c r="W106" s="35" t="s">
        <v>69</v>
      </c>
      <c r="X106" s="657">
        <v>90</v>
      </c>
      <c r="Y106" s="658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93.624999999999986</v>
      </c>
      <c r="BN106" s="64">
        <f>IFERROR(Y106*I106/H106,"0")</f>
        <v>101.11499999999998</v>
      </c>
      <c r="BO106" s="64">
        <f>IFERROR(1/J106*(X106/H106),"0")</f>
        <v>0.13020833333333331</v>
      </c>
      <c r="BP106" s="64">
        <f>IFERROR(1/J106*(Y106/H106),"0")</f>
        <v>0.140625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2">
        <v>4680115880269</v>
      </c>
      <c r="E107" s="673"/>
      <c r="F107" s="656">
        <v>0.375</v>
      </c>
      <c r="G107" s="32">
        <v>10</v>
      </c>
      <c r="H107" s="656">
        <v>3.75</v>
      </c>
      <c r="I107" s="656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10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67"/>
      <c r="R107" s="667"/>
      <c r="S107" s="667"/>
      <c r="T107" s="668"/>
      <c r="U107" s="34"/>
      <c r="V107" s="34"/>
      <c r="W107" s="35" t="s">
        <v>69</v>
      </c>
      <c r="X107" s="657">
        <v>0</v>
      </c>
      <c r="Y107" s="6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2">
        <v>4680115880429</v>
      </c>
      <c r="E108" s="673"/>
      <c r="F108" s="656">
        <v>0.45</v>
      </c>
      <c r="G108" s="32">
        <v>10</v>
      </c>
      <c r="H108" s="656">
        <v>4.5</v>
      </c>
      <c r="I108" s="656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67"/>
      <c r="R108" s="667"/>
      <c r="S108" s="667"/>
      <c r="T108" s="668"/>
      <c r="U108" s="34"/>
      <c r="V108" s="34"/>
      <c r="W108" s="35" t="s">
        <v>69</v>
      </c>
      <c r="X108" s="657">
        <v>810</v>
      </c>
      <c r="Y108" s="658">
        <f>IFERROR(IF(X108="",0,CEILING((X108/$H108),1)*$H108),"")</f>
        <v>810</v>
      </c>
      <c r="Z108" s="36">
        <f>IFERROR(IF(Y108=0,"",ROUNDUP(Y108/H108,0)*0.00902),"")</f>
        <v>1.6236000000000002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847.8</v>
      </c>
      <c r="BN108" s="64">
        <f>IFERROR(Y108*I108/H108,"0")</f>
        <v>847.8</v>
      </c>
      <c r="BO108" s="64">
        <f>IFERROR(1/J108*(X108/H108),"0")</f>
        <v>1.3636363636363638</v>
      </c>
      <c r="BP108" s="64">
        <f>IFERROR(1/J108*(Y108/H108),"0")</f>
        <v>1.3636363636363638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2">
        <v>4680115881457</v>
      </c>
      <c r="E109" s="673"/>
      <c r="F109" s="656">
        <v>0.75</v>
      </c>
      <c r="G109" s="32">
        <v>6</v>
      </c>
      <c r="H109" s="656">
        <v>4.5</v>
      </c>
      <c r="I109" s="65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1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67"/>
      <c r="R109" s="667"/>
      <c r="S109" s="667"/>
      <c r="T109" s="668"/>
      <c r="U109" s="34"/>
      <c r="V109" s="34"/>
      <c r="W109" s="35" t="s">
        <v>69</v>
      </c>
      <c r="X109" s="657">
        <v>0</v>
      </c>
      <c r="Y109" s="65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79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63" t="s">
        <v>80</v>
      </c>
      <c r="Q110" s="664"/>
      <c r="R110" s="664"/>
      <c r="S110" s="664"/>
      <c r="T110" s="664"/>
      <c r="U110" s="664"/>
      <c r="V110" s="665"/>
      <c r="W110" s="37" t="s">
        <v>81</v>
      </c>
      <c r="X110" s="659">
        <f>IFERROR(X106/H106,"0")+IFERROR(X107/H107,"0")+IFERROR(X108/H108,"0")+IFERROR(X109/H109,"0")</f>
        <v>188.33333333333334</v>
      </c>
      <c r="Y110" s="659">
        <f>IFERROR(Y106/H106,"0")+IFERROR(Y107/H107,"0")+IFERROR(Y108/H108,"0")+IFERROR(Y109/H109,"0")</f>
        <v>189</v>
      </c>
      <c r="Z110" s="659">
        <f>IFERROR(IF(Z106="",0,Z106),"0")+IFERROR(IF(Z107="",0,Z107),"0")+IFERROR(IF(Z108="",0,Z108),"0")+IFERROR(IF(Z109="",0,Z109),"0")</f>
        <v>1.7944200000000001</v>
      </c>
      <c r="AA110" s="660"/>
      <c r="AB110" s="660"/>
      <c r="AC110" s="660"/>
    </row>
    <row r="111" spans="1:68" x14ac:dyDescent="0.2">
      <c r="A111" s="680"/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1"/>
      <c r="P111" s="663" t="s">
        <v>80</v>
      </c>
      <c r="Q111" s="664"/>
      <c r="R111" s="664"/>
      <c r="S111" s="664"/>
      <c r="T111" s="664"/>
      <c r="U111" s="664"/>
      <c r="V111" s="665"/>
      <c r="W111" s="37" t="s">
        <v>69</v>
      </c>
      <c r="X111" s="659">
        <f>IFERROR(SUM(X106:X109),"0")</f>
        <v>900</v>
      </c>
      <c r="Y111" s="659">
        <f>IFERROR(SUM(Y106:Y109),"0")</f>
        <v>907.2</v>
      </c>
      <c r="Z111" s="37"/>
      <c r="AA111" s="660"/>
      <c r="AB111" s="660"/>
      <c r="AC111" s="660"/>
    </row>
    <row r="112" spans="1:68" ht="14.25" hidden="1" customHeight="1" x14ac:dyDescent="0.25">
      <c r="A112" s="682" t="s">
        <v>133</v>
      </c>
      <c r="B112" s="680"/>
      <c r="C112" s="680"/>
      <c r="D112" s="680"/>
      <c r="E112" s="680"/>
      <c r="F112" s="680"/>
      <c r="G112" s="680"/>
      <c r="H112" s="680"/>
      <c r="I112" s="680"/>
      <c r="J112" s="680"/>
      <c r="K112" s="680"/>
      <c r="L112" s="680"/>
      <c r="M112" s="680"/>
      <c r="N112" s="680"/>
      <c r="O112" s="680"/>
      <c r="P112" s="680"/>
      <c r="Q112" s="680"/>
      <c r="R112" s="680"/>
      <c r="S112" s="680"/>
      <c r="T112" s="680"/>
      <c r="U112" s="680"/>
      <c r="V112" s="680"/>
      <c r="W112" s="680"/>
      <c r="X112" s="680"/>
      <c r="Y112" s="680"/>
      <c r="Z112" s="680"/>
      <c r="AA112" s="653"/>
      <c r="AB112" s="653"/>
      <c r="AC112" s="653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2">
        <v>4680115881488</v>
      </c>
      <c r="E113" s="673"/>
      <c r="F113" s="656">
        <v>1.35</v>
      </c>
      <c r="G113" s="32">
        <v>8</v>
      </c>
      <c r="H113" s="656">
        <v>10.8</v>
      </c>
      <c r="I113" s="656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67"/>
      <c r="R113" s="667"/>
      <c r="S113" s="667"/>
      <c r="T113" s="668"/>
      <c r="U113" s="34"/>
      <c r="V113" s="34"/>
      <c r="W113" s="35" t="s">
        <v>69</v>
      </c>
      <c r="X113" s="657">
        <v>0</v>
      </c>
      <c r="Y113" s="65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2">
        <v>4680115882775</v>
      </c>
      <c r="E114" s="673"/>
      <c r="F114" s="656">
        <v>0.3</v>
      </c>
      <c r="G114" s="32">
        <v>8</v>
      </c>
      <c r="H114" s="656">
        <v>2.4</v>
      </c>
      <c r="I114" s="656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67"/>
      <c r="R114" s="667"/>
      <c r="S114" s="667"/>
      <c r="T114" s="668"/>
      <c r="U114" s="34"/>
      <c r="V114" s="34"/>
      <c r="W114" s="35" t="s">
        <v>69</v>
      </c>
      <c r="X114" s="657">
        <v>0</v>
      </c>
      <c r="Y114" s="658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2">
        <v>4680115880658</v>
      </c>
      <c r="E115" s="673"/>
      <c r="F115" s="656">
        <v>0.4</v>
      </c>
      <c r="G115" s="32">
        <v>6</v>
      </c>
      <c r="H115" s="656">
        <v>2.4</v>
      </c>
      <c r="I115" s="656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67"/>
      <c r="R115" s="667"/>
      <c r="S115" s="667"/>
      <c r="T115" s="668"/>
      <c r="U115" s="34"/>
      <c r="V115" s="34"/>
      <c r="W115" s="35" t="s">
        <v>69</v>
      </c>
      <c r="X115" s="657">
        <v>0</v>
      </c>
      <c r="Y115" s="65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79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63" t="s">
        <v>80</v>
      </c>
      <c r="Q116" s="664"/>
      <c r="R116" s="664"/>
      <c r="S116" s="664"/>
      <c r="T116" s="664"/>
      <c r="U116" s="664"/>
      <c r="V116" s="665"/>
      <c r="W116" s="37" t="s">
        <v>81</v>
      </c>
      <c r="X116" s="659">
        <f>IFERROR(X113/H113,"0")+IFERROR(X114/H114,"0")+IFERROR(X115/H115,"0")</f>
        <v>0</v>
      </c>
      <c r="Y116" s="659">
        <f>IFERROR(Y113/H113,"0")+IFERROR(Y114/H114,"0")+IFERROR(Y115/H115,"0")</f>
        <v>0</v>
      </c>
      <c r="Z116" s="659">
        <f>IFERROR(IF(Z113="",0,Z113),"0")+IFERROR(IF(Z114="",0,Z114),"0")+IFERROR(IF(Z115="",0,Z115),"0")</f>
        <v>0</v>
      </c>
      <c r="AA116" s="660"/>
      <c r="AB116" s="660"/>
      <c r="AC116" s="660"/>
    </row>
    <row r="117" spans="1:68" hidden="1" x14ac:dyDescent="0.2">
      <c r="A117" s="680"/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1"/>
      <c r="P117" s="663" t="s">
        <v>80</v>
      </c>
      <c r="Q117" s="664"/>
      <c r="R117" s="664"/>
      <c r="S117" s="664"/>
      <c r="T117" s="664"/>
      <c r="U117" s="664"/>
      <c r="V117" s="665"/>
      <c r="W117" s="37" t="s">
        <v>69</v>
      </c>
      <c r="X117" s="659">
        <f>IFERROR(SUM(X113:X115),"0")</f>
        <v>0</v>
      </c>
      <c r="Y117" s="659">
        <f>IFERROR(SUM(Y113:Y115),"0")</f>
        <v>0</v>
      </c>
      <c r="Z117" s="37"/>
      <c r="AA117" s="660"/>
      <c r="AB117" s="660"/>
      <c r="AC117" s="660"/>
    </row>
    <row r="118" spans="1:68" ht="14.25" hidden="1" customHeight="1" x14ac:dyDescent="0.25">
      <c r="A118" s="682" t="s">
        <v>64</v>
      </c>
      <c r="B118" s="680"/>
      <c r="C118" s="680"/>
      <c r="D118" s="680"/>
      <c r="E118" s="680"/>
      <c r="F118" s="680"/>
      <c r="G118" s="680"/>
      <c r="H118" s="680"/>
      <c r="I118" s="680"/>
      <c r="J118" s="680"/>
      <c r="K118" s="680"/>
      <c r="L118" s="680"/>
      <c r="M118" s="680"/>
      <c r="N118" s="680"/>
      <c r="O118" s="680"/>
      <c r="P118" s="680"/>
      <c r="Q118" s="680"/>
      <c r="R118" s="680"/>
      <c r="S118" s="680"/>
      <c r="T118" s="680"/>
      <c r="U118" s="680"/>
      <c r="V118" s="680"/>
      <c r="W118" s="680"/>
      <c r="X118" s="680"/>
      <c r="Y118" s="680"/>
      <c r="Z118" s="680"/>
      <c r="AA118" s="653"/>
      <c r="AB118" s="653"/>
      <c r="AC118" s="653"/>
    </row>
    <row r="119" spans="1:68" ht="16.5" hidden="1" customHeight="1" x14ac:dyDescent="0.25">
      <c r="A119" s="54" t="s">
        <v>228</v>
      </c>
      <c r="B119" s="54" t="s">
        <v>229</v>
      </c>
      <c r="C119" s="31">
        <v>4301051724</v>
      </c>
      <c r="D119" s="672">
        <v>4607091385168</v>
      </c>
      <c r="E119" s="673"/>
      <c r="F119" s="656">
        <v>1.35</v>
      </c>
      <c r="G119" s="32">
        <v>6</v>
      </c>
      <c r="H119" s="656">
        <v>8.1</v>
      </c>
      <c r="I119" s="656">
        <v>8.6129999999999995</v>
      </c>
      <c r="J119" s="32">
        <v>64</v>
      </c>
      <c r="K119" s="32" t="s">
        <v>93</v>
      </c>
      <c r="L119" s="32"/>
      <c r="M119" s="33" t="s">
        <v>129</v>
      </c>
      <c r="N119" s="33"/>
      <c r="O119" s="32">
        <v>45</v>
      </c>
      <c r="P119" s="804" t="s">
        <v>230</v>
      </c>
      <c r="Q119" s="667"/>
      <c r="R119" s="667"/>
      <c r="S119" s="667"/>
      <c r="T119" s="668"/>
      <c r="U119" s="34"/>
      <c r="V119" s="34"/>
      <c r="W119" s="35" t="s">
        <v>69</v>
      </c>
      <c r="X119" s="657">
        <v>0</v>
      </c>
      <c r="Y119" s="658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231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27" customHeight="1" x14ac:dyDescent="0.25">
      <c r="A120" s="54" t="s">
        <v>228</v>
      </c>
      <c r="B120" s="54" t="s">
        <v>232</v>
      </c>
      <c r="C120" s="31">
        <v>4301051625</v>
      </c>
      <c r="D120" s="672">
        <v>4607091385168</v>
      </c>
      <c r="E120" s="673"/>
      <c r="F120" s="656">
        <v>1.4</v>
      </c>
      <c r="G120" s="32">
        <v>6</v>
      </c>
      <c r="H120" s="656">
        <v>8.4</v>
      </c>
      <c r="I120" s="65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67"/>
      <c r="R120" s="667"/>
      <c r="S120" s="667"/>
      <c r="T120" s="668"/>
      <c r="U120" s="34"/>
      <c r="V120" s="34"/>
      <c r="W120" s="35" t="s">
        <v>69</v>
      </c>
      <c r="X120" s="657">
        <v>700</v>
      </c>
      <c r="Y120" s="658">
        <f t="shared" si="15"/>
        <v>705.6</v>
      </c>
      <c r="Z120" s="36">
        <f>IFERROR(IF(Y120=0,"",ROUNDUP(Y120/H120,0)*0.01898),"")</f>
        <v>1.59432</v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742.75</v>
      </c>
      <c r="BN120" s="64">
        <f t="shared" si="17"/>
        <v>748.69200000000001</v>
      </c>
      <c r="BO120" s="64">
        <f t="shared" si="18"/>
        <v>1.3020833333333333</v>
      </c>
      <c r="BP120" s="64">
        <f t="shared" si="19"/>
        <v>1.3125</v>
      </c>
    </row>
    <row r="121" spans="1:68" ht="37.5" hidden="1" customHeight="1" x14ac:dyDescent="0.25">
      <c r="A121" s="54" t="s">
        <v>228</v>
      </c>
      <c r="B121" s="54" t="s">
        <v>234</v>
      </c>
      <c r="C121" s="31">
        <v>4301051360</v>
      </c>
      <c r="D121" s="672">
        <v>4607091385168</v>
      </c>
      <c r="E121" s="673"/>
      <c r="F121" s="656">
        <v>1.35</v>
      </c>
      <c r="G121" s="32">
        <v>6</v>
      </c>
      <c r="H121" s="656">
        <v>8.1</v>
      </c>
      <c r="I121" s="656">
        <v>8.6129999999999995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9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67"/>
      <c r="R121" s="667"/>
      <c r="S121" s="667"/>
      <c r="T121" s="668"/>
      <c r="U121" s="34"/>
      <c r="V121" s="34"/>
      <c r="W121" s="35" t="s">
        <v>69</v>
      </c>
      <c r="X121" s="657">
        <v>0</v>
      </c>
      <c r="Y121" s="65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27" hidden="1" customHeight="1" x14ac:dyDescent="0.25">
      <c r="A122" s="54" t="s">
        <v>236</v>
      </c>
      <c r="B122" s="54" t="s">
        <v>237</v>
      </c>
      <c r="C122" s="31">
        <v>4301051730</v>
      </c>
      <c r="D122" s="672">
        <v>4607091383256</v>
      </c>
      <c r="E122" s="673"/>
      <c r="F122" s="656">
        <v>0.33</v>
      </c>
      <c r="G122" s="32">
        <v>6</v>
      </c>
      <c r="H122" s="656">
        <v>1.98</v>
      </c>
      <c r="I122" s="656">
        <v>2.226</v>
      </c>
      <c r="J122" s="32">
        <v>182</v>
      </c>
      <c r="K122" s="32" t="s">
        <v>67</v>
      </c>
      <c r="L122" s="32"/>
      <c r="M122" s="33" t="s">
        <v>129</v>
      </c>
      <c r="N122" s="33"/>
      <c r="O122" s="32">
        <v>45</v>
      </c>
      <c r="P122" s="774" t="s">
        <v>238</v>
      </c>
      <c r="Q122" s="667"/>
      <c r="R122" s="667"/>
      <c r="S122" s="667"/>
      <c r="T122" s="668"/>
      <c r="U122" s="34"/>
      <c r="V122" s="34"/>
      <c r="W122" s="35" t="s">
        <v>69</v>
      </c>
      <c r="X122" s="657">
        <v>0</v>
      </c>
      <c r="Y122" s="658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236</v>
      </c>
      <c r="B123" s="54" t="s">
        <v>239</v>
      </c>
      <c r="C123" s="31">
        <v>4301051362</v>
      </c>
      <c r="D123" s="672">
        <v>4607091383256</v>
      </c>
      <c r="E123" s="673"/>
      <c r="F123" s="656">
        <v>0.33</v>
      </c>
      <c r="G123" s="32">
        <v>6</v>
      </c>
      <c r="H123" s="656">
        <v>1.98</v>
      </c>
      <c r="I123" s="656">
        <v>2.226</v>
      </c>
      <c r="J123" s="32">
        <v>182</v>
      </c>
      <c r="K123" s="32" t="s">
        <v>67</v>
      </c>
      <c r="L123" s="32"/>
      <c r="M123" s="33" t="s">
        <v>103</v>
      </c>
      <c r="N123" s="33"/>
      <c r="O123" s="32">
        <v>45</v>
      </c>
      <c r="P123" s="10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67"/>
      <c r="R123" s="667"/>
      <c r="S123" s="667"/>
      <c r="T123" s="668"/>
      <c r="U123" s="34"/>
      <c r="V123" s="34"/>
      <c r="W123" s="35" t="s">
        <v>69</v>
      </c>
      <c r="X123" s="657">
        <v>0</v>
      </c>
      <c r="Y123" s="658">
        <f t="shared" si="15"/>
        <v>0</v>
      </c>
      <c r="Z123" s="36" t="str">
        <f t="shared" si="20"/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240</v>
      </c>
      <c r="B124" s="54" t="s">
        <v>241</v>
      </c>
      <c r="C124" s="31">
        <v>4301051721</v>
      </c>
      <c r="D124" s="672">
        <v>4607091385748</v>
      </c>
      <c r="E124" s="673"/>
      <c r="F124" s="656">
        <v>0.45</v>
      </c>
      <c r="G124" s="32">
        <v>6</v>
      </c>
      <c r="H124" s="656">
        <v>2.7</v>
      </c>
      <c r="I124" s="656">
        <v>2.952</v>
      </c>
      <c r="J124" s="32">
        <v>182</v>
      </c>
      <c r="K124" s="32" t="s">
        <v>67</v>
      </c>
      <c r="L124" s="32"/>
      <c r="M124" s="33" t="s">
        <v>129</v>
      </c>
      <c r="N124" s="33"/>
      <c r="O124" s="32">
        <v>45</v>
      </c>
      <c r="P124" s="1022" t="s">
        <v>242</v>
      </c>
      <c r="Q124" s="667"/>
      <c r="R124" s="667"/>
      <c r="S124" s="667"/>
      <c r="T124" s="668"/>
      <c r="U124" s="34"/>
      <c r="V124" s="34"/>
      <c r="W124" s="35" t="s">
        <v>69</v>
      </c>
      <c r="X124" s="657">
        <v>0</v>
      </c>
      <c r="Y124" s="65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240</v>
      </c>
      <c r="B125" s="54" t="s">
        <v>243</v>
      </c>
      <c r="C125" s="31">
        <v>4301051358</v>
      </c>
      <c r="D125" s="672">
        <v>4607091385748</v>
      </c>
      <c r="E125" s="673"/>
      <c r="F125" s="656">
        <v>0.45</v>
      </c>
      <c r="G125" s="32">
        <v>6</v>
      </c>
      <c r="H125" s="656">
        <v>2.7</v>
      </c>
      <c r="I125" s="656">
        <v>2.952</v>
      </c>
      <c r="J125" s="32">
        <v>182</v>
      </c>
      <c r="K125" s="32" t="s">
        <v>67</v>
      </c>
      <c r="L125" s="32" t="s">
        <v>102</v>
      </c>
      <c r="M125" s="33" t="s">
        <v>103</v>
      </c>
      <c r="N125" s="33"/>
      <c r="O125" s="32">
        <v>45</v>
      </c>
      <c r="P125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67"/>
      <c r="R125" s="667"/>
      <c r="S125" s="667"/>
      <c r="T125" s="668"/>
      <c r="U125" s="34"/>
      <c r="V125" s="34"/>
      <c r="W125" s="35" t="s">
        <v>69</v>
      </c>
      <c r="X125" s="657">
        <v>540</v>
      </c>
      <c r="Y125" s="658">
        <f t="shared" si="15"/>
        <v>540</v>
      </c>
      <c r="Z125" s="36">
        <f t="shared" si="20"/>
        <v>1.302</v>
      </c>
      <c r="AA125" s="56"/>
      <c r="AB125" s="57"/>
      <c r="AC125" s="187" t="s">
        <v>235</v>
      </c>
      <c r="AG125" s="64"/>
      <c r="AJ125" s="68" t="s">
        <v>104</v>
      </c>
      <c r="AK125" s="68">
        <v>491.4</v>
      </c>
      <c r="BB125" s="188" t="s">
        <v>1</v>
      </c>
      <c r="BM125" s="64">
        <f t="shared" si="16"/>
        <v>590.4</v>
      </c>
      <c r="BN125" s="64">
        <f t="shared" si="17"/>
        <v>590.4</v>
      </c>
      <c r="BO125" s="64">
        <f t="shared" si="18"/>
        <v>1.098901098901099</v>
      </c>
      <c r="BP125" s="64">
        <f t="shared" si="19"/>
        <v>1.098901098901099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2">
        <v>4680115884533</v>
      </c>
      <c r="E126" s="673"/>
      <c r="F126" s="656">
        <v>0.3</v>
      </c>
      <c r="G126" s="32">
        <v>6</v>
      </c>
      <c r="H126" s="656">
        <v>1.8</v>
      </c>
      <c r="I126" s="656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67"/>
      <c r="R126" s="667"/>
      <c r="S126" s="667"/>
      <c r="T126" s="668"/>
      <c r="U126" s="34"/>
      <c r="V126" s="34"/>
      <c r="W126" s="35" t="s">
        <v>69</v>
      </c>
      <c r="X126" s="657">
        <v>24</v>
      </c>
      <c r="Y126" s="658">
        <f t="shared" si="15"/>
        <v>25.2</v>
      </c>
      <c r="Z126" s="36">
        <f t="shared" si="20"/>
        <v>9.1139999999999999E-2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26.4</v>
      </c>
      <c r="BN126" s="64">
        <f t="shared" si="17"/>
        <v>27.72</v>
      </c>
      <c r="BO126" s="64">
        <f t="shared" si="18"/>
        <v>7.3260073260073263E-2</v>
      </c>
      <c r="BP126" s="64">
        <f t="shared" si="19"/>
        <v>7.6923076923076927E-2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2">
        <v>4680115882645</v>
      </c>
      <c r="E127" s="673"/>
      <c r="F127" s="656">
        <v>0.3</v>
      </c>
      <c r="G127" s="32">
        <v>6</v>
      </c>
      <c r="H127" s="656">
        <v>1.8</v>
      </c>
      <c r="I127" s="656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6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67"/>
      <c r="R127" s="667"/>
      <c r="S127" s="667"/>
      <c r="T127" s="668"/>
      <c r="U127" s="34"/>
      <c r="V127" s="34"/>
      <c r="W127" s="35" t="s">
        <v>69</v>
      </c>
      <c r="X127" s="657">
        <v>0</v>
      </c>
      <c r="Y127" s="658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79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63" t="s">
        <v>80</v>
      </c>
      <c r="Q128" s="664"/>
      <c r="R128" s="664"/>
      <c r="S128" s="664"/>
      <c r="T128" s="664"/>
      <c r="U128" s="664"/>
      <c r="V128" s="665"/>
      <c r="W128" s="37" t="s">
        <v>81</v>
      </c>
      <c r="X128" s="659">
        <f>IFERROR(X119/H119,"0")+IFERROR(X120/H120,"0")+IFERROR(X121/H121,"0")+IFERROR(X122/H122,"0")+IFERROR(X123/H123,"0")+IFERROR(X124/H124,"0")+IFERROR(X125/H125,"0")+IFERROR(X126/H126,"0")+IFERROR(X127/H127,"0")</f>
        <v>296.66666666666663</v>
      </c>
      <c r="Y128" s="659">
        <f>IFERROR(Y119/H119,"0")+IFERROR(Y120/H120,"0")+IFERROR(Y121/H121,"0")+IFERROR(Y122/H122,"0")+IFERROR(Y123/H123,"0")+IFERROR(Y124/H124,"0")+IFERROR(Y125/H125,"0")+IFERROR(Y126/H126,"0")+IFERROR(Y127/H127,"0")</f>
        <v>298</v>
      </c>
      <c r="Z128" s="659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2.9874600000000004</v>
      </c>
      <c r="AA128" s="660"/>
      <c r="AB128" s="660"/>
      <c r="AC128" s="660"/>
    </row>
    <row r="129" spans="1:68" x14ac:dyDescent="0.2">
      <c r="A129" s="680"/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1"/>
      <c r="P129" s="663" t="s">
        <v>80</v>
      </c>
      <c r="Q129" s="664"/>
      <c r="R129" s="664"/>
      <c r="S129" s="664"/>
      <c r="T129" s="664"/>
      <c r="U129" s="664"/>
      <c r="V129" s="665"/>
      <c r="W129" s="37" t="s">
        <v>69</v>
      </c>
      <c r="X129" s="659">
        <f>IFERROR(SUM(X119:X127),"0")</f>
        <v>1264</v>
      </c>
      <c r="Y129" s="659">
        <f>IFERROR(SUM(Y119:Y127),"0")</f>
        <v>1270.8</v>
      </c>
      <c r="Z129" s="37"/>
      <c r="AA129" s="660"/>
      <c r="AB129" s="660"/>
      <c r="AC129" s="660"/>
    </row>
    <row r="130" spans="1:68" ht="14.25" hidden="1" customHeight="1" x14ac:dyDescent="0.25">
      <c r="A130" s="682" t="s">
        <v>172</v>
      </c>
      <c r="B130" s="680"/>
      <c r="C130" s="680"/>
      <c r="D130" s="680"/>
      <c r="E130" s="680"/>
      <c r="F130" s="680"/>
      <c r="G130" s="680"/>
      <c r="H130" s="680"/>
      <c r="I130" s="680"/>
      <c r="J130" s="680"/>
      <c r="K130" s="680"/>
      <c r="L130" s="680"/>
      <c r="M130" s="680"/>
      <c r="N130" s="680"/>
      <c r="O130" s="680"/>
      <c r="P130" s="680"/>
      <c r="Q130" s="680"/>
      <c r="R130" s="680"/>
      <c r="S130" s="680"/>
      <c r="T130" s="680"/>
      <c r="U130" s="680"/>
      <c r="V130" s="680"/>
      <c r="W130" s="680"/>
      <c r="X130" s="680"/>
      <c r="Y130" s="680"/>
      <c r="Z130" s="680"/>
      <c r="AA130" s="653"/>
      <c r="AB130" s="653"/>
      <c r="AC130" s="653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2">
        <v>4680115882652</v>
      </c>
      <c r="E131" s="673"/>
      <c r="F131" s="656">
        <v>0.33</v>
      </c>
      <c r="G131" s="32">
        <v>6</v>
      </c>
      <c r="H131" s="656">
        <v>1.98</v>
      </c>
      <c r="I131" s="656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67"/>
      <c r="R131" s="667"/>
      <c r="S131" s="667"/>
      <c r="T131" s="668"/>
      <c r="U131" s="34"/>
      <c r="V131" s="34"/>
      <c r="W131" s="35" t="s">
        <v>69</v>
      </c>
      <c r="X131" s="657">
        <v>0</v>
      </c>
      <c r="Y131" s="6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2">
        <v>4680115880238</v>
      </c>
      <c r="E132" s="673"/>
      <c r="F132" s="656">
        <v>0.33</v>
      </c>
      <c r="G132" s="32">
        <v>6</v>
      </c>
      <c r="H132" s="656">
        <v>1.98</v>
      </c>
      <c r="I132" s="656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67"/>
      <c r="R132" s="667"/>
      <c r="S132" s="667"/>
      <c r="T132" s="668"/>
      <c r="U132" s="34"/>
      <c r="V132" s="34"/>
      <c r="W132" s="35" t="s">
        <v>69</v>
      </c>
      <c r="X132" s="657">
        <v>42.9</v>
      </c>
      <c r="Y132" s="658">
        <f>IFERROR(IF(X132="",0,CEILING((X132/$H132),1)*$H132),"")</f>
        <v>43.56</v>
      </c>
      <c r="Z132" s="36">
        <f>IFERROR(IF(Y132=0,"",ROUNDUP(Y132/H132,0)*0.00651),"")</f>
        <v>0.14322000000000001</v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48.49</v>
      </c>
      <c r="BN132" s="64">
        <f>IFERROR(Y132*I132/H132,"0")</f>
        <v>49.235999999999997</v>
      </c>
      <c r="BO132" s="64">
        <f>IFERROR(1/J132*(X132/H132),"0")</f>
        <v>0.11904761904761907</v>
      </c>
      <c r="BP132" s="64">
        <f>IFERROR(1/J132*(Y132/H132),"0")</f>
        <v>0.12087912087912089</v>
      </c>
    </row>
    <row r="133" spans="1:68" x14ac:dyDescent="0.2">
      <c r="A133" s="679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63" t="s">
        <v>80</v>
      </c>
      <c r="Q133" s="664"/>
      <c r="R133" s="664"/>
      <c r="S133" s="664"/>
      <c r="T133" s="664"/>
      <c r="U133" s="664"/>
      <c r="V133" s="665"/>
      <c r="W133" s="37" t="s">
        <v>81</v>
      </c>
      <c r="X133" s="659">
        <f>IFERROR(X131/H131,"0")+IFERROR(X132/H132,"0")</f>
        <v>21.666666666666668</v>
      </c>
      <c r="Y133" s="659">
        <f>IFERROR(Y131/H131,"0")+IFERROR(Y132/H132,"0")</f>
        <v>22</v>
      </c>
      <c r="Z133" s="659">
        <f>IFERROR(IF(Z131="",0,Z131),"0")+IFERROR(IF(Z132="",0,Z132),"0")</f>
        <v>0.14322000000000001</v>
      </c>
      <c r="AA133" s="660"/>
      <c r="AB133" s="660"/>
      <c r="AC133" s="660"/>
    </row>
    <row r="134" spans="1:68" x14ac:dyDescent="0.2">
      <c r="A134" s="680"/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1"/>
      <c r="P134" s="663" t="s">
        <v>80</v>
      </c>
      <c r="Q134" s="664"/>
      <c r="R134" s="664"/>
      <c r="S134" s="664"/>
      <c r="T134" s="664"/>
      <c r="U134" s="664"/>
      <c r="V134" s="665"/>
      <c r="W134" s="37" t="s">
        <v>69</v>
      </c>
      <c r="X134" s="659">
        <f>IFERROR(SUM(X131:X132),"0")</f>
        <v>42.9</v>
      </c>
      <c r="Y134" s="659">
        <f>IFERROR(SUM(Y131:Y132),"0")</f>
        <v>43.56</v>
      </c>
      <c r="Z134" s="37"/>
      <c r="AA134" s="660"/>
      <c r="AB134" s="660"/>
      <c r="AC134" s="660"/>
    </row>
    <row r="135" spans="1:68" ht="16.5" hidden="1" customHeight="1" x14ac:dyDescent="0.25">
      <c r="A135" s="688" t="s">
        <v>88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52"/>
      <c r="AB135" s="652"/>
      <c r="AC135" s="652"/>
    </row>
    <row r="136" spans="1:68" ht="14.25" hidden="1" customHeight="1" x14ac:dyDescent="0.25">
      <c r="A136" s="682" t="s">
        <v>90</v>
      </c>
      <c r="B136" s="680"/>
      <c r="C136" s="680"/>
      <c r="D136" s="680"/>
      <c r="E136" s="680"/>
      <c r="F136" s="680"/>
      <c r="G136" s="680"/>
      <c r="H136" s="680"/>
      <c r="I136" s="680"/>
      <c r="J136" s="680"/>
      <c r="K136" s="680"/>
      <c r="L136" s="680"/>
      <c r="M136" s="680"/>
      <c r="N136" s="680"/>
      <c r="O136" s="680"/>
      <c r="P136" s="680"/>
      <c r="Q136" s="680"/>
      <c r="R136" s="680"/>
      <c r="S136" s="680"/>
      <c r="T136" s="680"/>
      <c r="U136" s="680"/>
      <c r="V136" s="680"/>
      <c r="W136" s="680"/>
      <c r="X136" s="680"/>
      <c r="Y136" s="680"/>
      <c r="Z136" s="680"/>
      <c r="AA136" s="653"/>
      <c r="AB136" s="653"/>
      <c r="AC136" s="653"/>
    </row>
    <row r="137" spans="1:68" ht="27" hidden="1" customHeight="1" x14ac:dyDescent="0.25">
      <c r="A137" s="54" t="s">
        <v>256</v>
      </c>
      <c r="B137" s="54" t="s">
        <v>257</v>
      </c>
      <c r="C137" s="31">
        <v>4301011705</v>
      </c>
      <c r="D137" s="672">
        <v>4607091384604</v>
      </c>
      <c r="E137" s="673"/>
      <c r="F137" s="656">
        <v>0.4</v>
      </c>
      <c r="G137" s="32">
        <v>10</v>
      </c>
      <c r="H137" s="656">
        <v>4</v>
      </c>
      <c r="I137" s="656">
        <v>4.21</v>
      </c>
      <c r="J137" s="32">
        <v>132</v>
      </c>
      <c r="K137" s="32" t="s">
        <v>101</v>
      </c>
      <c r="L137" s="32"/>
      <c r="M137" s="33" t="s">
        <v>94</v>
      </c>
      <c r="N137" s="33"/>
      <c r="O137" s="32">
        <v>50</v>
      </c>
      <c r="P137" s="8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37" s="667"/>
      <c r="R137" s="667"/>
      <c r="S137" s="667"/>
      <c r="T137" s="668"/>
      <c r="U137" s="34"/>
      <c r="V137" s="34"/>
      <c r="W137" s="35" t="s">
        <v>69</v>
      </c>
      <c r="X137" s="657">
        <v>0</v>
      </c>
      <c r="Y137" s="658">
        <f>IFERROR(IF(X137="",0,CEILING((X137/$H137),1)*$H137),"")</f>
        <v>0</v>
      </c>
      <c r="Z137" s="36" t="str">
        <f>IFERROR(IF(Y137=0,"",ROUNDUP(Y137/H137,0)*0.00902),"")</f>
        <v/>
      </c>
      <c r="AA137" s="56"/>
      <c r="AB137" s="57"/>
      <c r="AC137" s="197" t="s">
        <v>258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63" t="s">
        <v>80</v>
      </c>
      <c r="Q138" s="664"/>
      <c r="R138" s="664"/>
      <c r="S138" s="664"/>
      <c r="T138" s="664"/>
      <c r="U138" s="664"/>
      <c r="V138" s="665"/>
      <c r="W138" s="37" t="s">
        <v>81</v>
      </c>
      <c r="X138" s="659">
        <f>IFERROR(X137/H137,"0")</f>
        <v>0</v>
      </c>
      <c r="Y138" s="659">
        <f>IFERROR(Y137/H137,"0")</f>
        <v>0</v>
      </c>
      <c r="Z138" s="659">
        <f>IFERROR(IF(Z137="",0,Z137),"0")</f>
        <v>0</v>
      </c>
      <c r="AA138" s="660"/>
      <c r="AB138" s="660"/>
      <c r="AC138" s="660"/>
    </row>
    <row r="139" spans="1:68" hidden="1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63" t="s">
        <v>80</v>
      </c>
      <c r="Q139" s="664"/>
      <c r="R139" s="664"/>
      <c r="S139" s="664"/>
      <c r="T139" s="664"/>
      <c r="U139" s="664"/>
      <c r="V139" s="665"/>
      <c r="W139" s="37" t="s">
        <v>69</v>
      </c>
      <c r="X139" s="659">
        <f>IFERROR(SUM(X137:X137),"0")</f>
        <v>0</v>
      </c>
      <c r="Y139" s="659">
        <f>IFERROR(SUM(Y137:Y137),"0")</f>
        <v>0</v>
      </c>
      <c r="Z139" s="37"/>
      <c r="AA139" s="660"/>
      <c r="AB139" s="660"/>
      <c r="AC139" s="660"/>
    </row>
    <row r="140" spans="1:68" ht="14.25" hidden="1" customHeight="1" x14ac:dyDescent="0.25">
      <c r="A140" s="682" t="s">
        <v>146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53"/>
      <c r="AB140" s="653"/>
      <c r="AC140" s="653"/>
    </row>
    <row r="141" spans="1:68" ht="16.5" hidden="1" customHeight="1" x14ac:dyDescent="0.25">
      <c r="A141" s="54" t="s">
        <v>259</v>
      </c>
      <c r="B141" s="54" t="s">
        <v>260</v>
      </c>
      <c r="C141" s="31">
        <v>4301030895</v>
      </c>
      <c r="D141" s="672">
        <v>4607091387667</v>
      </c>
      <c r="E141" s="673"/>
      <c r="F141" s="656">
        <v>0.9</v>
      </c>
      <c r="G141" s="32">
        <v>10</v>
      </c>
      <c r="H141" s="656">
        <v>9</v>
      </c>
      <c r="I141" s="656">
        <v>9.5850000000000009</v>
      </c>
      <c r="J141" s="32">
        <v>64</v>
      </c>
      <c r="K141" s="32" t="s">
        <v>93</v>
      </c>
      <c r="L141" s="32"/>
      <c r="M141" s="33" t="s">
        <v>94</v>
      </c>
      <c r="N141" s="33"/>
      <c r="O141" s="32">
        <v>40</v>
      </c>
      <c r="P141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1" s="667"/>
      <c r="R141" s="667"/>
      <c r="S141" s="667"/>
      <c r="T141" s="668"/>
      <c r="U141" s="34"/>
      <c r="V141" s="34"/>
      <c r="W141" s="35" t="s">
        <v>69</v>
      </c>
      <c r="X141" s="657">
        <v>0</v>
      </c>
      <c r="Y141" s="658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/>
      <c r="AC141" s="199" t="s">
        <v>261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262</v>
      </c>
      <c r="B142" s="54" t="s">
        <v>263</v>
      </c>
      <c r="C142" s="31">
        <v>4301030961</v>
      </c>
      <c r="D142" s="672">
        <v>4607091387636</v>
      </c>
      <c r="E142" s="673"/>
      <c r="F142" s="656">
        <v>0.7</v>
      </c>
      <c r="G142" s="32">
        <v>6</v>
      </c>
      <c r="H142" s="656">
        <v>4.2</v>
      </c>
      <c r="I142" s="656">
        <v>4.5</v>
      </c>
      <c r="J142" s="32">
        <v>132</v>
      </c>
      <c r="K142" s="32" t="s">
        <v>101</v>
      </c>
      <c r="L142" s="32"/>
      <c r="M142" s="33" t="s">
        <v>68</v>
      </c>
      <c r="N142" s="33"/>
      <c r="O142" s="32">
        <v>40</v>
      </c>
      <c r="P142" s="7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2" s="667"/>
      <c r="R142" s="667"/>
      <c r="S142" s="667"/>
      <c r="T142" s="668"/>
      <c r="U142" s="34"/>
      <c r="V142" s="34"/>
      <c r="W142" s="35" t="s">
        <v>69</v>
      </c>
      <c r="X142" s="657">
        <v>0</v>
      </c>
      <c r="Y142" s="65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201" t="s">
        <v>264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265</v>
      </c>
      <c r="B143" s="54" t="s">
        <v>266</v>
      </c>
      <c r="C143" s="31">
        <v>4301030963</v>
      </c>
      <c r="D143" s="672">
        <v>4607091382426</v>
      </c>
      <c r="E143" s="673"/>
      <c r="F143" s="656">
        <v>0.9</v>
      </c>
      <c r="G143" s="32">
        <v>10</v>
      </c>
      <c r="H143" s="656">
        <v>9</v>
      </c>
      <c r="I143" s="656">
        <v>9.5850000000000009</v>
      </c>
      <c r="J143" s="32">
        <v>64</v>
      </c>
      <c r="K143" s="32" t="s">
        <v>93</v>
      </c>
      <c r="L143" s="32"/>
      <c r="M143" s="33" t="s">
        <v>68</v>
      </c>
      <c r="N143" s="33"/>
      <c r="O143" s="32">
        <v>40</v>
      </c>
      <c r="P143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3" s="667"/>
      <c r="R143" s="667"/>
      <c r="S143" s="667"/>
      <c r="T143" s="668"/>
      <c r="U143" s="34"/>
      <c r="V143" s="34"/>
      <c r="W143" s="35" t="s">
        <v>69</v>
      </c>
      <c r="X143" s="657">
        <v>0</v>
      </c>
      <c r="Y143" s="658">
        <f>IFERROR(IF(X143="",0,CEILING((X143/$H143),1)*$H143),"")</f>
        <v>0</v>
      </c>
      <c r="Z143" s="36" t="str">
        <f>IFERROR(IF(Y143=0,"",ROUNDUP(Y143/H143,0)*0.01898),"")</f>
        <v/>
      </c>
      <c r="AA143" s="56"/>
      <c r="AB143" s="57"/>
      <c r="AC143" s="203" t="s">
        <v>267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268</v>
      </c>
      <c r="B144" s="54" t="s">
        <v>269</v>
      </c>
      <c r="C144" s="31">
        <v>4301030962</v>
      </c>
      <c r="D144" s="672">
        <v>4607091386547</v>
      </c>
      <c r="E144" s="673"/>
      <c r="F144" s="656">
        <v>0.35</v>
      </c>
      <c r="G144" s="32">
        <v>8</v>
      </c>
      <c r="H144" s="656">
        <v>2.8</v>
      </c>
      <c r="I144" s="656">
        <v>2.94</v>
      </c>
      <c r="J144" s="32">
        <v>234</v>
      </c>
      <c r="K144" s="32" t="s">
        <v>149</v>
      </c>
      <c r="L144" s="32"/>
      <c r="M144" s="33" t="s">
        <v>68</v>
      </c>
      <c r="N144" s="33"/>
      <c r="O144" s="32">
        <v>40</v>
      </c>
      <c r="P144" s="6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4" s="667"/>
      <c r="R144" s="667"/>
      <c r="S144" s="667"/>
      <c r="T144" s="668"/>
      <c r="U144" s="34"/>
      <c r="V144" s="34"/>
      <c r="W144" s="35" t="s">
        <v>69</v>
      </c>
      <c r="X144" s="657">
        <v>0</v>
      </c>
      <c r="Y144" s="658">
        <f>IFERROR(IF(X144="",0,CEILING((X144/$H144),1)*$H144),"")</f>
        <v>0</v>
      </c>
      <c r="Z144" s="36" t="str">
        <f>IFERROR(IF(Y144=0,"",ROUNDUP(Y144/H144,0)*0.00502),"")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79"/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1"/>
      <c r="P145" s="663" t="s">
        <v>80</v>
      </c>
      <c r="Q145" s="664"/>
      <c r="R145" s="664"/>
      <c r="S145" s="664"/>
      <c r="T145" s="664"/>
      <c r="U145" s="664"/>
      <c r="V145" s="665"/>
      <c r="W145" s="37" t="s">
        <v>81</v>
      </c>
      <c r="X145" s="659">
        <f>IFERROR(X141/H141,"0")+IFERROR(X142/H142,"0")+IFERROR(X143/H143,"0")+IFERROR(X144/H144,"0")</f>
        <v>0</v>
      </c>
      <c r="Y145" s="659">
        <f>IFERROR(Y141/H141,"0")+IFERROR(Y142/H142,"0")+IFERROR(Y143/H143,"0")+IFERROR(Y144/H144,"0")</f>
        <v>0</v>
      </c>
      <c r="Z145" s="659">
        <f>IFERROR(IF(Z141="",0,Z141),"0")+IFERROR(IF(Z142="",0,Z142),"0")+IFERROR(IF(Z143="",0,Z143),"0")+IFERROR(IF(Z144="",0,Z144),"0")</f>
        <v>0</v>
      </c>
      <c r="AA145" s="660"/>
      <c r="AB145" s="660"/>
      <c r="AC145" s="660"/>
    </row>
    <row r="146" spans="1:68" hidden="1" x14ac:dyDescent="0.2">
      <c r="A146" s="680"/>
      <c r="B146" s="680"/>
      <c r="C146" s="680"/>
      <c r="D146" s="680"/>
      <c r="E146" s="680"/>
      <c r="F146" s="680"/>
      <c r="G146" s="680"/>
      <c r="H146" s="680"/>
      <c r="I146" s="680"/>
      <c r="J146" s="680"/>
      <c r="K146" s="680"/>
      <c r="L146" s="680"/>
      <c r="M146" s="680"/>
      <c r="N146" s="680"/>
      <c r="O146" s="681"/>
      <c r="P146" s="663" t="s">
        <v>80</v>
      </c>
      <c r="Q146" s="664"/>
      <c r="R146" s="664"/>
      <c r="S146" s="664"/>
      <c r="T146" s="664"/>
      <c r="U146" s="664"/>
      <c r="V146" s="665"/>
      <c r="W146" s="37" t="s">
        <v>69</v>
      </c>
      <c r="X146" s="659">
        <f>IFERROR(SUM(X141:X144),"0")</f>
        <v>0</v>
      </c>
      <c r="Y146" s="659">
        <f>IFERROR(SUM(Y141:Y144),"0")</f>
        <v>0</v>
      </c>
      <c r="Z146" s="37"/>
      <c r="AA146" s="660"/>
      <c r="AB146" s="660"/>
      <c r="AC146" s="660"/>
    </row>
    <row r="147" spans="1:68" ht="14.25" hidden="1" customHeight="1" x14ac:dyDescent="0.25">
      <c r="A147" s="682" t="s">
        <v>64</v>
      </c>
      <c r="B147" s="680"/>
      <c r="C147" s="680"/>
      <c r="D147" s="680"/>
      <c r="E147" s="680"/>
      <c r="F147" s="680"/>
      <c r="G147" s="680"/>
      <c r="H147" s="680"/>
      <c r="I147" s="680"/>
      <c r="J147" s="680"/>
      <c r="K147" s="680"/>
      <c r="L147" s="680"/>
      <c r="M147" s="680"/>
      <c r="N147" s="680"/>
      <c r="O147" s="680"/>
      <c r="P147" s="680"/>
      <c r="Q147" s="680"/>
      <c r="R147" s="680"/>
      <c r="S147" s="680"/>
      <c r="T147" s="680"/>
      <c r="U147" s="680"/>
      <c r="V147" s="680"/>
      <c r="W147" s="680"/>
      <c r="X147" s="680"/>
      <c r="Y147" s="680"/>
      <c r="Z147" s="680"/>
      <c r="AA147" s="653"/>
      <c r="AB147" s="653"/>
      <c r="AC147" s="653"/>
    </row>
    <row r="148" spans="1:68" ht="16.5" hidden="1" customHeight="1" x14ac:dyDescent="0.25">
      <c r="A148" s="54" t="s">
        <v>270</v>
      </c>
      <c r="B148" s="54" t="s">
        <v>271</v>
      </c>
      <c r="C148" s="31">
        <v>4301051653</v>
      </c>
      <c r="D148" s="672">
        <v>4607091386264</v>
      </c>
      <c r="E148" s="673"/>
      <c r="F148" s="656">
        <v>0.5</v>
      </c>
      <c r="G148" s="32">
        <v>6</v>
      </c>
      <c r="H148" s="656">
        <v>3</v>
      </c>
      <c r="I148" s="656">
        <v>3.258</v>
      </c>
      <c r="J148" s="32">
        <v>182</v>
      </c>
      <c r="K148" s="32" t="s">
        <v>67</v>
      </c>
      <c r="L148" s="32"/>
      <c r="M148" s="33" t="s">
        <v>103</v>
      </c>
      <c r="N148" s="33"/>
      <c r="O148" s="32">
        <v>31</v>
      </c>
      <c r="P148" s="7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48" s="667"/>
      <c r="R148" s="667"/>
      <c r="S148" s="667"/>
      <c r="T148" s="668"/>
      <c r="U148" s="34"/>
      <c r="V148" s="34"/>
      <c r="W148" s="35" t="s">
        <v>69</v>
      </c>
      <c r="X148" s="657">
        <v>0</v>
      </c>
      <c r="Y148" s="65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272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273</v>
      </c>
      <c r="B149" s="54" t="s">
        <v>274</v>
      </c>
      <c r="C149" s="31">
        <v>4301051313</v>
      </c>
      <c r="D149" s="672">
        <v>4607091385427</v>
      </c>
      <c r="E149" s="673"/>
      <c r="F149" s="656">
        <v>0.5</v>
      </c>
      <c r="G149" s="32">
        <v>6</v>
      </c>
      <c r="H149" s="656">
        <v>3</v>
      </c>
      <c r="I149" s="656">
        <v>3.2519999999999998</v>
      </c>
      <c r="J149" s="32">
        <v>182</v>
      </c>
      <c r="K149" s="32" t="s">
        <v>67</v>
      </c>
      <c r="L149" s="32"/>
      <c r="M149" s="33" t="s">
        <v>68</v>
      </c>
      <c r="N149" s="33"/>
      <c r="O149" s="32">
        <v>40</v>
      </c>
      <c r="P149" s="10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49" s="667"/>
      <c r="R149" s="667"/>
      <c r="S149" s="667"/>
      <c r="T149" s="668"/>
      <c r="U149" s="34"/>
      <c r="V149" s="34"/>
      <c r="W149" s="35" t="s">
        <v>69</v>
      </c>
      <c r="X149" s="657">
        <v>0</v>
      </c>
      <c r="Y149" s="65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275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79"/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1"/>
      <c r="P150" s="663" t="s">
        <v>80</v>
      </c>
      <c r="Q150" s="664"/>
      <c r="R150" s="664"/>
      <c r="S150" s="664"/>
      <c r="T150" s="664"/>
      <c r="U150" s="664"/>
      <c r="V150" s="665"/>
      <c r="W150" s="37" t="s">
        <v>81</v>
      </c>
      <c r="X150" s="659">
        <f>IFERROR(X148/H148,"0")+IFERROR(X149/H149,"0")</f>
        <v>0</v>
      </c>
      <c r="Y150" s="659">
        <f>IFERROR(Y148/H148,"0")+IFERROR(Y149/H149,"0")</f>
        <v>0</v>
      </c>
      <c r="Z150" s="659">
        <f>IFERROR(IF(Z148="",0,Z148),"0")+IFERROR(IF(Z149="",0,Z149),"0")</f>
        <v>0</v>
      </c>
      <c r="AA150" s="660"/>
      <c r="AB150" s="660"/>
      <c r="AC150" s="660"/>
    </row>
    <row r="151" spans="1:68" hidden="1" x14ac:dyDescent="0.2">
      <c r="A151" s="680"/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1"/>
      <c r="P151" s="663" t="s">
        <v>80</v>
      </c>
      <c r="Q151" s="664"/>
      <c r="R151" s="664"/>
      <c r="S151" s="664"/>
      <c r="T151" s="664"/>
      <c r="U151" s="664"/>
      <c r="V151" s="665"/>
      <c r="W151" s="37" t="s">
        <v>69</v>
      </c>
      <c r="X151" s="659">
        <f>IFERROR(SUM(X148:X149),"0")</f>
        <v>0</v>
      </c>
      <c r="Y151" s="659">
        <f>IFERROR(SUM(Y148:Y149),"0")</f>
        <v>0</v>
      </c>
      <c r="Z151" s="37"/>
      <c r="AA151" s="660"/>
      <c r="AB151" s="660"/>
      <c r="AC151" s="660"/>
    </row>
    <row r="152" spans="1:68" ht="27.75" hidden="1" customHeight="1" x14ac:dyDescent="0.2">
      <c r="A152" s="712" t="s">
        <v>276</v>
      </c>
      <c r="B152" s="713"/>
      <c r="C152" s="713"/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13"/>
      <c r="P152" s="713"/>
      <c r="Q152" s="713"/>
      <c r="R152" s="713"/>
      <c r="S152" s="713"/>
      <c r="T152" s="713"/>
      <c r="U152" s="713"/>
      <c r="V152" s="713"/>
      <c r="W152" s="713"/>
      <c r="X152" s="713"/>
      <c r="Y152" s="713"/>
      <c r="Z152" s="713"/>
      <c r="AA152" s="48"/>
      <c r="AB152" s="48"/>
      <c r="AC152" s="48"/>
    </row>
    <row r="153" spans="1:68" ht="16.5" hidden="1" customHeight="1" x14ac:dyDescent="0.25">
      <c r="A153" s="688" t="s">
        <v>277</v>
      </c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0"/>
      <c r="P153" s="680"/>
      <c r="Q153" s="680"/>
      <c r="R153" s="680"/>
      <c r="S153" s="680"/>
      <c r="T153" s="680"/>
      <c r="U153" s="680"/>
      <c r="V153" s="680"/>
      <c r="W153" s="680"/>
      <c r="X153" s="680"/>
      <c r="Y153" s="680"/>
      <c r="Z153" s="680"/>
      <c r="AA153" s="652"/>
      <c r="AB153" s="652"/>
      <c r="AC153" s="652"/>
    </row>
    <row r="154" spans="1:68" ht="14.25" hidden="1" customHeight="1" x14ac:dyDescent="0.25">
      <c r="A154" s="682" t="s">
        <v>133</v>
      </c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0"/>
      <c r="P154" s="680"/>
      <c r="Q154" s="680"/>
      <c r="R154" s="680"/>
      <c r="S154" s="680"/>
      <c r="T154" s="680"/>
      <c r="U154" s="680"/>
      <c r="V154" s="680"/>
      <c r="W154" s="680"/>
      <c r="X154" s="680"/>
      <c r="Y154" s="680"/>
      <c r="Z154" s="680"/>
      <c r="AA154" s="653"/>
      <c r="AB154" s="653"/>
      <c r="AC154" s="653"/>
    </row>
    <row r="155" spans="1:68" ht="27" hidden="1" customHeight="1" x14ac:dyDescent="0.25">
      <c r="A155" s="54" t="s">
        <v>278</v>
      </c>
      <c r="B155" s="54" t="s">
        <v>279</v>
      </c>
      <c r="C155" s="31">
        <v>4301020323</v>
      </c>
      <c r="D155" s="672">
        <v>4680115886223</v>
      </c>
      <c r="E155" s="673"/>
      <c r="F155" s="656">
        <v>0.33</v>
      </c>
      <c r="G155" s="32">
        <v>6</v>
      </c>
      <c r="H155" s="656">
        <v>1.98</v>
      </c>
      <c r="I155" s="656">
        <v>2.08</v>
      </c>
      <c r="J155" s="32">
        <v>234</v>
      </c>
      <c r="K155" s="32" t="s">
        <v>149</v>
      </c>
      <c r="L155" s="32"/>
      <c r="M155" s="33" t="s">
        <v>68</v>
      </c>
      <c r="N155" s="33"/>
      <c r="O155" s="32">
        <v>40</v>
      </c>
      <c r="P155" s="67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67"/>
      <c r="R155" s="667"/>
      <c r="S155" s="667"/>
      <c r="T155" s="668"/>
      <c r="U155" s="34"/>
      <c r="V155" s="34"/>
      <c r="W155" s="35" t="s">
        <v>69</v>
      </c>
      <c r="X155" s="657">
        <v>0</v>
      </c>
      <c r="Y155" s="658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211" t="s">
        <v>280</v>
      </c>
      <c r="AG155" s="64"/>
      <c r="AJ155" s="68"/>
      <c r="AK155" s="68">
        <v>0</v>
      </c>
      <c r="BB155" s="21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79"/>
      <c r="B156" s="680"/>
      <c r="C156" s="680"/>
      <c r="D156" s="680"/>
      <c r="E156" s="680"/>
      <c r="F156" s="680"/>
      <c r="G156" s="680"/>
      <c r="H156" s="680"/>
      <c r="I156" s="680"/>
      <c r="J156" s="680"/>
      <c r="K156" s="680"/>
      <c r="L156" s="680"/>
      <c r="M156" s="680"/>
      <c r="N156" s="680"/>
      <c r="O156" s="681"/>
      <c r="P156" s="663" t="s">
        <v>80</v>
      </c>
      <c r="Q156" s="664"/>
      <c r="R156" s="664"/>
      <c r="S156" s="664"/>
      <c r="T156" s="664"/>
      <c r="U156" s="664"/>
      <c r="V156" s="665"/>
      <c r="W156" s="37" t="s">
        <v>81</v>
      </c>
      <c r="X156" s="659">
        <f>IFERROR(X155/H155,"0")</f>
        <v>0</v>
      </c>
      <c r="Y156" s="659">
        <f>IFERROR(Y155/H155,"0")</f>
        <v>0</v>
      </c>
      <c r="Z156" s="659">
        <f>IFERROR(IF(Z155="",0,Z155),"0")</f>
        <v>0</v>
      </c>
      <c r="AA156" s="660"/>
      <c r="AB156" s="660"/>
      <c r="AC156" s="660"/>
    </row>
    <row r="157" spans="1:68" hidden="1" x14ac:dyDescent="0.2">
      <c r="A157" s="680"/>
      <c r="B157" s="680"/>
      <c r="C157" s="680"/>
      <c r="D157" s="680"/>
      <c r="E157" s="680"/>
      <c r="F157" s="680"/>
      <c r="G157" s="680"/>
      <c r="H157" s="680"/>
      <c r="I157" s="680"/>
      <c r="J157" s="680"/>
      <c r="K157" s="680"/>
      <c r="L157" s="680"/>
      <c r="M157" s="680"/>
      <c r="N157" s="680"/>
      <c r="O157" s="681"/>
      <c r="P157" s="663" t="s">
        <v>80</v>
      </c>
      <c r="Q157" s="664"/>
      <c r="R157" s="664"/>
      <c r="S157" s="664"/>
      <c r="T157" s="664"/>
      <c r="U157" s="664"/>
      <c r="V157" s="665"/>
      <c r="W157" s="37" t="s">
        <v>69</v>
      </c>
      <c r="X157" s="659">
        <f>IFERROR(SUM(X155:X155),"0")</f>
        <v>0</v>
      </c>
      <c r="Y157" s="659">
        <f>IFERROR(SUM(Y155:Y155),"0")</f>
        <v>0</v>
      </c>
      <c r="Z157" s="37"/>
      <c r="AA157" s="660"/>
      <c r="AB157" s="660"/>
      <c r="AC157" s="660"/>
    </row>
    <row r="158" spans="1:68" ht="14.25" hidden="1" customHeight="1" x14ac:dyDescent="0.25">
      <c r="A158" s="682" t="s">
        <v>146</v>
      </c>
      <c r="B158" s="680"/>
      <c r="C158" s="680"/>
      <c r="D158" s="680"/>
      <c r="E158" s="680"/>
      <c r="F158" s="680"/>
      <c r="G158" s="680"/>
      <c r="H158" s="680"/>
      <c r="I158" s="680"/>
      <c r="J158" s="680"/>
      <c r="K158" s="680"/>
      <c r="L158" s="680"/>
      <c r="M158" s="680"/>
      <c r="N158" s="680"/>
      <c r="O158" s="680"/>
      <c r="P158" s="680"/>
      <c r="Q158" s="680"/>
      <c r="R158" s="680"/>
      <c r="S158" s="680"/>
      <c r="T158" s="680"/>
      <c r="U158" s="680"/>
      <c r="V158" s="680"/>
      <c r="W158" s="680"/>
      <c r="X158" s="680"/>
      <c r="Y158" s="680"/>
      <c r="Z158" s="680"/>
      <c r="AA158" s="653"/>
      <c r="AB158" s="653"/>
      <c r="AC158" s="653"/>
    </row>
    <row r="159" spans="1:68" ht="27" customHeight="1" x14ac:dyDescent="0.25">
      <c r="A159" s="54" t="s">
        <v>281</v>
      </c>
      <c r="B159" s="54" t="s">
        <v>282</v>
      </c>
      <c r="C159" s="31">
        <v>4301031191</v>
      </c>
      <c r="D159" s="672">
        <v>4680115880993</v>
      </c>
      <c r="E159" s="673"/>
      <c r="F159" s="656">
        <v>0.7</v>
      </c>
      <c r="G159" s="32">
        <v>6</v>
      </c>
      <c r="H159" s="656">
        <v>4.2</v>
      </c>
      <c r="I159" s="656">
        <v>4.47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8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67"/>
      <c r="R159" s="667"/>
      <c r="S159" s="667"/>
      <c r="T159" s="668"/>
      <c r="U159" s="34"/>
      <c r="V159" s="34"/>
      <c r="W159" s="35" t="s">
        <v>69</v>
      </c>
      <c r="X159" s="657">
        <v>60</v>
      </c>
      <c r="Y159" s="658">
        <f t="shared" ref="Y159:Y167" si="2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213" t="s">
        <v>283</v>
      </c>
      <c r="AG159" s="64"/>
      <c r="AJ159" s="68"/>
      <c r="AK159" s="68">
        <v>0</v>
      </c>
      <c r="BB159" s="214" t="s">
        <v>1</v>
      </c>
      <c r="BM159" s="64">
        <f t="shared" ref="BM159:BM167" si="22">IFERROR(X159*I159/H159,"0")</f>
        <v>63.857142857142854</v>
      </c>
      <c r="BN159" s="64">
        <f t="shared" ref="BN159:BN167" si="23">IFERROR(Y159*I159/H159,"0")</f>
        <v>67.049999999999983</v>
      </c>
      <c r="BO159" s="64">
        <f t="shared" ref="BO159:BO167" si="24">IFERROR(1/J159*(X159/H159),"0")</f>
        <v>0.10822510822510822</v>
      </c>
      <c r="BP159" s="64">
        <f t="shared" ref="BP159:BP167" si="25">IFERROR(1/J159*(Y159/H159),"0")</f>
        <v>0.11363636363636365</v>
      </c>
    </row>
    <row r="160" spans="1:68" ht="27" customHeight="1" x14ac:dyDescent="0.25">
      <c r="A160" s="54" t="s">
        <v>284</v>
      </c>
      <c r="B160" s="54" t="s">
        <v>285</v>
      </c>
      <c r="C160" s="31">
        <v>4301031204</v>
      </c>
      <c r="D160" s="672">
        <v>4680115881761</v>
      </c>
      <c r="E160" s="673"/>
      <c r="F160" s="656">
        <v>0.7</v>
      </c>
      <c r="G160" s="32">
        <v>6</v>
      </c>
      <c r="H160" s="656">
        <v>4.2</v>
      </c>
      <c r="I160" s="656">
        <v>4.47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67"/>
      <c r="R160" s="667"/>
      <c r="S160" s="667"/>
      <c r="T160" s="668"/>
      <c r="U160" s="34"/>
      <c r="V160" s="34"/>
      <c r="W160" s="35" t="s">
        <v>69</v>
      </c>
      <c r="X160" s="657">
        <v>40</v>
      </c>
      <c r="Y160" s="658">
        <f t="shared" si="21"/>
        <v>42</v>
      </c>
      <c r="Z160" s="36">
        <f>IFERROR(IF(Y160=0,"",ROUNDUP(Y160/H160,0)*0.00902),"")</f>
        <v>9.0200000000000002E-2</v>
      </c>
      <c r="AA160" s="56"/>
      <c r="AB160" s="57"/>
      <c r="AC160" s="215" t="s">
        <v>286</v>
      </c>
      <c r="AG160" s="64"/>
      <c r="AJ160" s="68"/>
      <c r="AK160" s="68">
        <v>0</v>
      </c>
      <c r="BB160" s="216" t="s">
        <v>1</v>
      </c>
      <c r="BM160" s="64">
        <f t="shared" si="22"/>
        <v>42.571428571428562</v>
      </c>
      <c r="BN160" s="64">
        <f t="shared" si="23"/>
        <v>44.699999999999996</v>
      </c>
      <c r="BO160" s="64">
        <f t="shared" si="24"/>
        <v>7.2150072150072145E-2</v>
      </c>
      <c r="BP160" s="64">
        <f t="shared" si="25"/>
        <v>7.575757575757576E-2</v>
      </c>
    </row>
    <row r="161" spans="1:68" ht="27" customHeight="1" x14ac:dyDescent="0.25">
      <c r="A161" s="54" t="s">
        <v>287</v>
      </c>
      <c r="B161" s="54" t="s">
        <v>288</v>
      </c>
      <c r="C161" s="31">
        <v>4301031201</v>
      </c>
      <c r="D161" s="672">
        <v>4680115881563</v>
      </c>
      <c r="E161" s="673"/>
      <c r="F161" s="656">
        <v>0.7</v>
      </c>
      <c r="G161" s="32">
        <v>6</v>
      </c>
      <c r="H161" s="656">
        <v>4.2</v>
      </c>
      <c r="I161" s="656">
        <v>4.41</v>
      </c>
      <c r="J161" s="32">
        <v>132</v>
      </c>
      <c r="K161" s="32" t="s">
        <v>101</v>
      </c>
      <c r="L161" s="32"/>
      <c r="M161" s="33" t="s">
        <v>68</v>
      </c>
      <c r="N161" s="33"/>
      <c r="O161" s="32">
        <v>40</v>
      </c>
      <c r="P161" s="9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67"/>
      <c r="R161" s="667"/>
      <c r="S161" s="667"/>
      <c r="T161" s="668"/>
      <c r="U161" s="34"/>
      <c r="V161" s="34"/>
      <c r="W161" s="35" t="s">
        <v>69</v>
      </c>
      <c r="X161" s="657">
        <v>120</v>
      </c>
      <c r="Y161" s="658">
        <f t="shared" si="21"/>
        <v>121.80000000000001</v>
      </c>
      <c r="Z161" s="36">
        <f>IFERROR(IF(Y161=0,"",ROUNDUP(Y161/H161,0)*0.00902),"")</f>
        <v>0.26158000000000003</v>
      </c>
      <c r="AA161" s="56"/>
      <c r="AB161" s="57"/>
      <c r="AC161" s="217" t="s">
        <v>289</v>
      </c>
      <c r="AG161" s="64"/>
      <c r="AJ161" s="68"/>
      <c r="AK161" s="68">
        <v>0</v>
      </c>
      <c r="BB161" s="218" t="s">
        <v>1</v>
      </c>
      <c r="BM161" s="64">
        <f t="shared" si="22"/>
        <v>126</v>
      </c>
      <c r="BN161" s="64">
        <f t="shared" si="23"/>
        <v>127.89</v>
      </c>
      <c r="BO161" s="64">
        <f t="shared" si="24"/>
        <v>0.21645021645021645</v>
      </c>
      <c r="BP161" s="64">
        <f t="shared" si="25"/>
        <v>0.2196969696969697</v>
      </c>
    </row>
    <row r="162" spans="1:68" ht="27" customHeight="1" x14ac:dyDescent="0.25">
      <c r="A162" s="54" t="s">
        <v>290</v>
      </c>
      <c r="B162" s="54" t="s">
        <v>291</v>
      </c>
      <c r="C162" s="31">
        <v>4301031199</v>
      </c>
      <c r="D162" s="672">
        <v>4680115880986</v>
      </c>
      <c r="E162" s="673"/>
      <c r="F162" s="656">
        <v>0.35</v>
      </c>
      <c r="G162" s="32">
        <v>6</v>
      </c>
      <c r="H162" s="656">
        <v>2.1</v>
      </c>
      <c r="I162" s="656">
        <v>2.23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67"/>
      <c r="R162" s="667"/>
      <c r="S162" s="667"/>
      <c r="T162" s="668"/>
      <c r="U162" s="34"/>
      <c r="V162" s="34"/>
      <c r="W162" s="35" t="s">
        <v>69</v>
      </c>
      <c r="X162" s="657">
        <v>35</v>
      </c>
      <c r="Y162" s="658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19" t="s">
        <v>283</v>
      </c>
      <c r="AG162" s="64"/>
      <c r="AJ162" s="68"/>
      <c r="AK162" s="68">
        <v>0</v>
      </c>
      <c r="BB162" s="220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customHeight="1" x14ac:dyDescent="0.25">
      <c r="A163" s="54" t="s">
        <v>292</v>
      </c>
      <c r="B163" s="54" t="s">
        <v>293</v>
      </c>
      <c r="C163" s="31">
        <v>4301031205</v>
      </c>
      <c r="D163" s="672">
        <v>4680115881785</v>
      </c>
      <c r="E163" s="673"/>
      <c r="F163" s="656">
        <v>0.35</v>
      </c>
      <c r="G163" s="32">
        <v>6</v>
      </c>
      <c r="H163" s="656">
        <v>2.1</v>
      </c>
      <c r="I163" s="656">
        <v>2.23</v>
      </c>
      <c r="J163" s="32">
        <v>234</v>
      </c>
      <c r="K163" s="32" t="s">
        <v>149</v>
      </c>
      <c r="L163" s="32"/>
      <c r="M163" s="33" t="s">
        <v>68</v>
      </c>
      <c r="N163" s="33"/>
      <c r="O163" s="32">
        <v>40</v>
      </c>
      <c r="P16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67"/>
      <c r="R163" s="667"/>
      <c r="S163" s="667"/>
      <c r="T163" s="668"/>
      <c r="U163" s="34"/>
      <c r="V163" s="34"/>
      <c r="W163" s="35" t="s">
        <v>69</v>
      </c>
      <c r="X163" s="657">
        <v>105</v>
      </c>
      <c r="Y163" s="658">
        <f t="shared" si="21"/>
        <v>105</v>
      </c>
      <c r="Z163" s="36">
        <f>IFERROR(IF(Y163=0,"",ROUNDUP(Y163/H163,0)*0.00502),"")</f>
        <v>0.251</v>
      </c>
      <c r="AA163" s="56"/>
      <c r="AB163" s="57"/>
      <c r="AC163" s="221" t="s">
        <v>286</v>
      </c>
      <c r="AG163" s="64"/>
      <c r="AJ163" s="68"/>
      <c r="AK163" s="68">
        <v>0</v>
      </c>
      <c r="BB163" s="222" t="s">
        <v>1</v>
      </c>
      <c r="BM163" s="64">
        <f t="shared" si="22"/>
        <v>111.5</v>
      </c>
      <c r="BN163" s="64">
        <f t="shared" si="23"/>
        <v>111.5</v>
      </c>
      <c r="BO163" s="64">
        <f t="shared" si="24"/>
        <v>0.21367521367521369</v>
      </c>
      <c r="BP163" s="64">
        <f t="shared" si="25"/>
        <v>0.21367521367521369</v>
      </c>
    </row>
    <row r="164" spans="1:68" ht="27" hidden="1" customHeight="1" x14ac:dyDescent="0.25">
      <c r="A164" s="54" t="s">
        <v>294</v>
      </c>
      <c r="B164" s="54" t="s">
        <v>295</v>
      </c>
      <c r="C164" s="31">
        <v>4301031399</v>
      </c>
      <c r="D164" s="672">
        <v>4680115886537</v>
      </c>
      <c r="E164" s="673"/>
      <c r="F164" s="656">
        <v>0.3</v>
      </c>
      <c r="G164" s="32">
        <v>6</v>
      </c>
      <c r="H164" s="656">
        <v>1.8</v>
      </c>
      <c r="I164" s="656">
        <v>1.93</v>
      </c>
      <c r="J164" s="32">
        <v>234</v>
      </c>
      <c r="K164" s="32" t="s">
        <v>149</v>
      </c>
      <c r="L164" s="32"/>
      <c r="M164" s="33" t="s">
        <v>68</v>
      </c>
      <c r="N164" s="33"/>
      <c r="O164" s="32">
        <v>40</v>
      </c>
      <c r="P164" s="936" t="s">
        <v>296</v>
      </c>
      <c r="Q164" s="667"/>
      <c r="R164" s="667"/>
      <c r="S164" s="667"/>
      <c r="T164" s="668"/>
      <c r="U164" s="34"/>
      <c r="V164" s="34"/>
      <c r="W164" s="35" t="s">
        <v>69</v>
      </c>
      <c r="X164" s="657">
        <v>0</v>
      </c>
      <c r="Y164" s="658">
        <f t="shared" si="21"/>
        <v>0</v>
      </c>
      <c r="Z164" s="36" t="str">
        <f>IFERROR(IF(Y164=0,"",ROUNDUP(Y164/H164,0)*0.00502),"")</f>
        <v/>
      </c>
      <c r="AA164" s="56"/>
      <c r="AB164" s="57"/>
      <c r="AC164" s="223" t="s">
        <v>297</v>
      </c>
      <c r="AG164" s="64"/>
      <c r="AJ164" s="68"/>
      <c r="AK164" s="68">
        <v>0</v>
      </c>
      <c r="BB164" s="22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298</v>
      </c>
      <c r="B165" s="54" t="s">
        <v>299</v>
      </c>
      <c r="C165" s="31">
        <v>4301031202</v>
      </c>
      <c r="D165" s="672">
        <v>4680115881679</v>
      </c>
      <c r="E165" s="673"/>
      <c r="F165" s="656">
        <v>0.35</v>
      </c>
      <c r="G165" s="32">
        <v>6</v>
      </c>
      <c r="H165" s="656">
        <v>2.1</v>
      </c>
      <c r="I165" s="656">
        <v>2.2000000000000002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67"/>
      <c r="R165" s="667"/>
      <c r="S165" s="667"/>
      <c r="T165" s="668"/>
      <c r="U165" s="34"/>
      <c r="V165" s="34"/>
      <c r="W165" s="35" t="s">
        <v>69</v>
      </c>
      <c r="X165" s="657">
        <v>175</v>
      </c>
      <c r="Y165" s="658">
        <f t="shared" si="21"/>
        <v>176.4</v>
      </c>
      <c r="Z165" s="36">
        <f>IFERROR(IF(Y165=0,"",ROUNDUP(Y165/H165,0)*0.00502),"")</f>
        <v>0.42168</v>
      </c>
      <c r="AA165" s="56"/>
      <c r="AB165" s="57"/>
      <c r="AC165" s="225" t="s">
        <v>289</v>
      </c>
      <c r="AG165" s="64"/>
      <c r="AJ165" s="68"/>
      <c r="AK165" s="68">
        <v>0</v>
      </c>
      <c r="BB165" s="226" t="s">
        <v>1</v>
      </c>
      <c r="BM165" s="64">
        <f t="shared" si="22"/>
        <v>183.33333333333334</v>
      </c>
      <c r="BN165" s="64">
        <f t="shared" si="23"/>
        <v>184.8</v>
      </c>
      <c r="BO165" s="64">
        <f t="shared" si="24"/>
        <v>0.35612535612535612</v>
      </c>
      <c r="BP165" s="64">
        <f t="shared" si="25"/>
        <v>0.35897435897435903</v>
      </c>
    </row>
    <row r="166" spans="1:68" ht="27" hidden="1" customHeight="1" x14ac:dyDescent="0.25">
      <c r="A166" s="54" t="s">
        <v>300</v>
      </c>
      <c r="B166" s="54" t="s">
        <v>301</v>
      </c>
      <c r="C166" s="31">
        <v>4301031158</v>
      </c>
      <c r="D166" s="672">
        <v>4680115880191</v>
      </c>
      <c r="E166" s="673"/>
      <c r="F166" s="656">
        <v>0.4</v>
      </c>
      <c r="G166" s="32">
        <v>6</v>
      </c>
      <c r="H166" s="656">
        <v>2.4</v>
      </c>
      <c r="I166" s="656">
        <v>2.58</v>
      </c>
      <c r="J166" s="32">
        <v>182</v>
      </c>
      <c r="K166" s="32" t="s">
        <v>67</v>
      </c>
      <c r="L166" s="32"/>
      <c r="M166" s="33" t="s">
        <v>68</v>
      </c>
      <c r="N166" s="33"/>
      <c r="O166" s="32">
        <v>40</v>
      </c>
      <c r="P166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67"/>
      <c r="R166" s="667"/>
      <c r="S166" s="667"/>
      <c r="T166" s="668"/>
      <c r="U166" s="34"/>
      <c r="V166" s="34"/>
      <c r="W166" s="35" t="s">
        <v>69</v>
      </c>
      <c r="X166" s="657">
        <v>0</v>
      </c>
      <c r="Y166" s="658">
        <f t="shared" si="21"/>
        <v>0</v>
      </c>
      <c r="Z166" s="36" t="str">
        <f>IFERROR(IF(Y166=0,"",ROUNDUP(Y166/H166,0)*0.00651),"")</f>
        <v/>
      </c>
      <c r="AA166" s="56"/>
      <c r="AB166" s="57"/>
      <c r="AC166" s="227" t="s">
        <v>289</v>
      </c>
      <c r="AG166" s="64"/>
      <c r="AJ166" s="68"/>
      <c r="AK166" s="68">
        <v>0</v>
      </c>
      <c r="BB166" s="22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302</v>
      </c>
      <c r="B167" s="54" t="s">
        <v>303</v>
      </c>
      <c r="C167" s="31">
        <v>4301031245</v>
      </c>
      <c r="D167" s="672">
        <v>4680115883963</v>
      </c>
      <c r="E167" s="673"/>
      <c r="F167" s="656">
        <v>0.28000000000000003</v>
      </c>
      <c r="G167" s="32">
        <v>6</v>
      </c>
      <c r="H167" s="656">
        <v>1.68</v>
      </c>
      <c r="I167" s="656">
        <v>1.78</v>
      </c>
      <c r="J167" s="32">
        <v>234</v>
      </c>
      <c r="K167" s="32" t="s">
        <v>149</v>
      </c>
      <c r="L167" s="32"/>
      <c r="M167" s="33" t="s">
        <v>68</v>
      </c>
      <c r="N167" s="33"/>
      <c r="O167" s="32">
        <v>40</v>
      </c>
      <c r="P167" s="7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67"/>
      <c r="R167" s="667"/>
      <c r="S167" s="667"/>
      <c r="T167" s="668"/>
      <c r="U167" s="34"/>
      <c r="V167" s="34"/>
      <c r="W167" s="35" t="s">
        <v>69</v>
      </c>
      <c r="X167" s="657">
        <v>0</v>
      </c>
      <c r="Y167" s="658">
        <f t="shared" si="21"/>
        <v>0</v>
      </c>
      <c r="Z167" s="36" t="str">
        <f>IFERROR(IF(Y167=0,"",ROUNDUP(Y167/H167,0)*0.00502),"")</f>
        <v/>
      </c>
      <c r="AA167" s="56"/>
      <c r="AB167" s="57"/>
      <c r="AC167" s="229" t="s">
        <v>304</v>
      </c>
      <c r="AG167" s="64"/>
      <c r="AJ167" s="68"/>
      <c r="AK167" s="68">
        <v>0</v>
      </c>
      <c r="BB167" s="23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x14ac:dyDescent="0.2">
      <c r="A168" s="679"/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1"/>
      <c r="P168" s="663" t="s">
        <v>80</v>
      </c>
      <c r="Q168" s="664"/>
      <c r="R168" s="664"/>
      <c r="S168" s="664"/>
      <c r="T168" s="664"/>
      <c r="U168" s="664"/>
      <c r="V168" s="665"/>
      <c r="W168" s="37" t="s">
        <v>81</v>
      </c>
      <c r="X168" s="659">
        <f>IFERROR(X159/H159,"0")+IFERROR(X160/H160,"0")+IFERROR(X161/H161,"0")+IFERROR(X162/H162,"0")+IFERROR(X163/H163,"0")+IFERROR(X164/H164,"0")+IFERROR(X165/H165,"0")+IFERROR(X166/H166,"0")+IFERROR(X167/H167,"0")</f>
        <v>202.38095238095235</v>
      </c>
      <c r="Y168" s="659">
        <f>IFERROR(Y159/H159,"0")+IFERROR(Y160/H160,"0")+IFERROR(Y161/H161,"0")+IFERROR(Y162/H162,"0")+IFERROR(Y163/H163,"0")+IFERROR(Y164/H164,"0")+IFERROR(Y165/H165,"0")+IFERROR(Y166/H166,"0")+IFERROR(Y167/H167,"0")</f>
        <v>205</v>
      </c>
      <c r="Z168" s="659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1.2451000000000001</v>
      </c>
      <c r="AA168" s="660"/>
      <c r="AB168" s="660"/>
      <c r="AC168" s="660"/>
    </row>
    <row r="169" spans="1:68" x14ac:dyDescent="0.2">
      <c r="A169" s="680"/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1"/>
      <c r="P169" s="663" t="s">
        <v>80</v>
      </c>
      <c r="Q169" s="664"/>
      <c r="R169" s="664"/>
      <c r="S169" s="664"/>
      <c r="T169" s="664"/>
      <c r="U169" s="664"/>
      <c r="V169" s="665"/>
      <c r="W169" s="37" t="s">
        <v>69</v>
      </c>
      <c r="X169" s="659">
        <f>IFERROR(SUM(X159:X167),"0")</f>
        <v>535</v>
      </c>
      <c r="Y169" s="659">
        <f>IFERROR(SUM(Y159:Y167),"0")</f>
        <v>543.9</v>
      </c>
      <c r="Z169" s="37"/>
      <c r="AA169" s="660"/>
      <c r="AB169" s="660"/>
      <c r="AC169" s="660"/>
    </row>
    <row r="170" spans="1:68" ht="16.5" hidden="1" customHeight="1" x14ac:dyDescent="0.25">
      <c r="A170" s="688" t="s">
        <v>305</v>
      </c>
      <c r="B170" s="680"/>
      <c r="C170" s="680"/>
      <c r="D170" s="680"/>
      <c r="E170" s="680"/>
      <c r="F170" s="680"/>
      <c r="G170" s="680"/>
      <c r="H170" s="680"/>
      <c r="I170" s="680"/>
      <c r="J170" s="680"/>
      <c r="K170" s="680"/>
      <c r="L170" s="680"/>
      <c r="M170" s="680"/>
      <c r="N170" s="680"/>
      <c r="O170" s="680"/>
      <c r="P170" s="680"/>
      <c r="Q170" s="680"/>
      <c r="R170" s="680"/>
      <c r="S170" s="680"/>
      <c r="T170" s="680"/>
      <c r="U170" s="680"/>
      <c r="V170" s="680"/>
      <c r="W170" s="680"/>
      <c r="X170" s="680"/>
      <c r="Y170" s="680"/>
      <c r="Z170" s="680"/>
      <c r="AA170" s="652"/>
      <c r="AB170" s="652"/>
      <c r="AC170" s="652"/>
    </row>
    <row r="171" spans="1:68" ht="14.25" hidden="1" customHeight="1" x14ac:dyDescent="0.25">
      <c r="A171" s="682" t="s">
        <v>90</v>
      </c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0"/>
      <c r="P171" s="680"/>
      <c r="Q171" s="680"/>
      <c r="R171" s="680"/>
      <c r="S171" s="680"/>
      <c r="T171" s="680"/>
      <c r="U171" s="680"/>
      <c r="V171" s="680"/>
      <c r="W171" s="680"/>
      <c r="X171" s="680"/>
      <c r="Y171" s="680"/>
      <c r="Z171" s="680"/>
      <c r="AA171" s="653"/>
      <c r="AB171" s="653"/>
      <c r="AC171" s="653"/>
    </row>
    <row r="172" spans="1:68" ht="16.5" hidden="1" customHeight="1" x14ac:dyDescent="0.25">
      <c r="A172" s="54" t="s">
        <v>306</v>
      </c>
      <c r="B172" s="54" t="s">
        <v>307</v>
      </c>
      <c r="C172" s="31">
        <v>4301011450</v>
      </c>
      <c r="D172" s="672">
        <v>4680115881402</v>
      </c>
      <c r="E172" s="673"/>
      <c r="F172" s="656">
        <v>1.35</v>
      </c>
      <c r="G172" s="32">
        <v>8</v>
      </c>
      <c r="H172" s="656">
        <v>10.8</v>
      </c>
      <c r="I172" s="656">
        <v>11.234999999999999</v>
      </c>
      <c r="J172" s="32">
        <v>64</v>
      </c>
      <c r="K172" s="32" t="s">
        <v>93</v>
      </c>
      <c r="L172" s="32"/>
      <c r="M172" s="33" t="s">
        <v>94</v>
      </c>
      <c r="N172" s="33"/>
      <c r="O172" s="32">
        <v>55</v>
      </c>
      <c r="P172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2" s="667"/>
      <c r="R172" s="667"/>
      <c r="S172" s="667"/>
      <c r="T172" s="668"/>
      <c r="U172" s="34"/>
      <c r="V172" s="34"/>
      <c r="W172" s="35" t="s">
        <v>69</v>
      </c>
      <c r="X172" s="657">
        <v>0</v>
      </c>
      <c r="Y172" s="658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31" t="s">
        <v>308</v>
      </c>
      <c r="AG172" s="64"/>
      <c r="AJ172" s="68"/>
      <c r="AK172" s="68">
        <v>0</v>
      </c>
      <c r="BB172" s="232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309</v>
      </c>
      <c r="B173" s="54" t="s">
        <v>310</v>
      </c>
      <c r="C173" s="31">
        <v>4301011768</v>
      </c>
      <c r="D173" s="672">
        <v>4680115881396</v>
      </c>
      <c r="E173" s="673"/>
      <c r="F173" s="656">
        <v>0.45</v>
      </c>
      <c r="G173" s="32">
        <v>6</v>
      </c>
      <c r="H173" s="656">
        <v>2.7</v>
      </c>
      <c r="I173" s="656">
        <v>2.88</v>
      </c>
      <c r="J173" s="32">
        <v>182</v>
      </c>
      <c r="K173" s="32" t="s">
        <v>67</v>
      </c>
      <c r="L173" s="32"/>
      <c r="M173" s="33" t="s">
        <v>94</v>
      </c>
      <c r="N173" s="33"/>
      <c r="O173" s="32">
        <v>55</v>
      </c>
      <c r="P17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3" s="667"/>
      <c r="R173" s="667"/>
      <c r="S173" s="667"/>
      <c r="T173" s="668"/>
      <c r="U173" s="34"/>
      <c r="V173" s="34"/>
      <c r="W173" s="35" t="s">
        <v>69</v>
      </c>
      <c r="X173" s="657">
        <v>0</v>
      </c>
      <c r="Y173" s="658">
        <f>IFERROR(IF(X173="",0,CEILING((X173/$H173),1)*$H173),"")</f>
        <v>0</v>
      </c>
      <c r="Z173" s="36" t="str">
        <f>IFERROR(IF(Y173=0,"",ROUNDUP(Y173/H173,0)*0.00651),"")</f>
        <v/>
      </c>
      <c r="AA173" s="56"/>
      <c r="AB173" s="57"/>
      <c r="AC173" s="233" t="s">
        <v>308</v>
      </c>
      <c r="AG173" s="64"/>
      <c r="AJ173" s="68"/>
      <c r="AK173" s="68">
        <v>0</v>
      </c>
      <c r="BB173" s="234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679"/>
      <c r="B174" s="680"/>
      <c r="C174" s="680"/>
      <c r="D174" s="680"/>
      <c r="E174" s="680"/>
      <c r="F174" s="680"/>
      <c r="G174" s="680"/>
      <c r="H174" s="680"/>
      <c r="I174" s="680"/>
      <c r="J174" s="680"/>
      <c r="K174" s="680"/>
      <c r="L174" s="680"/>
      <c r="M174" s="680"/>
      <c r="N174" s="680"/>
      <c r="O174" s="681"/>
      <c r="P174" s="663" t="s">
        <v>80</v>
      </c>
      <c r="Q174" s="664"/>
      <c r="R174" s="664"/>
      <c r="S174" s="664"/>
      <c r="T174" s="664"/>
      <c r="U174" s="664"/>
      <c r="V174" s="665"/>
      <c r="W174" s="37" t="s">
        <v>81</v>
      </c>
      <c r="X174" s="659">
        <f>IFERROR(X172/H172,"0")+IFERROR(X173/H173,"0")</f>
        <v>0</v>
      </c>
      <c r="Y174" s="659">
        <f>IFERROR(Y172/H172,"0")+IFERROR(Y173/H173,"0")</f>
        <v>0</v>
      </c>
      <c r="Z174" s="659">
        <f>IFERROR(IF(Z172="",0,Z172),"0")+IFERROR(IF(Z173="",0,Z173),"0")</f>
        <v>0</v>
      </c>
      <c r="AA174" s="660"/>
      <c r="AB174" s="660"/>
      <c r="AC174" s="660"/>
    </row>
    <row r="175" spans="1:68" hidden="1" x14ac:dyDescent="0.2">
      <c r="A175" s="680"/>
      <c r="B175" s="680"/>
      <c r="C175" s="680"/>
      <c r="D175" s="680"/>
      <c r="E175" s="680"/>
      <c r="F175" s="680"/>
      <c r="G175" s="680"/>
      <c r="H175" s="680"/>
      <c r="I175" s="680"/>
      <c r="J175" s="680"/>
      <c r="K175" s="680"/>
      <c r="L175" s="680"/>
      <c r="M175" s="680"/>
      <c r="N175" s="680"/>
      <c r="O175" s="681"/>
      <c r="P175" s="663" t="s">
        <v>80</v>
      </c>
      <c r="Q175" s="664"/>
      <c r="R175" s="664"/>
      <c r="S175" s="664"/>
      <c r="T175" s="664"/>
      <c r="U175" s="664"/>
      <c r="V175" s="665"/>
      <c r="W175" s="37" t="s">
        <v>69</v>
      </c>
      <c r="X175" s="659">
        <f>IFERROR(SUM(X172:X173),"0")</f>
        <v>0</v>
      </c>
      <c r="Y175" s="659">
        <f>IFERROR(SUM(Y172:Y173),"0")</f>
        <v>0</v>
      </c>
      <c r="Z175" s="37"/>
      <c r="AA175" s="660"/>
      <c r="AB175" s="660"/>
      <c r="AC175" s="660"/>
    </row>
    <row r="176" spans="1:68" ht="14.25" hidden="1" customHeight="1" x14ac:dyDescent="0.25">
      <c r="A176" s="682" t="s">
        <v>133</v>
      </c>
      <c r="B176" s="680"/>
      <c r="C176" s="680"/>
      <c r="D176" s="680"/>
      <c r="E176" s="680"/>
      <c r="F176" s="680"/>
      <c r="G176" s="680"/>
      <c r="H176" s="680"/>
      <c r="I176" s="680"/>
      <c r="J176" s="680"/>
      <c r="K176" s="680"/>
      <c r="L176" s="680"/>
      <c r="M176" s="680"/>
      <c r="N176" s="680"/>
      <c r="O176" s="680"/>
      <c r="P176" s="680"/>
      <c r="Q176" s="680"/>
      <c r="R176" s="680"/>
      <c r="S176" s="680"/>
      <c r="T176" s="680"/>
      <c r="U176" s="680"/>
      <c r="V176" s="680"/>
      <c r="W176" s="680"/>
      <c r="X176" s="680"/>
      <c r="Y176" s="680"/>
      <c r="Z176" s="680"/>
      <c r="AA176" s="653"/>
      <c r="AB176" s="653"/>
      <c r="AC176" s="653"/>
    </row>
    <row r="177" spans="1:68" ht="16.5" hidden="1" customHeight="1" x14ac:dyDescent="0.25">
      <c r="A177" s="54" t="s">
        <v>311</v>
      </c>
      <c r="B177" s="54" t="s">
        <v>312</v>
      </c>
      <c r="C177" s="31">
        <v>4301020262</v>
      </c>
      <c r="D177" s="672">
        <v>4680115882935</v>
      </c>
      <c r="E177" s="673"/>
      <c r="F177" s="656">
        <v>1.35</v>
      </c>
      <c r="G177" s="32">
        <v>8</v>
      </c>
      <c r="H177" s="656">
        <v>10.8</v>
      </c>
      <c r="I177" s="656">
        <v>11.234999999999999</v>
      </c>
      <c r="J177" s="32">
        <v>64</v>
      </c>
      <c r="K177" s="32" t="s">
        <v>93</v>
      </c>
      <c r="L177" s="32"/>
      <c r="M177" s="33" t="s">
        <v>103</v>
      </c>
      <c r="N177" s="33"/>
      <c r="O177" s="32">
        <v>50</v>
      </c>
      <c r="P177" s="9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7" s="667"/>
      <c r="R177" s="667"/>
      <c r="S177" s="667"/>
      <c r="T177" s="668"/>
      <c r="U177" s="34"/>
      <c r="V177" s="34"/>
      <c r="W177" s="35" t="s">
        <v>69</v>
      </c>
      <c r="X177" s="657">
        <v>0</v>
      </c>
      <c r="Y177" s="658">
        <f>IFERROR(IF(X177="",0,CEILING((X177/$H177),1)*$H177),"")</f>
        <v>0</v>
      </c>
      <c r="Z177" s="36" t="str">
        <f>IFERROR(IF(Y177=0,"",ROUNDUP(Y177/H177,0)*0.01898),"")</f>
        <v/>
      </c>
      <c r="AA177" s="56"/>
      <c r="AB177" s="57"/>
      <c r="AC177" s="235" t="s">
        <v>313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314</v>
      </c>
      <c r="B178" s="54" t="s">
        <v>315</v>
      </c>
      <c r="C178" s="31">
        <v>4301020220</v>
      </c>
      <c r="D178" s="672">
        <v>4680115880764</v>
      </c>
      <c r="E178" s="673"/>
      <c r="F178" s="656">
        <v>0.35</v>
      </c>
      <c r="G178" s="32">
        <v>6</v>
      </c>
      <c r="H178" s="656">
        <v>2.1</v>
      </c>
      <c r="I178" s="656">
        <v>2.2799999999999998</v>
      </c>
      <c r="J178" s="32">
        <v>182</v>
      </c>
      <c r="K178" s="32" t="s">
        <v>67</v>
      </c>
      <c r="L178" s="32"/>
      <c r="M178" s="33" t="s">
        <v>94</v>
      </c>
      <c r="N178" s="33"/>
      <c r="O178" s="32">
        <v>50</v>
      </c>
      <c r="P178" s="9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8" s="667"/>
      <c r="R178" s="667"/>
      <c r="S178" s="667"/>
      <c r="T178" s="668"/>
      <c r="U178" s="34"/>
      <c r="V178" s="34"/>
      <c r="W178" s="35" t="s">
        <v>69</v>
      </c>
      <c r="X178" s="657">
        <v>0</v>
      </c>
      <c r="Y178" s="658">
        <f>IFERROR(IF(X178="",0,CEILING((X178/$H178),1)*$H178),"")</f>
        <v>0</v>
      </c>
      <c r="Z178" s="36" t="str">
        <f>IFERROR(IF(Y178=0,"",ROUNDUP(Y178/H178,0)*0.00651),"")</f>
        <v/>
      </c>
      <c r="AA178" s="56"/>
      <c r="AB178" s="57"/>
      <c r="AC178" s="237" t="s">
        <v>313</v>
      </c>
      <c r="AG178" s="64"/>
      <c r="AJ178" s="68"/>
      <c r="AK178" s="68">
        <v>0</v>
      </c>
      <c r="BB178" s="238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79"/>
      <c r="B179" s="680"/>
      <c r="C179" s="680"/>
      <c r="D179" s="680"/>
      <c r="E179" s="680"/>
      <c r="F179" s="680"/>
      <c r="G179" s="680"/>
      <c r="H179" s="680"/>
      <c r="I179" s="680"/>
      <c r="J179" s="680"/>
      <c r="K179" s="680"/>
      <c r="L179" s="680"/>
      <c r="M179" s="680"/>
      <c r="N179" s="680"/>
      <c r="O179" s="681"/>
      <c r="P179" s="663" t="s">
        <v>80</v>
      </c>
      <c r="Q179" s="664"/>
      <c r="R179" s="664"/>
      <c r="S179" s="664"/>
      <c r="T179" s="664"/>
      <c r="U179" s="664"/>
      <c r="V179" s="665"/>
      <c r="W179" s="37" t="s">
        <v>81</v>
      </c>
      <c r="X179" s="659">
        <f>IFERROR(X177/H177,"0")+IFERROR(X178/H178,"0")</f>
        <v>0</v>
      </c>
      <c r="Y179" s="659">
        <f>IFERROR(Y177/H177,"0")+IFERROR(Y178/H178,"0")</f>
        <v>0</v>
      </c>
      <c r="Z179" s="659">
        <f>IFERROR(IF(Z177="",0,Z177),"0")+IFERROR(IF(Z178="",0,Z178),"0")</f>
        <v>0</v>
      </c>
      <c r="AA179" s="660"/>
      <c r="AB179" s="660"/>
      <c r="AC179" s="660"/>
    </row>
    <row r="180" spans="1:68" hidden="1" x14ac:dyDescent="0.2">
      <c r="A180" s="680"/>
      <c r="B180" s="680"/>
      <c r="C180" s="680"/>
      <c r="D180" s="680"/>
      <c r="E180" s="680"/>
      <c r="F180" s="680"/>
      <c r="G180" s="680"/>
      <c r="H180" s="680"/>
      <c r="I180" s="680"/>
      <c r="J180" s="680"/>
      <c r="K180" s="680"/>
      <c r="L180" s="680"/>
      <c r="M180" s="680"/>
      <c r="N180" s="680"/>
      <c r="O180" s="681"/>
      <c r="P180" s="663" t="s">
        <v>80</v>
      </c>
      <c r="Q180" s="664"/>
      <c r="R180" s="664"/>
      <c r="S180" s="664"/>
      <c r="T180" s="664"/>
      <c r="U180" s="664"/>
      <c r="V180" s="665"/>
      <c r="W180" s="37" t="s">
        <v>69</v>
      </c>
      <c r="X180" s="659">
        <f>IFERROR(SUM(X177:X178),"0")</f>
        <v>0</v>
      </c>
      <c r="Y180" s="659">
        <f>IFERROR(SUM(Y177:Y178),"0")</f>
        <v>0</v>
      </c>
      <c r="Z180" s="37"/>
      <c r="AA180" s="660"/>
      <c r="AB180" s="660"/>
      <c r="AC180" s="660"/>
    </row>
    <row r="181" spans="1:68" ht="14.25" hidden="1" customHeight="1" x14ac:dyDescent="0.25">
      <c r="A181" s="682" t="s">
        <v>146</v>
      </c>
      <c r="B181" s="680"/>
      <c r="C181" s="680"/>
      <c r="D181" s="680"/>
      <c r="E181" s="680"/>
      <c r="F181" s="680"/>
      <c r="G181" s="680"/>
      <c r="H181" s="680"/>
      <c r="I181" s="680"/>
      <c r="J181" s="680"/>
      <c r="K181" s="680"/>
      <c r="L181" s="680"/>
      <c r="M181" s="680"/>
      <c r="N181" s="680"/>
      <c r="O181" s="680"/>
      <c r="P181" s="680"/>
      <c r="Q181" s="680"/>
      <c r="R181" s="680"/>
      <c r="S181" s="680"/>
      <c r="T181" s="680"/>
      <c r="U181" s="680"/>
      <c r="V181" s="680"/>
      <c r="W181" s="680"/>
      <c r="X181" s="680"/>
      <c r="Y181" s="680"/>
      <c r="Z181" s="680"/>
      <c r="AA181" s="653"/>
      <c r="AB181" s="653"/>
      <c r="AC181" s="653"/>
    </row>
    <row r="182" spans="1:68" ht="27" customHeight="1" x14ac:dyDescent="0.25">
      <c r="A182" s="54" t="s">
        <v>316</v>
      </c>
      <c r="B182" s="54" t="s">
        <v>317</v>
      </c>
      <c r="C182" s="31">
        <v>4301031224</v>
      </c>
      <c r="D182" s="672">
        <v>4680115882683</v>
      </c>
      <c r="E182" s="673"/>
      <c r="F182" s="656">
        <v>0.9</v>
      </c>
      <c r="G182" s="32">
        <v>6</v>
      </c>
      <c r="H182" s="656">
        <v>5.4</v>
      </c>
      <c r="I182" s="656">
        <v>5.61</v>
      </c>
      <c r="J182" s="32">
        <v>132</v>
      </c>
      <c r="K182" s="32" t="s">
        <v>101</v>
      </c>
      <c r="L182" s="32"/>
      <c r="M182" s="33" t="s">
        <v>68</v>
      </c>
      <c r="N182" s="33"/>
      <c r="O182" s="32">
        <v>40</v>
      </c>
      <c r="P182" s="8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2" s="667"/>
      <c r="R182" s="667"/>
      <c r="S182" s="667"/>
      <c r="T182" s="668"/>
      <c r="U182" s="34"/>
      <c r="V182" s="34"/>
      <c r="W182" s="35" t="s">
        <v>69</v>
      </c>
      <c r="X182" s="657">
        <v>150</v>
      </c>
      <c r="Y182" s="658">
        <f t="shared" ref="Y182:Y189" si="26">IFERROR(IF(X182="",0,CEILING((X182/$H182),1)*$H182),"")</f>
        <v>151.20000000000002</v>
      </c>
      <c r="Z182" s="36">
        <f>IFERROR(IF(Y182=0,"",ROUNDUP(Y182/H182,0)*0.00902),"")</f>
        <v>0.25256000000000001</v>
      </c>
      <c r="AA182" s="56"/>
      <c r="AB182" s="57"/>
      <c r="AC182" s="239" t="s">
        <v>318</v>
      </c>
      <c r="AG182" s="64"/>
      <c r="AJ182" s="68"/>
      <c r="AK182" s="68">
        <v>0</v>
      </c>
      <c r="BB182" s="240" t="s">
        <v>1</v>
      </c>
      <c r="BM182" s="64">
        <f t="shared" ref="BM182:BM189" si="27">IFERROR(X182*I182/H182,"0")</f>
        <v>155.83333333333331</v>
      </c>
      <c r="BN182" s="64">
        <f t="shared" ref="BN182:BN189" si="28">IFERROR(Y182*I182/H182,"0")</f>
        <v>157.08000000000001</v>
      </c>
      <c r="BO182" s="64">
        <f t="shared" ref="BO182:BO189" si="29">IFERROR(1/J182*(X182/H182),"0")</f>
        <v>0.21043771043771042</v>
      </c>
      <c r="BP182" s="64">
        <f t="shared" ref="BP182:BP189" si="30">IFERROR(1/J182*(Y182/H182),"0")</f>
        <v>0.21212121212121213</v>
      </c>
    </row>
    <row r="183" spans="1:68" ht="27" customHeight="1" x14ac:dyDescent="0.25">
      <c r="A183" s="54" t="s">
        <v>319</v>
      </c>
      <c r="B183" s="54" t="s">
        <v>320</v>
      </c>
      <c r="C183" s="31">
        <v>4301031230</v>
      </c>
      <c r="D183" s="672">
        <v>4680115882690</v>
      </c>
      <c r="E183" s="673"/>
      <c r="F183" s="656">
        <v>0.9</v>
      </c>
      <c r="G183" s="32">
        <v>6</v>
      </c>
      <c r="H183" s="656">
        <v>5.4</v>
      </c>
      <c r="I183" s="656">
        <v>5.61</v>
      </c>
      <c r="J183" s="32">
        <v>132</v>
      </c>
      <c r="K183" s="32" t="s">
        <v>101</v>
      </c>
      <c r="L183" s="32"/>
      <c r="M183" s="33" t="s">
        <v>68</v>
      </c>
      <c r="N183" s="33"/>
      <c r="O183" s="32">
        <v>40</v>
      </c>
      <c r="P183" s="9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3" s="667"/>
      <c r="R183" s="667"/>
      <c r="S183" s="667"/>
      <c r="T183" s="668"/>
      <c r="U183" s="34"/>
      <c r="V183" s="34"/>
      <c r="W183" s="35" t="s">
        <v>69</v>
      </c>
      <c r="X183" s="657">
        <v>120</v>
      </c>
      <c r="Y183" s="658">
        <f t="shared" si="26"/>
        <v>124.2</v>
      </c>
      <c r="Z183" s="36">
        <f>IFERROR(IF(Y183=0,"",ROUNDUP(Y183/H183,0)*0.00902),"")</f>
        <v>0.20746000000000001</v>
      </c>
      <c r="AA183" s="56"/>
      <c r="AB183" s="57"/>
      <c r="AC183" s="241" t="s">
        <v>321</v>
      </c>
      <c r="AG183" s="64"/>
      <c r="AJ183" s="68"/>
      <c r="AK183" s="68">
        <v>0</v>
      </c>
      <c r="BB183" s="242" t="s">
        <v>1</v>
      </c>
      <c r="BM183" s="64">
        <f t="shared" si="27"/>
        <v>124.66666666666667</v>
      </c>
      <c r="BN183" s="64">
        <f t="shared" si="28"/>
        <v>129.03</v>
      </c>
      <c r="BO183" s="64">
        <f t="shared" si="29"/>
        <v>0.16835016835016836</v>
      </c>
      <c r="BP183" s="64">
        <f t="shared" si="30"/>
        <v>0.17424242424242425</v>
      </c>
    </row>
    <row r="184" spans="1:68" ht="27" customHeight="1" x14ac:dyDescent="0.25">
      <c r="A184" s="54" t="s">
        <v>322</v>
      </c>
      <c r="B184" s="54" t="s">
        <v>323</v>
      </c>
      <c r="C184" s="31">
        <v>4301031220</v>
      </c>
      <c r="D184" s="672">
        <v>4680115882669</v>
      </c>
      <c r="E184" s="673"/>
      <c r="F184" s="656">
        <v>0.9</v>
      </c>
      <c r="G184" s="32">
        <v>6</v>
      </c>
      <c r="H184" s="656">
        <v>5.4</v>
      </c>
      <c r="I184" s="656">
        <v>5.61</v>
      </c>
      <c r="J184" s="32">
        <v>132</v>
      </c>
      <c r="K184" s="32" t="s">
        <v>101</v>
      </c>
      <c r="L184" s="32"/>
      <c r="M184" s="33" t="s">
        <v>68</v>
      </c>
      <c r="N184" s="33"/>
      <c r="O184" s="32">
        <v>40</v>
      </c>
      <c r="P184" s="7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4" s="667"/>
      <c r="R184" s="667"/>
      <c r="S184" s="667"/>
      <c r="T184" s="668"/>
      <c r="U184" s="34"/>
      <c r="V184" s="34"/>
      <c r="W184" s="35" t="s">
        <v>69</v>
      </c>
      <c r="X184" s="657">
        <v>220</v>
      </c>
      <c r="Y184" s="658">
        <f t="shared" si="26"/>
        <v>221.4</v>
      </c>
      <c r="Z184" s="36">
        <f>IFERROR(IF(Y184=0,"",ROUNDUP(Y184/H184,0)*0.00902),"")</f>
        <v>0.36982000000000004</v>
      </c>
      <c r="AA184" s="56"/>
      <c r="AB184" s="57"/>
      <c r="AC184" s="243" t="s">
        <v>324</v>
      </c>
      <c r="AG184" s="64"/>
      <c r="AJ184" s="68"/>
      <c r="AK184" s="68">
        <v>0</v>
      </c>
      <c r="BB184" s="244" t="s">
        <v>1</v>
      </c>
      <c r="BM184" s="64">
        <f t="shared" si="27"/>
        <v>228.55555555555554</v>
      </c>
      <c r="BN184" s="64">
        <f t="shared" si="28"/>
        <v>230.01</v>
      </c>
      <c r="BO184" s="64">
        <f t="shared" si="29"/>
        <v>0.30864197530864196</v>
      </c>
      <c r="BP184" s="64">
        <f t="shared" si="30"/>
        <v>0.31060606060606061</v>
      </c>
    </row>
    <row r="185" spans="1:68" ht="27" customHeight="1" x14ac:dyDescent="0.25">
      <c r="A185" s="54" t="s">
        <v>325</v>
      </c>
      <c r="B185" s="54" t="s">
        <v>326</v>
      </c>
      <c r="C185" s="31">
        <v>4301031221</v>
      </c>
      <c r="D185" s="672">
        <v>4680115882676</v>
      </c>
      <c r="E185" s="673"/>
      <c r="F185" s="656">
        <v>0.9</v>
      </c>
      <c r="G185" s="32">
        <v>6</v>
      </c>
      <c r="H185" s="656">
        <v>5.4</v>
      </c>
      <c r="I185" s="656">
        <v>5.61</v>
      </c>
      <c r="J185" s="32">
        <v>132</v>
      </c>
      <c r="K185" s="32" t="s">
        <v>101</v>
      </c>
      <c r="L185" s="32"/>
      <c r="M185" s="33" t="s">
        <v>68</v>
      </c>
      <c r="N185" s="33"/>
      <c r="O185" s="32">
        <v>40</v>
      </c>
      <c r="P18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5" s="667"/>
      <c r="R185" s="667"/>
      <c r="S185" s="667"/>
      <c r="T185" s="668"/>
      <c r="U185" s="34"/>
      <c r="V185" s="34"/>
      <c r="W185" s="35" t="s">
        <v>69</v>
      </c>
      <c r="X185" s="657">
        <v>170</v>
      </c>
      <c r="Y185" s="658">
        <f t="shared" si="26"/>
        <v>172.8</v>
      </c>
      <c r="Z185" s="36">
        <f>IFERROR(IF(Y185=0,"",ROUNDUP(Y185/H185,0)*0.00902),"")</f>
        <v>0.28864000000000001</v>
      </c>
      <c r="AA185" s="56"/>
      <c r="AB185" s="57"/>
      <c r="AC185" s="245" t="s">
        <v>327</v>
      </c>
      <c r="AG185" s="64"/>
      <c r="AJ185" s="68"/>
      <c r="AK185" s="68">
        <v>0</v>
      </c>
      <c r="BB185" s="246" t="s">
        <v>1</v>
      </c>
      <c r="BM185" s="64">
        <f t="shared" si="27"/>
        <v>176.61111111111111</v>
      </c>
      <c r="BN185" s="64">
        <f t="shared" si="28"/>
        <v>179.52</v>
      </c>
      <c r="BO185" s="64">
        <f t="shared" si="29"/>
        <v>0.23849607182940516</v>
      </c>
      <c r="BP185" s="64">
        <f t="shared" si="30"/>
        <v>0.24242424242424243</v>
      </c>
    </row>
    <row r="186" spans="1:68" ht="27" customHeight="1" x14ac:dyDescent="0.25">
      <c r="A186" s="54" t="s">
        <v>328</v>
      </c>
      <c r="B186" s="54" t="s">
        <v>329</v>
      </c>
      <c r="C186" s="31">
        <v>4301031223</v>
      </c>
      <c r="D186" s="672">
        <v>4680115884014</v>
      </c>
      <c r="E186" s="673"/>
      <c r="F186" s="656">
        <v>0.3</v>
      </c>
      <c r="G186" s="32">
        <v>6</v>
      </c>
      <c r="H186" s="656">
        <v>1.8</v>
      </c>
      <c r="I186" s="656">
        <v>1.93</v>
      </c>
      <c r="J186" s="32">
        <v>234</v>
      </c>
      <c r="K186" s="32" t="s">
        <v>149</v>
      </c>
      <c r="L186" s="32"/>
      <c r="M186" s="33" t="s">
        <v>68</v>
      </c>
      <c r="N186" s="33"/>
      <c r="O186" s="32">
        <v>40</v>
      </c>
      <c r="P18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6" s="667"/>
      <c r="R186" s="667"/>
      <c r="S186" s="667"/>
      <c r="T186" s="668"/>
      <c r="U186" s="34"/>
      <c r="V186" s="34"/>
      <c r="W186" s="35" t="s">
        <v>69</v>
      </c>
      <c r="X186" s="657">
        <v>30</v>
      </c>
      <c r="Y186" s="658">
        <f t="shared" si="26"/>
        <v>30.6</v>
      </c>
      <c r="Z186" s="36">
        <f>IFERROR(IF(Y186=0,"",ROUNDUP(Y186/H186,0)*0.00502),"")</f>
        <v>8.5339999999999999E-2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7"/>
        <v>32.166666666666664</v>
      </c>
      <c r="BN186" s="64">
        <f t="shared" si="28"/>
        <v>32.81</v>
      </c>
      <c r="BO186" s="64">
        <f t="shared" si="29"/>
        <v>7.122507122507124E-2</v>
      </c>
      <c r="BP186" s="64">
        <f t="shared" si="30"/>
        <v>7.2649572649572655E-2</v>
      </c>
    </row>
    <row r="187" spans="1:68" ht="27" customHeight="1" x14ac:dyDescent="0.25">
      <c r="A187" s="54" t="s">
        <v>330</v>
      </c>
      <c r="B187" s="54" t="s">
        <v>331</v>
      </c>
      <c r="C187" s="31">
        <v>4301031222</v>
      </c>
      <c r="D187" s="672">
        <v>4680115884007</v>
      </c>
      <c r="E187" s="673"/>
      <c r="F187" s="656">
        <v>0.3</v>
      </c>
      <c r="G187" s="32">
        <v>6</v>
      </c>
      <c r="H187" s="656">
        <v>1.8</v>
      </c>
      <c r="I187" s="656">
        <v>1.9</v>
      </c>
      <c r="J187" s="32">
        <v>234</v>
      </c>
      <c r="K187" s="32" t="s">
        <v>149</v>
      </c>
      <c r="L187" s="32"/>
      <c r="M187" s="33" t="s">
        <v>68</v>
      </c>
      <c r="N187" s="33"/>
      <c r="O187" s="32">
        <v>40</v>
      </c>
      <c r="P187" s="7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7" s="667"/>
      <c r="R187" s="667"/>
      <c r="S187" s="667"/>
      <c r="T187" s="668"/>
      <c r="U187" s="34"/>
      <c r="V187" s="34"/>
      <c r="W187" s="35" t="s">
        <v>69</v>
      </c>
      <c r="X187" s="657">
        <v>45</v>
      </c>
      <c r="Y187" s="658">
        <f t="shared" si="26"/>
        <v>45</v>
      </c>
      <c r="Z187" s="36">
        <f>IFERROR(IF(Y187=0,"",ROUNDUP(Y187/H187,0)*0.00502),"")</f>
        <v>0.1255</v>
      </c>
      <c r="AA187" s="56"/>
      <c r="AB187" s="57"/>
      <c r="AC187" s="249" t="s">
        <v>321</v>
      </c>
      <c r="AG187" s="64"/>
      <c r="AJ187" s="68"/>
      <c r="AK187" s="68">
        <v>0</v>
      </c>
      <c r="BB187" s="250" t="s">
        <v>1</v>
      </c>
      <c r="BM187" s="64">
        <f t="shared" si="27"/>
        <v>47.5</v>
      </c>
      <c r="BN187" s="64">
        <f t="shared" si="28"/>
        <v>47.5</v>
      </c>
      <c r="BO187" s="64">
        <f t="shared" si="29"/>
        <v>0.10683760683760685</v>
      </c>
      <c r="BP187" s="64">
        <f t="shared" si="30"/>
        <v>0.10683760683760685</v>
      </c>
    </row>
    <row r="188" spans="1:68" ht="27" customHeight="1" x14ac:dyDescent="0.25">
      <c r="A188" s="54" t="s">
        <v>332</v>
      </c>
      <c r="B188" s="54" t="s">
        <v>333</v>
      </c>
      <c r="C188" s="31">
        <v>4301031229</v>
      </c>
      <c r="D188" s="672">
        <v>4680115884038</v>
      </c>
      <c r="E188" s="673"/>
      <c r="F188" s="656">
        <v>0.3</v>
      </c>
      <c r="G188" s="32">
        <v>6</v>
      </c>
      <c r="H188" s="656">
        <v>1.8</v>
      </c>
      <c r="I188" s="656">
        <v>1.9</v>
      </c>
      <c r="J188" s="32">
        <v>234</v>
      </c>
      <c r="K188" s="32" t="s">
        <v>149</v>
      </c>
      <c r="L188" s="32"/>
      <c r="M188" s="33" t="s">
        <v>68</v>
      </c>
      <c r="N188" s="33"/>
      <c r="O188" s="32">
        <v>40</v>
      </c>
      <c r="P188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8" s="667"/>
      <c r="R188" s="667"/>
      <c r="S188" s="667"/>
      <c r="T188" s="668"/>
      <c r="U188" s="34"/>
      <c r="V188" s="34"/>
      <c r="W188" s="35" t="s">
        <v>69</v>
      </c>
      <c r="X188" s="657">
        <v>105</v>
      </c>
      <c r="Y188" s="658">
        <f t="shared" si="26"/>
        <v>106.2</v>
      </c>
      <c r="Z188" s="36">
        <f>IFERROR(IF(Y188=0,"",ROUNDUP(Y188/H188,0)*0.00502),"")</f>
        <v>0.29618</v>
      </c>
      <c r="AA188" s="56"/>
      <c r="AB188" s="57"/>
      <c r="AC188" s="251" t="s">
        <v>324</v>
      </c>
      <c r="AG188" s="64"/>
      <c r="AJ188" s="68"/>
      <c r="AK188" s="68">
        <v>0</v>
      </c>
      <c r="BB188" s="252" t="s">
        <v>1</v>
      </c>
      <c r="BM188" s="64">
        <f t="shared" si="27"/>
        <v>110.83333333333333</v>
      </c>
      <c r="BN188" s="64">
        <f t="shared" si="28"/>
        <v>112.1</v>
      </c>
      <c r="BO188" s="64">
        <f t="shared" si="29"/>
        <v>0.2492877492877493</v>
      </c>
      <c r="BP188" s="64">
        <f t="shared" si="30"/>
        <v>0.25213675213675218</v>
      </c>
    </row>
    <row r="189" spans="1:68" ht="27" customHeight="1" x14ac:dyDescent="0.25">
      <c r="A189" s="54" t="s">
        <v>334</v>
      </c>
      <c r="B189" s="54" t="s">
        <v>335</v>
      </c>
      <c r="C189" s="31">
        <v>4301031225</v>
      </c>
      <c r="D189" s="672">
        <v>4680115884021</v>
      </c>
      <c r="E189" s="673"/>
      <c r="F189" s="656">
        <v>0.3</v>
      </c>
      <c r="G189" s="32">
        <v>6</v>
      </c>
      <c r="H189" s="656">
        <v>1.8</v>
      </c>
      <c r="I189" s="656">
        <v>1.9</v>
      </c>
      <c r="J189" s="32">
        <v>234</v>
      </c>
      <c r="K189" s="32" t="s">
        <v>149</v>
      </c>
      <c r="L189" s="32"/>
      <c r="M189" s="33" t="s">
        <v>68</v>
      </c>
      <c r="N189" s="33"/>
      <c r="O189" s="32">
        <v>40</v>
      </c>
      <c r="P189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9" s="667"/>
      <c r="R189" s="667"/>
      <c r="S189" s="667"/>
      <c r="T189" s="668"/>
      <c r="U189" s="34"/>
      <c r="V189" s="34"/>
      <c r="W189" s="35" t="s">
        <v>69</v>
      </c>
      <c r="X189" s="657">
        <v>66</v>
      </c>
      <c r="Y189" s="658">
        <f t="shared" si="26"/>
        <v>66.600000000000009</v>
      </c>
      <c r="Z189" s="36">
        <f>IFERROR(IF(Y189=0,"",ROUNDUP(Y189/H189,0)*0.00502),"")</f>
        <v>0.18574000000000002</v>
      </c>
      <c r="AA189" s="56"/>
      <c r="AB189" s="57"/>
      <c r="AC189" s="253" t="s">
        <v>327</v>
      </c>
      <c r="AG189" s="64"/>
      <c r="AJ189" s="68"/>
      <c r="AK189" s="68">
        <v>0</v>
      </c>
      <c r="BB189" s="254" t="s">
        <v>1</v>
      </c>
      <c r="BM189" s="64">
        <f t="shared" si="27"/>
        <v>69.666666666666657</v>
      </c>
      <c r="BN189" s="64">
        <f t="shared" si="28"/>
        <v>70.3</v>
      </c>
      <c r="BO189" s="64">
        <f t="shared" si="29"/>
        <v>0.15669515669515671</v>
      </c>
      <c r="BP189" s="64">
        <f t="shared" si="30"/>
        <v>0.15811965811965817</v>
      </c>
    </row>
    <row r="190" spans="1:68" x14ac:dyDescent="0.2">
      <c r="A190" s="679"/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1"/>
      <c r="P190" s="663" t="s">
        <v>80</v>
      </c>
      <c r="Q190" s="664"/>
      <c r="R190" s="664"/>
      <c r="S190" s="664"/>
      <c r="T190" s="664"/>
      <c r="U190" s="664"/>
      <c r="V190" s="665"/>
      <c r="W190" s="37" t="s">
        <v>81</v>
      </c>
      <c r="X190" s="659">
        <f>IFERROR(X182/H182,"0")+IFERROR(X183/H183,"0")+IFERROR(X184/H184,"0")+IFERROR(X185/H185,"0")+IFERROR(X186/H186,"0")+IFERROR(X187/H187,"0")+IFERROR(X188/H188,"0")+IFERROR(X189/H189,"0")</f>
        <v>258.88888888888891</v>
      </c>
      <c r="Y190" s="659">
        <f>IFERROR(Y182/H182,"0")+IFERROR(Y183/H183,"0")+IFERROR(Y184/H184,"0")+IFERROR(Y185/H185,"0")+IFERROR(Y186/H186,"0")+IFERROR(Y187/H187,"0")+IFERROR(Y188/H188,"0")+IFERROR(Y189/H189,"0")</f>
        <v>262</v>
      </c>
      <c r="Z190" s="659">
        <f>IFERROR(IF(Z182="",0,Z182),"0")+IFERROR(IF(Z183="",0,Z183),"0")+IFERROR(IF(Z184="",0,Z184),"0")+IFERROR(IF(Z185="",0,Z185),"0")+IFERROR(IF(Z186="",0,Z186),"0")+IFERROR(IF(Z187="",0,Z187),"0")+IFERROR(IF(Z188="",0,Z188),"0")+IFERROR(IF(Z189="",0,Z189),"0")</f>
        <v>1.8112399999999997</v>
      </c>
      <c r="AA190" s="660"/>
      <c r="AB190" s="660"/>
      <c r="AC190" s="660"/>
    </row>
    <row r="191" spans="1:68" x14ac:dyDescent="0.2">
      <c r="A191" s="680"/>
      <c r="B191" s="680"/>
      <c r="C191" s="680"/>
      <c r="D191" s="680"/>
      <c r="E191" s="680"/>
      <c r="F191" s="680"/>
      <c r="G191" s="680"/>
      <c r="H191" s="680"/>
      <c r="I191" s="680"/>
      <c r="J191" s="680"/>
      <c r="K191" s="680"/>
      <c r="L191" s="680"/>
      <c r="M191" s="680"/>
      <c r="N191" s="680"/>
      <c r="O191" s="681"/>
      <c r="P191" s="663" t="s">
        <v>80</v>
      </c>
      <c r="Q191" s="664"/>
      <c r="R191" s="664"/>
      <c r="S191" s="664"/>
      <c r="T191" s="664"/>
      <c r="U191" s="664"/>
      <c r="V191" s="665"/>
      <c r="W191" s="37" t="s">
        <v>69</v>
      </c>
      <c r="X191" s="659">
        <f>IFERROR(SUM(X182:X189),"0")</f>
        <v>906</v>
      </c>
      <c r="Y191" s="659">
        <f>IFERROR(SUM(Y182:Y189),"0")</f>
        <v>918.00000000000023</v>
      </c>
      <c r="Z191" s="37"/>
      <c r="AA191" s="660"/>
      <c r="AB191" s="660"/>
      <c r="AC191" s="660"/>
    </row>
    <row r="192" spans="1:68" ht="14.25" hidden="1" customHeight="1" x14ac:dyDescent="0.25">
      <c r="A192" s="682" t="s">
        <v>64</v>
      </c>
      <c r="B192" s="680"/>
      <c r="C192" s="680"/>
      <c r="D192" s="680"/>
      <c r="E192" s="680"/>
      <c r="F192" s="680"/>
      <c r="G192" s="680"/>
      <c r="H192" s="680"/>
      <c r="I192" s="680"/>
      <c r="J192" s="680"/>
      <c r="K192" s="680"/>
      <c r="L192" s="680"/>
      <c r="M192" s="680"/>
      <c r="N192" s="680"/>
      <c r="O192" s="680"/>
      <c r="P192" s="680"/>
      <c r="Q192" s="680"/>
      <c r="R192" s="680"/>
      <c r="S192" s="680"/>
      <c r="T192" s="680"/>
      <c r="U192" s="680"/>
      <c r="V192" s="680"/>
      <c r="W192" s="680"/>
      <c r="X192" s="680"/>
      <c r="Y192" s="680"/>
      <c r="Z192" s="680"/>
      <c r="AA192" s="653"/>
      <c r="AB192" s="653"/>
      <c r="AC192" s="653"/>
    </row>
    <row r="193" spans="1:68" ht="27" hidden="1" customHeight="1" x14ac:dyDescent="0.25">
      <c r="A193" s="54" t="s">
        <v>336</v>
      </c>
      <c r="B193" s="54" t="s">
        <v>337</v>
      </c>
      <c r="C193" s="31">
        <v>4301051408</v>
      </c>
      <c r="D193" s="672">
        <v>4680115881594</v>
      </c>
      <c r="E193" s="673"/>
      <c r="F193" s="656">
        <v>1.35</v>
      </c>
      <c r="G193" s="32">
        <v>6</v>
      </c>
      <c r="H193" s="656">
        <v>8.1</v>
      </c>
      <c r="I193" s="656">
        <v>8.6189999999999998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40</v>
      </c>
      <c r="P193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3" s="667"/>
      <c r="R193" s="667"/>
      <c r="S193" s="667"/>
      <c r="T193" s="668"/>
      <c r="U193" s="34"/>
      <c r="V193" s="34"/>
      <c r="W193" s="35" t="s">
        <v>69</v>
      </c>
      <c r="X193" s="657">
        <v>0</v>
      </c>
      <c r="Y193" s="658">
        <f t="shared" ref="Y193:Y201" si="31"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 t="shared" ref="BM193:BM201" si="32">IFERROR(X193*I193/H193,"0")</f>
        <v>0</v>
      </c>
      <c r="BN193" s="64">
        <f t="shared" ref="BN193:BN201" si="33">IFERROR(Y193*I193/H193,"0")</f>
        <v>0</v>
      </c>
      <c r="BO193" s="64">
        <f t="shared" ref="BO193:BO201" si="34">IFERROR(1/J193*(X193/H193),"0")</f>
        <v>0</v>
      </c>
      <c r="BP193" s="64">
        <f t="shared" ref="BP193:BP201" si="35">IFERROR(1/J193*(Y193/H193),"0")</f>
        <v>0</v>
      </c>
    </row>
    <row r="194" spans="1:68" ht="27" hidden="1" customHeight="1" x14ac:dyDescent="0.25">
      <c r="A194" s="54" t="s">
        <v>339</v>
      </c>
      <c r="B194" s="54" t="s">
        <v>340</v>
      </c>
      <c r="C194" s="31">
        <v>4301051411</v>
      </c>
      <c r="D194" s="672">
        <v>4680115881617</v>
      </c>
      <c r="E194" s="673"/>
      <c r="F194" s="656">
        <v>1.35</v>
      </c>
      <c r="G194" s="32">
        <v>6</v>
      </c>
      <c r="H194" s="656">
        <v>8.1</v>
      </c>
      <c r="I194" s="656">
        <v>8.6010000000000009</v>
      </c>
      <c r="J194" s="32">
        <v>64</v>
      </c>
      <c r="K194" s="32" t="s">
        <v>93</v>
      </c>
      <c r="L194" s="32"/>
      <c r="M194" s="33" t="s">
        <v>103</v>
      </c>
      <c r="N194" s="33"/>
      <c r="O194" s="32">
        <v>40</v>
      </c>
      <c r="P194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4" s="667"/>
      <c r="R194" s="667"/>
      <c r="S194" s="667"/>
      <c r="T194" s="668"/>
      <c r="U194" s="34"/>
      <c r="V194" s="34"/>
      <c r="W194" s="35" t="s">
        <v>69</v>
      </c>
      <c r="X194" s="657">
        <v>0</v>
      </c>
      <c r="Y194" s="658">
        <f t="shared" si="31"/>
        <v>0</v>
      </c>
      <c r="Z194" s="36" t="str">
        <f>IFERROR(IF(Y194=0,"",ROUNDUP(Y194/H194,0)*0.01898),"")</f>
        <v/>
      </c>
      <c r="AA194" s="56"/>
      <c r="AB194" s="57"/>
      <c r="AC194" s="257" t="s">
        <v>341</v>
      </c>
      <c r="AG194" s="64"/>
      <c r="AJ194" s="68"/>
      <c r="AK194" s="68">
        <v>0</v>
      </c>
      <c r="BB194" s="258" t="s">
        <v>1</v>
      </c>
      <c r="BM194" s="64">
        <f t="shared" si="32"/>
        <v>0</v>
      </c>
      <c r="BN194" s="64">
        <f t="shared" si="33"/>
        <v>0</v>
      </c>
      <c r="BO194" s="64">
        <f t="shared" si="34"/>
        <v>0</v>
      </c>
      <c r="BP194" s="64">
        <f t="shared" si="35"/>
        <v>0</v>
      </c>
    </row>
    <row r="195" spans="1:68" ht="16.5" customHeight="1" x14ac:dyDescent="0.25">
      <c r="A195" s="54" t="s">
        <v>342</v>
      </c>
      <c r="B195" s="54" t="s">
        <v>343</v>
      </c>
      <c r="C195" s="31">
        <v>4301051656</v>
      </c>
      <c r="D195" s="672">
        <v>4680115880573</v>
      </c>
      <c r="E195" s="673"/>
      <c r="F195" s="656">
        <v>1.45</v>
      </c>
      <c r="G195" s="32">
        <v>6</v>
      </c>
      <c r="H195" s="656">
        <v>8.6999999999999993</v>
      </c>
      <c r="I195" s="656">
        <v>9.2189999999999994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45</v>
      </c>
      <c r="P19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95" s="667"/>
      <c r="R195" s="667"/>
      <c r="S195" s="667"/>
      <c r="T195" s="668"/>
      <c r="U195" s="34"/>
      <c r="V195" s="34"/>
      <c r="W195" s="35" t="s">
        <v>69</v>
      </c>
      <c r="X195" s="657">
        <v>200</v>
      </c>
      <c r="Y195" s="658">
        <f t="shared" si="31"/>
        <v>200.1</v>
      </c>
      <c r="Z195" s="36">
        <f>IFERROR(IF(Y195=0,"",ROUNDUP(Y195/H195,0)*0.01898),"")</f>
        <v>0.43653999999999998</v>
      </c>
      <c r="AA195" s="56"/>
      <c r="AB195" s="57"/>
      <c r="AC195" s="259" t="s">
        <v>344</v>
      </c>
      <c r="AG195" s="64"/>
      <c r="AJ195" s="68"/>
      <c r="AK195" s="68">
        <v>0</v>
      </c>
      <c r="BB195" s="260" t="s">
        <v>1</v>
      </c>
      <c r="BM195" s="64">
        <f t="shared" si="32"/>
        <v>211.93103448275863</v>
      </c>
      <c r="BN195" s="64">
        <f t="shared" si="33"/>
        <v>212.03699999999998</v>
      </c>
      <c r="BO195" s="64">
        <f t="shared" si="34"/>
        <v>0.35919540229885061</v>
      </c>
      <c r="BP195" s="64">
        <f t="shared" si="35"/>
        <v>0.359375</v>
      </c>
    </row>
    <row r="196" spans="1:68" ht="27" customHeight="1" x14ac:dyDescent="0.25">
      <c r="A196" s="54" t="s">
        <v>345</v>
      </c>
      <c r="B196" s="54" t="s">
        <v>346</v>
      </c>
      <c r="C196" s="31">
        <v>4301051407</v>
      </c>
      <c r="D196" s="672">
        <v>4680115882195</v>
      </c>
      <c r="E196" s="673"/>
      <c r="F196" s="656">
        <v>0.4</v>
      </c>
      <c r="G196" s="32">
        <v>6</v>
      </c>
      <c r="H196" s="656">
        <v>2.4</v>
      </c>
      <c r="I196" s="656">
        <v>2.67</v>
      </c>
      <c r="J196" s="32">
        <v>182</v>
      </c>
      <c r="K196" s="32" t="s">
        <v>67</v>
      </c>
      <c r="L196" s="32"/>
      <c r="M196" s="33" t="s">
        <v>103</v>
      </c>
      <c r="N196" s="33"/>
      <c r="O196" s="32">
        <v>40</v>
      </c>
      <c r="P196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6" s="667"/>
      <c r="R196" s="667"/>
      <c r="S196" s="667"/>
      <c r="T196" s="668"/>
      <c r="U196" s="34"/>
      <c r="V196" s="34"/>
      <c r="W196" s="35" t="s">
        <v>69</v>
      </c>
      <c r="X196" s="657">
        <v>200</v>
      </c>
      <c r="Y196" s="658">
        <f t="shared" si="31"/>
        <v>201.6</v>
      </c>
      <c r="Z196" s="36">
        <f t="shared" ref="Z196:Z201" si="36">IFERROR(IF(Y196=0,"",ROUNDUP(Y196/H196,0)*0.00651),"")</f>
        <v>0.54683999999999999</v>
      </c>
      <c r="AA196" s="56"/>
      <c r="AB196" s="57"/>
      <c r="AC196" s="261" t="s">
        <v>338</v>
      </c>
      <c r="AG196" s="64"/>
      <c r="AJ196" s="68"/>
      <c r="AK196" s="68">
        <v>0</v>
      </c>
      <c r="BB196" s="262" t="s">
        <v>1</v>
      </c>
      <c r="BM196" s="64">
        <f t="shared" si="32"/>
        <v>222.5</v>
      </c>
      <c r="BN196" s="64">
        <f t="shared" si="33"/>
        <v>224.27999999999997</v>
      </c>
      <c r="BO196" s="64">
        <f t="shared" si="34"/>
        <v>0.45787545787545797</v>
      </c>
      <c r="BP196" s="64">
        <f t="shared" si="35"/>
        <v>0.46153846153846156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4301051752</v>
      </c>
      <c r="D197" s="672">
        <v>4680115882607</v>
      </c>
      <c r="E197" s="673"/>
      <c r="F197" s="656">
        <v>0.3</v>
      </c>
      <c r="G197" s="32">
        <v>6</v>
      </c>
      <c r="H197" s="656">
        <v>1.8</v>
      </c>
      <c r="I197" s="656">
        <v>2.052</v>
      </c>
      <c r="J197" s="32">
        <v>182</v>
      </c>
      <c r="K197" s="32" t="s">
        <v>67</v>
      </c>
      <c r="L197" s="32"/>
      <c r="M197" s="33" t="s">
        <v>129</v>
      </c>
      <c r="N197" s="33"/>
      <c r="O197" s="32">
        <v>45</v>
      </c>
      <c r="P197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7" s="667"/>
      <c r="R197" s="667"/>
      <c r="S197" s="667"/>
      <c r="T197" s="668"/>
      <c r="U197" s="34"/>
      <c r="V197" s="34"/>
      <c r="W197" s="35" t="s">
        <v>69</v>
      </c>
      <c r="X197" s="657">
        <v>0</v>
      </c>
      <c r="Y197" s="658">
        <f t="shared" si="31"/>
        <v>0</v>
      </c>
      <c r="Z197" s="36" t="str">
        <f t="shared" si="36"/>
        <v/>
      </c>
      <c r="AA197" s="56"/>
      <c r="AB197" s="57"/>
      <c r="AC197" s="263" t="s">
        <v>349</v>
      </c>
      <c r="AG197" s="64"/>
      <c r="AJ197" s="68"/>
      <c r="AK197" s="68">
        <v>0</v>
      </c>
      <c r="BB197" s="264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350</v>
      </c>
      <c r="B198" s="54" t="s">
        <v>351</v>
      </c>
      <c r="C198" s="31">
        <v>4301051666</v>
      </c>
      <c r="D198" s="672">
        <v>4680115880092</v>
      </c>
      <c r="E198" s="673"/>
      <c r="F198" s="656">
        <v>0.4</v>
      </c>
      <c r="G198" s="32">
        <v>6</v>
      </c>
      <c r="H198" s="656">
        <v>2.4</v>
      </c>
      <c r="I198" s="656">
        <v>2.6520000000000001</v>
      </c>
      <c r="J198" s="32">
        <v>182</v>
      </c>
      <c r="K198" s="32" t="s">
        <v>67</v>
      </c>
      <c r="L198" s="32"/>
      <c r="M198" s="33" t="s">
        <v>103</v>
      </c>
      <c r="N198" s="33"/>
      <c r="O198" s="32">
        <v>45</v>
      </c>
      <c r="P19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8" s="667"/>
      <c r="R198" s="667"/>
      <c r="S198" s="667"/>
      <c r="T198" s="668"/>
      <c r="U198" s="34"/>
      <c r="V198" s="34"/>
      <c r="W198" s="35" t="s">
        <v>69</v>
      </c>
      <c r="X198" s="657">
        <v>200</v>
      </c>
      <c r="Y198" s="658">
        <f t="shared" si="31"/>
        <v>201.6</v>
      </c>
      <c r="Z198" s="36">
        <f t="shared" si="36"/>
        <v>0.54683999999999999</v>
      </c>
      <c r="AA198" s="56"/>
      <c r="AB198" s="57"/>
      <c r="AC198" s="265" t="s">
        <v>344</v>
      </c>
      <c r="AG198" s="64"/>
      <c r="AJ198" s="68"/>
      <c r="AK198" s="68">
        <v>0</v>
      </c>
      <c r="BB198" s="266" t="s">
        <v>1</v>
      </c>
      <c r="BM198" s="64">
        <f t="shared" si="32"/>
        <v>221</v>
      </c>
      <c r="BN198" s="64">
        <f t="shared" si="33"/>
        <v>222.768</v>
      </c>
      <c r="BO198" s="64">
        <f t="shared" si="34"/>
        <v>0.45787545787545797</v>
      </c>
      <c r="BP198" s="64">
        <f t="shared" si="35"/>
        <v>0.46153846153846156</v>
      </c>
    </row>
    <row r="199" spans="1:68" ht="27" hidden="1" customHeight="1" x14ac:dyDescent="0.25">
      <c r="A199" s="54" t="s">
        <v>352</v>
      </c>
      <c r="B199" s="54" t="s">
        <v>353</v>
      </c>
      <c r="C199" s="31">
        <v>4301051668</v>
      </c>
      <c r="D199" s="672">
        <v>4680115880221</v>
      </c>
      <c r="E199" s="673"/>
      <c r="F199" s="656">
        <v>0.4</v>
      </c>
      <c r="G199" s="32">
        <v>6</v>
      </c>
      <c r="H199" s="656">
        <v>2.4</v>
      </c>
      <c r="I199" s="656">
        <v>2.6520000000000001</v>
      </c>
      <c r="J199" s="32">
        <v>182</v>
      </c>
      <c r="K199" s="32" t="s">
        <v>67</v>
      </c>
      <c r="L199" s="32"/>
      <c r="M199" s="33" t="s">
        <v>103</v>
      </c>
      <c r="N199" s="33"/>
      <c r="O199" s="32">
        <v>45</v>
      </c>
      <c r="P199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9" s="667"/>
      <c r="R199" s="667"/>
      <c r="S199" s="667"/>
      <c r="T199" s="668"/>
      <c r="U199" s="34"/>
      <c r="V199" s="34"/>
      <c r="W199" s="35" t="s">
        <v>69</v>
      </c>
      <c r="X199" s="657">
        <v>0</v>
      </c>
      <c r="Y199" s="658">
        <f t="shared" si="31"/>
        <v>0</v>
      </c>
      <c r="Z199" s="36" t="str">
        <f t="shared" si="36"/>
        <v/>
      </c>
      <c r="AA199" s="56"/>
      <c r="AB199" s="57"/>
      <c r="AC199" s="267" t="s">
        <v>344</v>
      </c>
      <c r="AG199" s="64"/>
      <c r="AJ199" s="68"/>
      <c r="AK199" s="68">
        <v>0</v>
      </c>
      <c r="BB199" s="26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354</v>
      </c>
      <c r="B200" s="54" t="s">
        <v>355</v>
      </c>
      <c r="C200" s="31">
        <v>4301051945</v>
      </c>
      <c r="D200" s="672">
        <v>4680115880504</v>
      </c>
      <c r="E200" s="673"/>
      <c r="F200" s="656">
        <v>0.4</v>
      </c>
      <c r="G200" s="32">
        <v>6</v>
      </c>
      <c r="H200" s="656">
        <v>2.4</v>
      </c>
      <c r="I200" s="656">
        <v>2.6520000000000001</v>
      </c>
      <c r="J200" s="32">
        <v>182</v>
      </c>
      <c r="K200" s="32" t="s">
        <v>67</v>
      </c>
      <c r="L200" s="32"/>
      <c r="M200" s="33" t="s">
        <v>129</v>
      </c>
      <c r="N200" s="33"/>
      <c r="O200" s="32">
        <v>40</v>
      </c>
      <c r="P200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0" s="667"/>
      <c r="R200" s="667"/>
      <c r="S200" s="667"/>
      <c r="T200" s="668"/>
      <c r="U200" s="34"/>
      <c r="V200" s="34"/>
      <c r="W200" s="35" t="s">
        <v>69</v>
      </c>
      <c r="X200" s="657">
        <v>200</v>
      </c>
      <c r="Y200" s="658">
        <f t="shared" si="31"/>
        <v>201.6</v>
      </c>
      <c r="Z200" s="36">
        <f t="shared" si="36"/>
        <v>0.54683999999999999</v>
      </c>
      <c r="AA200" s="56"/>
      <c r="AB200" s="57"/>
      <c r="AC200" s="269" t="s">
        <v>356</v>
      </c>
      <c r="AG200" s="64"/>
      <c r="AJ200" s="68"/>
      <c r="AK200" s="68">
        <v>0</v>
      </c>
      <c r="BB200" s="270" t="s">
        <v>1</v>
      </c>
      <c r="BM200" s="64">
        <f t="shared" si="32"/>
        <v>221</v>
      </c>
      <c r="BN200" s="64">
        <f t="shared" si="33"/>
        <v>222.768</v>
      </c>
      <c r="BO200" s="64">
        <f t="shared" si="34"/>
        <v>0.45787545787545797</v>
      </c>
      <c r="BP200" s="64">
        <f t="shared" si="35"/>
        <v>0.46153846153846156</v>
      </c>
    </row>
    <row r="201" spans="1:68" ht="27" customHeight="1" x14ac:dyDescent="0.25">
      <c r="A201" s="54" t="s">
        <v>357</v>
      </c>
      <c r="B201" s="54" t="s">
        <v>358</v>
      </c>
      <c r="C201" s="31">
        <v>4301051410</v>
      </c>
      <c r="D201" s="672">
        <v>4680115882164</v>
      </c>
      <c r="E201" s="673"/>
      <c r="F201" s="656">
        <v>0.4</v>
      </c>
      <c r="G201" s="32">
        <v>6</v>
      </c>
      <c r="H201" s="656">
        <v>2.4</v>
      </c>
      <c r="I201" s="656">
        <v>2.6579999999999999</v>
      </c>
      <c r="J201" s="32">
        <v>182</v>
      </c>
      <c r="K201" s="32" t="s">
        <v>67</v>
      </c>
      <c r="L201" s="32"/>
      <c r="M201" s="33" t="s">
        <v>103</v>
      </c>
      <c r="N201" s="33"/>
      <c r="O201" s="32">
        <v>40</v>
      </c>
      <c r="P201" s="9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1" s="667"/>
      <c r="R201" s="667"/>
      <c r="S201" s="667"/>
      <c r="T201" s="668"/>
      <c r="U201" s="34"/>
      <c r="V201" s="34"/>
      <c r="W201" s="35" t="s">
        <v>69</v>
      </c>
      <c r="X201" s="657">
        <v>240</v>
      </c>
      <c r="Y201" s="658">
        <f t="shared" si="31"/>
        <v>240</v>
      </c>
      <c r="Z201" s="36">
        <f t="shared" si="36"/>
        <v>0.65100000000000002</v>
      </c>
      <c r="AA201" s="56"/>
      <c r="AB201" s="57"/>
      <c r="AC201" s="271" t="s">
        <v>359</v>
      </c>
      <c r="AG201" s="64"/>
      <c r="AJ201" s="68"/>
      <c r="AK201" s="68">
        <v>0</v>
      </c>
      <c r="BB201" s="272" t="s">
        <v>1</v>
      </c>
      <c r="BM201" s="64">
        <f t="shared" si="32"/>
        <v>265.8</v>
      </c>
      <c r="BN201" s="64">
        <f t="shared" si="33"/>
        <v>265.8</v>
      </c>
      <c r="BO201" s="64">
        <f t="shared" si="34"/>
        <v>0.5494505494505495</v>
      </c>
      <c r="BP201" s="64">
        <f t="shared" si="35"/>
        <v>0.5494505494505495</v>
      </c>
    </row>
    <row r="202" spans="1:68" x14ac:dyDescent="0.2">
      <c r="A202" s="679"/>
      <c r="B202" s="680"/>
      <c r="C202" s="680"/>
      <c r="D202" s="680"/>
      <c r="E202" s="680"/>
      <c r="F202" s="680"/>
      <c r="G202" s="680"/>
      <c r="H202" s="680"/>
      <c r="I202" s="680"/>
      <c r="J202" s="680"/>
      <c r="K202" s="680"/>
      <c r="L202" s="680"/>
      <c r="M202" s="680"/>
      <c r="N202" s="680"/>
      <c r="O202" s="681"/>
      <c r="P202" s="663" t="s">
        <v>80</v>
      </c>
      <c r="Q202" s="664"/>
      <c r="R202" s="664"/>
      <c r="S202" s="664"/>
      <c r="T202" s="664"/>
      <c r="U202" s="664"/>
      <c r="V202" s="665"/>
      <c r="W202" s="37" t="s">
        <v>81</v>
      </c>
      <c r="X202" s="659">
        <f>IFERROR(X193/H193,"0")+IFERROR(X194/H194,"0")+IFERROR(X195/H195,"0")+IFERROR(X196/H196,"0")+IFERROR(X197/H197,"0")+IFERROR(X198/H198,"0")+IFERROR(X199/H199,"0")+IFERROR(X200/H200,"0")+IFERROR(X201/H201,"0")</f>
        <v>372.98850574712651</v>
      </c>
      <c r="Y202" s="659">
        <f>IFERROR(Y193/H193,"0")+IFERROR(Y194/H194,"0")+IFERROR(Y195/H195,"0")+IFERROR(Y196/H196,"0")+IFERROR(Y197/H197,"0")+IFERROR(Y198/H198,"0")+IFERROR(Y199/H199,"0")+IFERROR(Y200/H200,"0")+IFERROR(Y201/H201,"0")</f>
        <v>375</v>
      </c>
      <c r="Z202" s="659">
        <f>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</f>
        <v>2.7280600000000002</v>
      </c>
      <c r="AA202" s="660"/>
      <c r="AB202" s="660"/>
      <c r="AC202" s="660"/>
    </row>
    <row r="203" spans="1:68" x14ac:dyDescent="0.2">
      <c r="A203" s="680"/>
      <c r="B203" s="680"/>
      <c r="C203" s="680"/>
      <c r="D203" s="680"/>
      <c r="E203" s="680"/>
      <c r="F203" s="680"/>
      <c r="G203" s="680"/>
      <c r="H203" s="680"/>
      <c r="I203" s="680"/>
      <c r="J203" s="680"/>
      <c r="K203" s="680"/>
      <c r="L203" s="680"/>
      <c r="M203" s="680"/>
      <c r="N203" s="680"/>
      <c r="O203" s="681"/>
      <c r="P203" s="663" t="s">
        <v>80</v>
      </c>
      <c r="Q203" s="664"/>
      <c r="R203" s="664"/>
      <c r="S203" s="664"/>
      <c r="T203" s="664"/>
      <c r="U203" s="664"/>
      <c r="V203" s="665"/>
      <c r="W203" s="37" t="s">
        <v>69</v>
      </c>
      <c r="X203" s="659">
        <f>IFERROR(SUM(X193:X201),"0")</f>
        <v>1040</v>
      </c>
      <c r="Y203" s="659">
        <f>IFERROR(SUM(Y193:Y201),"0")</f>
        <v>1044.9000000000001</v>
      </c>
      <c r="Z203" s="37"/>
      <c r="AA203" s="660"/>
      <c r="AB203" s="660"/>
      <c r="AC203" s="660"/>
    </row>
    <row r="204" spans="1:68" ht="14.25" hidden="1" customHeight="1" x14ac:dyDescent="0.25">
      <c r="A204" s="682" t="s">
        <v>172</v>
      </c>
      <c r="B204" s="680"/>
      <c r="C204" s="680"/>
      <c r="D204" s="680"/>
      <c r="E204" s="680"/>
      <c r="F204" s="680"/>
      <c r="G204" s="680"/>
      <c r="H204" s="680"/>
      <c r="I204" s="680"/>
      <c r="J204" s="680"/>
      <c r="K204" s="680"/>
      <c r="L204" s="680"/>
      <c r="M204" s="680"/>
      <c r="N204" s="680"/>
      <c r="O204" s="680"/>
      <c r="P204" s="680"/>
      <c r="Q204" s="680"/>
      <c r="R204" s="680"/>
      <c r="S204" s="680"/>
      <c r="T204" s="680"/>
      <c r="U204" s="680"/>
      <c r="V204" s="680"/>
      <c r="W204" s="680"/>
      <c r="X204" s="680"/>
      <c r="Y204" s="680"/>
      <c r="Z204" s="680"/>
      <c r="AA204" s="653"/>
      <c r="AB204" s="653"/>
      <c r="AC204" s="653"/>
    </row>
    <row r="205" spans="1:68" ht="27" customHeight="1" x14ac:dyDescent="0.25">
      <c r="A205" s="54" t="s">
        <v>360</v>
      </c>
      <c r="B205" s="54" t="s">
        <v>361</v>
      </c>
      <c r="C205" s="31">
        <v>4301060463</v>
      </c>
      <c r="D205" s="672">
        <v>4680115880818</v>
      </c>
      <c r="E205" s="673"/>
      <c r="F205" s="656">
        <v>0.4</v>
      </c>
      <c r="G205" s="32">
        <v>6</v>
      </c>
      <c r="H205" s="656">
        <v>2.4</v>
      </c>
      <c r="I205" s="656">
        <v>2.6520000000000001</v>
      </c>
      <c r="J205" s="32">
        <v>182</v>
      </c>
      <c r="K205" s="32" t="s">
        <v>67</v>
      </c>
      <c r="L205" s="32"/>
      <c r="M205" s="33" t="s">
        <v>129</v>
      </c>
      <c r="N205" s="33"/>
      <c r="O205" s="32">
        <v>40</v>
      </c>
      <c r="P205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05" s="667"/>
      <c r="R205" s="667"/>
      <c r="S205" s="667"/>
      <c r="T205" s="668"/>
      <c r="U205" s="34"/>
      <c r="V205" s="34"/>
      <c r="W205" s="35" t="s">
        <v>69</v>
      </c>
      <c r="X205" s="657">
        <v>32</v>
      </c>
      <c r="Y205" s="658">
        <f>IFERROR(IF(X205="",0,CEILING((X205/$H205),1)*$H205),"")</f>
        <v>33.6</v>
      </c>
      <c r="Z205" s="36">
        <f>IFERROR(IF(Y205=0,"",ROUNDUP(Y205/H205,0)*0.00651),"")</f>
        <v>9.1139999999999999E-2</v>
      </c>
      <c r="AA205" s="56"/>
      <c r="AB205" s="57"/>
      <c r="AC205" s="273" t="s">
        <v>362</v>
      </c>
      <c r="AG205" s="64"/>
      <c r="AJ205" s="68"/>
      <c r="AK205" s="68">
        <v>0</v>
      </c>
      <c r="BB205" s="274" t="s">
        <v>1</v>
      </c>
      <c r="BM205" s="64">
        <f>IFERROR(X205*I205/H205,"0")</f>
        <v>35.360000000000007</v>
      </c>
      <c r="BN205" s="64">
        <f>IFERROR(Y205*I205/H205,"0")</f>
        <v>37.128000000000007</v>
      </c>
      <c r="BO205" s="64">
        <f>IFERROR(1/J205*(X205/H205),"0")</f>
        <v>7.3260073260073263E-2</v>
      </c>
      <c r="BP205" s="64">
        <f>IFERROR(1/J205*(Y205/H205),"0")</f>
        <v>7.6923076923076941E-2</v>
      </c>
    </row>
    <row r="206" spans="1:68" ht="27" customHeight="1" x14ac:dyDescent="0.25">
      <c r="A206" s="54" t="s">
        <v>363</v>
      </c>
      <c r="B206" s="54" t="s">
        <v>364</v>
      </c>
      <c r="C206" s="31">
        <v>4301060389</v>
      </c>
      <c r="D206" s="672">
        <v>4680115880801</v>
      </c>
      <c r="E206" s="673"/>
      <c r="F206" s="656">
        <v>0.4</v>
      </c>
      <c r="G206" s="32">
        <v>6</v>
      </c>
      <c r="H206" s="656">
        <v>2.4</v>
      </c>
      <c r="I206" s="656">
        <v>2.6520000000000001</v>
      </c>
      <c r="J206" s="32">
        <v>182</v>
      </c>
      <c r="K206" s="32" t="s">
        <v>67</v>
      </c>
      <c r="L206" s="32"/>
      <c r="M206" s="33" t="s">
        <v>103</v>
      </c>
      <c r="N206" s="33"/>
      <c r="O206" s="32">
        <v>40</v>
      </c>
      <c r="P206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6" s="667"/>
      <c r="R206" s="667"/>
      <c r="S206" s="667"/>
      <c r="T206" s="668"/>
      <c r="U206" s="34"/>
      <c r="V206" s="34"/>
      <c r="W206" s="35" t="s">
        <v>69</v>
      </c>
      <c r="X206" s="657">
        <v>60</v>
      </c>
      <c r="Y206" s="658">
        <f>IFERROR(IF(X206="",0,CEILING((X206/$H206),1)*$H206),"")</f>
        <v>60</v>
      </c>
      <c r="Z206" s="36">
        <f>IFERROR(IF(Y206=0,"",ROUNDUP(Y206/H206,0)*0.00651),"")</f>
        <v>0.16275000000000001</v>
      </c>
      <c r="AA206" s="56"/>
      <c r="AB206" s="57"/>
      <c r="AC206" s="275" t="s">
        <v>365</v>
      </c>
      <c r="AG206" s="64"/>
      <c r="AJ206" s="68"/>
      <c r="AK206" s="68">
        <v>0</v>
      </c>
      <c r="BB206" s="276" t="s">
        <v>1</v>
      </c>
      <c r="BM206" s="64">
        <f>IFERROR(X206*I206/H206,"0")</f>
        <v>66.300000000000011</v>
      </c>
      <c r="BN206" s="64">
        <f>IFERROR(Y206*I206/H206,"0")</f>
        <v>66.300000000000011</v>
      </c>
      <c r="BO206" s="64">
        <f>IFERROR(1/J206*(X206/H206),"0")</f>
        <v>0.13736263736263737</v>
      </c>
      <c r="BP206" s="64">
        <f>IFERROR(1/J206*(Y206/H206),"0")</f>
        <v>0.13736263736263737</v>
      </c>
    </row>
    <row r="207" spans="1:68" x14ac:dyDescent="0.2">
      <c r="A207" s="679"/>
      <c r="B207" s="680"/>
      <c r="C207" s="680"/>
      <c r="D207" s="680"/>
      <c r="E207" s="680"/>
      <c r="F207" s="680"/>
      <c r="G207" s="680"/>
      <c r="H207" s="680"/>
      <c r="I207" s="680"/>
      <c r="J207" s="680"/>
      <c r="K207" s="680"/>
      <c r="L207" s="680"/>
      <c r="M207" s="680"/>
      <c r="N207" s="680"/>
      <c r="O207" s="681"/>
      <c r="P207" s="663" t="s">
        <v>80</v>
      </c>
      <c r="Q207" s="664"/>
      <c r="R207" s="664"/>
      <c r="S207" s="664"/>
      <c r="T207" s="664"/>
      <c r="U207" s="664"/>
      <c r="V207" s="665"/>
      <c r="W207" s="37" t="s">
        <v>81</v>
      </c>
      <c r="X207" s="659">
        <f>IFERROR(X205/H205,"0")+IFERROR(X206/H206,"0")</f>
        <v>38.333333333333336</v>
      </c>
      <c r="Y207" s="659">
        <f>IFERROR(Y205/H205,"0")+IFERROR(Y206/H206,"0")</f>
        <v>39</v>
      </c>
      <c r="Z207" s="659">
        <f>IFERROR(IF(Z205="",0,Z205),"0")+IFERROR(IF(Z206="",0,Z206),"0")</f>
        <v>0.25389</v>
      </c>
      <c r="AA207" s="660"/>
      <c r="AB207" s="660"/>
      <c r="AC207" s="660"/>
    </row>
    <row r="208" spans="1:68" x14ac:dyDescent="0.2">
      <c r="A208" s="680"/>
      <c r="B208" s="680"/>
      <c r="C208" s="680"/>
      <c r="D208" s="680"/>
      <c r="E208" s="680"/>
      <c r="F208" s="680"/>
      <c r="G208" s="680"/>
      <c r="H208" s="680"/>
      <c r="I208" s="680"/>
      <c r="J208" s="680"/>
      <c r="K208" s="680"/>
      <c r="L208" s="680"/>
      <c r="M208" s="680"/>
      <c r="N208" s="680"/>
      <c r="O208" s="681"/>
      <c r="P208" s="663" t="s">
        <v>80</v>
      </c>
      <c r="Q208" s="664"/>
      <c r="R208" s="664"/>
      <c r="S208" s="664"/>
      <c r="T208" s="664"/>
      <c r="U208" s="664"/>
      <c r="V208" s="665"/>
      <c r="W208" s="37" t="s">
        <v>69</v>
      </c>
      <c r="X208" s="659">
        <f>IFERROR(SUM(X205:X206),"0")</f>
        <v>92</v>
      </c>
      <c r="Y208" s="659">
        <f>IFERROR(SUM(Y205:Y206),"0")</f>
        <v>93.6</v>
      </c>
      <c r="Z208" s="37"/>
      <c r="AA208" s="660"/>
      <c r="AB208" s="660"/>
      <c r="AC208" s="660"/>
    </row>
    <row r="209" spans="1:68" ht="16.5" hidden="1" customHeight="1" x14ac:dyDescent="0.25">
      <c r="A209" s="688" t="s">
        <v>366</v>
      </c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0"/>
      <c r="P209" s="680"/>
      <c r="Q209" s="680"/>
      <c r="R209" s="680"/>
      <c r="S209" s="680"/>
      <c r="T209" s="680"/>
      <c r="U209" s="680"/>
      <c r="V209" s="680"/>
      <c r="W209" s="680"/>
      <c r="X209" s="680"/>
      <c r="Y209" s="680"/>
      <c r="Z209" s="680"/>
      <c r="AA209" s="652"/>
      <c r="AB209" s="652"/>
      <c r="AC209" s="652"/>
    </row>
    <row r="210" spans="1:68" ht="14.25" hidden="1" customHeight="1" x14ac:dyDescent="0.25">
      <c r="A210" s="682" t="s">
        <v>90</v>
      </c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0"/>
      <c r="P210" s="680"/>
      <c r="Q210" s="680"/>
      <c r="R210" s="680"/>
      <c r="S210" s="680"/>
      <c r="T210" s="680"/>
      <c r="U210" s="680"/>
      <c r="V210" s="680"/>
      <c r="W210" s="680"/>
      <c r="X210" s="680"/>
      <c r="Y210" s="680"/>
      <c r="Z210" s="680"/>
      <c r="AA210" s="653"/>
      <c r="AB210" s="653"/>
      <c r="AC210" s="653"/>
    </row>
    <row r="211" spans="1:68" ht="27" customHeight="1" x14ac:dyDescent="0.25">
      <c r="A211" s="54" t="s">
        <v>367</v>
      </c>
      <c r="B211" s="54" t="s">
        <v>368</v>
      </c>
      <c r="C211" s="31">
        <v>4301011826</v>
      </c>
      <c r="D211" s="672">
        <v>4680115884137</v>
      </c>
      <c r="E211" s="673"/>
      <c r="F211" s="656">
        <v>1.45</v>
      </c>
      <c r="G211" s="32">
        <v>8</v>
      </c>
      <c r="H211" s="656">
        <v>11.6</v>
      </c>
      <c r="I211" s="656">
        <v>12.035</v>
      </c>
      <c r="J211" s="32">
        <v>64</v>
      </c>
      <c r="K211" s="32" t="s">
        <v>93</v>
      </c>
      <c r="L211" s="32"/>
      <c r="M211" s="33" t="s">
        <v>94</v>
      </c>
      <c r="N211" s="33"/>
      <c r="O211" s="32">
        <v>55</v>
      </c>
      <c r="P211" s="8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1" s="667"/>
      <c r="R211" s="667"/>
      <c r="S211" s="667"/>
      <c r="T211" s="668"/>
      <c r="U211" s="34"/>
      <c r="V211" s="34"/>
      <c r="W211" s="35" t="s">
        <v>69</v>
      </c>
      <c r="X211" s="657">
        <v>10</v>
      </c>
      <c r="Y211" s="658">
        <f t="shared" ref="Y211:Y218" si="37">IFERROR(IF(X211="",0,CEILING((X211/$H211),1)*$H211),"")</f>
        <v>11.6</v>
      </c>
      <c r="Z211" s="36">
        <f>IFERROR(IF(Y211=0,"",ROUNDUP(Y211/H211,0)*0.01898),"")</f>
        <v>1.898E-2</v>
      </c>
      <c r="AA211" s="56"/>
      <c r="AB211" s="57"/>
      <c r="AC211" s="277" t="s">
        <v>369</v>
      </c>
      <c r="AG211" s="64"/>
      <c r="AJ211" s="68"/>
      <c r="AK211" s="68">
        <v>0</v>
      </c>
      <c r="BB211" s="278" t="s">
        <v>1</v>
      </c>
      <c r="BM211" s="64">
        <f t="shared" ref="BM211:BM218" si="38">IFERROR(X211*I211/H211,"0")</f>
        <v>10.375</v>
      </c>
      <c r="BN211" s="64">
        <f t="shared" ref="BN211:BN218" si="39">IFERROR(Y211*I211/H211,"0")</f>
        <v>12.035</v>
      </c>
      <c r="BO211" s="64">
        <f t="shared" ref="BO211:BO218" si="40">IFERROR(1/J211*(X211/H211),"0")</f>
        <v>1.3469827586206897E-2</v>
      </c>
      <c r="BP211" s="64">
        <f t="shared" ref="BP211:BP218" si="41">IFERROR(1/J211*(Y211/H211),"0")</f>
        <v>1.5625E-2</v>
      </c>
    </row>
    <row r="212" spans="1:68" ht="27" hidden="1" customHeight="1" x14ac:dyDescent="0.25">
      <c r="A212" s="54" t="s">
        <v>367</v>
      </c>
      <c r="B212" s="54" t="s">
        <v>370</v>
      </c>
      <c r="C212" s="31">
        <v>4301011942</v>
      </c>
      <c r="D212" s="672">
        <v>4680115884137</v>
      </c>
      <c r="E212" s="673"/>
      <c r="F212" s="656">
        <v>1.45</v>
      </c>
      <c r="G212" s="32">
        <v>8</v>
      </c>
      <c r="H212" s="656">
        <v>11.6</v>
      </c>
      <c r="I212" s="656">
        <v>12.08</v>
      </c>
      <c r="J212" s="32">
        <v>48</v>
      </c>
      <c r="K212" s="32" t="s">
        <v>93</v>
      </c>
      <c r="L212" s="32"/>
      <c r="M212" s="33" t="s">
        <v>371</v>
      </c>
      <c r="N212" s="33"/>
      <c r="O212" s="32">
        <v>55</v>
      </c>
      <c r="P212" s="8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2" s="667"/>
      <c r="R212" s="667"/>
      <c r="S212" s="667"/>
      <c r="T212" s="668"/>
      <c r="U212" s="34"/>
      <c r="V212" s="34"/>
      <c r="W212" s="35" t="s">
        <v>69</v>
      </c>
      <c r="X212" s="657">
        <v>0</v>
      </c>
      <c r="Y212" s="658">
        <f t="shared" si="37"/>
        <v>0</v>
      </c>
      <c r="Z212" s="36" t="str">
        <f>IFERROR(IF(Y212=0,"",ROUNDUP(Y212/H212,0)*0.02039),"")</f>
        <v/>
      </c>
      <c r="AA212" s="56"/>
      <c r="AB212" s="57"/>
      <c r="AC212" s="279" t="s">
        <v>372</v>
      </c>
      <c r="AG212" s="64"/>
      <c r="AJ212" s="68"/>
      <c r="AK212" s="68">
        <v>0</v>
      </c>
      <c r="BB212" s="280" t="s">
        <v>1</v>
      </c>
      <c r="BM212" s="64">
        <f t="shared" si="38"/>
        <v>0</v>
      </c>
      <c r="BN212" s="64">
        <f t="shared" si="39"/>
        <v>0</v>
      </c>
      <c r="BO212" s="64">
        <f t="shared" si="40"/>
        <v>0</v>
      </c>
      <c r="BP212" s="64">
        <f t="shared" si="41"/>
        <v>0</v>
      </c>
    </row>
    <row r="213" spans="1:68" ht="27" hidden="1" customHeight="1" x14ac:dyDescent="0.25">
      <c r="A213" s="54" t="s">
        <v>373</v>
      </c>
      <c r="B213" s="54" t="s">
        <v>374</v>
      </c>
      <c r="C213" s="31">
        <v>4301011724</v>
      </c>
      <c r="D213" s="672">
        <v>4680115884236</v>
      </c>
      <c r="E213" s="673"/>
      <c r="F213" s="656">
        <v>1.45</v>
      </c>
      <c r="G213" s="32">
        <v>8</v>
      </c>
      <c r="H213" s="656">
        <v>11.6</v>
      </c>
      <c r="I213" s="656">
        <v>12.035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55</v>
      </c>
      <c r="P213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13" s="667"/>
      <c r="R213" s="667"/>
      <c r="S213" s="667"/>
      <c r="T213" s="668"/>
      <c r="U213" s="34"/>
      <c r="V213" s="34"/>
      <c r="W213" s="35" t="s">
        <v>69</v>
      </c>
      <c r="X213" s="657">
        <v>0</v>
      </c>
      <c r="Y213" s="658">
        <f t="shared" si="37"/>
        <v>0</v>
      </c>
      <c r="Z213" s="36" t="str">
        <f>IFERROR(IF(Y213=0,"",ROUNDUP(Y213/H213,0)*0.01898),"")</f>
        <v/>
      </c>
      <c r="AA213" s="56"/>
      <c r="AB213" s="57"/>
      <c r="AC213" s="281" t="s">
        <v>375</v>
      </c>
      <c r="AG213" s="64"/>
      <c r="AJ213" s="68"/>
      <c r="AK213" s="68">
        <v>0</v>
      </c>
      <c r="BB213" s="282" t="s">
        <v>1</v>
      </c>
      <c r="BM213" s="64">
        <f t="shared" si="38"/>
        <v>0</v>
      </c>
      <c r="BN213" s="64">
        <f t="shared" si="39"/>
        <v>0</v>
      </c>
      <c r="BO213" s="64">
        <f t="shared" si="40"/>
        <v>0</v>
      </c>
      <c r="BP213" s="64">
        <f t="shared" si="41"/>
        <v>0</v>
      </c>
    </row>
    <row r="214" spans="1:68" ht="27" customHeight="1" x14ac:dyDescent="0.25">
      <c r="A214" s="54" t="s">
        <v>376</v>
      </c>
      <c r="B214" s="54" t="s">
        <v>377</v>
      </c>
      <c r="C214" s="31">
        <v>4301011721</v>
      </c>
      <c r="D214" s="672">
        <v>4680115884175</v>
      </c>
      <c r="E214" s="673"/>
      <c r="F214" s="656">
        <v>1.45</v>
      </c>
      <c r="G214" s="32">
        <v>8</v>
      </c>
      <c r="H214" s="656">
        <v>11.6</v>
      </c>
      <c r="I214" s="656">
        <v>12.035</v>
      </c>
      <c r="J214" s="32">
        <v>64</v>
      </c>
      <c r="K214" s="32" t="s">
        <v>93</v>
      </c>
      <c r="L214" s="32"/>
      <c r="M214" s="33" t="s">
        <v>94</v>
      </c>
      <c r="N214" s="33"/>
      <c r="O214" s="32">
        <v>55</v>
      </c>
      <c r="P214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4" s="667"/>
      <c r="R214" s="667"/>
      <c r="S214" s="667"/>
      <c r="T214" s="668"/>
      <c r="U214" s="34"/>
      <c r="V214" s="34"/>
      <c r="W214" s="35" t="s">
        <v>69</v>
      </c>
      <c r="X214" s="657">
        <v>40</v>
      </c>
      <c r="Y214" s="658">
        <f t="shared" si="37"/>
        <v>46.4</v>
      </c>
      <c r="Z214" s="36">
        <f>IFERROR(IF(Y214=0,"",ROUNDUP(Y214/H214,0)*0.01898),"")</f>
        <v>7.5920000000000001E-2</v>
      </c>
      <c r="AA214" s="56"/>
      <c r="AB214" s="57"/>
      <c r="AC214" s="283" t="s">
        <v>378</v>
      </c>
      <c r="AG214" s="64"/>
      <c r="AJ214" s="68"/>
      <c r="AK214" s="68">
        <v>0</v>
      </c>
      <c r="BB214" s="284" t="s">
        <v>1</v>
      </c>
      <c r="BM214" s="64">
        <f t="shared" si="38"/>
        <v>41.5</v>
      </c>
      <c r="BN214" s="64">
        <f t="shared" si="39"/>
        <v>48.14</v>
      </c>
      <c r="BO214" s="64">
        <f t="shared" si="40"/>
        <v>5.387931034482759E-2</v>
      </c>
      <c r="BP214" s="64">
        <f t="shared" si="41"/>
        <v>6.25E-2</v>
      </c>
    </row>
    <row r="215" spans="1:68" ht="27" hidden="1" customHeight="1" x14ac:dyDescent="0.25">
      <c r="A215" s="54" t="s">
        <v>376</v>
      </c>
      <c r="B215" s="54" t="s">
        <v>379</v>
      </c>
      <c r="C215" s="31">
        <v>4301011941</v>
      </c>
      <c r="D215" s="672">
        <v>4680115884175</v>
      </c>
      <c r="E215" s="673"/>
      <c r="F215" s="656">
        <v>1.45</v>
      </c>
      <c r="G215" s="32">
        <v>8</v>
      </c>
      <c r="H215" s="656">
        <v>11.6</v>
      </c>
      <c r="I215" s="656">
        <v>12.08</v>
      </c>
      <c r="J215" s="32">
        <v>48</v>
      </c>
      <c r="K215" s="32" t="s">
        <v>93</v>
      </c>
      <c r="L215" s="32"/>
      <c r="M215" s="33" t="s">
        <v>371</v>
      </c>
      <c r="N215" s="33"/>
      <c r="O215" s="32">
        <v>55</v>
      </c>
      <c r="P215" s="6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5" s="667"/>
      <c r="R215" s="667"/>
      <c r="S215" s="667"/>
      <c r="T215" s="668"/>
      <c r="U215" s="34"/>
      <c r="V215" s="34"/>
      <c r="W215" s="35" t="s">
        <v>69</v>
      </c>
      <c r="X215" s="657">
        <v>0</v>
      </c>
      <c r="Y215" s="658">
        <f t="shared" si="37"/>
        <v>0</v>
      </c>
      <c r="Z215" s="36" t="str">
        <f>IFERROR(IF(Y215=0,"",ROUNDUP(Y215/H215,0)*0.02039),"")</f>
        <v/>
      </c>
      <c r="AA215" s="56"/>
      <c r="AB215" s="57"/>
      <c r="AC215" s="285" t="s">
        <v>372</v>
      </c>
      <c r="AG215" s="64"/>
      <c r="AJ215" s="68"/>
      <c r="AK215" s="68">
        <v>0</v>
      </c>
      <c r="BB215" s="286" t="s">
        <v>1</v>
      </c>
      <c r="BM215" s="64">
        <f t="shared" si="38"/>
        <v>0</v>
      </c>
      <c r="BN215" s="64">
        <f t="shared" si="39"/>
        <v>0</v>
      </c>
      <c r="BO215" s="64">
        <f t="shared" si="40"/>
        <v>0</v>
      </c>
      <c r="BP215" s="64">
        <f t="shared" si="41"/>
        <v>0</v>
      </c>
    </row>
    <row r="216" spans="1:68" ht="27" customHeight="1" x14ac:dyDescent="0.25">
      <c r="A216" s="54" t="s">
        <v>380</v>
      </c>
      <c r="B216" s="54" t="s">
        <v>381</v>
      </c>
      <c r="C216" s="31">
        <v>4301011824</v>
      </c>
      <c r="D216" s="672">
        <v>4680115884144</v>
      </c>
      <c r="E216" s="673"/>
      <c r="F216" s="656">
        <v>0.4</v>
      </c>
      <c r="G216" s="32">
        <v>10</v>
      </c>
      <c r="H216" s="656">
        <v>4</v>
      </c>
      <c r="I216" s="656">
        <v>4.21</v>
      </c>
      <c r="J216" s="32">
        <v>132</v>
      </c>
      <c r="K216" s="32" t="s">
        <v>101</v>
      </c>
      <c r="L216" s="32"/>
      <c r="M216" s="33" t="s">
        <v>94</v>
      </c>
      <c r="N216" s="33"/>
      <c r="O216" s="32">
        <v>55</v>
      </c>
      <c r="P216" s="8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16" s="667"/>
      <c r="R216" s="667"/>
      <c r="S216" s="667"/>
      <c r="T216" s="668"/>
      <c r="U216" s="34"/>
      <c r="V216" s="34"/>
      <c r="W216" s="35" t="s">
        <v>69</v>
      </c>
      <c r="X216" s="657">
        <v>24</v>
      </c>
      <c r="Y216" s="658">
        <f t="shared" si="37"/>
        <v>24</v>
      </c>
      <c r="Z216" s="36">
        <f>IFERROR(IF(Y216=0,"",ROUNDUP(Y216/H216,0)*0.00902),"")</f>
        <v>5.4120000000000001E-2</v>
      </c>
      <c r="AA216" s="56"/>
      <c r="AB216" s="57"/>
      <c r="AC216" s="287" t="s">
        <v>369</v>
      </c>
      <c r="AG216" s="64"/>
      <c r="AJ216" s="68"/>
      <c r="AK216" s="68">
        <v>0</v>
      </c>
      <c r="BB216" s="288" t="s">
        <v>1</v>
      </c>
      <c r="BM216" s="64">
        <f t="shared" si="38"/>
        <v>25.259999999999998</v>
      </c>
      <c r="BN216" s="64">
        <f t="shared" si="39"/>
        <v>25.259999999999998</v>
      </c>
      <c r="BO216" s="64">
        <f t="shared" si="40"/>
        <v>4.5454545454545456E-2</v>
      </c>
      <c r="BP216" s="64">
        <f t="shared" si="41"/>
        <v>4.5454545454545456E-2</v>
      </c>
    </row>
    <row r="217" spans="1:68" ht="27" hidden="1" customHeight="1" x14ac:dyDescent="0.25">
      <c r="A217" s="54" t="s">
        <v>382</v>
      </c>
      <c r="B217" s="54" t="s">
        <v>383</v>
      </c>
      <c r="C217" s="31">
        <v>4301011726</v>
      </c>
      <c r="D217" s="672">
        <v>4680115884182</v>
      </c>
      <c r="E217" s="673"/>
      <c r="F217" s="656">
        <v>0.37</v>
      </c>
      <c r="G217" s="32">
        <v>10</v>
      </c>
      <c r="H217" s="656">
        <v>3.7</v>
      </c>
      <c r="I217" s="656">
        <v>3.91</v>
      </c>
      <c r="J217" s="32">
        <v>132</v>
      </c>
      <c r="K217" s="32" t="s">
        <v>101</v>
      </c>
      <c r="L217" s="32"/>
      <c r="M217" s="33" t="s">
        <v>94</v>
      </c>
      <c r="N217" s="33"/>
      <c r="O217" s="32">
        <v>55</v>
      </c>
      <c r="P217" s="9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7" s="667"/>
      <c r="R217" s="667"/>
      <c r="S217" s="667"/>
      <c r="T217" s="668"/>
      <c r="U217" s="34"/>
      <c r="V217" s="34"/>
      <c r="W217" s="35" t="s">
        <v>69</v>
      </c>
      <c r="X217" s="657">
        <v>0</v>
      </c>
      <c r="Y217" s="658">
        <f t="shared" si="37"/>
        <v>0</v>
      </c>
      <c r="Z217" s="36" t="str">
        <f>IFERROR(IF(Y217=0,"",ROUNDUP(Y217/H217,0)*0.00902),"")</f>
        <v/>
      </c>
      <c r="AA217" s="56"/>
      <c r="AB217" s="57"/>
      <c r="AC217" s="289" t="s">
        <v>375</v>
      </c>
      <c r="AG217" s="64"/>
      <c r="AJ217" s="68"/>
      <c r="AK217" s="68">
        <v>0</v>
      </c>
      <c r="BB217" s="290" t="s">
        <v>1</v>
      </c>
      <c r="BM217" s="64">
        <f t="shared" si="38"/>
        <v>0</v>
      </c>
      <c r="BN217" s="64">
        <f t="shared" si="39"/>
        <v>0</v>
      </c>
      <c r="BO217" s="64">
        <f t="shared" si="40"/>
        <v>0</v>
      </c>
      <c r="BP217" s="64">
        <f t="shared" si="41"/>
        <v>0</v>
      </c>
    </row>
    <row r="218" spans="1:68" ht="27" customHeight="1" x14ac:dyDescent="0.25">
      <c r="A218" s="54" t="s">
        <v>384</v>
      </c>
      <c r="B218" s="54" t="s">
        <v>385</v>
      </c>
      <c r="C218" s="31">
        <v>4301011722</v>
      </c>
      <c r="D218" s="672">
        <v>4680115884205</v>
      </c>
      <c r="E218" s="673"/>
      <c r="F218" s="656">
        <v>0.4</v>
      </c>
      <c r="G218" s="32">
        <v>10</v>
      </c>
      <c r="H218" s="656">
        <v>4</v>
      </c>
      <c r="I218" s="656">
        <v>4.21</v>
      </c>
      <c r="J218" s="32">
        <v>132</v>
      </c>
      <c r="K218" s="32" t="s">
        <v>101</v>
      </c>
      <c r="L218" s="32"/>
      <c r="M218" s="33" t="s">
        <v>94</v>
      </c>
      <c r="N218" s="33"/>
      <c r="O218" s="32">
        <v>55</v>
      </c>
      <c r="P218" s="10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8" s="667"/>
      <c r="R218" s="667"/>
      <c r="S218" s="667"/>
      <c r="T218" s="668"/>
      <c r="U218" s="34"/>
      <c r="V218" s="34"/>
      <c r="W218" s="35" t="s">
        <v>69</v>
      </c>
      <c r="X218" s="657">
        <v>68</v>
      </c>
      <c r="Y218" s="658">
        <f t="shared" si="37"/>
        <v>68</v>
      </c>
      <c r="Z218" s="36">
        <f>IFERROR(IF(Y218=0,"",ROUNDUP(Y218/H218,0)*0.00902),"")</f>
        <v>0.15334</v>
      </c>
      <c r="AA218" s="56"/>
      <c r="AB218" s="57"/>
      <c r="AC218" s="291" t="s">
        <v>378</v>
      </c>
      <c r="AG218" s="64"/>
      <c r="AJ218" s="68"/>
      <c r="AK218" s="68">
        <v>0</v>
      </c>
      <c r="BB218" s="292" t="s">
        <v>1</v>
      </c>
      <c r="BM218" s="64">
        <f t="shared" si="38"/>
        <v>71.569999999999993</v>
      </c>
      <c r="BN218" s="64">
        <f t="shared" si="39"/>
        <v>71.569999999999993</v>
      </c>
      <c r="BO218" s="64">
        <f t="shared" si="40"/>
        <v>0.12878787878787878</v>
      </c>
      <c r="BP218" s="64">
        <f t="shared" si="41"/>
        <v>0.12878787878787878</v>
      </c>
    </row>
    <row r="219" spans="1:68" x14ac:dyDescent="0.2">
      <c r="A219" s="679"/>
      <c r="B219" s="680"/>
      <c r="C219" s="680"/>
      <c r="D219" s="680"/>
      <c r="E219" s="680"/>
      <c r="F219" s="680"/>
      <c r="G219" s="680"/>
      <c r="H219" s="680"/>
      <c r="I219" s="680"/>
      <c r="J219" s="680"/>
      <c r="K219" s="680"/>
      <c r="L219" s="680"/>
      <c r="M219" s="680"/>
      <c r="N219" s="680"/>
      <c r="O219" s="681"/>
      <c r="P219" s="663" t="s">
        <v>80</v>
      </c>
      <c r="Q219" s="664"/>
      <c r="R219" s="664"/>
      <c r="S219" s="664"/>
      <c r="T219" s="664"/>
      <c r="U219" s="664"/>
      <c r="V219" s="665"/>
      <c r="W219" s="37" t="s">
        <v>81</v>
      </c>
      <c r="X219" s="659">
        <f>IFERROR(X211/H211,"0")+IFERROR(X212/H212,"0")+IFERROR(X213/H213,"0")+IFERROR(X214/H214,"0")+IFERROR(X215/H215,"0")+IFERROR(X216/H216,"0")+IFERROR(X217/H217,"0")+IFERROR(X218/H218,"0")</f>
        <v>27.310344827586206</v>
      </c>
      <c r="Y219" s="659">
        <f>IFERROR(Y211/H211,"0")+IFERROR(Y212/H212,"0")+IFERROR(Y213/H213,"0")+IFERROR(Y214/H214,"0")+IFERROR(Y215/H215,"0")+IFERROR(Y216/H216,"0")+IFERROR(Y217/H217,"0")+IFERROR(Y218/H218,"0")</f>
        <v>28</v>
      </c>
      <c r="Z219" s="659">
        <f>IFERROR(IF(Z211="",0,Z211),"0")+IFERROR(IF(Z212="",0,Z212),"0")+IFERROR(IF(Z213="",0,Z213),"0")+IFERROR(IF(Z214="",0,Z214),"0")+IFERROR(IF(Z215="",0,Z215),"0")+IFERROR(IF(Z216="",0,Z216),"0")+IFERROR(IF(Z217="",0,Z217),"0")+IFERROR(IF(Z218="",0,Z218),"0")</f>
        <v>0.30235999999999996</v>
      </c>
      <c r="AA219" s="660"/>
      <c r="AB219" s="660"/>
      <c r="AC219" s="660"/>
    </row>
    <row r="220" spans="1:68" x14ac:dyDescent="0.2">
      <c r="A220" s="680"/>
      <c r="B220" s="680"/>
      <c r="C220" s="680"/>
      <c r="D220" s="680"/>
      <c r="E220" s="680"/>
      <c r="F220" s="680"/>
      <c r="G220" s="680"/>
      <c r="H220" s="680"/>
      <c r="I220" s="680"/>
      <c r="J220" s="680"/>
      <c r="K220" s="680"/>
      <c r="L220" s="680"/>
      <c r="M220" s="680"/>
      <c r="N220" s="680"/>
      <c r="O220" s="681"/>
      <c r="P220" s="663" t="s">
        <v>80</v>
      </c>
      <c r="Q220" s="664"/>
      <c r="R220" s="664"/>
      <c r="S220" s="664"/>
      <c r="T220" s="664"/>
      <c r="U220" s="664"/>
      <c r="V220" s="665"/>
      <c r="W220" s="37" t="s">
        <v>69</v>
      </c>
      <c r="X220" s="659">
        <f>IFERROR(SUM(X211:X218),"0")</f>
        <v>142</v>
      </c>
      <c r="Y220" s="659">
        <f>IFERROR(SUM(Y211:Y218),"0")</f>
        <v>150</v>
      </c>
      <c r="Z220" s="37"/>
      <c r="AA220" s="660"/>
      <c r="AB220" s="660"/>
      <c r="AC220" s="660"/>
    </row>
    <row r="221" spans="1:68" ht="14.25" hidden="1" customHeight="1" x14ac:dyDescent="0.25">
      <c r="A221" s="682" t="s">
        <v>133</v>
      </c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0"/>
      <c r="P221" s="680"/>
      <c r="Q221" s="680"/>
      <c r="R221" s="680"/>
      <c r="S221" s="680"/>
      <c r="T221" s="680"/>
      <c r="U221" s="680"/>
      <c r="V221" s="680"/>
      <c r="W221" s="680"/>
      <c r="X221" s="680"/>
      <c r="Y221" s="680"/>
      <c r="Z221" s="680"/>
      <c r="AA221" s="653"/>
      <c r="AB221" s="653"/>
      <c r="AC221" s="653"/>
    </row>
    <row r="222" spans="1:68" ht="27" hidden="1" customHeight="1" x14ac:dyDescent="0.25">
      <c r="A222" s="54" t="s">
        <v>386</v>
      </c>
      <c r="B222" s="54" t="s">
        <v>387</v>
      </c>
      <c r="C222" s="31">
        <v>4301020377</v>
      </c>
      <c r="D222" s="672">
        <v>4680115885981</v>
      </c>
      <c r="E222" s="673"/>
      <c r="F222" s="656">
        <v>0.33</v>
      </c>
      <c r="G222" s="32">
        <v>6</v>
      </c>
      <c r="H222" s="656">
        <v>1.98</v>
      </c>
      <c r="I222" s="656">
        <v>2.08</v>
      </c>
      <c r="J222" s="32">
        <v>234</v>
      </c>
      <c r="K222" s="32" t="s">
        <v>149</v>
      </c>
      <c r="L222" s="32"/>
      <c r="M222" s="33" t="s">
        <v>103</v>
      </c>
      <c r="N222" s="33"/>
      <c r="O222" s="32">
        <v>50</v>
      </c>
      <c r="P222" s="918" t="s">
        <v>388</v>
      </c>
      <c r="Q222" s="667"/>
      <c r="R222" s="667"/>
      <c r="S222" s="667"/>
      <c r="T222" s="668"/>
      <c r="U222" s="34"/>
      <c r="V222" s="34"/>
      <c r="W222" s="35" t="s">
        <v>69</v>
      </c>
      <c r="X222" s="657">
        <v>0</v>
      </c>
      <c r="Y222" s="658">
        <f>IFERROR(IF(X222="",0,CEILING((X222/$H222),1)*$H222),"")</f>
        <v>0</v>
      </c>
      <c r="Z222" s="36" t="str">
        <f>IFERROR(IF(Y222=0,"",ROUNDUP(Y222/H222,0)*0.00502),"")</f>
        <v/>
      </c>
      <c r="AA222" s="56"/>
      <c r="AB222" s="57"/>
      <c r="AC222" s="293" t="s">
        <v>389</v>
      </c>
      <c r="AG222" s="64"/>
      <c r="AJ222" s="68"/>
      <c r="AK222" s="68">
        <v>0</v>
      </c>
      <c r="BB222" s="294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27" hidden="1" customHeight="1" x14ac:dyDescent="0.25">
      <c r="A223" s="54" t="s">
        <v>386</v>
      </c>
      <c r="B223" s="54" t="s">
        <v>390</v>
      </c>
      <c r="C223" s="31">
        <v>4301020340</v>
      </c>
      <c r="D223" s="672">
        <v>4680115885721</v>
      </c>
      <c r="E223" s="673"/>
      <c r="F223" s="656">
        <v>0.33</v>
      </c>
      <c r="G223" s="32">
        <v>6</v>
      </c>
      <c r="H223" s="656">
        <v>1.98</v>
      </c>
      <c r="I223" s="656">
        <v>2.08</v>
      </c>
      <c r="J223" s="32">
        <v>234</v>
      </c>
      <c r="K223" s="32" t="s">
        <v>149</v>
      </c>
      <c r="L223" s="32"/>
      <c r="M223" s="33" t="s">
        <v>103</v>
      </c>
      <c r="N223" s="33"/>
      <c r="O223" s="32">
        <v>50</v>
      </c>
      <c r="P22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23" s="667"/>
      <c r="R223" s="667"/>
      <c r="S223" s="667"/>
      <c r="T223" s="668"/>
      <c r="U223" s="34"/>
      <c r="V223" s="34"/>
      <c r="W223" s="35" t="s">
        <v>69</v>
      </c>
      <c r="X223" s="657">
        <v>0</v>
      </c>
      <c r="Y223" s="658">
        <f>IFERROR(IF(X223="",0,CEILING((X223/$H223),1)*$H223),"")</f>
        <v>0</v>
      </c>
      <c r="Z223" s="36" t="str">
        <f>IFERROR(IF(Y223=0,"",ROUNDUP(Y223/H223,0)*0.00502),"")</f>
        <v/>
      </c>
      <c r="AA223" s="56"/>
      <c r="AB223" s="57"/>
      <c r="AC223" s="295" t="s">
        <v>389</v>
      </c>
      <c r="AG223" s="64"/>
      <c r="AJ223" s="68"/>
      <c r="AK223" s="68">
        <v>0</v>
      </c>
      <c r="BB223" s="296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idden="1" x14ac:dyDescent="0.2">
      <c r="A224" s="679"/>
      <c r="B224" s="680"/>
      <c r="C224" s="680"/>
      <c r="D224" s="680"/>
      <c r="E224" s="680"/>
      <c r="F224" s="680"/>
      <c r="G224" s="680"/>
      <c r="H224" s="680"/>
      <c r="I224" s="680"/>
      <c r="J224" s="680"/>
      <c r="K224" s="680"/>
      <c r="L224" s="680"/>
      <c r="M224" s="680"/>
      <c r="N224" s="680"/>
      <c r="O224" s="681"/>
      <c r="P224" s="663" t="s">
        <v>80</v>
      </c>
      <c r="Q224" s="664"/>
      <c r="R224" s="664"/>
      <c r="S224" s="664"/>
      <c r="T224" s="664"/>
      <c r="U224" s="664"/>
      <c r="V224" s="665"/>
      <c r="W224" s="37" t="s">
        <v>81</v>
      </c>
      <c r="X224" s="659">
        <f>IFERROR(X222/H222,"0")+IFERROR(X223/H223,"0")</f>
        <v>0</v>
      </c>
      <c r="Y224" s="659">
        <f>IFERROR(Y222/H222,"0")+IFERROR(Y223/H223,"0")</f>
        <v>0</v>
      </c>
      <c r="Z224" s="659">
        <f>IFERROR(IF(Z222="",0,Z222),"0")+IFERROR(IF(Z223="",0,Z223),"0")</f>
        <v>0</v>
      </c>
      <c r="AA224" s="660"/>
      <c r="AB224" s="660"/>
      <c r="AC224" s="660"/>
    </row>
    <row r="225" spans="1:68" hidden="1" x14ac:dyDescent="0.2">
      <c r="A225" s="680"/>
      <c r="B225" s="680"/>
      <c r="C225" s="680"/>
      <c r="D225" s="680"/>
      <c r="E225" s="680"/>
      <c r="F225" s="680"/>
      <c r="G225" s="680"/>
      <c r="H225" s="680"/>
      <c r="I225" s="680"/>
      <c r="J225" s="680"/>
      <c r="K225" s="680"/>
      <c r="L225" s="680"/>
      <c r="M225" s="680"/>
      <c r="N225" s="680"/>
      <c r="O225" s="681"/>
      <c r="P225" s="663" t="s">
        <v>80</v>
      </c>
      <c r="Q225" s="664"/>
      <c r="R225" s="664"/>
      <c r="S225" s="664"/>
      <c r="T225" s="664"/>
      <c r="U225" s="664"/>
      <c r="V225" s="665"/>
      <c r="W225" s="37" t="s">
        <v>69</v>
      </c>
      <c r="X225" s="659">
        <f>IFERROR(SUM(X222:X223),"0")</f>
        <v>0</v>
      </c>
      <c r="Y225" s="659">
        <f>IFERROR(SUM(Y222:Y223),"0")</f>
        <v>0</v>
      </c>
      <c r="Z225" s="37"/>
      <c r="AA225" s="660"/>
      <c r="AB225" s="660"/>
      <c r="AC225" s="660"/>
    </row>
    <row r="226" spans="1:68" ht="16.5" hidden="1" customHeight="1" x14ac:dyDescent="0.25">
      <c r="A226" s="688" t="s">
        <v>391</v>
      </c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0"/>
      <c r="P226" s="680"/>
      <c r="Q226" s="680"/>
      <c r="R226" s="680"/>
      <c r="S226" s="680"/>
      <c r="T226" s="680"/>
      <c r="U226" s="680"/>
      <c r="V226" s="680"/>
      <c r="W226" s="680"/>
      <c r="X226" s="680"/>
      <c r="Y226" s="680"/>
      <c r="Z226" s="680"/>
      <c r="AA226" s="652"/>
      <c r="AB226" s="652"/>
      <c r="AC226" s="652"/>
    </row>
    <row r="227" spans="1:68" ht="14.25" hidden="1" customHeight="1" x14ac:dyDescent="0.25">
      <c r="A227" s="682" t="s">
        <v>90</v>
      </c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0"/>
      <c r="P227" s="680"/>
      <c r="Q227" s="680"/>
      <c r="R227" s="680"/>
      <c r="S227" s="680"/>
      <c r="T227" s="680"/>
      <c r="U227" s="680"/>
      <c r="V227" s="680"/>
      <c r="W227" s="680"/>
      <c r="X227" s="680"/>
      <c r="Y227" s="680"/>
      <c r="Z227" s="680"/>
      <c r="AA227" s="653"/>
      <c r="AB227" s="653"/>
      <c r="AC227" s="653"/>
    </row>
    <row r="228" spans="1:68" ht="27" hidden="1" customHeight="1" x14ac:dyDescent="0.25">
      <c r="A228" s="54" t="s">
        <v>392</v>
      </c>
      <c r="B228" s="54" t="s">
        <v>393</v>
      </c>
      <c r="C228" s="31">
        <v>4301011855</v>
      </c>
      <c r="D228" s="672">
        <v>4680115885837</v>
      </c>
      <c r="E228" s="673"/>
      <c r="F228" s="656">
        <v>1.35</v>
      </c>
      <c r="G228" s="32">
        <v>8</v>
      </c>
      <c r="H228" s="656">
        <v>10.8</v>
      </c>
      <c r="I228" s="656">
        <v>11.234999999999999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28" s="667"/>
      <c r="R228" s="667"/>
      <c r="S228" s="667"/>
      <c r="T228" s="668"/>
      <c r="U228" s="34"/>
      <c r="V228" s="34"/>
      <c r="W228" s="35" t="s">
        <v>69</v>
      </c>
      <c r="X228" s="657">
        <v>0</v>
      </c>
      <c r="Y228" s="658">
        <f t="shared" ref="Y228:Y233" si="42">IFERROR(IF(X228="",0,CEILING((X228/$H228),1)*$H228),"")</f>
        <v>0</v>
      </c>
      <c r="Z228" s="36" t="str">
        <f>IFERROR(IF(Y228=0,"",ROUNDUP(Y228/H228,0)*0.01898),"")</f>
        <v/>
      </c>
      <c r="AA228" s="56"/>
      <c r="AB228" s="57"/>
      <c r="AC228" s="297" t="s">
        <v>394</v>
      </c>
      <c r="AG228" s="64"/>
      <c r="AJ228" s="68"/>
      <c r="AK228" s="68">
        <v>0</v>
      </c>
      <c r="BB228" s="298" t="s">
        <v>1</v>
      </c>
      <c r="BM228" s="64">
        <f t="shared" ref="BM228:BM233" si="43">IFERROR(X228*I228/H228,"0")</f>
        <v>0</v>
      </c>
      <c r="BN228" s="64">
        <f t="shared" ref="BN228:BN233" si="44">IFERROR(Y228*I228/H228,"0")</f>
        <v>0</v>
      </c>
      <c r="BO228" s="64">
        <f t="shared" ref="BO228:BO233" si="45">IFERROR(1/J228*(X228/H228),"0")</f>
        <v>0</v>
      </c>
      <c r="BP228" s="64">
        <f t="shared" ref="BP228:BP233" si="46">IFERROR(1/J228*(Y228/H228),"0")</f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4301011850</v>
      </c>
      <c r="D229" s="672">
        <v>4680115885806</v>
      </c>
      <c r="E229" s="673"/>
      <c r="F229" s="656">
        <v>1.35</v>
      </c>
      <c r="G229" s="32">
        <v>8</v>
      </c>
      <c r="H229" s="656">
        <v>10.8</v>
      </c>
      <c r="I229" s="656">
        <v>11.234999999999999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29" s="667"/>
      <c r="R229" s="667"/>
      <c r="S229" s="667"/>
      <c r="T229" s="668"/>
      <c r="U229" s="34"/>
      <c r="V229" s="34"/>
      <c r="W229" s="35" t="s">
        <v>69</v>
      </c>
      <c r="X229" s="657">
        <v>0</v>
      </c>
      <c r="Y229" s="658">
        <f t="shared" si="42"/>
        <v>0</v>
      </c>
      <c r="Z229" s="36" t="str">
        <f>IFERROR(IF(Y229=0,"",ROUNDUP(Y229/H229,0)*0.01898),"")</f>
        <v/>
      </c>
      <c r="AA229" s="56"/>
      <c r="AB229" s="57"/>
      <c r="AC229" s="299" t="s">
        <v>397</v>
      </c>
      <c r="AG229" s="64"/>
      <c r="AJ229" s="68"/>
      <c r="AK229" s="68">
        <v>0</v>
      </c>
      <c r="BB229" s="300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395</v>
      </c>
      <c r="B230" s="54" t="s">
        <v>398</v>
      </c>
      <c r="C230" s="31">
        <v>4301011910</v>
      </c>
      <c r="D230" s="672">
        <v>4680115885806</v>
      </c>
      <c r="E230" s="673"/>
      <c r="F230" s="656">
        <v>1.35</v>
      </c>
      <c r="G230" s="32">
        <v>8</v>
      </c>
      <c r="H230" s="656">
        <v>10.8</v>
      </c>
      <c r="I230" s="656">
        <v>11.28</v>
      </c>
      <c r="J230" s="32">
        <v>48</v>
      </c>
      <c r="K230" s="32" t="s">
        <v>93</v>
      </c>
      <c r="L230" s="32"/>
      <c r="M230" s="33" t="s">
        <v>371</v>
      </c>
      <c r="N230" s="33"/>
      <c r="O230" s="32">
        <v>55</v>
      </c>
      <c r="P230" s="75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0" s="667"/>
      <c r="R230" s="667"/>
      <c r="S230" s="667"/>
      <c r="T230" s="668"/>
      <c r="U230" s="34"/>
      <c r="V230" s="34"/>
      <c r="W230" s="35" t="s">
        <v>69</v>
      </c>
      <c r="X230" s="657">
        <v>0</v>
      </c>
      <c r="Y230" s="658">
        <f t="shared" si="42"/>
        <v>0</v>
      </c>
      <c r="Z230" s="36" t="str">
        <f>IFERROR(IF(Y230=0,"",ROUNDUP(Y230/H230,0)*0.02039),"")</f>
        <v/>
      </c>
      <c r="AA230" s="56"/>
      <c r="AB230" s="57"/>
      <c r="AC230" s="301" t="s">
        <v>399</v>
      </c>
      <c r="AG230" s="64"/>
      <c r="AJ230" s="68"/>
      <c r="AK230" s="68">
        <v>0</v>
      </c>
      <c r="BB230" s="302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4301011853</v>
      </c>
      <c r="D231" s="672">
        <v>4680115885851</v>
      </c>
      <c r="E231" s="673"/>
      <c r="F231" s="656">
        <v>1.35</v>
      </c>
      <c r="G231" s="32">
        <v>8</v>
      </c>
      <c r="H231" s="656">
        <v>10.8</v>
      </c>
      <c r="I231" s="656">
        <v>11.234999999999999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1" s="667"/>
      <c r="R231" s="667"/>
      <c r="S231" s="667"/>
      <c r="T231" s="668"/>
      <c r="U231" s="34"/>
      <c r="V231" s="34"/>
      <c r="W231" s="35" t="s">
        <v>69</v>
      </c>
      <c r="X231" s="657">
        <v>0</v>
      </c>
      <c r="Y231" s="658">
        <f t="shared" si="42"/>
        <v>0</v>
      </c>
      <c r="Z231" s="36" t="str">
        <f>IFERROR(IF(Y231=0,"",ROUNDUP(Y231/H231,0)*0.01898),"")</f>
        <v/>
      </c>
      <c r="AA231" s="56"/>
      <c r="AB231" s="57"/>
      <c r="AC231" s="303" t="s">
        <v>402</v>
      </c>
      <c r="AG231" s="64"/>
      <c r="AJ231" s="68"/>
      <c r="AK231" s="68">
        <v>0</v>
      </c>
      <c r="BB231" s="304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4301011852</v>
      </c>
      <c r="D232" s="672">
        <v>4680115885844</v>
      </c>
      <c r="E232" s="673"/>
      <c r="F232" s="656">
        <v>0.4</v>
      </c>
      <c r="G232" s="32">
        <v>10</v>
      </c>
      <c r="H232" s="656">
        <v>4</v>
      </c>
      <c r="I232" s="656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8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2" s="667"/>
      <c r="R232" s="667"/>
      <c r="S232" s="667"/>
      <c r="T232" s="668"/>
      <c r="U232" s="34"/>
      <c r="V232" s="34"/>
      <c r="W232" s="35" t="s">
        <v>69</v>
      </c>
      <c r="X232" s="657">
        <v>0</v>
      </c>
      <c r="Y232" s="658">
        <f t="shared" si="42"/>
        <v>0</v>
      </c>
      <c r="Z232" s="36" t="str">
        <f>IFERROR(IF(Y232=0,"",ROUNDUP(Y232/H232,0)*0.00902),"")</f>
        <v/>
      </c>
      <c r="AA232" s="56"/>
      <c r="AB232" s="57"/>
      <c r="AC232" s="305" t="s">
        <v>405</v>
      </c>
      <c r="AG232" s="64"/>
      <c r="AJ232" s="68"/>
      <c r="AK232" s="68">
        <v>0</v>
      </c>
      <c r="BB232" s="30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4301011851</v>
      </c>
      <c r="D233" s="672">
        <v>4680115885820</v>
      </c>
      <c r="E233" s="673"/>
      <c r="F233" s="656">
        <v>0.4</v>
      </c>
      <c r="G233" s="32">
        <v>10</v>
      </c>
      <c r="H233" s="656">
        <v>4</v>
      </c>
      <c r="I233" s="656">
        <v>4.21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3" s="667"/>
      <c r="R233" s="667"/>
      <c r="S233" s="667"/>
      <c r="T233" s="668"/>
      <c r="U233" s="34"/>
      <c r="V233" s="34"/>
      <c r="W233" s="35" t="s">
        <v>69</v>
      </c>
      <c r="X233" s="657">
        <v>0</v>
      </c>
      <c r="Y233" s="658">
        <f t="shared" si="42"/>
        <v>0</v>
      </c>
      <c r="Z233" s="36" t="str">
        <f>IFERROR(IF(Y233=0,"",ROUNDUP(Y233/H233,0)*0.00902),"")</f>
        <v/>
      </c>
      <c r="AA233" s="56"/>
      <c r="AB233" s="57"/>
      <c r="AC233" s="307" t="s">
        <v>408</v>
      </c>
      <c r="AG233" s="64"/>
      <c r="AJ233" s="68"/>
      <c r="AK233" s="68">
        <v>0</v>
      </c>
      <c r="BB233" s="308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idden="1" x14ac:dyDescent="0.2">
      <c r="A234" s="679"/>
      <c r="B234" s="680"/>
      <c r="C234" s="680"/>
      <c r="D234" s="680"/>
      <c r="E234" s="680"/>
      <c r="F234" s="680"/>
      <c r="G234" s="680"/>
      <c r="H234" s="680"/>
      <c r="I234" s="680"/>
      <c r="J234" s="680"/>
      <c r="K234" s="680"/>
      <c r="L234" s="680"/>
      <c r="M234" s="680"/>
      <c r="N234" s="680"/>
      <c r="O234" s="681"/>
      <c r="P234" s="663" t="s">
        <v>80</v>
      </c>
      <c r="Q234" s="664"/>
      <c r="R234" s="664"/>
      <c r="S234" s="664"/>
      <c r="T234" s="664"/>
      <c r="U234" s="664"/>
      <c r="V234" s="665"/>
      <c r="W234" s="37" t="s">
        <v>81</v>
      </c>
      <c r="X234" s="659">
        <f>IFERROR(X228/H228,"0")+IFERROR(X229/H229,"0")+IFERROR(X230/H230,"0")+IFERROR(X231/H231,"0")+IFERROR(X232/H232,"0")+IFERROR(X233/H233,"0")</f>
        <v>0</v>
      </c>
      <c r="Y234" s="659">
        <f>IFERROR(Y228/H228,"0")+IFERROR(Y229/H229,"0")+IFERROR(Y230/H230,"0")+IFERROR(Y231/H231,"0")+IFERROR(Y232/H232,"0")+IFERROR(Y233/H233,"0")</f>
        <v>0</v>
      </c>
      <c r="Z234" s="659">
        <f>IFERROR(IF(Z228="",0,Z228),"0")+IFERROR(IF(Z229="",0,Z229),"0")+IFERROR(IF(Z230="",0,Z230),"0")+IFERROR(IF(Z231="",0,Z231),"0")+IFERROR(IF(Z232="",0,Z232),"0")+IFERROR(IF(Z233="",0,Z233),"0")</f>
        <v>0</v>
      </c>
      <c r="AA234" s="660"/>
      <c r="AB234" s="660"/>
      <c r="AC234" s="660"/>
    </row>
    <row r="235" spans="1:68" hidden="1" x14ac:dyDescent="0.2">
      <c r="A235" s="680"/>
      <c r="B235" s="680"/>
      <c r="C235" s="680"/>
      <c r="D235" s="680"/>
      <c r="E235" s="680"/>
      <c r="F235" s="680"/>
      <c r="G235" s="680"/>
      <c r="H235" s="680"/>
      <c r="I235" s="680"/>
      <c r="J235" s="680"/>
      <c r="K235" s="680"/>
      <c r="L235" s="680"/>
      <c r="M235" s="680"/>
      <c r="N235" s="680"/>
      <c r="O235" s="681"/>
      <c r="P235" s="663" t="s">
        <v>80</v>
      </c>
      <c r="Q235" s="664"/>
      <c r="R235" s="664"/>
      <c r="S235" s="664"/>
      <c r="T235" s="664"/>
      <c r="U235" s="664"/>
      <c r="V235" s="665"/>
      <c r="W235" s="37" t="s">
        <v>69</v>
      </c>
      <c r="X235" s="659">
        <f>IFERROR(SUM(X228:X233),"0")</f>
        <v>0</v>
      </c>
      <c r="Y235" s="659">
        <f>IFERROR(SUM(Y228:Y233),"0")</f>
        <v>0</v>
      </c>
      <c r="Z235" s="37"/>
      <c r="AA235" s="660"/>
      <c r="AB235" s="660"/>
      <c r="AC235" s="660"/>
    </row>
    <row r="236" spans="1:68" ht="16.5" hidden="1" customHeight="1" x14ac:dyDescent="0.25">
      <c r="A236" s="688" t="s">
        <v>409</v>
      </c>
      <c r="B236" s="680"/>
      <c r="C236" s="680"/>
      <c r="D236" s="680"/>
      <c r="E236" s="680"/>
      <c r="F236" s="680"/>
      <c r="G236" s="680"/>
      <c r="H236" s="680"/>
      <c r="I236" s="680"/>
      <c r="J236" s="680"/>
      <c r="K236" s="680"/>
      <c r="L236" s="680"/>
      <c r="M236" s="680"/>
      <c r="N236" s="680"/>
      <c r="O236" s="680"/>
      <c r="P236" s="680"/>
      <c r="Q236" s="680"/>
      <c r="R236" s="680"/>
      <c r="S236" s="680"/>
      <c r="T236" s="680"/>
      <c r="U236" s="680"/>
      <c r="V236" s="680"/>
      <c r="W236" s="680"/>
      <c r="X236" s="680"/>
      <c r="Y236" s="680"/>
      <c r="Z236" s="680"/>
      <c r="AA236" s="652"/>
      <c r="AB236" s="652"/>
      <c r="AC236" s="652"/>
    </row>
    <row r="237" spans="1:68" ht="14.25" hidden="1" customHeight="1" x14ac:dyDescent="0.25">
      <c r="A237" s="682" t="s">
        <v>90</v>
      </c>
      <c r="B237" s="680"/>
      <c r="C237" s="680"/>
      <c r="D237" s="680"/>
      <c r="E237" s="680"/>
      <c r="F237" s="680"/>
      <c r="G237" s="680"/>
      <c r="H237" s="680"/>
      <c r="I237" s="680"/>
      <c r="J237" s="680"/>
      <c r="K237" s="680"/>
      <c r="L237" s="680"/>
      <c r="M237" s="680"/>
      <c r="N237" s="680"/>
      <c r="O237" s="680"/>
      <c r="P237" s="680"/>
      <c r="Q237" s="680"/>
      <c r="R237" s="680"/>
      <c r="S237" s="680"/>
      <c r="T237" s="680"/>
      <c r="U237" s="680"/>
      <c r="V237" s="680"/>
      <c r="W237" s="680"/>
      <c r="X237" s="680"/>
      <c r="Y237" s="680"/>
      <c r="Z237" s="680"/>
      <c r="AA237" s="653"/>
      <c r="AB237" s="653"/>
      <c r="AC237" s="653"/>
    </row>
    <row r="238" spans="1:68" ht="37.5" hidden="1" customHeight="1" x14ac:dyDescent="0.25">
      <c r="A238" s="54" t="s">
        <v>410</v>
      </c>
      <c r="B238" s="54" t="s">
        <v>411</v>
      </c>
      <c r="C238" s="31">
        <v>4301011876</v>
      </c>
      <c r="D238" s="672">
        <v>4680115885707</v>
      </c>
      <c r="E238" s="673"/>
      <c r="F238" s="656">
        <v>0.9</v>
      </c>
      <c r="G238" s="32">
        <v>10</v>
      </c>
      <c r="H238" s="656">
        <v>9</v>
      </c>
      <c r="I238" s="656">
        <v>9.4350000000000005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31</v>
      </c>
      <c r="P238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38" s="667"/>
      <c r="R238" s="667"/>
      <c r="S238" s="667"/>
      <c r="T238" s="668"/>
      <c r="U238" s="34"/>
      <c r="V238" s="34"/>
      <c r="W238" s="35" t="s">
        <v>69</v>
      </c>
      <c r="X238" s="657">
        <v>0</v>
      </c>
      <c r="Y238" s="65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09" t="s">
        <v>412</v>
      </c>
      <c r="AG238" s="64"/>
      <c r="AJ238" s="68"/>
      <c r="AK238" s="68">
        <v>0</v>
      </c>
      <c r="BB238" s="31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79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63" t="s">
        <v>80</v>
      </c>
      <c r="Q239" s="664"/>
      <c r="R239" s="664"/>
      <c r="S239" s="664"/>
      <c r="T239" s="664"/>
      <c r="U239" s="664"/>
      <c r="V239" s="665"/>
      <c r="W239" s="37" t="s">
        <v>81</v>
      </c>
      <c r="X239" s="659">
        <f>IFERROR(X238/H238,"0")</f>
        <v>0</v>
      </c>
      <c r="Y239" s="659">
        <f>IFERROR(Y238/H238,"0")</f>
        <v>0</v>
      </c>
      <c r="Z239" s="659">
        <f>IFERROR(IF(Z238="",0,Z238),"0")</f>
        <v>0</v>
      </c>
      <c r="AA239" s="660"/>
      <c r="AB239" s="660"/>
      <c r="AC239" s="660"/>
    </row>
    <row r="240" spans="1:68" hidden="1" x14ac:dyDescent="0.2">
      <c r="A240" s="680"/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1"/>
      <c r="P240" s="663" t="s">
        <v>80</v>
      </c>
      <c r="Q240" s="664"/>
      <c r="R240" s="664"/>
      <c r="S240" s="664"/>
      <c r="T240" s="664"/>
      <c r="U240" s="664"/>
      <c r="V240" s="665"/>
      <c r="W240" s="37" t="s">
        <v>69</v>
      </c>
      <c r="X240" s="659">
        <f>IFERROR(SUM(X238:X238),"0")</f>
        <v>0</v>
      </c>
      <c r="Y240" s="659">
        <f>IFERROR(SUM(Y238:Y238),"0")</f>
        <v>0</v>
      </c>
      <c r="Z240" s="37"/>
      <c r="AA240" s="660"/>
      <c r="AB240" s="660"/>
      <c r="AC240" s="660"/>
    </row>
    <row r="241" spans="1:68" ht="16.5" hidden="1" customHeight="1" x14ac:dyDescent="0.25">
      <c r="A241" s="688" t="s">
        <v>413</v>
      </c>
      <c r="B241" s="680"/>
      <c r="C241" s="680"/>
      <c r="D241" s="680"/>
      <c r="E241" s="680"/>
      <c r="F241" s="680"/>
      <c r="G241" s="680"/>
      <c r="H241" s="680"/>
      <c r="I241" s="680"/>
      <c r="J241" s="680"/>
      <c r="K241" s="680"/>
      <c r="L241" s="680"/>
      <c r="M241" s="680"/>
      <c r="N241" s="680"/>
      <c r="O241" s="680"/>
      <c r="P241" s="680"/>
      <c r="Q241" s="680"/>
      <c r="R241" s="680"/>
      <c r="S241" s="680"/>
      <c r="T241" s="680"/>
      <c r="U241" s="680"/>
      <c r="V241" s="680"/>
      <c r="W241" s="680"/>
      <c r="X241" s="680"/>
      <c r="Y241" s="680"/>
      <c r="Z241" s="680"/>
      <c r="AA241" s="652"/>
      <c r="AB241" s="652"/>
      <c r="AC241" s="652"/>
    </row>
    <row r="242" spans="1:68" ht="14.25" hidden="1" customHeight="1" x14ac:dyDescent="0.25">
      <c r="A242" s="682" t="s">
        <v>90</v>
      </c>
      <c r="B242" s="680"/>
      <c r="C242" s="680"/>
      <c r="D242" s="680"/>
      <c r="E242" s="680"/>
      <c r="F242" s="680"/>
      <c r="G242" s="680"/>
      <c r="H242" s="680"/>
      <c r="I242" s="680"/>
      <c r="J242" s="680"/>
      <c r="K242" s="680"/>
      <c r="L242" s="680"/>
      <c r="M242" s="680"/>
      <c r="N242" s="680"/>
      <c r="O242" s="680"/>
      <c r="P242" s="680"/>
      <c r="Q242" s="680"/>
      <c r="R242" s="680"/>
      <c r="S242" s="680"/>
      <c r="T242" s="680"/>
      <c r="U242" s="680"/>
      <c r="V242" s="680"/>
      <c r="W242" s="680"/>
      <c r="X242" s="680"/>
      <c r="Y242" s="680"/>
      <c r="Z242" s="680"/>
      <c r="AA242" s="653"/>
      <c r="AB242" s="653"/>
      <c r="AC242" s="653"/>
    </row>
    <row r="243" spans="1:68" ht="27" hidden="1" customHeight="1" x14ac:dyDescent="0.25">
      <c r="A243" s="54" t="s">
        <v>414</v>
      </c>
      <c r="B243" s="54" t="s">
        <v>415</v>
      </c>
      <c r="C243" s="31">
        <v>4301011223</v>
      </c>
      <c r="D243" s="672">
        <v>4607091383423</v>
      </c>
      <c r="E243" s="673"/>
      <c r="F243" s="656">
        <v>1.35</v>
      </c>
      <c r="G243" s="32">
        <v>8</v>
      </c>
      <c r="H243" s="656">
        <v>10.8</v>
      </c>
      <c r="I243" s="656">
        <v>11.331</v>
      </c>
      <c r="J243" s="32">
        <v>64</v>
      </c>
      <c r="K243" s="32" t="s">
        <v>93</v>
      </c>
      <c r="L243" s="32"/>
      <c r="M243" s="33" t="s">
        <v>103</v>
      </c>
      <c r="N243" s="33"/>
      <c r="O243" s="32">
        <v>35</v>
      </c>
      <c r="P243" s="100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67"/>
      <c r="R243" s="667"/>
      <c r="S243" s="667"/>
      <c r="T243" s="668"/>
      <c r="U243" s="34"/>
      <c r="V243" s="34"/>
      <c r="W243" s="35" t="s">
        <v>69</v>
      </c>
      <c r="X243" s="657">
        <v>0</v>
      </c>
      <c r="Y243" s="658">
        <f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1" t="s">
        <v>95</v>
      </c>
      <c r="AG243" s="64"/>
      <c r="AJ243" s="68"/>
      <c r="AK243" s="68">
        <v>0</v>
      </c>
      <c r="BB243" s="31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37.5" hidden="1" customHeight="1" x14ac:dyDescent="0.25">
      <c r="A244" s="54" t="s">
        <v>416</v>
      </c>
      <c r="B244" s="54" t="s">
        <v>417</v>
      </c>
      <c r="C244" s="31">
        <v>4301012099</v>
      </c>
      <c r="D244" s="672">
        <v>4680115885691</v>
      </c>
      <c r="E244" s="673"/>
      <c r="F244" s="656">
        <v>1.35</v>
      </c>
      <c r="G244" s="32">
        <v>8</v>
      </c>
      <c r="H244" s="656">
        <v>10.8</v>
      </c>
      <c r="I244" s="656">
        <v>11.234999999999999</v>
      </c>
      <c r="J244" s="32">
        <v>64</v>
      </c>
      <c r="K244" s="32" t="s">
        <v>93</v>
      </c>
      <c r="L244" s="32"/>
      <c r="M244" s="33" t="s">
        <v>103</v>
      </c>
      <c r="N244" s="33"/>
      <c r="O244" s="32">
        <v>30</v>
      </c>
      <c r="P244" s="6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44" s="667"/>
      <c r="R244" s="667"/>
      <c r="S244" s="667"/>
      <c r="T244" s="668"/>
      <c r="U244" s="34"/>
      <c r="V244" s="34"/>
      <c r="W244" s="35" t="s">
        <v>69</v>
      </c>
      <c r="X244" s="657">
        <v>0</v>
      </c>
      <c r="Y244" s="658">
        <f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13" t="s">
        <v>418</v>
      </c>
      <c r="AG244" s="64"/>
      <c r="AJ244" s="68"/>
      <c r="AK244" s="68">
        <v>0</v>
      </c>
      <c r="BB244" s="31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4301012098</v>
      </c>
      <c r="D245" s="672">
        <v>4680115885660</v>
      </c>
      <c r="E245" s="673"/>
      <c r="F245" s="656">
        <v>1.35</v>
      </c>
      <c r="G245" s="32">
        <v>8</v>
      </c>
      <c r="H245" s="656">
        <v>10.8</v>
      </c>
      <c r="I245" s="656">
        <v>11.234999999999999</v>
      </c>
      <c r="J245" s="32">
        <v>64</v>
      </c>
      <c r="K245" s="32" t="s">
        <v>93</v>
      </c>
      <c r="L245" s="32"/>
      <c r="M245" s="33" t="s">
        <v>103</v>
      </c>
      <c r="N245" s="33"/>
      <c r="O245" s="32">
        <v>35</v>
      </c>
      <c r="P245" s="7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67"/>
      <c r="R245" s="667"/>
      <c r="S245" s="667"/>
      <c r="T245" s="668"/>
      <c r="U245" s="34"/>
      <c r="V245" s="34"/>
      <c r="W245" s="35" t="s">
        <v>69</v>
      </c>
      <c r="X245" s="657">
        <v>0</v>
      </c>
      <c r="Y245" s="658">
        <f>IFERROR(IF(X245="",0,CEILING((X245/$H245),1)*$H245),"")</f>
        <v>0</v>
      </c>
      <c r="Z245" s="36" t="str">
        <f>IFERROR(IF(Y245=0,"",ROUNDUP(Y245/H245,0)*0.01898),"")</f>
        <v/>
      </c>
      <c r="AA245" s="56"/>
      <c r="AB245" s="57"/>
      <c r="AC245" s="315" t="s">
        <v>421</v>
      </c>
      <c r="AG245" s="64"/>
      <c r="AJ245" s="68"/>
      <c r="AK245" s="68">
        <v>0</v>
      </c>
      <c r="BB245" s="31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679"/>
      <c r="B246" s="680"/>
      <c r="C246" s="680"/>
      <c r="D246" s="680"/>
      <c r="E246" s="680"/>
      <c r="F246" s="680"/>
      <c r="G246" s="680"/>
      <c r="H246" s="680"/>
      <c r="I246" s="680"/>
      <c r="J246" s="680"/>
      <c r="K246" s="680"/>
      <c r="L246" s="680"/>
      <c r="M246" s="680"/>
      <c r="N246" s="680"/>
      <c r="O246" s="681"/>
      <c r="P246" s="663" t="s">
        <v>80</v>
      </c>
      <c r="Q246" s="664"/>
      <c r="R246" s="664"/>
      <c r="S246" s="664"/>
      <c r="T246" s="664"/>
      <c r="U246" s="664"/>
      <c r="V246" s="665"/>
      <c r="W246" s="37" t="s">
        <v>81</v>
      </c>
      <c r="X246" s="659">
        <f>IFERROR(X243/H243,"0")+IFERROR(X244/H244,"0")+IFERROR(X245/H245,"0")</f>
        <v>0</v>
      </c>
      <c r="Y246" s="659">
        <f>IFERROR(Y243/H243,"0")+IFERROR(Y244/H244,"0")+IFERROR(Y245/H245,"0")</f>
        <v>0</v>
      </c>
      <c r="Z246" s="659">
        <f>IFERROR(IF(Z243="",0,Z243),"0")+IFERROR(IF(Z244="",0,Z244),"0")+IFERROR(IF(Z245="",0,Z245),"0")</f>
        <v>0</v>
      </c>
      <c r="AA246" s="660"/>
      <c r="AB246" s="660"/>
      <c r="AC246" s="660"/>
    </row>
    <row r="247" spans="1:68" hidden="1" x14ac:dyDescent="0.2">
      <c r="A247" s="680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63" t="s">
        <v>80</v>
      </c>
      <c r="Q247" s="664"/>
      <c r="R247" s="664"/>
      <c r="S247" s="664"/>
      <c r="T247" s="664"/>
      <c r="U247" s="664"/>
      <c r="V247" s="665"/>
      <c r="W247" s="37" t="s">
        <v>69</v>
      </c>
      <c r="X247" s="659">
        <f>IFERROR(SUM(X243:X245),"0")</f>
        <v>0</v>
      </c>
      <c r="Y247" s="659">
        <f>IFERROR(SUM(Y243:Y245),"0")</f>
        <v>0</v>
      </c>
      <c r="Z247" s="37"/>
      <c r="AA247" s="660"/>
      <c r="AB247" s="660"/>
      <c r="AC247" s="660"/>
    </row>
    <row r="248" spans="1:68" ht="16.5" hidden="1" customHeight="1" x14ac:dyDescent="0.25">
      <c r="A248" s="688" t="s">
        <v>422</v>
      </c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0"/>
      <c r="P248" s="680"/>
      <c r="Q248" s="680"/>
      <c r="R248" s="680"/>
      <c r="S248" s="680"/>
      <c r="T248" s="680"/>
      <c r="U248" s="680"/>
      <c r="V248" s="680"/>
      <c r="W248" s="680"/>
      <c r="X248" s="680"/>
      <c r="Y248" s="680"/>
      <c r="Z248" s="680"/>
      <c r="AA248" s="652"/>
      <c r="AB248" s="652"/>
      <c r="AC248" s="652"/>
    </row>
    <row r="249" spans="1:68" ht="14.25" hidden="1" customHeight="1" x14ac:dyDescent="0.25">
      <c r="A249" s="682" t="s">
        <v>64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53"/>
      <c r="AB249" s="653"/>
      <c r="AC249" s="653"/>
    </row>
    <row r="250" spans="1:68" ht="37.5" hidden="1" customHeight="1" x14ac:dyDescent="0.25">
      <c r="A250" s="54" t="s">
        <v>423</v>
      </c>
      <c r="B250" s="54" t="s">
        <v>424</v>
      </c>
      <c r="C250" s="31">
        <v>4301051940</v>
      </c>
      <c r="D250" s="672">
        <v>4680115881037</v>
      </c>
      <c r="E250" s="673"/>
      <c r="F250" s="656">
        <v>0.84</v>
      </c>
      <c r="G250" s="32">
        <v>4</v>
      </c>
      <c r="H250" s="656">
        <v>3.36</v>
      </c>
      <c r="I250" s="656">
        <v>3.6179999999999999</v>
      </c>
      <c r="J250" s="32">
        <v>132</v>
      </c>
      <c r="K250" s="32" t="s">
        <v>101</v>
      </c>
      <c r="L250" s="32"/>
      <c r="M250" s="33" t="s">
        <v>129</v>
      </c>
      <c r="N250" s="33"/>
      <c r="O250" s="32">
        <v>40</v>
      </c>
      <c r="P250" s="7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50" s="667"/>
      <c r="R250" s="667"/>
      <c r="S250" s="667"/>
      <c r="T250" s="668"/>
      <c r="U250" s="34"/>
      <c r="V250" s="34"/>
      <c r="W250" s="35" t="s">
        <v>69</v>
      </c>
      <c r="X250" s="657">
        <v>0</v>
      </c>
      <c r="Y250" s="658">
        <f>IFERROR(IF(X250="",0,CEILING((X250/$H250),1)*$H250),"")</f>
        <v>0</v>
      </c>
      <c r="Z250" s="36" t="str">
        <f>IFERROR(IF(Y250=0,"",ROUNDUP(Y250/H250,0)*0.00902),"")</f>
        <v/>
      </c>
      <c r="AA250" s="56"/>
      <c r="AB250" s="57"/>
      <c r="AC250" s="317" t="s">
        <v>425</v>
      </c>
      <c r="AG250" s="64"/>
      <c r="AJ250" s="68"/>
      <c r="AK250" s="68">
        <v>0</v>
      </c>
      <c r="BB250" s="31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426</v>
      </c>
      <c r="B251" s="54" t="s">
        <v>427</v>
      </c>
      <c r="C251" s="31">
        <v>4301051893</v>
      </c>
      <c r="D251" s="672">
        <v>4680115886186</v>
      </c>
      <c r="E251" s="673"/>
      <c r="F251" s="656">
        <v>0.3</v>
      </c>
      <c r="G251" s="32">
        <v>6</v>
      </c>
      <c r="H251" s="656">
        <v>1.8</v>
      </c>
      <c r="I251" s="656">
        <v>1.98</v>
      </c>
      <c r="J251" s="32">
        <v>182</v>
      </c>
      <c r="K251" s="32" t="s">
        <v>67</v>
      </c>
      <c r="L251" s="32"/>
      <c r="M251" s="33" t="s">
        <v>103</v>
      </c>
      <c r="N251" s="33"/>
      <c r="O251" s="32">
        <v>45</v>
      </c>
      <c r="P251" s="9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67"/>
      <c r="R251" s="667"/>
      <c r="S251" s="667"/>
      <c r="T251" s="668"/>
      <c r="U251" s="34"/>
      <c r="V251" s="34"/>
      <c r="W251" s="35" t="s">
        <v>69</v>
      </c>
      <c r="X251" s="657">
        <v>0</v>
      </c>
      <c r="Y251" s="658">
        <f>IFERROR(IF(X251="",0,CEILING((X251/$H251),1)*$H251),"")</f>
        <v>0</v>
      </c>
      <c r="Z251" s="36" t="str">
        <f>IFERROR(IF(Y251=0,"",ROUNDUP(Y251/H251,0)*0.00651),"")</f>
        <v/>
      </c>
      <c r="AA251" s="56"/>
      <c r="AB251" s="57"/>
      <c r="AC251" s="319" t="s">
        <v>428</v>
      </c>
      <c r="AG251" s="64"/>
      <c r="AJ251" s="68"/>
      <c r="AK251" s="68">
        <v>0</v>
      </c>
      <c r="BB251" s="32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4301051795</v>
      </c>
      <c r="D252" s="672">
        <v>4680115881228</v>
      </c>
      <c r="E252" s="673"/>
      <c r="F252" s="656">
        <v>0.4</v>
      </c>
      <c r="G252" s="32">
        <v>6</v>
      </c>
      <c r="H252" s="656">
        <v>2.4</v>
      </c>
      <c r="I252" s="656">
        <v>2.6520000000000001</v>
      </c>
      <c r="J252" s="32">
        <v>182</v>
      </c>
      <c r="K252" s="32" t="s">
        <v>67</v>
      </c>
      <c r="L252" s="32"/>
      <c r="M252" s="33" t="s">
        <v>129</v>
      </c>
      <c r="N252" s="33"/>
      <c r="O252" s="32">
        <v>40</v>
      </c>
      <c r="P252" s="6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67"/>
      <c r="R252" s="667"/>
      <c r="S252" s="667"/>
      <c r="T252" s="668"/>
      <c r="U252" s="34"/>
      <c r="V252" s="34"/>
      <c r="W252" s="35" t="s">
        <v>69</v>
      </c>
      <c r="X252" s="657">
        <v>120</v>
      </c>
      <c r="Y252" s="658">
        <f>IFERROR(IF(X252="",0,CEILING((X252/$H252),1)*$H252),"")</f>
        <v>120</v>
      </c>
      <c r="Z252" s="36">
        <f>IFERROR(IF(Y252=0,"",ROUNDUP(Y252/H252,0)*0.00651),"")</f>
        <v>0.32550000000000001</v>
      </c>
      <c r="AA252" s="56"/>
      <c r="AB252" s="57"/>
      <c r="AC252" s="321" t="s">
        <v>431</v>
      </c>
      <c r="AG252" s="64"/>
      <c r="AJ252" s="68"/>
      <c r="AK252" s="68">
        <v>0</v>
      </c>
      <c r="BB252" s="322" t="s">
        <v>1</v>
      </c>
      <c r="BM252" s="64">
        <f>IFERROR(X252*I252/H252,"0")</f>
        <v>132.60000000000002</v>
      </c>
      <c r="BN252" s="64">
        <f>IFERROR(Y252*I252/H252,"0")</f>
        <v>132.60000000000002</v>
      </c>
      <c r="BO252" s="64">
        <f>IFERROR(1/J252*(X252/H252),"0")</f>
        <v>0.27472527472527475</v>
      </c>
      <c r="BP252" s="64">
        <f>IFERROR(1/J252*(Y252/H252),"0")</f>
        <v>0.27472527472527475</v>
      </c>
    </row>
    <row r="253" spans="1:68" ht="37.5" customHeight="1" x14ac:dyDescent="0.25">
      <c r="A253" s="54" t="s">
        <v>432</v>
      </c>
      <c r="B253" s="54" t="s">
        <v>433</v>
      </c>
      <c r="C253" s="31">
        <v>4301051388</v>
      </c>
      <c r="D253" s="672">
        <v>4680115881211</v>
      </c>
      <c r="E253" s="673"/>
      <c r="F253" s="656">
        <v>0.4</v>
      </c>
      <c r="G253" s="32">
        <v>6</v>
      </c>
      <c r="H253" s="656">
        <v>2.4</v>
      </c>
      <c r="I253" s="656">
        <v>2.58</v>
      </c>
      <c r="J253" s="32">
        <v>182</v>
      </c>
      <c r="K253" s="32" t="s">
        <v>67</v>
      </c>
      <c r="L253" s="32" t="s">
        <v>102</v>
      </c>
      <c r="M253" s="33" t="s">
        <v>103</v>
      </c>
      <c r="N253" s="33"/>
      <c r="O253" s="32">
        <v>45</v>
      </c>
      <c r="P253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67"/>
      <c r="R253" s="667"/>
      <c r="S253" s="667"/>
      <c r="T253" s="668"/>
      <c r="U253" s="34"/>
      <c r="V253" s="34"/>
      <c r="W253" s="35" t="s">
        <v>69</v>
      </c>
      <c r="X253" s="657">
        <v>280</v>
      </c>
      <c r="Y253" s="658">
        <f>IFERROR(IF(X253="",0,CEILING((X253/$H253),1)*$H253),"")</f>
        <v>280.8</v>
      </c>
      <c r="Z253" s="36">
        <f>IFERROR(IF(Y253=0,"",ROUNDUP(Y253/H253,0)*0.00651),"")</f>
        <v>0.76167000000000007</v>
      </c>
      <c r="AA253" s="56"/>
      <c r="AB253" s="57"/>
      <c r="AC253" s="323" t="s">
        <v>434</v>
      </c>
      <c r="AG253" s="64"/>
      <c r="AJ253" s="68" t="s">
        <v>104</v>
      </c>
      <c r="AK253" s="68">
        <v>436.8</v>
      </c>
      <c r="BB253" s="324" t="s">
        <v>1</v>
      </c>
      <c r="BM253" s="64">
        <f>IFERROR(X253*I253/H253,"0")</f>
        <v>301</v>
      </c>
      <c r="BN253" s="64">
        <f>IFERROR(Y253*I253/H253,"0")</f>
        <v>301.86</v>
      </c>
      <c r="BO253" s="64">
        <f>IFERROR(1/J253*(X253/H253),"0")</f>
        <v>0.64102564102564108</v>
      </c>
      <c r="BP253" s="64">
        <f>IFERROR(1/J253*(Y253/H253),"0")</f>
        <v>0.64285714285714302</v>
      </c>
    </row>
    <row r="254" spans="1:68" ht="37.5" hidden="1" customHeight="1" x14ac:dyDescent="0.25">
      <c r="A254" s="54" t="s">
        <v>435</v>
      </c>
      <c r="B254" s="54" t="s">
        <v>436</v>
      </c>
      <c r="C254" s="31">
        <v>4301051386</v>
      </c>
      <c r="D254" s="672">
        <v>4680115881020</v>
      </c>
      <c r="E254" s="673"/>
      <c r="F254" s="656">
        <v>0.84</v>
      </c>
      <c r="G254" s="32">
        <v>4</v>
      </c>
      <c r="H254" s="656">
        <v>3.36</v>
      </c>
      <c r="I254" s="656">
        <v>3.57</v>
      </c>
      <c r="J254" s="32">
        <v>132</v>
      </c>
      <c r="K254" s="32" t="s">
        <v>101</v>
      </c>
      <c r="L254" s="32"/>
      <c r="M254" s="33" t="s">
        <v>103</v>
      </c>
      <c r="N254" s="33"/>
      <c r="O254" s="32">
        <v>45</v>
      </c>
      <c r="P254" s="9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54" s="667"/>
      <c r="R254" s="667"/>
      <c r="S254" s="667"/>
      <c r="T254" s="668"/>
      <c r="U254" s="34"/>
      <c r="V254" s="34"/>
      <c r="W254" s="35" t="s">
        <v>69</v>
      </c>
      <c r="X254" s="657">
        <v>0</v>
      </c>
      <c r="Y254" s="6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25" t="s">
        <v>437</v>
      </c>
      <c r="AG254" s="64"/>
      <c r="AJ254" s="68"/>
      <c r="AK254" s="68">
        <v>0</v>
      </c>
      <c r="BB254" s="32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79"/>
      <c r="B255" s="680"/>
      <c r="C255" s="680"/>
      <c r="D255" s="680"/>
      <c r="E255" s="680"/>
      <c r="F255" s="680"/>
      <c r="G255" s="680"/>
      <c r="H255" s="680"/>
      <c r="I255" s="680"/>
      <c r="J255" s="680"/>
      <c r="K255" s="680"/>
      <c r="L255" s="680"/>
      <c r="M255" s="680"/>
      <c r="N255" s="680"/>
      <c r="O255" s="681"/>
      <c r="P255" s="663" t="s">
        <v>80</v>
      </c>
      <c r="Q255" s="664"/>
      <c r="R255" s="664"/>
      <c r="S255" s="664"/>
      <c r="T255" s="664"/>
      <c r="U255" s="664"/>
      <c r="V255" s="665"/>
      <c r="W255" s="37" t="s">
        <v>81</v>
      </c>
      <c r="X255" s="659">
        <f>IFERROR(X250/H250,"0")+IFERROR(X251/H251,"0")+IFERROR(X252/H252,"0")+IFERROR(X253/H253,"0")+IFERROR(X254/H254,"0")</f>
        <v>166.66666666666669</v>
      </c>
      <c r="Y255" s="659">
        <f>IFERROR(Y250/H250,"0")+IFERROR(Y251/H251,"0")+IFERROR(Y252/H252,"0")+IFERROR(Y253/H253,"0")+IFERROR(Y254/H254,"0")</f>
        <v>167</v>
      </c>
      <c r="Z255" s="659">
        <f>IFERROR(IF(Z250="",0,Z250),"0")+IFERROR(IF(Z251="",0,Z251),"0")+IFERROR(IF(Z252="",0,Z252),"0")+IFERROR(IF(Z253="",0,Z253),"0")+IFERROR(IF(Z254="",0,Z254),"0")</f>
        <v>1.08717</v>
      </c>
      <c r="AA255" s="660"/>
      <c r="AB255" s="660"/>
      <c r="AC255" s="660"/>
    </row>
    <row r="256" spans="1:68" x14ac:dyDescent="0.2">
      <c r="A256" s="680"/>
      <c r="B256" s="680"/>
      <c r="C256" s="680"/>
      <c r="D256" s="680"/>
      <c r="E256" s="680"/>
      <c r="F256" s="680"/>
      <c r="G256" s="680"/>
      <c r="H256" s="680"/>
      <c r="I256" s="680"/>
      <c r="J256" s="680"/>
      <c r="K256" s="680"/>
      <c r="L256" s="680"/>
      <c r="M256" s="680"/>
      <c r="N256" s="680"/>
      <c r="O256" s="681"/>
      <c r="P256" s="663" t="s">
        <v>80</v>
      </c>
      <c r="Q256" s="664"/>
      <c r="R256" s="664"/>
      <c r="S256" s="664"/>
      <c r="T256" s="664"/>
      <c r="U256" s="664"/>
      <c r="V256" s="665"/>
      <c r="W256" s="37" t="s">
        <v>69</v>
      </c>
      <c r="X256" s="659">
        <f>IFERROR(SUM(X250:X254),"0")</f>
        <v>400</v>
      </c>
      <c r="Y256" s="659">
        <f>IFERROR(SUM(Y250:Y254),"0")</f>
        <v>400.8</v>
      </c>
      <c r="Z256" s="37"/>
      <c r="AA256" s="660"/>
      <c r="AB256" s="660"/>
      <c r="AC256" s="660"/>
    </row>
    <row r="257" spans="1:68" ht="16.5" hidden="1" customHeight="1" x14ac:dyDescent="0.25">
      <c r="A257" s="688" t="s">
        <v>438</v>
      </c>
      <c r="B257" s="680"/>
      <c r="C257" s="680"/>
      <c r="D257" s="680"/>
      <c r="E257" s="680"/>
      <c r="F257" s="680"/>
      <c r="G257" s="680"/>
      <c r="H257" s="680"/>
      <c r="I257" s="680"/>
      <c r="J257" s="680"/>
      <c r="K257" s="680"/>
      <c r="L257" s="680"/>
      <c r="M257" s="680"/>
      <c r="N257" s="680"/>
      <c r="O257" s="680"/>
      <c r="P257" s="680"/>
      <c r="Q257" s="680"/>
      <c r="R257" s="680"/>
      <c r="S257" s="680"/>
      <c r="T257" s="680"/>
      <c r="U257" s="680"/>
      <c r="V257" s="680"/>
      <c r="W257" s="680"/>
      <c r="X257" s="680"/>
      <c r="Y257" s="680"/>
      <c r="Z257" s="680"/>
      <c r="AA257" s="652"/>
      <c r="AB257" s="652"/>
      <c r="AC257" s="652"/>
    </row>
    <row r="258" spans="1:68" ht="14.25" hidden="1" customHeight="1" x14ac:dyDescent="0.25">
      <c r="A258" s="682" t="s">
        <v>90</v>
      </c>
      <c r="B258" s="680"/>
      <c r="C258" s="680"/>
      <c r="D258" s="680"/>
      <c r="E258" s="680"/>
      <c r="F258" s="680"/>
      <c r="G258" s="680"/>
      <c r="H258" s="680"/>
      <c r="I258" s="680"/>
      <c r="J258" s="680"/>
      <c r="K258" s="680"/>
      <c r="L258" s="680"/>
      <c r="M258" s="680"/>
      <c r="N258" s="680"/>
      <c r="O258" s="680"/>
      <c r="P258" s="680"/>
      <c r="Q258" s="680"/>
      <c r="R258" s="680"/>
      <c r="S258" s="680"/>
      <c r="T258" s="680"/>
      <c r="U258" s="680"/>
      <c r="V258" s="680"/>
      <c r="W258" s="680"/>
      <c r="X258" s="680"/>
      <c r="Y258" s="680"/>
      <c r="Z258" s="680"/>
      <c r="AA258" s="653"/>
      <c r="AB258" s="653"/>
      <c r="AC258" s="653"/>
    </row>
    <row r="259" spans="1:68" ht="27" hidden="1" customHeight="1" x14ac:dyDescent="0.25">
      <c r="A259" s="54" t="s">
        <v>439</v>
      </c>
      <c r="B259" s="54" t="s">
        <v>440</v>
      </c>
      <c r="C259" s="31">
        <v>4301011306</v>
      </c>
      <c r="D259" s="672">
        <v>4607091389296</v>
      </c>
      <c r="E259" s="673"/>
      <c r="F259" s="656">
        <v>0.4</v>
      </c>
      <c r="G259" s="32">
        <v>10</v>
      </c>
      <c r="H259" s="656">
        <v>4</v>
      </c>
      <c r="I259" s="656">
        <v>4.21</v>
      </c>
      <c r="J259" s="32">
        <v>132</v>
      </c>
      <c r="K259" s="32" t="s">
        <v>101</v>
      </c>
      <c r="L259" s="32"/>
      <c r="M259" s="33" t="s">
        <v>103</v>
      </c>
      <c r="N259" s="33"/>
      <c r="O259" s="32">
        <v>45</v>
      </c>
      <c r="P259" s="7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59" s="667"/>
      <c r="R259" s="667"/>
      <c r="S259" s="667"/>
      <c r="T259" s="668"/>
      <c r="U259" s="34"/>
      <c r="V259" s="34"/>
      <c r="W259" s="35" t="s">
        <v>69</v>
      </c>
      <c r="X259" s="657">
        <v>0</v>
      </c>
      <c r="Y259" s="65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27" t="s">
        <v>441</v>
      </c>
      <c r="AG259" s="64"/>
      <c r="AJ259" s="68"/>
      <c r="AK259" s="68">
        <v>0</v>
      </c>
      <c r="BB259" s="32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679"/>
      <c r="B260" s="680"/>
      <c r="C260" s="680"/>
      <c r="D260" s="680"/>
      <c r="E260" s="680"/>
      <c r="F260" s="680"/>
      <c r="G260" s="680"/>
      <c r="H260" s="680"/>
      <c r="I260" s="680"/>
      <c r="J260" s="680"/>
      <c r="K260" s="680"/>
      <c r="L260" s="680"/>
      <c r="M260" s="680"/>
      <c r="N260" s="680"/>
      <c r="O260" s="681"/>
      <c r="P260" s="663" t="s">
        <v>80</v>
      </c>
      <c r="Q260" s="664"/>
      <c r="R260" s="664"/>
      <c r="S260" s="664"/>
      <c r="T260" s="664"/>
      <c r="U260" s="664"/>
      <c r="V260" s="665"/>
      <c r="W260" s="37" t="s">
        <v>81</v>
      </c>
      <c r="X260" s="659">
        <f>IFERROR(X259/H259,"0")</f>
        <v>0</v>
      </c>
      <c r="Y260" s="659">
        <f>IFERROR(Y259/H259,"0")</f>
        <v>0</v>
      </c>
      <c r="Z260" s="659">
        <f>IFERROR(IF(Z259="",0,Z259),"0")</f>
        <v>0</v>
      </c>
      <c r="AA260" s="660"/>
      <c r="AB260" s="660"/>
      <c r="AC260" s="660"/>
    </row>
    <row r="261" spans="1:68" hidden="1" x14ac:dyDescent="0.2">
      <c r="A261" s="680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63" t="s">
        <v>80</v>
      </c>
      <c r="Q261" s="664"/>
      <c r="R261" s="664"/>
      <c r="S261" s="664"/>
      <c r="T261" s="664"/>
      <c r="U261" s="664"/>
      <c r="V261" s="665"/>
      <c r="W261" s="37" t="s">
        <v>69</v>
      </c>
      <c r="X261" s="659">
        <f>IFERROR(SUM(X259:X259),"0")</f>
        <v>0</v>
      </c>
      <c r="Y261" s="659">
        <f>IFERROR(SUM(Y259:Y259),"0")</f>
        <v>0</v>
      </c>
      <c r="Z261" s="37"/>
      <c r="AA261" s="660"/>
      <c r="AB261" s="660"/>
      <c r="AC261" s="660"/>
    </row>
    <row r="262" spans="1:68" ht="14.25" hidden="1" customHeight="1" x14ac:dyDescent="0.25">
      <c r="A262" s="682" t="s">
        <v>146</v>
      </c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0"/>
      <c r="P262" s="680"/>
      <c r="Q262" s="680"/>
      <c r="R262" s="680"/>
      <c r="S262" s="680"/>
      <c r="T262" s="680"/>
      <c r="U262" s="680"/>
      <c r="V262" s="680"/>
      <c r="W262" s="680"/>
      <c r="X262" s="680"/>
      <c r="Y262" s="680"/>
      <c r="Z262" s="680"/>
      <c r="AA262" s="653"/>
      <c r="AB262" s="653"/>
      <c r="AC262" s="653"/>
    </row>
    <row r="263" spans="1:68" ht="27" hidden="1" customHeight="1" x14ac:dyDescent="0.25">
      <c r="A263" s="54" t="s">
        <v>442</v>
      </c>
      <c r="B263" s="54" t="s">
        <v>443</v>
      </c>
      <c r="C263" s="31">
        <v>4301031307</v>
      </c>
      <c r="D263" s="672">
        <v>4680115880344</v>
      </c>
      <c r="E263" s="673"/>
      <c r="F263" s="656">
        <v>0.28000000000000003</v>
      </c>
      <c r="G263" s="32">
        <v>6</v>
      </c>
      <c r="H263" s="656">
        <v>1.68</v>
      </c>
      <c r="I263" s="656">
        <v>1.78</v>
      </c>
      <c r="J263" s="32">
        <v>234</v>
      </c>
      <c r="K263" s="32" t="s">
        <v>149</v>
      </c>
      <c r="L263" s="32"/>
      <c r="M263" s="33" t="s">
        <v>68</v>
      </c>
      <c r="N263" s="33"/>
      <c r="O263" s="32">
        <v>40</v>
      </c>
      <c r="P263" s="9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63" s="667"/>
      <c r="R263" s="667"/>
      <c r="S263" s="667"/>
      <c r="T263" s="668"/>
      <c r="U263" s="34"/>
      <c r="V263" s="34"/>
      <c r="W263" s="35" t="s">
        <v>69</v>
      </c>
      <c r="X263" s="657">
        <v>0</v>
      </c>
      <c r="Y263" s="658">
        <f>IFERROR(IF(X263="",0,CEILING((X263/$H263),1)*$H263),"")</f>
        <v>0</v>
      </c>
      <c r="Z263" s="36" t="str">
        <f>IFERROR(IF(Y263=0,"",ROUNDUP(Y263/H263,0)*0.00502),"")</f>
        <v/>
      </c>
      <c r="AA263" s="56"/>
      <c r="AB263" s="57"/>
      <c r="AC263" s="329" t="s">
        <v>444</v>
      </c>
      <c r="AG263" s="64"/>
      <c r="AJ263" s="68"/>
      <c r="AK263" s="68">
        <v>0</v>
      </c>
      <c r="BB263" s="330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679"/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1"/>
      <c r="P264" s="663" t="s">
        <v>80</v>
      </c>
      <c r="Q264" s="664"/>
      <c r="R264" s="664"/>
      <c r="S264" s="664"/>
      <c r="T264" s="664"/>
      <c r="U264" s="664"/>
      <c r="V264" s="665"/>
      <c r="W264" s="37" t="s">
        <v>81</v>
      </c>
      <c r="X264" s="659">
        <f>IFERROR(X263/H263,"0")</f>
        <v>0</v>
      </c>
      <c r="Y264" s="659">
        <f>IFERROR(Y263/H263,"0")</f>
        <v>0</v>
      </c>
      <c r="Z264" s="659">
        <f>IFERROR(IF(Z263="",0,Z263),"0")</f>
        <v>0</v>
      </c>
      <c r="AA264" s="660"/>
      <c r="AB264" s="660"/>
      <c r="AC264" s="660"/>
    </row>
    <row r="265" spans="1:68" hidden="1" x14ac:dyDescent="0.2">
      <c r="A265" s="680"/>
      <c r="B265" s="680"/>
      <c r="C265" s="680"/>
      <c r="D265" s="680"/>
      <c r="E265" s="680"/>
      <c r="F265" s="680"/>
      <c r="G265" s="680"/>
      <c r="H265" s="680"/>
      <c r="I265" s="680"/>
      <c r="J265" s="680"/>
      <c r="K265" s="680"/>
      <c r="L265" s="680"/>
      <c r="M265" s="680"/>
      <c r="N265" s="680"/>
      <c r="O265" s="681"/>
      <c r="P265" s="663" t="s">
        <v>80</v>
      </c>
      <c r="Q265" s="664"/>
      <c r="R265" s="664"/>
      <c r="S265" s="664"/>
      <c r="T265" s="664"/>
      <c r="U265" s="664"/>
      <c r="V265" s="665"/>
      <c r="W265" s="37" t="s">
        <v>69</v>
      </c>
      <c r="X265" s="659">
        <f>IFERROR(SUM(X263:X263),"0")</f>
        <v>0</v>
      </c>
      <c r="Y265" s="659">
        <f>IFERROR(SUM(Y263:Y263),"0")</f>
        <v>0</v>
      </c>
      <c r="Z265" s="37"/>
      <c r="AA265" s="660"/>
      <c r="AB265" s="660"/>
      <c r="AC265" s="660"/>
    </row>
    <row r="266" spans="1:68" ht="14.25" hidden="1" customHeight="1" x14ac:dyDescent="0.25">
      <c r="A266" s="682" t="s">
        <v>64</v>
      </c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0"/>
      <c r="P266" s="680"/>
      <c r="Q266" s="680"/>
      <c r="R266" s="680"/>
      <c r="S266" s="680"/>
      <c r="T266" s="680"/>
      <c r="U266" s="680"/>
      <c r="V266" s="680"/>
      <c r="W266" s="680"/>
      <c r="X266" s="680"/>
      <c r="Y266" s="680"/>
      <c r="Z266" s="680"/>
      <c r="AA266" s="653"/>
      <c r="AB266" s="653"/>
      <c r="AC266" s="653"/>
    </row>
    <row r="267" spans="1:68" ht="27" hidden="1" customHeight="1" x14ac:dyDescent="0.25">
      <c r="A267" s="54" t="s">
        <v>445</v>
      </c>
      <c r="B267" s="54" t="s">
        <v>446</v>
      </c>
      <c r="C267" s="31">
        <v>4301051782</v>
      </c>
      <c r="D267" s="672">
        <v>4680115884618</v>
      </c>
      <c r="E267" s="673"/>
      <c r="F267" s="656">
        <v>0.6</v>
      </c>
      <c r="G267" s="32">
        <v>6</v>
      </c>
      <c r="H267" s="656">
        <v>3.6</v>
      </c>
      <c r="I267" s="656">
        <v>3.81</v>
      </c>
      <c r="J267" s="32">
        <v>132</v>
      </c>
      <c r="K267" s="32" t="s">
        <v>101</v>
      </c>
      <c r="L267" s="32"/>
      <c r="M267" s="33" t="s">
        <v>103</v>
      </c>
      <c r="N267" s="33"/>
      <c r="O267" s="32">
        <v>45</v>
      </c>
      <c r="P267" s="8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7" s="667"/>
      <c r="R267" s="667"/>
      <c r="S267" s="667"/>
      <c r="T267" s="668"/>
      <c r="U267" s="34"/>
      <c r="V267" s="34"/>
      <c r="W267" s="35" t="s">
        <v>69</v>
      </c>
      <c r="X267" s="657">
        <v>0</v>
      </c>
      <c r="Y267" s="658">
        <f>IFERROR(IF(X267="",0,CEILING((X267/$H267),1)*$H267),"")</f>
        <v>0</v>
      </c>
      <c r="Z267" s="36" t="str">
        <f>IFERROR(IF(Y267=0,"",ROUNDUP(Y267/H267,0)*0.00902),"")</f>
        <v/>
      </c>
      <c r="AA267" s="56"/>
      <c r="AB267" s="57"/>
      <c r="AC267" s="331" t="s">
        <v>447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79"/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1"/>
      <c r="P268" s="663" t="s">
        <v>80</v>
      </c>
      <c r="Q268" s="664"/>
      <c r="R268" s="664"/>
      <c r="S268" s="664"/>
      <c r="T268" s="664"/>
      <c r="U268" s="664"/>
      <c r="V268" s="665"/>
      <c r="W268" s="37" t="s">
        <v>81</v>
      </c>
      <c r="X268" s="659">
        <f>IFERROR(X267/H267,"0")</f>
        <v>0</v>
      </c>
      <c r="Y268" s="659">
        <f>IFERROR(Y267/H267,"0")</f>
        <v>0</v>
      </c>
      <c r="Z268" s="659">
        <f>IFERROR(IF(Z267="",0,Z267),"0")</f>
        <v>0</v>
      </c>
      <c r="AA268" s="660"/>
      <c r="AB268" s="660"/>
      <c r="AC268" s="660"/>
    </row>
    <row r="269" spans="1:68" hidden="1" x14ac:dyDescent="0.2">
      <c r="A269" s="680"/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1"/>
      <c r="P269" s="663" t="s">
        <v>80</v>
      </c>
      <c r="Q269" s="664"/>
      <c r="R269" s="664"/>
      <c r="S269" s="664"/>
      <c r="T269" s="664"/>
      <c r="U269" s="664"/>
      <c r="V269" s="665"/>
      <c r="W269" s="37" t="s">
        <v>69</v>
      </c>
      <c r="X269" s="659">
        <f>IFERROR(SUM(X267:X267),"0")</f>
        <v>0</v>
      </c>
      <c r="Y269" s="659">
        <f>IFERROR(SUM(Y267:Y267),"0")</f>
        <v>0</v>
      </c>
      <c r="Z269" s="37"/>
      <c r="AA269" s="660"/>
      <c r="AB269" s="660"/>
      <c r="AC269" s="660"/>
    </row>
    <row r="270" spans="1:68" ht="16.5" hidden="1" customHeight="1" x14ac:dyDescent="0.25">
      <c r="A270" s="688" t="s">
        <v>448</v>
      </c>
      <c r="B270" s="680"/>
      <c r="C270" s="680"/>
      <c r="D270" s="680"/>
      <c r="E270" s="680"/>
      <c r="F270" s="680"/>
      <c r="G270" s="680"/>
      <c r="H270" s="680"/>
      <c r="I270" s="680"/>
      <c r="J270" s="680"/>
      <c r="K270" s="680"/>
      <c r="L270" s="680"/>
      <c r="M270" s="680"/>
      <c r="N270" s="680"/>
      <c r="O270" s="680"/>
      <c r="P270" s="680"/>
      <c r="Q270" s="680"/>
      <c r="R270" s="680"/>
      <c r="S270" s="680"/>
      <c r="T270" s="680"/>
      <c r="U270" s="680"/>
      <c r="V270" s="680"/>
      <c r="W270" s="680"/>
      <c r="X270" s="680"/>
      <c r="Y270" s="680"/>
      <c r="Z270" s="680"/>
      <c r="AA270" s="652"/>
      <c r="AB270" s="652"/>
      <c r="AC270" s="652"/>
    </row>
    <row r="271" spans="1:68" ht="14.25" hidden="1" customHeight="1" x14ac:dyDescent="0.25">
      <c r="A271" s="682" t="s">
        <v>64</v>
      </c>
      <c r="B271" s="680"/>
      <c r="C271" s="680"/>
      <c r="D271" s="680"/>
      <c r="E271" s="680"/>
      <c r="F271" s="680"/>
      <c r="G271" s="680"/>
      <c r="H271" s="680"/>
      <c r="I271" s="680"/>
      <c r="J271" s="680"/>
      <c r="K271" s="680"/>
      <c r="L271" s="680"/>
      <c r="M271" s="680"/>
      <c r="N271" s="680"/>
      <c r="O271" s="680"/>
      <c r="P271" s="680"/>
      <c r="Q271" s="680"/>
      <c r="R271" s="680"/>
      <c r="S271" s="680"/>
      <c r="T271" s="680"/>
      <c r="U271" s="680"/>
      <c r="V271" s="680"/>
      <c r="W271" s="680"/>
      <c r="X271" s="680"/>
      <c r="Y271" s="680"/>
      <c r="Z271" s="680"/>
      <c r="AA271" s="653"/>
      <c r="AB271" s="653"/>
      <c r="AC271" s="653"/>
    </row>
    <row r="272" spans="1:68" ht="27" hidden="1" customHeight="1" x14ac:dyDescent="0.25">
      <c r="A272" s="54" t="s">
        <v>449</v>
      </c>
      <c r="B272" s="54" t="s">
        <v>450</v>
      </c>
      <c r="C272" s="31">
        <v>4301051344</v>
      </c>
      <c r="D272" s="672">
        <v>4680115880412</v>
      </c>
      <c r="E272" s="673"/>
      <c r="F272" s="656">
        <v>0.33</v>
      </c>
      <c r="G272" s="32">
        <v>6</v>
      </c>
      <c r="H272" s="656">
        <v>1.98</v>
      </c>
      <c r="I272" s="656">
        <v>2.226</v>
      </c>
      <c r="J272" s="32">
        <v>182</v>
      </c>
      <c r="K272" s="32" t="s">
        <v>67</v>
      </c>
      <c r="L272" s="32"/>
      <c r="M272" s="33" t="s">
        <v>103</v>
      </c>
      <c r="N272" s="33"/>
      <c r="O272" s="32">
        <v>45</v>
      </c>
      <c r="P272" s="8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72" s="667"/>
      <c r="R272" s="667"/>
      <c r="S272" s="667"/>
      <c r="T272" s="668"/>
      <c r="U272" s="34"/>
      <c r="V272" s="34"/>
      <c r="W272" s="35" t="s">
        <v>69</v>
      </c>
      <c r="X272" s="657">
        <v>0</v>
      </c>
      <c r="Y272" s="65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452</v>
      </c>
      <c r="B273" s="54" t="s">
        <v>453</v>
      </c>
      <c r="C273" s="31">
        <v>4301051277</v>
      </c>
      <c r="D273" s="672">
        <v>4680115880511</v>
      </c>
      <c r="E273" s="673"/>
      <c r="F273" s="656">
        <v>0.33</v>
      </c>
      <c r="G273" s="32">
        <v>6</v>
      </c>
      <c r="H273" s="656">
        <v>1.98</v>
      </c>
      <c r="I273" s="656">
        <v>2.16</v>
      </c>
      <c r="J273" s="32">
        <v>182</v>
      </c>
      <c r="K273" s="32" t="s">
        <v>67</v>
      </c>
      <c r="L273" s="32"/>
      <c r="M273" s="33" t="s">
        <v>103</v>
      </c>
      <c r="N273" s="33"/>
      <c r="O273" s="32">
        <v>40</v>
      </c>
      <c r="P273" s="7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73" s="667"/>
      <c r="R273" s="667"/>
      <c r="S273" s="667"/>
      <c r="T273" s="668"/>
      <c r="U273" s="34"/>
      <c r="V273" s="34"/>
      <c r="W273" s="35" t="s">
        <v>69</v>
      </c>
      <c r="X273" s="657">
        <v>0</v>
      </c>
      <c r="Y273" s="65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79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63" t="s">
        <v>80</v>
      </c>
      <c r="Q274" s="664"/>
      <c r="R274" s="664"/>
      <c r="S274" s="664"/>
      <c r="T274" s="664"/>
      <c r="U274" s="664"/>
      <c r="V274" s="665"/>
      <c r="W274" s="37" t="s">
        <v>81</v>
      </c>
      <c r="X274" s="659">
        <f>IFERROR(X272/H272,"0")+IFERROR(X273/H273,"0")</f>
        <v>0</v>
      </c>
      <c r="Y274" s="659">
        <f>IFERROR(Y272/H272,"0")+IFERROR(Y273/H273,"0")</f>
        <v>0</v>
      </c>
      <c r="Z274" s="659">
        <f>IFERROR(IF(Z272="",0,Z272),"0")+IFERROR(IF(Z273="",0,Z273),"0")</f>
        <v>0</v>
      </c>
      <c r="AA274" s="660"/>
      <c r="AB274" s="660"/>
      <c r="AC274" s="660"/>
    </row>
    <row r="275" spans="1:68" hidden="1" x14ac:dyDescent="0.2">
      <c r="A275" s="680"/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1"/>
      <c r="P275" s="663" t="s">
        <v>80</v>
      </c>
      <c r="Q275" s="664"/>
      <c r="R275" s="664"/>
      <c r="S275" s="664"/>
      <c r="T275" s="664"/>
      <c r="U275" s="664"/>
      <c r="V275" s="665"/>
      <c r="W275" s="37" t="s">
        <v>69</v>
      </c>
      <c r="X275" s="659">
        <f>IFERROR(SUM(X272:X273),"0")</f>
        <v>0</v>
      </c>
      <c r="Y275" s="659">
        <f>IFERROR(SUM(Y272:Y273),"0")</f>
        <v>0</v>
      </c>
      <c r="Z275" s="37"/>
      <c r="AA275" s="660"/>
      <c r="AB275" s="660"/>
      <c r="AC275" s="660"/>
    </row>
    <row r="276" spans="1:68" ht="16.5" hidden="1" customHeight="1" x14ac:dyDescent="0.25">
      <c r="A276" s="688" t="s">
        <v>455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52"/>
      <c r="AB276" s="652"/>
      <c r="AC276" s="652"/>
    </row>
    <row r="277" spans="1:68" ht="14.25" hidden="1" customHeight="1" x14ac:dyDescent="0.25">
      <c r="A277" s="682" t="s">
        <v>90</v>
      </c>
      <c r="B277" s="680"/>
      <c r="C277" s="680"/>
      <c r="D277" s="680"/>
      <c r="E277" s="680"/>
      <c r="F277" s="680"/>
      <c r="G277" s="680"/>
      <c r="H277" s="680"/>
      <c r="I277" s="680"/>
      <c r="J277" s="680"/>
      <c r="K277" s="680"/>
      <c r="L277" s="680"/>
      <c r="M277" s="680"/>
      <c r="N277" s="680"/>
      <c r="O277" s="680"/>
      <c r="P277" s="680"/>
      <c r="Q277" s="680"/>
      <c r="R277" s="680"/>
      <c r="S277" s="680"/>
      <c r="T277" s="680"/>
      <c r="U277" s="680"/>
      <c r="V277" s="680"/>
      <c r="W277" s="680"/>
      <c r="X277" s="680"/>
      <c r="Y277" s="680"/>
      <c r="Z277" s="680"/>
      <c r="AA277" s="653"/>
      <c r="AB277" s="653"/>
      <c r="AC277" s="653"/>
    </row>
    <row r="278" spans="1:68" ht="27" hidden="1" customHeight="1" x14ac:dyDescent="0.25">
      <c r="A278" s="54" t="s">
        <v>456</v>
      </c>
      <c r="B278" s="54" t="s">
        <v>457</v>
      </c>
      <c r="C278" s="31">
        <v>4301011594</v>
      </c>
      <c r="D278" s="672">
        <v>4680115883413</v>
      </c>
      <c r="E278" s="673"/>
      <c r="F278" s="656">
        <v>0.37</v>
      </c>
      <c r="G278" s="32">
        <v>10</v>
      </c>
      <c r="H278" s="656">
        <v>3.7</v>
      </c>
      <c r="I278" s="656">
        <v>3.91</v>
      </c>
      <c r="J278" s="32">
        <v>132</v>
      </c>
      <c r="K278" s="32" t="s">
        <v>101</v>
      </c>
      <c r="L278" s="32"/>
      <c r="M278" s="33" t="s">
        <v>94</v>
      </c>
      <c r="N278" s="33"/>
      <c r="O278" s="32">
        <v>55</v>
      </c>
      <c r="P278" s="96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78" s="667"/>
      <c r="R278" s="667"/>
      <c r="S278" s="667"/>
      <c r="T278" s="668"/>
      <c r="U278" s="34"/>
      <c r="V278" s="34"/>
      <c r="W278" s="35" t="s">
        <v>69</v>
      </c>
      <c r="X278" s="657">
        <v>0</v>
      </c>
      <c r="Y278" s="65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37" t="s">
        <v>412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679"/>
      <c r="B279" s="680"/>
      <c r="C279" s="680"/>
      <c r="D279" s="680"/>
      <c r="E279" s="680"/>
      <c r="F279" s="680"/>
      <c r="G279" s="680"/>
      <c r="H279" s="680"/>
      <c r="I279" s="680"/>
      <c r="J279" s="680"/>
      <c r="K279" s="680"/>
      <c r="L279" s="680"/>
      <c r="M279" s="680"/>
      <c r="N279" s="680"/>
      <c r="O279" s="681"/>
      <c r="P279" s="663" t="s">
        <v>80</v>
      </c>
      <c r="Q279" s="664"/>
      <c r="R279" s="664"/>
      <c r="S279" s="664"/>
      <c r="T279" s="664"/>
      <c r="U279" s="664"/>
      <c r="V279" s="665"/>
      <c r="W279" s="37" t="s">
        <v>81</v>
      </c>
      <c r="X279" s="659">
        <f>IFERROR(X278/H278,"0")</f>
        <v>0</v>
      </c>
      <c r="Y279" s="659">
        <f>IFERROR(Y278/H278,"0")</f>
        <v>0</v>
      </c>
      <c r="Z279" s="659">
        <f>IFERROR(IF(Z278="",0,Z278),"0")</f>
        <v>0</v>
      </c>
      <c r="AA279" s="660"/>
      <c r="AB279" s="660"/>
      <c r="AC279" s="660"/>
    </row>
    <row r="280" spans="1:68" hidden="1" x14ac:dyDescent="0.2">
      <c r="A280" s="680"/>
      <c r="B280" s="680"/>
      <c r="C280" s="680"/>
      <c r="D280" s="680"/>
      <c r="E280" s="680"/>
      <c r="F280" s="680"/>
      <c r="G280" s="680"/>
      <c r="H280" s="680"/>
      <c r="I280" s="680"/>
      <c r="J280" s="680"/>
      <c r="K280" s="680"/>
      <c r="L280" s="680"/>
      <c r="M280" s="680"/>
      <c r="N280" s="680"/>
      <c r="O280" s="681"/>
      <c r="P280" s="663" t="s">
        <v>80</v>
      </c>
      <c r="Q280" s="664"/>
      <c r="R280" s="664"/>
      <c r="S280" s="664"/>
      <c r="T280" s="664"/>
      <c r="U280" s="664"/>
      <c r="V280" s="665"/>
      <c r="W280" s="37" t="s">
        <v>69</v>
      </c>
      <c r="X280" s="659">
        <f>IFERROR(SUM(X278:X278),"0")</f>
        <v>0</v>
      </c>
      <c r="Y280" s="659">
        <f>IFERROR(SUM(Y278:Y278),"0")</f>
        <v>0</v>
      </c>
      <c r="Z280" s="37"/>
      <c r="AA280" s="660"/>
      <c r="AB280" s="660"/>
      <c r="AC280" s="660"/>
    </row>
    <row r="281" spans="1:68" ht="14.25" hidden="1" customHeight="1" x14ac:dyDescent="0.25">
      <c r="A281" s="682" t="s">
        <v>146</v>
      </c>
      <c r="B281" s="680"/>
      <c r="C281" s="680"/>
      <c r="D281" s="680"/>
      <c r="E281" s="680"/>
      <c r="F281" s="680"/>
      <c r="G281" s="680"/>
      <c r="H281" s="680"/>
      <c r="I281" s="680"/>
      <c r="J281" s="680"/>
      <c r="K281" s="680"/>
      <c r="L281" s="680"/>
      <c r="M281" s="680"/>
      <c r="N281" s="680"/>
      <c r="O281" s="680"/>
      <c r="P281" s="680"/>
      <c r="Q281" s="680"/>
      <c r="R281" s="680"/>
      <c r="S281" s="680"/>
      <c r="T281" s="680"/>
      <c r="U281" s="680"/>
      <c r="V281" s="680"/>
      <c r="W281" s="680"/>
      <c r="X281" s="680"/>
      <c r="Y281" s="680"/>
      <c r="Z281" s="680"/>
      <c r="AA281" s="653"/>
      <c r="AB281" s="653"/>
      <c r="AC281" s="653"/>
    </row>
    <row r="282" spans="1:68" ht="27" customHeight="1" x14ac:dyDescent="0.25">
      <c r="A282" s="54" t="s">
        <v>458</v>
      </c>
      <c r="B282" s="54" t="s">
        <v>459</v>
      </c>
      <c r="C282" s="31">
        <v>4301031305</v>
      </c>
      <c r="D282" s="672">
        <v>4607091389845</v>
      </c>
      <c r="E282" s="673"/>
      <c r="F282" s="656">
        <v>0.35</v>
      </c>
      <c r="G282" s="32">
        <v>6</v>
      </c>
      <c r="H282" s="656">
        <v>2.1</v>
      </c>
      <c r="I282" s="656">
        <v>2.2000000000000002</v>
      </c>
      <c r="J282" s="32">
        <v>234</v>
      </c>
      <c r="K282" s="32" t="s">
        <v>149</v>
      </c>
      <c r="L282" s="32"/>
      <c r="M282" s="33" t="s">
        <v>68</v>
      </c>
      <c r="N282" s="33"/>
      <c r="O282" s="32">
        <v>40</v>
      </c>
      <c r="P282" s="9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2" s="667"/>
      <c r="R282" s="667"/>
      <c r="S282" s="667"/>
      <c r="T282" s="668"/>
      <c r="U282" s="34"/>
      <c r="V282" s="34"/>
      <c r="W282" s="35" t="s">
        <v>69</v>
      </c>
      <c r="X282" s="657">
        <v>210</v>
      </c>
      <c r="Y282" s="658">
        <f>IFERROR(IF(X282="",0,CEILING((X282/$H282),1)*$H282),"")</f>
        <v>210</v>
      </c>
      <c r="Z282" s="36">
        <f>IFERROR(IF(Y282=0,"",ROUNDUP(Y282/H282,0)*0.00502),"")</f>
        <v>0.502</v>
      </c>
      <c r="AA282" s="56"/>
      <c r="AB282" s="57"/>
      <c r="AC282" s="339" t="s">
        <v>460</v>
      </c>
      <c r="AG282" s="64"/>
      <c r="AJ282" s="68"/>
      <c r="AK282" s="68">
        <v>0</v>
      </c>
      <c r="BB282" s="340" t="s">
        <v>1</v>
      </c>
      <c r="BM282" s="64">
        <f>IFERROR(X282*I282/H282,"0")</f>
        <v>220.00000000000003</v>
      </c>
      <c r="BN282" s="64">
        <f>IFERROR(Y282*I282/H282,"0")</f>
        <v>220.00000000000003</v>
      </c>
      <c r="BO282" s="64">
        <f>IFERROR(1/J282*(X282/H282),"0")</f>
        <v>0.42735042735042739</v>
      </c>
      <c r="BP282" s="64">
        <f>IFERROR(1/J282*(Y282/H282),"0")</f>
        <v>0.42735042735042739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4301031306</v>
      </c>
      <c r="D283" s="672">
        <v>4680115882881</v>
      </c>
      <c r="E283" s="673"/>
      <c r="F283" s="656">
        <v>0.28000000000000003</v>
      </c>
      <c r="G283" s="32">
        <v>6</v>
      </c>
      <c r="H283" s="656">
        <v>1.68</v>
      </c>
      <c r="I283" s="656">
        <v>1.81</v>
      </c>
      <c r="J283" s="32">
        <v>234</v>
      </c>
      <c r="K283" s="32" t="s">
        <v>149</v>
      </c>
      <c r="L283" s="32"/>
      <c r="M283" s="33" t="s">
        <v>68</v>
      </c>
      <c r="N283" s="33"/>
      <c r="O283" s="32">
        <v>40</v>
      </c>
      <c r="P283" s="8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3" s="667"/>
      <c r="R283" s="667"/>
      <c r="S283" s="667"/>
      <c r="T283" s="668"/>
      <c r="U283" s="34"/>
      <c r="V283" s="34"/>
      <c r="W283" s="35" t="s">
        <v>69</v>
      </c>
      <c r="X283" s="657">
        <v>0</v>
      </c>
      <c r="Y283" s="658">
        <f>IFERROR(IF(X283="",0,CEILING((X283/$H283),1)*$H283),"")</f>
        <v>0</v>
      </c>
      <c r="Z283" s="36" t="str">
        <f>IFERROR(IF(Y283=0,"",ROUNDUP(Y283/H283,0)*0.00502),"")</f>
        <v/>
      </c>
      <c r="AA283" s="56"/>
      <c r="AB283" s="57"/>
      <c r="AC283" s="341" t="s">
        <v>460</v>
      </c>
      <c r="AG283" s="64"/>
      <c r="AJ283" s="68"/>
      <c r="AK283" s="68">
        <v>0</v>
      </c>
      <c r="BB283" s="342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79"/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1"/>
      <c r="P284" s="663" t="s">
        <v>80</v>
      </c>
      <c r="Q284" s="664"/>
      <c r="R284" s="664"/>
      <c r="S284" s="664"/>
      <c r="T284" s="664"/>
      <c r="U284" s="664"/>
      <c r="V284" s="665"/>
      <c r="W284" s="37" t="s">
        <v>81</v>
      </c>
      <c r="X284" s="659">
        <f>IFERROR(X282/H282,"0")+IFERROR(X283/H283,"0")</f>
        <v>100</v>
      </c>
      <c r="Y284" s="659">
        <f>IFERROR(Y282/H282,"0")+IFERROR(Y283/H283,"0")</f>
        <v>100</v>
      </c>
      <c r="Z284" s="659">
        <f>IFERROR(IF(Z282="",0,Z282),"0")+IFERROR(IF(Z283="",0,Z283),"0")</f>
        <v>0.502</v>
      </c>
      <c r="AA284" s="660"/>
      <c r="AB284" s="660"/>
      <c r="AC284" s="660"/>
    </row>
    <row r="285" spans="1:68" x14ac:dyDescent="0.2">
      <c r="A285" s="680"/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1"/>
      <c r="P285" s="663" t="s">
        <v>80</v>
      </c>
      <c r="Q285" s="664"/>
      <c r="R285" s="664"/>
      <c r="S285" s="664"/>
      <c r="T285" s="664"/>
      <c r="U285" s="664"/>
      <c r="V285" s="665"/>
      <c r="W285" s="37" t="s">
        <v>69</v>
      </c>
      <c r="X285" s="659">
        <f>IFERROR(SUM(X282:X283),"0")</f>
        <v>210</v>
      </c>
      <c r="Y285" s="659">
        <f>IFERROR(SUM(Y282:Y283),"0")</f>
        <v>210</v>
      </c>
      <c r="Z285" s="37"/>
      <c r="AA285" s="660"/>
      <c r="AB285" s="660"/>
      <c r="AC285" s="660"/>
    </row>
    <row r="286" spans="1:68" ht="16.5" hidden="1" customHeight="1" x14ac:dyDescent="0.25">
      <c r="A286" s="688" t="s">
        <v>463</v>
      </c>
      <c r="B286" s="680"/>
      <c r="C286" s="680"/>
      <c r="D286" s="680"/>
      <c r="E286" s="680"/>
      <c r="F286" s="680"/>
      <c r="G286" s="680"/>
      <c r="H286" s="680"/>
      <c r="I286" s="680"/>
      <c r="J286" s="680"/>
      <c r="K286" s="680"/>
      <c r="L286" s="680"/>
      <c r="M286" s="680"/>
      <c r="N286" s="680"/>
      <c r="O286" s="680"/>
      <c r="P286" s="680"/>
      <c r="Q286" s="680"/>
      <c r="R286" s="680"/>
      <c r="S286" s="680"/>
      <c r="T286" s="680"/>
      <c r="U286" s="680"/>
      <c r="V286" s="680"/>
      <c r="W286" s="680"/>
      <c r="X286" s="680"/>
      <c r="Y286" s="680"/>
      <c r="Z286" s="680"/>
      <c r="AA286" s="652"/>
      <c r="AB286" s="652"/>
      <c r="AC286" s="652"/>
    </row>
    <row r="287" spans="1:68" ht="14.25" hidden="1" customHeight="1" x14ac:dyDescent="0.25">
      <c r="A287" s="682" t="s">
        <v>90</v>
      </c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0"/>
      <c r="P287" s="680"/>
      <c r="Q287" s="680"/>
      <c r="R287" s="680"/>
      <c r="S287" s="680"/>
      <c r="T287" s="680"/>
      <c r="U287" s="680"/>
      <c r="V287" s="680"/>
      <c r="W287" s="680"/>
      <c r="X287" s="680"/>
      <c r="Y287" s="680"/>
      <c r="Z287" s="680"/>
      <c r="AA287" s="653"/>
      <c r="AB287" s="653"/>
      <c r="AC287" s="653"/>
    </row>
    <row r="288" spans="1:68" ht="27" hidden="1" customHeight="1" x14ac:dyDescent="0.25">
      <c r="A288" s="54" t="s">
        <v>464</v>
      </c>
      <c r="B288" s="54" t="s">
        <v>465</v>
      </c>
      <c r="C288" s="31">
        <v>4301012024</v>
      </c>
      <c r="D288" s="672">
        <v>4680115885615</v>
      </c>
      <c r="E288" s="673"/>
      <c r="F288" s="656">
        <v>1.35</v>
      </c>
      <c r="G288" s="32">
        <v>8</v>
      </c>
      <c r="H288" s="656">
        <v>10.8</v>
      </c>
      <c r="I288" s="656">
        <v>11.234999999999999</v>
      </c>
      <c r="J288" s="32">
        <v>64</v>
      </c>
      <c r="K288" s="32" t="s">
        <v>93</v>
      </c>
      <c r="L288" s="32"/>
      <c r="M288" s="33" t="s">
        <v>103</v>
      </c>
      <c r="N288" s="33"/>
      <c r="O288" s="32">
        <v>55</v>
      </c>
      <c r="P288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67"/>
      <c r="R288" s="667"/>
      <c r="S288" s="667"/>
      <c r="T288" s="668"/>
      <c r="U288" s="34"/>
      <c r="V288" s="34"/>
      <c r="W288" s="35" t="s">
        <v>69</v>
      </c>
      <c r="X288" s="657">
        <v>0</v>
      </c>
      <c r="Y288" s="658">
        <f t="shared" ref="Y288:Y294" si="4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43" t="s">
        <v>466</v>
      </c>
      <c r="AG288" s="64"/>
      <c r="AJ288" s="68"/>
      <c r="AK288" s="68">
        <v>0</v>
      </c>
      <c r="BB288" s="344" t="s">
        <v>1</v>
      </c>
      <c r="BM288" s="64">
        <f t="shared" ref="BM288:BM294" si="48">IFERROR(X288*I288/H288,"0")</f>
        <v>0</v>
      </c>
      <c r="BN288" s="64">
        <f t="shared" ref="BN288:BN294" si="49">IFERROR(Y288*I288/H288,"0")</f>
        <v>0</v>
      </c>
      <c r="BO288" s="64">
        <f t="shared" ref="BO288:BO294" si="50">IFERROR(1/J288*(X288/H288),"0")</f>
        <v>0</v>
      </c>
      <c r="BP288" s="64">
        <f t="shared" ref="BP288:BP294" si="51">IFERROR(1/J288*(Y288/H288),"0")</f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4301012016</v>
      </c>
      <c r="D289" s="672">
        <v>4680115885554</v>
      </c>
      <c r="E289" s="673"/>
      <c r="F289" s="656">
        <v>1.35</v>
      </c>
      <c r="G289" s="32">
        <v>8</v>
      </c>
      <c r="H289" s="656">
        <v>10.8</v>
      </c>
      <c r="I289" s="656">
        <v>11.234999999999999</v>
      </c>
      <c r="J289" s="32">
        <v>64</v>
      </c>
      <c r="K289" s="32" t="s">
        <v>93</v>
      </c>
      <c r="L289" s="32"/>
      <c r="M289" s="33" t="s">
        <v>103</v>
      </c>
      <c r="N289" s="33"/>
      <c r="O289" s="32">
        <v>55</v>
      </c>
      <c r="P289" s="7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67"/>
      <c r="R289" s="667"/>
      <c r="S289" s="667"/>
      <c r="T289" s="668"/>
      <c r="U289" s="34"/>
      <c r="V289" s="34"/>
      <c r="W289" s="35" t="s">
        <v>69</v>
      </c>
      <c r="X289" s="657">
        <v>0</v>
      </c>
      <c r="Y289" s="658">
        <f t="shared" si="47"/>
        <v>0</v>
      </c>
      <c r="Z289" s="36" t="str">
        <f>IFERROR(IF(Y289=0,"",ROUNDUP(Y289/H289,0)*0.01898),"")</f>
        <v/>
      </c>
      <c r="AA289" s="56"/>
      <c r="AB289" s="57"/>
      <c r="AC289" s="345" t="s">
        <v>469</v>
      </c>
      <c r="AG289" s="64"/>
      <c r="AJ289" s="68"/>
      <c r="AK289" s="68">
        <v>0</v>
      </c>
      <c r="BB289" s="346" t="s">
        <v>1</v>
      </c>
      <c r="BM289" s="64">
        <f t="shared" si="48"/>
        <v>0</v>
      </c>
      <c r="BN289" s="64">
        <f t="shared" si="49"/>
        <v>0</v>
      </c>
      <c r="BO289" s="64">
        <f t="shared" si="50"/>
        <v>0</v>
      </c>
      <c r="BP289" s="64">
        <f t="shared" si="51"/>
        <v>0</v>
      </c>
    </row>
    <row r="290" spans="1:68" ht="27" hidden="1" customHeight="1" x14ac:dyDescent="0.25">
      <c r="A290" s="54" t="s">
        <v>467</v>
      </c>
      <c r="B290" s="54" t="s">
        <v>470</v>
      </c>
      <c r="C290" s="31">
        <v>4301011911</v>
      </c>
      <c r="D290" s="672">
        <v>4680115885554</v>
      </c>
      <c r="E290" s="673"/>
      <c r="F290" s="656">
        <v>1.35</v>
      </c>
      <c r="G290" s="32">
        <v>8</v>
      </c>
      <c r="H290" s="656">
        <v>10.8</v>
      </c>
      <c r="I290" s="656">
        <v>11.28</v>
      </c>
      <c r="J290" s="32">
        <v>48</v>
      </c>
      <c r="K290" s="32" t="s">
        <v>93</v>
      </c>
      <c r="L290" s="32"/>
      <c r="M290" s="33" t="s">
        <v>371</v>
      </c>
      <c r="N290" s="33"/>
      <c r="O290" s="32">
        <v>55</v>
      </c>
      <c r="P290" s="6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67"/>
      <c r="R290" s="667"/>
      <c r="S290" s="667"/>
      <c r="T290" s="668"/>
      <c r="U290" s="34"/>
      <c r="V290" s="34"/>
      <c r="W290" s="35" t="s">
        <v>69</v>
      </c>
      <c r="X290" s="657">
        <v>0</v>
      </c>
      <c r="Y290" s="658">
        <f t="shared" si="47"/>
        <v>0</v>
      </c>
      <c r="Z290" s="36" t="str">
        <f>IFERROR(IF(Y290=0,"",ROUNDUP(Y290/H290,0)*0.02039),"")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 t="shared" si="48"/>
        <v>0</v>
      </c>
      <c r="BN290" s="64">
        <f t="shared" si="49"/>
        <v>0</v>
      </c>
      <c r="BO290" s="64">
        <f t="shared" si="50"/>
        <v>0</v>
      </c>
      <c r="BP290" s="64">
        <f t="shared" si="51"/>
        <v>0</v>
      </c>
    </row>
    <row r="291" spans="1:68" ht="37.5" hidden="1" customHeight="1" x14ac:dyDescent="0.25">
      <c r="A291" s="54" t="s">
        <v>472</v>
      </c>
      <c r="B291" s="54" t="s">
        <v>473</v>
      </c>
      <c r="C291" s="31">
        <v>4301011858</v>
      </c>
      <c r="D291" s="672">
        <v>4680115885646</v>
      </c>
      <c r="E291" s="673"/>
      <c r="F291" s="656">
        <v>1.35</v>
      </c>
      <c r="G291" s="32">
        <v>8</v>
      </c>
      <c r="H291" s="656">
        <v>10.8</v>
      </c>
      <c r="I291" s="656">
        <v>11.234999999999999</v>
      </c>
      <c r="J291" s="32">
        <v>64</v>
      </c>
      <c r="K291" s="32" t="s">
        <v>93</v>
      </c>
      <c r="L291" s="32"/>
      <c r="M291" s="33" t="s">
        <v>94</v>
      </c>
      <c r="N291" s="33"/>
      <c r="O291" s="32">
        <v>55</v>
      </c>
      <c r="P291" s="9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67"/>
      <c r="R291" s="667"/>
      <c r="S291" s="667"/>
      <c r="T291" s="668"/>
      <c r="U291" s="34"/>
      <c r="V291" s="34"/>
      <c r="W291" s="35" t="s">
        <v>69</v>
      </c>
      <c r="X291" s="657">
        <v>0</v>
      </c>
      <c r="Y291" s="658">
        <f t="shared" si="47"/>
        <v>0</v>
      </c>
      <c r="Z291" s="36" t="str">
        <f>IFERROR(IF(Y291=0,"",ROUNDUP(Y291/H291,0)*0.01898),"")</f>
        <v/>
      </c>
      <c r="AA291" s="56"/>
      <c r="AB291" s="57"/>
      <c r="AC291" s="349" t="s">
        <v>474</v>
      </c>
      <c r="AG291" s="64"/>
      <c r="AJ291" s="68"/>
      <c r="AK291" s="68">
        <v>0</v>
      </c>
      <c r="BB291" s="350" t="s">
        <v>1</v>
      </c>
      <c r="BM291" s="64">
        <f t="shared" si="48"/>
        <v>0</v>
      </c>
      <c r="BN291" s="64">
        <f t="shared" si="49"/>
        <v>0</v>
      </c>
      <c r="BO291" s="64">
        <f t="shared" si="50"/>
        <v>0</v>
      </c>
      <c r="BP291" s="64">
        <f t="shared" si="51"/>
        <v>0</v>
      </c>
    </row>
    <row r="292" spans="1:68" ht="27" hidden="1" customHeight="1" x14ac:dyDescent="0.25">
      <c r="A292" s="54" t="s">
        <v>475</v>
      </c>
      <c r="B292" s="54" t="s">
        <v>476</v>
      </c>
      <c r="C292" s="31">
        <v>4301011857</v>
      </c>
      <c r="D292" s="672">
        <v>4680115885622</v>
      </c>
      <c r="E292" s="673"/>
      <c r="F292" s="656">
        <v>0.4</v>
      </c>
      <c r="G292" s="32">
        <v>10</v>
      </c>
      <c r="H292" s="656">
        <v>4</v>
      </c>
      <c r="I292" s="656">
        <v>4.21</v>
      </c>
      <c r="J292" s="32">
        <v>132</v>
      </c>
      <c r="K292" s="32" t="s">
        <v>101</v>
      </c>
      <c r="L292" s="32"/>
      <c r="M292" s="33" t="s">
        <v>94</v>
      </c>
      <c r="N292" s="33"/>
      <c r="O292" s="32">
        <v>55</v>
      </c>
      <c r="P292" s="10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67"/>
      <c r="R292" s="667"/>
      <c r="S292" s="667"/>
      <c r="T292" s="668"/>
      <c r="U292" s="34"/>
      <c r="V292" s="34"/>
      <c r="W292" s="35" t="s">
        <v>69</v>
      </c>
      <c r="X292" s="657">
        <v>0</v>
      </c>
      <c r="Y292" s="658">
        <f t="shared" si="47"/>
        <v>0</v>
      </c>
      <c r="Z292" s="36" t="str">
        <f>IFERROR(IF(Y292=0,"",ROUNDUP(Y292/H292,0)*0.00902),"")</f>
        <v/>
      </c>
      <c r="AA292" s="56"/>
      <c r="AB292" s="57"/>
      <c r="AC292" s="351" t="s">
        <v>477</v>
      </c>
      <c r="AG292" s="64"/>
      <c r="AJ292" s="68"/>
      <c r="AK292" s="68">
        <v>0</v>
      </c>
      <c r="BB292" s="352" t="s">
        <v>1</v>
      </c>
      <c r="BM292" s="64">
        <f t="shared" si="48"/>
        <v>0</v>
      </c>
      <c r="BN292" s="64">
        <f t="shared" si="49"/>
        <v>0</v>
      </c>
      <c r="BO292" s="64">
        <f t="shared" si="50"/>
        <v>0</v>
      </c>
      <c r="BP292" s="64">
        <f t="shared" si="51"/>
        <v>0</v>
      </c>
    </row>
    <row r="293" spans="1:68" ht="27" hidden="1" customHeight="1" x14ac:dyDescent="0.25">
      <c r="A293" s="54" t="s">
        <v>478</v>
      </c>
      <c r="B293" s="54" t="s">
        <v>479</v>
      </c>
      <c r="C293" s="31">
        <v>4301011573</v>
      </c>
      <c r="D293" s="672">
        <v>4680115881938</v>
      </c>
      <c r="E293" s="673"/>
      <c r="F293" s="656">
        <v>0.4</v>
      </c>
      <c r="G293" s="32">
        <v>10</v>
      </c>
      <c r="H293" s="656">
        <v>4</v>
      </c>
      <c r="I293" s="656">
        <v>4.21</v>
      </c>
      <c r="J293" s="32">
        <v>132</v>
      </c>
      <c r="K293" s="32" t="s">
        <v>101</v>
      </c>
      <c r="L293" s="32"/>
      <c r="M293" s="33" t="s">
        <v>94</v>
      </c>
      <c r="N293" s="33"/>
      <c r="O293" s="32">
        <v>90</v>
      </c>
      <c r="P293" s="9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93" s="667"/>
      <c r="R293" s="667"/>
      <c r="S293" s="667"/>
      <c r="T293" s="668"/>
      <c r="U293" s="34"/>
      <c r="V293" s="34"/>
      <c r="W293" s="35" t="s">
        <v>69</v>
      </c>
      <c r="X293" s="657">
        <v>0</v>
      </c>
      <c r="Y293" s="658">
        <f t="shared" si="47"/>
        <v>0</v>
      </c>
      <c r="Z293" s="36" t="str">
        <f>IFERROR(IF(Y293=0,"",ROUNDUP(Y293/H293,0)*0.00902),"")</f>
        <v/>
      </c>
      <c r="AA293" s="56"/>
      <c r="AB293" s="57"/>
      <c r="AC293" s="353" t="s">
        <v>480</v>
      </c>
      <c r="AG293" s="64"/>
      <c r="AJ293" s="68"/>
      <c r="AK293" s="68">
        <v>0</v>
      </c>
      <c r="BB293" s="354" t="s">
        <v>1</v>
      </c>
      <c r="BM293" s="64">
        <f t="shared" si="48"/>
        <v>0</v>
      </c>
      <c r="BN293" s="64">
        <f t="shared" si="49"/>
        <v>0</v>
      </c>
      <c r="BO293" s="64">
        <f t="shared" si="50"/>
        <v>0</v>
      </c>
      <c r="BP293" s="64">
        <f t="shared" si="51"/>
        <v>0</v>
      </c>
    </row>
    <row r="294" spans="1:68" ht="27" hidden="1" customHeight="1" x14ac:dyDescent="0.25">
      <c r="A294" s="54" t="s">
        <v>481</v>
      </c>
      <c r="B294" s="54" t="s">
        <v>482</v>
      </c>
      <c r="C294" s="31">
        <v>4301011859</v>
      </c>
      <c r="D294" s="672">
        <v>4680115885608</v>
      </c>
      <c r="E294" s="673"/>
      <c r="F294" s="656">
        <v>0.4</v>
      </c>
      <c r="G294" s="32">
        <v>10</v>
      </c>
      <c r="H294" s="656">
        <v>4</v>
      </c>
      <c r="I294" s="656">
        <v>4.21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67"/>
      <c r="R294" s="667"/>
      <c r="S294" s="667"/>
      <c r="T294" s="668"/>
      <c r="U294" s="34"/>
      <c r="V294" s="34"/>
      <c r="W294" s="35" t="s">
        <v>69</v>
      </c>
      <c r="X294" s="657">
        <v>0</v>
      </c>
      <c r="Y294" s="658">
        <f t="shared" si="47"/>
        <v>0</v>
      </c>
      <c r="Z294" s="36" t="str">
        <f>IFERROR(IF(Y294=0,"",ROUNDUP(Y294/H294,0)*0.00902),"")</f>
        <v/>
      </c>
      <c r="AA294" s="56"/>
      <c r="AB294" s="57"/>
      <c r="AC294" s="355" t="s">
        <v>469</v>
      </c>
      <c r="AG294" s="64"/>
      <c r="AJ294" s="68"/>
      <c r="AK294" s="68">
        <v>0</v>
      </c>
      <c r="BB294" s="356" t="s">
        <v>1</v>
      </c>
      <c r="BM294" s="64">
        <f t="shared" si="48"/>
        <v>0</v>
      </c>
      <c r="BN294" s="64">
        <f t="shared" si="49"/>
        <v>0</v>
      </c>
      <c r="BO294" s="64">
        <f t="shared" si="50"/>
        <v>0</v>
      </c>
      <c r="BP294" s="64">
        <f t="shared" si="51"/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63" t="s">
        <v>80</v>
      </c>
      <c r="Q295" s="664"/>
      <c r="R295" s="664"/>
      <c r="S295" s="664"/>
      <c r="T295" s="664"/>
      <c r="U295" s="664"/>
      <c r="V295" s="665"/>
      <c r="W295" s="37" t="s">
        <v>81</v>
      </c>
      <c r="X295" s="659">
        <f>IFERROR(X288/H288,"0")+IFERROR(X289/H289,"0")+IFERROR(X290/H290,"0")+IFERROR(X291/H291,"0")+IFERROR(X292/H292,"0")+IFERROR(X293/H293,"0")+IFERROR(X294/H294,"0")</f>
        <v>0</v>
      </c>
      <c r="Y295" s="659">
        <f>IFERROR(Y288/H288,"0")+IFERROR(Y289/H289,"0")+IFERROR(Y290/H290,"0")+IFERROR(Y291/H291,"0")+IFERROR(Y292/H292,"0")+IFERROR(Y293/H293,"0")+IFERROR(Y294/H294,"0")</f>
        <v>0</v>
      </c>
      <c r="Z295" s="659">
        <f>IFERROR(IF(Z288="",0,Z288),"0")+IFERROR(IF(Z289="",0,Z289),"0")+IFERROR(IF(Z290="",0,Z290),"0")+IFERROR(IF(Z291="",0,Z291),"0")+IFERROR(IF(Z292="",0,Z292),"0")+IFERROR(IF(Z293="",0,Z293),"0")+IFERROR(IF(Z294="",0,Z294),"0")</f>
        <v>0</v>
      </c>
      <c r="AA295" s="660"/>
      <c r="AB295" s="660"/>
      <c r="AC295" s="660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63" t="s">
        <v>80</v>
      </c>
      <c r="Q296" s="664"/>
      <c r="R296" s="664"/>
      <c r="S296" s="664"/>
      <c r="T296" s="664"/>
      <c r="U296" s="664"/>
      <c r="V296" s="665"/>
      <c r="W296" s="37" t="s">
        <v>69</v>
      </c>
      <c r="X296" s="659">
        <f>IFERROR(SUM(X288:X294),"0")</f>
        <v>0</v>
      </c>
      <c r="Y296" s="659">
        <f>IFERROR(SUM(Y288:Y294),"0")</f>
        <v>0</v>
      </c>
      <c r="Z296" s="37"/>
      <c r="AA296" s="660"/>
      <c r="AB296" s="660"/>
      <c r="AC296" s="660"/>
    </row>
    <row r="297" spans="1:68" ht="14.25" hidden="1" customHeight="1" x14ac:dyDescent="0.25">
      <c r="A297" s="682" t="s">
        <v>146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53"/>
      <c r="AB297" s="653"/>
      <c r="AC297" s="653"/>
    </row>
    <row r="298" spans="1:68" ht="27" hidden="1" customHeight="1" x14ac:dyDescent="0.25">
      <c r="A298" s="54" t="s">
        <v>483</v>
      </c>
      <c r="B298" s="54" t="s">
        <v>484</v>
      </c>
      <c r="C298" s="31">
        <v>4301030878</v>
      </c>
      <c r="D298" s="672">
        <v>4607091387193</v>
      </c>
      <c r="E298" s="673"/>
      <c r="F298" s="656">
        <v>0.7</v>
      </c>
      <c r="G298" s="32">
        <v>6</v>
      </c>
      <c r="H298" s="656">
        <v>4.2</v>
      </c>
      <c r="I298" s="656">
        <v>4.47</v>
      </c>
      <c r="J298" s="32">
        <v>132</v>
      </c>
      <c r="K298" s="32" t="s">
        <v>101</v>
      </c>
      <c r="L298" s="32"/>
      <c r="M298" s="33" t="s">
        <v>68</v>
      </c>
      <c r="N298" s="33"/>
      <c r="O298" s="32">
        <v>35</v>
      </c>
      <c r="P298" s="9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67"/>
      <c r="R298" s="667"/>
      <c r="S298" s="667"/>
      <c r="T298" s="668"/>
      <c r="U298" s="34"/>
      <c r="V298" s="34"/>
      <c r="W298" s="35" t="s">
        <v>69</v>
      </c>
      <c r="X298" s="657">
        <v>0</v>
      </c>
      <c r="Y298" s="658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57" t="s">
        <v>485</v>
      </c>
      <c r="AG298" s="64"/>
      <c r="AJ298" s="68"/>
      <c r="AK298" s="68">
        <v>0</v>
      </c>
      <c r="BB298" s="35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486</v>
      </c>
      <c r="B299" s="54" t="s">
        <v>487</v>
      </c>
      <c r="C299" s="31">
        <v>4301031153</v>
      </c>
      <c r="D299" s="672">
        <v>4607091387230</v>
      </c>
      <c r="E299" s="673"/>
      <c r="F299" s="656">
        <v>0.7</v>
      </c>
      <c r="G299" s="32">
        <v>6</v>
      </c>
      <c r="H299" s="656">
        <v>4.2</v>
      </c>
      <c r="I299" s="656">
        <v>4.47</v>
      </c>
      <c r="J299" s="32">
        <v>132</v>
      </c>
      <c r="K299" s="32" t="s">
        <v>101</v>
      </c>
      <c r="L299" s="32"/>
      <c r="M299" s="33" t="s">
        <v>68</v>
      </c>
      <c r="N299" s="33"/>
      <c r="O299" s="32">
        <v>40</v>
      </c>
      <c r="P299" s="8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67"/>
      <c r="R299" s="667"/>
      <c r="S299" s="667"/>
      <c r="T299" s="668"/>
      <c r="U299" s="34"/>
      <c r="V299" s="34"/>
      <c r="W299" s="35" t="s">
        <v>69</v>
      </c>
      <c r="X299" s="657">
        <v>0</v>
      </c>
      <c r="Y299" s="658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59" t="s">
        <v>488</v>
      </c>
      <c r="AG299" s="64"/>
      <c r="AJ299" s="68"/>
      <c r="AK299" s="68">
        <v>0</v>
      </c>
      <c r="BB299" s="36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489</v>
      </c>
      <c r="B300" s="54" t="s">
        <v>490</v>
      </c>
      <c r="C300" s="31">
        <v>4301031154</v>
      </c>
      <c r="D300" s="672">
        <v>4607091387292</v>
      </c>
      <c r="E300" s="673"/>
      <c r="F300" s="656">
        <v>0.73</v>
      </c>
      <c r="G300" s="32">
        <v>6</v>
      </c>
      <c r="H300" s="656">
        <v>4.38</v>
      </c>
      <c r="I300" s="656">
        <v>4.6500000000000004</v>
      </c>
      <c r="J300" s="32">
        <v>132</v>
      </c>
      <c r="K300" s="32" t="s">
        <v>101</v>
      </c>
      <c r="L300" s="32"/>
      <c r="M300" s="33" t="s">
        <v>68</v>
      </c>
      <c r="N300" s="33"/>
      <c r="O300" s="32">
        <v>45</v>
      </c>
      <c r="P300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67"/>
      <c r="R300" s="667"/>
      <c r="S300" s="667"/>
      <c r="T300" s="668"/>
      <c r="U300" s="34"/>
      <c r="V300" s="34"/>
      <c r="W300" s="35" t="s">
        <v>69</v>
      </c>
      <c r="X300" s="657">
        <v>0</v>
      </c>
      <c r="Y300" s="658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61" t="s">
        <v>491</v>
      </c>
      <c r="AG300" s="64"/>
      <c r="AJ300" s="68"/>
      <c r="AK300" s="68">
        <v>0</v>
      </c>
      <c r="BB300" s="36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492</v>
      </c>
      <c r="B301" s="54" t="s">
        <v>493</v>
      </c>
      <c r="C301" s="31">
        <v>4301031152</v>
      </c>
      <c r="D301" s="672">
        <v>4607091387285</v>
      </c>
      <c r="E301" s="673"/>
      <c r="F301" s="656">
        <v>0.35</v>
      </c>
      <c r="G301" s="32">
        <v>6</v>
      </c>
      <c r="H301" s="656">
        <v>2.1</v>
      </c>
      <c r="I301" s="656">
        <v>2.23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67"/>
      <c r="R301" s="667"/>
      <c r="S301" s="667"/>
      <c r="T301" s="668"/>
      <c r="U301" s="34"/>
      <c r="V301" s="34"/>
      <c r="W301" s="35" t="s">
        <v>69</v>
      </c>
      <c r="X301" s="657">
        <v>0</v>
      </c>
      <c r="Y301" s="65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63" t="s">
        <v>488</v>
      </c>
      <c r="AG301" s="64"/>
      <c r="AJ301" s="68"/>
      <c r="AK301" s="68">
        <v>0</v>
      </c>
      <c r="BB301" s="36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79"/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1"/>
      <c r="P302" s="663" t="s">
        <v>80</v>
      </c>
      <c r="Q302" s="664"/>
      <c r="R302" s="664"/>
      <c r="S302" s="664"/>
      <c r="T302" s="664"/>
      <c r="U302" s="664"/>
      <c r="V302" s="665"/>
      <c r="W302" s="37" t="s">
        <v>81</v>
      </c>
      <c r="X302" s="659">
        <f>IFERROR(X298/H298,"0")+IFERROR(X299/H299,"0")+IFERROR(X300/H300,"0")+IFERROR(X301/H301,"0")</f>
        <v>0</v>
      </c>
      <c r="Y302" s="659">
        <f>IFERROR(Y298/H298,"0")+IFERROR(Y299/H299,"0")+IFERROR(Y300/H300,"0")+IFERROR(Y301/H301,"0")</f>
        <v>0</v>
      </c>
      <c r="Z302" s="659">
        <f>IFERROR(IF(Z298="",0,Z298),"0")+IFERROR(IF(Z299="",0,Z299),"0")+IFERROR(IF(Z300="",0,Z300),"0")+IFERROR(IF(Z301="",0,Z301),"0")</f>
        <v>0</v>
      </c>
      <c r="AA302" s="660"/>
      <c r="AB302" s="660"/>
      <c r="AC302" s="660"/>
    </row>
    <row r="303" spans="1:68" hidden="1" x14ac:dyDescent="0.2">
      <c r="A303" s="680"/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1"/>
      <c r="P303" s="663" t="s">
        <v>80</v>
      </c>
      <c r="Q303" s="664"/>
      <c r="R303" s="664"/>
      <c r="S303" s="664"/>
      <c r="T303" s="664"/>
      <c r="U303" s="664"/>
      <c r="V303" s="665"/>
      <c r="W303" s="37" t="s">
        <v>69</v>
      </c>
      <c r="X303" s="659">
        <f>IFERROR(SUM(X298:X301),"0")</f>
        <v>0</v>
      </c>
      <c r="Y303" s="659">
        <f>IFERROR(SUM(Y298:Y301),"0")</f>
        <v>0</v>
      </c>
      <c r="Z303" s="37"/>
      <c r="AA303" s="660"/>
      <c r="AB303" s="660"/>
      <c r="AC303" s="660"/>
    </row>
    <row r="304" spans="1:68" ht="14.25" hidden="1" customHeight="1" x14ac:dyDescent="0.25">
      <c r="A304" s="682" t="s">
        <v>64</v>
      </c>
      <c r="B304" s="680"/>
      <c r="C304" s="680"/>
      <c r="D304" s="680"/>
      <c r="E304" s="680"/>
      <c r="F304" s="680"/>
      <c r="G304" s="680"/>
      <c r="H304" s="680"/>
      <c r="I304" s="680"/>
      <c r="J304" s="680"/>
      <c r="K304" s="680"/>
      <c r="L304" s="680"/>
      <c r="M304" s="680"/>
      <c r="N304" s="680"/>
      <c r="O304" s="680"/>
      <c r="P304" s="680"/>
      <c r="Q304" s="680"/>
      <c r="R304" s="680"/>
      <c r="S304" s="680"/>
      <c r="T304" s="680"/>
      <c r="U304" s="680"/>
      <c r="V304" s="680"/>
      <c r="W304" s="680"/>
      <c r="X304" s="680"/>
      <c r="Y304" s="680"/>
      <c r="Z304" s="680"/>
      <c r="AA304" s="653"/>
      <c r="AB304" s="653"/>
      <c r="AC304" s="653"/>
    </row>
    <row r="305" spans="1:68" ht="37.5" hidden="1" customHeight="1" x14ac:dyDescent="0.25">
      <c r="A305" s="54" t="s">
        <v>494</v>
      </c>
      <c r="B305" s="54" t="s">
        <v>495</v>
      </c>
      <c r="C305" s="31">
        <v>4301051100</v>
      </c>
      <c r="D305" s="672">
        <v>4607091387766</v>
      </c>
      <c r="E305" s="673"/>
      <c r="F305" s="656">
        <v>1.3</v>
      </c>
      <c r="G305" s="32">
        <v>6</v>
      </c>
      <c r="H305" s="656">
        <v>7.8</v>
      </c>
      <c r="I305" s="656">
        <v>8.3130000000000006</v>
      </c>
      <c r="J305" s="32">
        <v>64</v>
      </c>
      <c r="K305" s="32" t="s">
        <v>93</v>
      </c>
      <c r="L305" s="32"/>
      <c r="M305" s="33" t="s">
        <v>103</v>
      </c>
      <c r="N305" s="33"/>
      <c r="O305" s="32">
        <v>40</v>
      </c>
      <c r="P305" s="8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67"/>
      <c r="R305" s="667"/>
      <c r="S305" s="667"/>
      <c r="T305" s="668"/>
      <c r="U305" s="34"/>
      <c r="V305" s="34"/>
      <c r="W305" s="35" t="s">
        <v>69</v>
      </c>
      <c r="X305" s="657">
        <v>0</v>
      </c>
      <c r="Y305" s="658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65" t="s">
        <v>496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497</v>
      </c>
      <c r="B306" s="54" t="s">
        <v>498</v>
      </c>
      <c r="C306" s="31">
        <v>4301051818</v>
      </c>
      <c r="D306" s="672">
        <v>4607091387957</v>
      </c>
      <c r="E306" s="673"/>
      <c r="F306" s="656">
        <v>1.3</v>
      </c>
      <c r="G306" s="32">
        <v>6</v>
      </c>
      <c r="H306" s="656">
        <v>7.8</v>
      </c>
      <c r="I306" s="656">
        <v>8.3190000000000008</v>
      </c>
      <c r="J306" s="32">
        <v>64</v>
      </c>
      <c r="K306" s="32" t="s">
        <v>93</v>
      </c>
      <c r="L306" s="32"/>
      <c r="M306" s="33" t="s">
        <v>103</v>
      </c>
      <c r="N306" s="33"/>
      <c r="O306" s="32">
        <v>40</v>
      </c>
      <c r="P306" s="8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67"/>
      <c r="R306" s="667"/>
      <c r="S306" s="667"/>
      <c r="T306" s="668"/>
      <c r="U306" s="34"/>
      <c r="V306" s="34"/>
      <c r="W306" s="35" t="s">
        <v>69</v>
      </c>
      <c r="X306" s="657">
        <v>0</v>
      </c>
      <c r="Y306" s="65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67" t="s">
        <v>499</v>
      </c>
      <c r="AG306" s="64"/>
      <c r="AJ306" s="68"/>
      <c r="AK306" s="68">
        <v>0</v>
      </c>
      <c r="BB306" s="36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500</v>
      </c>
      <c r="B307" s="54" t="s">
        <v>501</v>
      </c>
      <c r="C307" s="31">
        <v>4301051819</v>
      </c>
      <c r="D307" s="672">
        <v>4607091387964</v>
      </c>
      <c r="E307" s="673"/>
      <c r="F307" s="656">
        <v>1.35</v>
      </c>
      <c r="G307" s="32">
        <v>6</v>
      </c>
      <c r="H307" s="656">
        <v>8.1</v>
      </c>
      <c r="I307" s="656">
        <v>8.6010000000000009</v>
      </c>
      <c r="J307" s="32">
        <v>64</v>
      </c>
      <c r="K307" s="32" t="s">
        <v>93</v>
      </c>
      <c r="L307" s="32"/>
      <c r="M307" s="33" t="s">
        <v>103</v>
      </c>
      <c r="N307" s="33"/>
      <c r="O307" s="32">
        <v>40</v>
      </c>
      <c r="P30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67"/>
      <c r="R307" s="667"/>
      <c r="S307" s="667"/>
      <c r="T307" s="668"/>
      <c r="U307" s="34"/>
      <c r="V307" s="34"/>
      <c r="W307" s="35" t="s">
        <v>69</v>
      </c>
      <c r="X307" s="657">
        <v>0</v>
      </c>
      <c r="Y307" s="65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69" t="s">
        <v>502</v>
      </c>
      <c r="AG307" s="64"/>
      <c r="AJ307" s="68"/>
      <c r="AK307" s="68">
        <v>0</v>
      </c>
      <c r="BB307" s="37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4301051734</v>
      </c>
      <c r="D308" s="672">
        <v>4680115884588</v>
      </c>
      <c r="E308" s="673"/>
      <c r="F308" s="656">
        <v>0.5</v>
      </c>
      <c r="G308" s="32">
        <v>6</v>
      </c>
      <c r="H308" s="656">
        <v>3</v>
      </c>
      <c r="I308" s="656">
        <v>3.246</v>
      </c>
      <c r="J308" s="32">
        <v>182</v>
      </c>
      <c r="K308" s="32" t="s">
        <v>67</v>
      </c>
      <c r="L308" s="32"/>
      <c r="M308" s="33" t="s">
        <v>103</v>
      </c>
      <c r="N308" s="33"/>
      <c r="O308" s="32">
        <v>40</v>
      </c>
      <c r="P308" s="8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67"/>
      <c r="R308" s="667"/>
      <c r="S308" s="667"/>
      <c r="T308" s="668"/>
      <c r="U308" s="34"/>
      <c r="V308" s="34"/>
      <c r="W308" s="35" t="s">
        <v>69</v>
      </c>
      <c r="X308" s="657">
        <v>0</v>
      </c>
      <c r="Y308" s="658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71" t="s">
        <v>505</v>
      </c>
      <c r="AG308" s="64"/>
      <c r="AJ308" s="68"/>
      <c r="AK308" s="68">
        <v>0</v>
      </c>
      <c r="BB308" s="37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37.5" hidden="1" customHeight="1" x14ac:dyDescent="0.25">
      <c r="A309" s="54" t="s">
        <v>506</v>
      </c>
      <c r="B309" s="54" t="s">
        <v>507</v>
      </c>
      <c r="C309" s="31">
        <v>4301051578</v>
      </c>
      <c r="D309" s="672">
        <v>4607091387513</v>
      </c>
      <c r="E309" s="673"/>
      <c r="F309" s="656">
        <v>0.45</v>
      </c>
      <c r="G309" s="32">
        <v>6</v>
      </c>
      <c r="H309" s="656">
        <v>2.7</v>
      </c>
      <c r="I309" s="656">
        <v>2.9580000000000002</v>
      </c>
      <c r="J309" s="32">
        <v>182</v>
      </c>
      <c r="K309" s="32" t="s">
        <v>67</v>
      </c>
      <c r="L309" s="32"/>
      <c r="M309" s="33" t="s">
        <v>129</v>
      </c>
      <c r="N309" s="33"/>
      <c r="O309" s="32">
        <v>40</v>
      </c>
      <c r="P309" s="8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67"/>
      <c r="R309" s="667"/>
      <c r="S309" s="667"/>
      <c r="T309" s="668"/>
      <c r="U309" s="34"/>
      <c r="V309" s="34"/>
      <c r="W309" s="35" t="s">
        <v>69</v>
      </c>
      <c r="X309" s="657">
        <v>0</v>
      </c>
      <c r="Y309" s="65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73" t="s">
        <v>508</v>
      </c>
      <c r="AG309" s="64"/>
      <c r="AJ309" s="68"/>
      <c r="AK309" s="68">
        <v>0</v>
      </c>
      <c r="BB309" s="37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63" t="s">
        <v>80</v>
      </c>
      <c r="Q310" s="664"/>
      <c r="R310" s="664"/>
      <c r="S310" s="664"/>
      <c r="T310" s="664"/>
      <c r="U310" s="664"/>
      <c r="V310" s="665"/>
      <c r="W310" s="37" t="s">
        <v>81</v>
      </c>
      <c r="X310" s="659">
        <f>IFERROR(X305/H305,"0")+IFERROR(X306/H306,"0")+IFERROR(X307/H307,"0")+IFERROR(X308/H308,"0")+IFERROR(X309/H309,"0")</f>
        <v>0</v>
      </c>
      <c r="Y310" s="659">
        <f>IFERROR(Y305/H305,"0")+IFERROR(Y306/H306,"0")+IFERROR(Y307/H307,"0")+IFERROR(Y308/H308,"0")+IFERROR(Y309/H309,"0")</f>
        <v>0</v>
      </c>
      <c r="Z310" s="659">
        <f>IFERROR(IF(Z305="",0,Z305),"0")+IFERROR(IF(Z306="",0,Z306),"0")+IFERROR(IF(Z307="",0,Z307),"0")+IFERROR(IF(Z308="",0,Z308),"0")+IFERROR(IF(Z309="",0,Z309),"0")</f>
        <v>0</v>
      </c>
      <c r="AA310" s="660"/>
      <c r="AB310" s="660"/>
      <c r="AC310" s="660"/>
    </row>
    <row r="311" spans="1:68" hidden="1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63" t="s">
        <v>80</v>
      </c>
      <c r="Q311" s="664"/>
      <c r="R311" s="664"/>
      <c r="S311" s="664"/>
      <c r="T311" s="664"/>
      <c r="U311" s="664"/>
      <c r="V311" s="665"/>
      <c r="W311" s="37" t="s">
        <v>69</v>
      </c>
      <c r="X311" s="659">
        <f>IFERROR(SUM(X305:X309),"0")</f>
        <v>0</v>
      </c>
      <c r="Y311" s="659">
        <f>IFERROR(SUM(Y305:Y309),"0")</f>
        <v>0</v>
      </c>
      <c r="Z311" s="37"/>
      <c r="AA311" s="660"/>
      <c r="AB311" s="660"/>
      <c r="AC311" s="660"/>
    </row>
    <row r="312" spans="1:68" ht="14.25" hidden="1" customHeight="1" x14ac:dyDescent="0.25">
      <c r="A312" s="682" t="s">
        <v>172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53"/>
      <c r="AB312" s="653"/>
      <c r="AC312" s="653"/>
    </row>
    <row r="313" spans="1:68" ht="27" customHeight="1" x14ac:dyDescent="0.25">
      <c r="A313" s="54" t="s">
        <v>509</v>
      </c>
      <c r="B313" s="54" t="s">
        <v>510</v>
      </c>
      <c r="C313" s="31">
        <v>4301060387</v>
      </c>
      <c r="D313" s="672">
        <v>4607091380880</v>
      </c>
      <c r="E313" s="673"/>
      <c r="F313" s="656">
        <v>1.4</v>
      </c>
      <c r="G313" s="32">
        <v>6</v>
      </c>
      <c r="H313" s="656">
        <v>8.4</v>
      </c>
      <c r="I313" s="656">
        <v>8.9190000000000005</v>
      </c>
      <c r="J313" s="32">
        <v>64</v>
      </c>
      <c r="K313" s="32" t="s">
        <v>93</v>
      </c>
      <c r="L313" s="32"/>
      <c r="M313" s="33" t="s">
        <v>103</v>
      </c>
      <c r="N313" s="33"/>
      <c r="O313" s="32">
        <v>30</v>
      </c>
      <c r="P313" s="103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67"/>
      <c r="R313" s="667"/>
      <c r="S313" s="667"/>
      <c r="T313" s="668"/>
      <c r="U313" s="34"/>
      <c r="V313" s="34"/>
      <c r="W313" s="35" t="s">
        <v>69</v>
      </c>
      <c r="X313" s="657">
        <v>70</v>
      </c>
      <c r="Y313" s="658">
        <f>IFERROR(IF(X313="",0,CEILING((X313/$H313),1)*$H313),"")</f>
        <v>75.600000000000009</v>
      </c>
      <c r="Z313" s="36">
        <f>IFERROR(IF(Y313=0,"",ROUNDUP(Y313/H313,0)*0.01898),"")</f>
        <v>0.17082</v>
      </c>
      <c r="AA313" s="56"/>
      <c r="AB313" s="57"/>
      <c r="AC313" s="375" t="s">
        <v>511</v>
      </c>
      <c r="AG313" s="64"/>
      <c r="AJ313" s="68"/>
      <c r="AK313" s="68">
        <v>0</v>
      </c>
      <c r="BB313" s="376" t="s">
        <v>1</v>
      </c>
      <c r="BM313" s="64">
        <f>IFERROR(X313*I313/H313,"0")</f>
        <v>74.325000000000003</v>
      </c>
      <c r="BN313" s="64">
        <f>IFERROR(Y313*I313/H313,"0")</f>
        <v>80.271000000000001</v>
      </c>
      <c r="BO313" s="64">
        <f>IFERROR(1/J313*(X313/H313),"0")</f>
        <v>0.13020833333333331</v>
      </c>
      <c r="BP313" s="64">
        <f>IFERROR(1/J313*(Y313/H313),"0")</f>
        <v>0.140625</v>
      </c>
    </row>
    <row r="314" spans="1:68" ht="27" customHeight="1" x14ac:dyDescent="0.25">
      <c r="A314" s="54" t="s">
        <v>512</v>
      </c>
      <c r="B314" s="54" t="s">
        <v>513</v>
      </c>
      <c r="C314" s="31">
        <v>4301060406</v>
      </c>
      <c r="D314" s="672">
        <v>4607091384482</v>
      </c>
      <c r="E314" s="673"/>
      <c r="F314" s="656">
        <v>1.3</v>
      </c>
      <c r="G314" s="32">
        <v>6</v>
      </c>
      <c r="H314" s="656">
        <v>7.8</v>
      </c>
      <c r="I314" s="656">
        <v>8.3190000000000008</v>
      </c>
      <c r="J314" s="32">
        <v>64</v>
      </c>
      <c r="K314" s="32" t="s">
        <v>93</v>
      </c>
      <c r="L314" s="32"/>
      <c r="M314" s="33" t="s">
        <v>103</v>
      </c>
      <c r="N314" s="33"/>
      <c r="O314" s="32">
        <v>30</v>
      </c>
      <c r="P314" s="9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67"/>
      <c r="R314" s="667"/>
      <c r="S314" s="667"/>
      <c r="T314" s="668"/>
      <c r="U314" s="34"/>
      <c r="V314" s="34"/>
      <c r="W314" s="35" t="s">
        <v>69</v>
      </c>
      <c r="X314" s="657">
        <v>270</v>
      </c>
      <c r="Y314" s="658">
        <f>IFERROR(IF(X314="",0,CEILING((X314/$H314),1)*$H314),"")</f>
        <v>273</v>
      </c>
      <c r="Z314" s="36">
        <f>IFERROR(IF(Y314=0,"",ROUNDUP(Y314/H314,0)*0.01898),"")</f>
        <v>0.6643</v>
      </c>
      <c r="AA314" s="56"/>
      <c r="AB314" s="57"/>
      <c r="AC314" s="377" t="s">
        <v>514</v>
      </c>
      <c r="AG314" s="64"/>
      <c r="AJ314" s="68"/>
      <c r="AK314" s="68">
        <v>0</v>
      </c>
      <c r="BB314" s="378" t="s">
        <v>1</v>
      </c>
      <c r="BM314" s="64">
        <f>IFERROR(X314*I314/H314,"0")</f>
        <v>287.96538461538466</v>
      </c>
      <c r="BN314" s="64">
        <f>IFERROR(Y314*I314/H314,"0")</f>
        <v>291.16500000000008</v>
      </c>
      <c r="BO314" s="64">
        <f>IFERROR(1/J314*(X314/H314),"0")</f>
        <v>0.54086538461538458</v>
      </c>
      <c r="BP314" s="64">
        <f>IFERROR(1/J314*(Y314/H314),"0")</f>
        <v>0.546875</v>
      </c>
    </row>
    <row r="315" spans="1:68" ht="16.5" customHeight="1" x14ac:dyDescent="0.25">
      <c r="A315" s="54" t="s">
        <v>515</v>
      </c>
      <c r="B315" s="54" t="s">
        <v>516</v>
      </c>
      <c r="C315" s="31">
        <v>4301060484</v>
      </c>
      <c r="D315" s="672">
        <v>4607091380897</v>
      </c>
      <c r="E315" s="673"/>
      <c r="F315" s="656">
        <v>1.4</v>
      </c>
      <c r="G315" s="32">
        <v>6</v>
      </c>
      <c r="H315" s="656">
        <v>8.4</v>
      </c>
      <c r="I315" s="656">
        <v>8.9190000000000005</v>
      </c>
      <c r="J315" s="32">
        <v>64</v>
      </c>
      <c r="K315" s="32" t="s">
        <v>93</v>
      </c>
      <c r="L315" s="32"/>
      <c r="M315" s="33" t="s">
        <v>129</v>
      </c>
      <c r="N315" s="33"/>
      <c r="O315" s="32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67"/>
      <c r="R315" s="667"/>
      <c r="S315" s="667"/>
      <c r="T315" s="668"/>
      <c r="U315" s="34"/>
      <c r="V315" s="34"/>
      <c r="W315" s="35" t="s">
        <v>69</v>
      </c>
      <c r="X315" s="657">
        <v>20</v>
      </c>
      <c r="Y315" s="65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79" t="s">
        <v>517</v>
      </c>
      <c r="AG315" s="64"/>
      <c r="AJ315" s="68"/>
      <c r="AK315" s="68">
        <v>0</v>
      </c>
      <c r="BB315" s="380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x14ac:dyDescent="0.2">
      <c r="A316" s="679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63" t="s">
        <v>80</v>
      </c>
      <c r="Q316" s="664"/>
      <c r="R316" s="664"/>
      <c r="S316" s="664"/>
      <c r="T316" s="664"/>
      <c r="U316" s="664"/>
      <c r="V316" s="665"/>
      <c r="W316" s="37" t="s">
        <v>81</v>
      </c>
      <c r="X316" s="659">
        <f>IFERROR(X313/H313,"0")+IFERROR(X314/H314,"0")+IFERROR(X315/H315,"0")</f>
        <v>45.329670329670321</v>
      </c>
      <c r="Y316" s="659">
        <f>IFERROR(Y313/H313,"0")+IFERROR(Y314/H314,"0")+IFERROR(Y315/H315,"0")</f>
        <v>47</v>
      </c>
      <c r="Z316" s="659">
        <f>IFERROR(IF(Z313="",0,Z313),"0")+IFERROR(IF(Z314="",0,Z314),"0")+IFERROR(IF(Z315="",0,Z315),"0")</f>
        <v>0.89205999999999996</v>
      </c>
      <c r="AA316" s="660"/>
      <c r="AB316" s="660"/>
      <c r="AC316" s="660"/>
    </row>
    <row r="317" spans="1:68" x14ac:dyDescent="0.2">
      <c r="A317" s="680"/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1"/>
      <c r="P317" s="663" t="s">
        <v>80</v>
      </c>
      <c r="Q317" s="664"/>
      <c r="R317" s="664"/>
      <c r="S317" s="664"/>
      <c r="T317" s="664"/>
      <c r="U317" s="664"/>
      <c r="V317" s="665"/>
      <c r="W317" s="37" t="s">
        <v>69</v>
      </c>
      <c r="X317" s="659">
        <f>IFERROR(SUM(X313:X315),"0")</f>
        <v>360</v>
      </c>
      <c r="Y317" s="659">
        <f>IFERROR(SUM(Y313:Y315),"0")</f>
        <v>373.8</v>
      </c>
      <c r="Z317" s="37"/>
      <c r="AA317" s="660"/>
      <c r="AB317" s="660"/>
      <c r="AC317" s="660"/>
    </row>
    <row r="318" spans="1:68" ht="14.25" hidden="1" customHeight="1" x14ac:dyDescent="0.25">
      <c r="A318" s="682" t="s">
        <v>82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53"/>
      <c r="AB318" s="653"/>
      <c r="AC318" s="653"/>
    </row>
    <row r="319" spans="1:68" ht="27" hidden="1" customHeight="1" x14ac:dyDescent="0.25">
      <c r="A319" s="54" t="s">
        <v>518</v>
      </c>
      <c r="B319" s="54" t="s">
        <v>519</v>
      </c>
      <c r="C319" s="31">
        <v>4301032055</v>
      </c>
      <c r="D319" s="672">
        <v>4680115886476</v>
      </c>
      <c r="E319" s="673"/>
      <c r="F319" s="656">
        <v>0.38</v>
      </c>
      <c r="G319" s="32">
        <v>8</v>
      </c>
      <c r="H319" s="656">
        <v>3.04</v>
      </c>
      <c r="I319" s="656">
        <v>3.32</v>
      </c>
      <c r="J319" s="32">
        <v>156</v>
      </c>
      <c r="K319" s="32" t="s">
        <v>101</v>
      </c>
      <c r="L319" s="32"/>
      <c r="M319" s="33" t="s">
        <v>85</v>
      </c>
      <c r="N319" s="33"/>
      <c r="O319" s="32">
        <v>180</v>
      </c>
      <c r="P319" s="1010" t="s">
        <v>520</v>
      </c>
      <c r="Q319" s="667"/>
      <c r="R319" s="667"/>
      <c r="S319" s="667"/>
      <c r="T319" s="668"/>
      <c r="U319" s="34"/>
      <c r="V319" s="34"/>
      <c r="W319" s="35" t="s">
        <v>69</v>
      </c>
      <c r="X319" s="657">
        <v>0</v>
      </c>
      <c r="Y319" s="658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381" t="s">
        <v>521</v>
      </c>
      <c r="AG319" s="64"/>
      <c r="AJ319" s="68"/>
      <c r="AK319" s="68">
        <v>0</v>
      </c>
      <c r="BB319" s="38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4301030232</v>
      </c>
      <c r="D320" s="672">
        <v>4607091388374</v>
      </c>
      <c r="E320" s="673"/>
      <c r="F320" s="656">
        <v>0.38</v>
      </c>
      <c r="G320" s="32">
        <v>8</v>
      </c>
      <c r="H320" s="656">
        <v>3.04</v>
      </c>
      <c r="I320" s="656">
        <v>3.29</v>
      </c>
      <c r="J320" s="32">
        <v>132</v>
      </c>
      <c r="K320" s="32" t="s">
        <v>101</v>
      </c>
      <c r="L320" s="32"/>
      <c r="M320" s="33" t="s">
        <v>85</v>
      </c>
      <c r="N320" s="33"/>
      <c r="O320" s="32">
        <v>180</v>
      </c>
      <c r="P320" s="921" t="s">
        <v>524</v>
      </c>
      <c r="Q320" s="667"/>
      <c r="R320" s="667"/>
      <c r="S320" s="667"/>
      <c r="T320" s="668"/>
      <c r="U320" s="34"/>
      <c r="V320" s="34"/>
      <c r="W320" s="35" t="s">
        <v>69</v>
      </c>
      <c r="X320" s="657">
        <v>0</v>
      </c>
      <c r="Y320" s="65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83" t="s">
        <v>525</v>
      </c>
      <c r="AG320" s="64"/>
      <c r="AJ320" s="68"/>
      <c r="AK320" s="68">
        <v>0</v>
      </c>
      <c r="BB320" s="38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526</v>
      </c>
      <c r="B321" s="54" t="s">
        <v>527</v>
      </c>
      <c r="C321" s="31">
        <v>4301032015</v>
      </c>
      <c r="D321" s="672">
        <v>4607091383102</v>
      </c>
      <c r="E321" s="673"/>
      <c r="F321" s="656">
        <v>0.17</v>
      </c>
      <c r="G321" s="32">
        <v>15</v>
      </c>
      <c r="H321" s="656">
        <v>2.5499999999999998</v>
      </c>
      <c r="I321" s="656">
        <v>2.9550000000000001</v>
      </c>
      <c r="J321" s="32">
        <v>182</v>
      </c>
      <c r="K321" s="32" t="s">
        <v>67</v>
      </c>
      <c r="L321" s="32"/>
      <c r="M321" s="33" t="s">
        <v>85</v>
      </c>
      <c r="N321" s="33"/>
      <c r="O321" s="32">
        <v>180</v>
      </c>
      <c r="P321" s="9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67"/>
      <c r="R321" s="667"/>
      <c r="S321" s="667"/>
      <c r="T321" s="668"/>
      <c r="U321" s="34"/>
      <c r="V321" s="34"/>
      <c r="W321" s="35" t="s">
        <v>69</v>
      </c>
      <c r="X321" s="657">
        <v>34</v>
      </c>
      <c r="Y321" s="658">
        <f>IFERROR(IF(X321="",0,CEILING((X321/$H321),1)*$H321),"")</f>
        <v>35.699999999999996</v>
      </c>
      <c r="Z321" s="36">
        <f>IFERROR(IF(Y321=0,"",ROUNDUP(Y321/H321,0)*0.00651),"")</f>
        <v>9.1139999999999999E-2</v>
      </c>
      <c r="AA321" s="56"/>
      <c r="AB321" s="57"/>
      <c r="AC321" s="385" t="s">
        <v>528</v>
      </c>
      <c r="AG321" s="64"/>
      <c r="AJ321" s="68"/>
      <c r="AK321" s="68">
        <v>0</v>
      </c>
      <c r="BB321" s="386" t="s">
        <v>1</v>
      </c>
      <c r="BM321" s="64">
        <f>IFERROR(X321*I321/H321,"0")</f>
        <v>39.400000000000006</v>
      </c>
      <c r="BN321" s="64">
        <f>IFERROR(Y321*I321/H321,"0")</f>
        <v>41.37</v>
      </c>
      <c r="BO321" s="64">
        <f>IFERROR(1/J321*(X321/H321),"0")</f>
        <v>7.3260073260073263E-2</v>
      </c>
      <c r="BP321" s="64">
        <f>IFERROR(1/J321*(Y321/H321),"0")</f>
        <v>7.6923076923076927E-2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4301030233</v>
      </c>
      <c r="D322" s="672">
        <v>4607091388404</v>
      </c>
      <c r="E322" s="673"/>
      <c r="F322" s="656">
        <v>0.17</v>
      </c>
      <c r="G322" s="32">
        <v>15</v>
      </c>
      <c r="H322" s="656">
        <v>2.5499999999999998</v>
      </c>
      <c r="I322" s="656">
        <v>2.88</v>
      </c>
      <c r="J322" s="32">
        <v>182</v>
      </c>
      <c r="K322" s="32" t="s">
        <v>67</v>
      </c>
      <c r="L322" s="32"/>
      <c r="M322" s="33" t="s">
        <v>85</v>
      </c>
      <c r="N322" s="33"/>
      <c r="O322" s="32">
        <v>180</v>
      </c>
      <c r="P322" s="8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67"/>
      <c r="R322" s="667"/>
      <c r="S322" s="667"/>
      <c r="T322" s="668"/>
      <c r="U322" s="34"/>
      <c r="V322" s="34"/>
      <c r="W322" s="35" t="s">
        <v>69</v>
      </c>
      <c r="X322" s="657">
        <v>0</v>
      </c>
      <c r="Y322" s="65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87" t="s">
        <v>525</v>
      </c>
      <c r="AG322" s="64"/>
      <c r="AJ322" s="68"/>
      <c r="AK322" s="68">
        <v>0</v>
      </c>
      <c r="BB322" s="38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79"/>
      <c r="B323" s="680"/>
      <c r="C323" s="680"/>
      <c r="D323" s="680"/>
      <c r="E323" s="680"/>
      <c r="F323" s="680"/>
      <c r="G323" s="680"/>
      <c r="H323" s="680"/>
      <c r="I323" s="680"/>
      <c r="J323" s="680"/>
      <c r="K323" s="680"/>
      <c r="L323" s="680"/>
      <c r="M323" s="680"/>
      <c r="N323" s="680"/>
      <c r="O323" s="681"/>
      <c r="P323" s="663" t="s">
        <v>80</v>
      </c>
      <c r="Q323" s="664"/>
      <c r="R323" s="664"/>
      <c r="S323" s="664"/>
      <c r="T323" s="664"/>
      <c r="U323" s="664"/>
      <c r="V323" s="665"/>
      <c r="W323" s="37" t="s">
        <v>81</v>
      </c>
      <c r="X323" s="659">
        <f>IFERROR(X319/H319,"0")+IFERROR(X320/H320,"0")+IFERROR(X321/H321,"0")+IFERROR(X322/H322,"0")</f>
        <v>13.333333333333334</v>
      </c>
      <c r="Y323" s="659">
        <f>IFERROR(Y319/H319,"0")+IFERROR(Y320/H320,"0")+IFERROR(Y321/H321,"0")+IFERROR(Y322/H322,"0")</f>
        <v>14</v>
      </c>
      <c r="Z323" s="659">
        <f>IFERROR(IF(Z319="",0,Z319),"0")+IFERROR(IF(Z320="",0,Z320),"0")+IFERROR(IF(Z321="",0,Z321),"0")+IFERROR(IF(Z322="",0,Z322),"0")</f>
        <v>9.1139999999999999E-2</v>
      </c>
      <c r="AA323" s="660"/>
      <c r="AB323" s="660"/>
      <c r="AC323" s="660"/>
    </row>
    <row r="324" spans="1:68" x14ac:dyDescent="0.2">
      <c r="A324" s="680"/>
      <c r="B324" s="680"/>
      <c r="C324" s="680"/>
      <c r="D324" s="680"/>
      <c r="E324" s="680"/>
      <c r="F324" s="680"/>
      <c r="G324" s="680"/>
      <c r="H324" s="680"/>
      <c r="I324" s="680"/>
      <c r="J324" s="680"/>
      <c r="K324" s="680"/>
      <c r="L324" s="680"/>
      <c r="M324" s="680"/>
      <c r="N324" s="680"/>
      <c r="O324" s="681"/>
      <c r="P324" s="663" t="s">
        <v>80</v>
      </c>
      <c r="Q324" s="664"/>
      <c r="R324" s="664"/>
      <c r="S324" s="664"/>
      <c r="T324" s="664"/>
      <c r="U324" s="664"/>
      <c r="V324" s="665"/>
      <c r="W324" s="37" t="s">
        <v>69</v>
      </c>
      <c r="X324" s="659">
        <f>IFERROR(SUM(X319:X322),"0")</f>
        <v>34</v>
      </c>
      <c r="Y324" s="659">
        <f>IFERROR(SUM(Y319:Y322),"0")</f>
        <v>35.699999999999996</v>
      </c>
      <c r="Z324" s="37"/>
      <c r="AA324" s="660"/>
      <c r="AB324" s="660"/>
      <c r="AC324" s="660"/>
    </row>
    <row r="325" spans="1:68" ht="14.25" hidden="1" customHeight="1" x14ac:dyDescent="0.25">
      <c r="A325" s="682" t="s">
        <v>531</v>
      </c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0"/>
      <c r="P325" s="680"/>
      <c r="Q325" s="680"/>
      <c r="R325" s="680"/>
      <c r="S325" s="680"/>
      <c r="T325" s="680"/>
      <c r="U325" s="680"/>
      <c r="V325" s="680"/>
      <c r="W325" s="680"/>
      <c r="X325" s="680"/>
      <c r="Y325" s="680"/>
      <c r="Z325" s="680"/>
      <c r="AA325" s="653"/>
      <c r="AB325" s="653"/>
      <c r="AC325" s="653"/>
    </row>
    <row r="326" spans="1:68" ht="16.5" hidden="1" customHeight="1" x14ac:dyDescent="0.25">
      <c r="A326" s="54" t="s">
        <v>532</v>
      </c>
      <c r="B326" s="54" t="s">
        <v>533</v>
      </c>
      <c r="C326" s="31">
        <v>4301180007</v>
      </c>
      <c r="D326" s="672">
        <v>4680115881808</v>
      </c>
      <c r="E326" s="673"/>
      <c r="F326" s="656">
        <v>0.1</v>
      </c>
      <c r="G326" s="32">
        <v>20</v>
      </c>
      <c r="H326" s="656">
        <v>2</v>
      </c>
      <c r="I326" s="656">
        <v>2.2400000000000002</v>
      </c>
      <c r="J326" s="32">
        <v>238</v>
      </c>
      <c r="K326" s="32" t="s">
        <v>67</v>
      </c>
      <c r="L326" s="32"/>
      <c r="M326" s="33" t="s">
        <v>534</v>
      </c>
      <c r="N326" s="33"/>
      <c r="O326" s="32">
        <v>730</v>
      </c>
      <c r="P326" s="6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67"/>
      <c r="R326" s="667"/>
      <c r="S326" s="667"/>
      <c r="T326" s="668"/>
      <c r="U326" s="34"/>
      <c r="V326" s="34"/>
      <c r="W326" s="35" t="s">
        <v>69</v>
      </c>
      <c r="X326" s="657">
        <v>0</v>
      </c>
      <c r="Y326" s="658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89" t="s">
        <v>535</v>
      </c>
      <c r="AG326" s="64"/>
      <c r="AJ326" s="68"/>
      <c r="AK326" s="68">
        <v>0</v>
      </c>
      <c r="BB326" s="39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4301180006</v>
      </c>
      <c r="D327" s="672">
        <v>4680115881822</v>
      </c>
      <c r="E327" s="673"/>
      <c r="F327" s="656">
        <v>0.1</v>
      </c>
      <c r="G327" s="32">
        <v>20</v>
      </c>
      <c r="H327" s="656">
        <v>2</v>
      </c>
      <c r="I327" s="656">
        <v>2.2400000000000002</v>
      </c>
      <c r="J327" s="32">
        <v>238</v>
      </c>
      <c r="K327" s="32" t="s">
        <v>67</v>
      </c>
      <c r="L327" s="32"/>
      <c r="M327" s="33" t="s">
        <v>534</v>
      </c>
      <c r="N327" s="33"/>
      <c r="O327" s="32">
        <v>730</v>
      </c>
      <c r="P327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67"/>
      <c r="R327" s="667"/>
      <c r="S327" s="667"/>
      <c r="T327" s="668"/>
      <c r="U327" s="34"/>
      <c r="V327" s="34"/>
      <c r="W327" s="35" t="s">
        <v>69</v>
      </c>
      <c r="X327" s="657">
        <v>0</v>
      </c>
      <c r="Y327" s="65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91" t="s">
        <v>535</v>
      </c>
      <c r="AG327" s="64"/>
      <c r="AJ327" s="68"/>
      <c r="AK327" s="68">
        <v>0</v>
      </c>
      <c r="BB327" s="39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538</v>
      </c>
      <c r="B328" s="54" t="s">
        <v>539</v>
      </c>
      <c r="C328" s="31">
        <v>4301180001</v>
      </c>
      <c r="D328" s="672">
        <v>4680115880016</v>
      </c>
      <c r="E328" s="673"/>
      <c r="F328" s="656">
        <v>0.1</v>
      </c>
      <c r="G328" s="32">
        <v>20</v>
      </c>
      <c r="H328" s="656">
        <v>2</v>
      </c>
      <c r="I328" s="656">
        <v>2.2400000000000002</v>
      </c>
      <c r="J328" s="32">
        <v>238</v>
      </c>
      <c r="K328" s="32" t="s">
        <v>67</v>
      </c>
      <c r="L328" s="32"/>
      <c r="M328" s="33" t="s">
        <v>534</v>
      </c>
      <c r="N328" s="33"/>
      <c r="O328" s="32">
        <v>730</v>
      </c>
      <c r="P328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67"/>
      <c r="R328" s="667"/>
      <c r="S328" s="667"/>
      <c r="T328" s="668"/>
      <c r="U328" s="34"/>
      <c r="V328" s="34"/>
      <c r="W328" s="35" t="s">
        <v>69</v>
      </c>
      <c r="X328" s="657">
        <v>0</v>
      </c>
      <c r="Y328" s="65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93" t="s">
        <v>535</v>
      </c>
      <c r="AG328" s="64"/>
      <c r="AJ328" s="68"/>
      <c r="AK328" s="68">
        <v>0</v>
      </c>
      <c r="BB328" s="39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79"/>
      <c r="B329" s="680"/>
      <c r="C329" s="680"/>
      <c r="D329" s="680"/>
      <c r="E329" s="680"/>
      <c r="F329" s="680"/>
      <c r="G329" s="680"/>
      <c r="H329" s="680"/>
      <c r="I329" s="680"/>
      <c r="J329" s="680"/>
      <c r="K329" s="680"/>
      <c r="L329" s="680"/>
      <c r="M329" s="680"/>
      <c r="N329" s="680"/>
      <c r="O329" s="681"/>
      <c r="P329" s="663" t="s">
        <v>80</v>
      </c>
      <c r="Q329" s="664"/>
      <c r="R329" s="664"/>
      <c r="S329" s="664"/>
      <c r="T329" s="664"/>
      <c r="U329" s="664"/>
      <c r="V329" s="665"/>
      <c r="W329" s="37" t="s">
        <v>81</v>
      </c>
      <c r="X329" s="659">
        <f>IFERROR(X326/H326,"0")+IFERROR(X327/H327,"0")+IFERROR(X328/H328,"0")</f>
        <v>0</v>
      </c>
      <c r="Y329" s="659">
        <f>IFERROR(Y326/H326,"0")+IFERROR(Y327/H327,"0")+IFERROR(Y328/H328,"0")</f>
        <v>0</v>
      </c>
      <c r="Z329" s="659">
        <f>IFERROR(IF(Z326="",0,Z326),"0")+IFERROR(IF(Z327="",0,Z327),"0")+IFERROR(IF(Z328="",0,Z328),"0")</f>
        <v>0</v>
      </c>
      <c r="AA329" s="660"/>
      <c r="AB329" s="660"/>
      <c r="AC329" s="660"/>
    </row>
    <row r="330" spans="1:68" hidden="1" x14ac:dyDescent="0.2">
      <c r="A330" s="680"/>
      <c r="B330" s="680"/>
      <c r="C330" s="680"/>
      <c r="D330" s="680"/>
      <c r="E330" s="680"/>
      <c r="F330" s="680"/>
      <c r="G330" s="680"/>
      <c r="H330" s="680"/>
      <c r="I330" s="680"/>
      <c r="J330" s="680"/>
      <c r="K330" s="680"/>
      <c r="L330" s="680"/>
      <c r="M330" s="680"/>
      <c r="N330" s="680"/>
      <c r="O330" s="681"/>
      <c r="P330" s="663" t="s">
        <v>80</v>
      </c>
      <c r="Q330" s="664"/>
      <c r="R330" s="664"/>
      <c r="S330" s="664"/>
      <c r="T330" s="664"/>
      <c r="U330" s="664"/>
      <c r="V330" s="665"/>
      <c r="W330" s="37" t="s">
        <v>69</v>
      </c>
      <c r="X330" s="659">
        <f>IFERROR(SUM(X326:X328),"0")</f>
        <v>0</v>
      </c>
      <c r="Y330" s="659">
        <f>IFERROR(SUM(Y326:Y328),"0")</f>
        <v>0</v>
      </c>
      <c r="Z330" s="37"/>
      <c r="AA330" s="660"/>
      <c r="AB330" s="660"/>
      <c r="AC330" s="660"/>
    </row>
    <row r="331" spans="1:68" ht="16.5" hidden="1" customHeight="1" x14ac:dyDescent="0.25">
      <c r="A331" s="688" t="s">
        <v>540</v>
      </c>
      <c r="B331" s="680"/>
      <c r="C331" s="680"/>
      <c r="D331" s="680"/>
      <c r="E331" s="680"/>
      <c r="F331" s="680"/>
      <c r="G331" s="680"/>
      <c r="H331" s="680"/>
      <c r="I331" s="680"/>
      <c r="J331" s="680"/>
      <c r="K331" s="680"/>
      <c r="L331" s="680"/>
      <c r="M331" s="680"/>
      <c r="N331" s="680"/>
      <c r="O331" s="680"/>
      <c r="P331" s="680"/>
      <c r="Q331" s="680"/>
      <c r="R331" s="680"/>
      <c r="S331" s="680"/>
      <c r="T331" s="680"/>
      <c r="U331" s="680"/>
      <c r="V331" s="680"/>
      <c r="W331" s="680"/>
      <c r="X331" s="680"/>
      <c r="Y331" s="680"/>
      <c r="Z331" s="680"/>
      <c r="AA331" s="652"/>
      <c r="AB331" s="652"/>
      <c r="AC331" s="652"/>
    </row>
    <row r="332" spans="1:68" ht="14.25" hidden="1" customHeight="1" x14ac:dyDescent="0.25">
      <c r="A332" s="682" t="s">
        <v>146</v>
      </c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0"/>
      <c r="P332" s="680"/>
      <c r="Q332" s="680"/>
      <c r="R332" s="680"/>
      <c r="S332" s="680"/>
      <c r="T332" s="680"/>
      <c r="U332" s="680"/>
      <c r="V332" s="680"/>
      <c r="W332" s="680"/>
      <c r="X332" s="680"/>
      <c r="Y332" s="680"/>
      <c r="Z332" s="680"/>
      <c r="AA332" s="653"/>
      <c r="AB332" s="653"/>
      <c r="AC332" s="653"/>
    </row>
    <row r="333" spans="1:68" ht="27" customHeight="1" x14ac:dyDescent="0.25">
      <c r="A333" s="54" t="s">
        <v>541</v>
      </c>
      <c r="B333" s="54" t="s">
        <v>542</v>
      </c>
      <c r="C333" s="31">
        <v>4301031066</v>
      </c>
      <c r="D333" s="672">
        <v>4607091383836</v>
      </c>
      <c r="E333" s="673"/>
      <c r="F333" s="656">
        <v>0.3</v>
      </c>
      <c r="G333" s="32">
        <v>6</v>
      </c>
      <c r="H333" s="656">
        <v>1.8</v>
      </c>
      <c r="I333" s="656">
        <v>2.028</v>
      </c>
      <c r="J333" s="32">
        <v>182</v>
      </c>
      <c r="K333" s="32" t="s">
        <v>67</v>
      </c>
      <c r="L333" s="32"/>
      <c r="M333" s="33" t="s">
        <v>68</v>
      </c>
      <c r="N333" s="33"/>
      <c r="O333" s="32">
        <v>40</v>
      </c>
      <c r="P333" s="9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33" s="667"/>
      <c r="R333" s="667"/>
      <c r="S333" s="667"/>
      <c r="T333" s="668"/>
      <c r="U333" s="34"/>
      <c r="V333" s="34"/>
      <c r="W333" s="35" t="s">
        <v>69</v>
      </c>
      <c r="X333" s="657">
        <v>39</v>
      </c>
      <c r="Y333" s="658">
        <f>IFERROR(IF(X333="",0,CEILING((X333/$H333),1)*$H333),"")</f>
        <v>39.6</v>
      </c>
      <c r="Z333" s="36">
        <f>IFERROR(IF(Y333=0,"",ROUNDUP(Y333/H333,0)*0.00651),"")</f>
        <v>0.14322000000000001</v>
      </c>
      <c r="AA333" s="56"/>
      <c r="AB333" s="57"/>
      <c r="AC333" s="395" t="s">
        <v>543</v>
      </c>
      <c r="AG333" s="64"/>
      <c r="AJ333" s="68"/>
      <c r="AK333" s="68">
        <v>0</v>
      </c>
      <c r="BB333" s="396" t="s">
        <v>1</v>
      </c>
      <c r="BM333" s="64">
        <f>IFERROR(X333*I333/H333,"0")</f>
        <v>43.94</v>
      </c>
      <c r="BN333" s="64">
        <f>IFERROR(Y333*I333/H333,"0")</f>
        <v>44.616</v>
      </c>
      <c r="BO333" s="64">
        <f>IFERROR(1/J333*(X333/H333),"0")</f>
        <v>0.11904761904761907</v>
      </c>
      <c r="BP333" s="64">
        <f>IFERROR(1/J333*(Y333/H333),"0")</f>
        <v>0.12087912087912089</v>
      </c>
    </row>
    <row r="334" spans="1:68" x14ac:dyDescent="0.2">
      <c r="A334" s="679"/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1"/>
      <c r="P334" s="663" t="s">
        <v>80</v>
      </c>
      <c r="Q334" s="664"/>
      <c r="R334" s="664"/>
      <c r="S334" s="664"/>
      <c r="T334" s="664"/>
      <c r="U334" s="664"/>
      <c r="V334" s="665"/>
      <c r="W334" s="37" t="s">
        <v>81</v>
      </c>
      <c r="X334" s="659">
        <f>IFERROR(X333/H333,"0")</f>
        <v>21.666666666666668</v>
      </c>
      <c r="Y334" s="659">
        <f>IFERROR(Y333/H333,"0")</f>
        <v>22</v>
      </c>
      <c r="Z334" s="659">
        <f>IFERROR(IF(Z333="",0,Z333),"0")</f>
        <v>0.14322000000000001</v>
      </c>
      <c r="AA334" s="660"/>
      <c r="AB334" s="660"/>
      <c r="AC334" s="660"/>
    </row>
    <row r="335" spans="1:68" x14ac:dyDescent="0.2">
      <c r="A335" s="680"/>
      <c r="B335" s="680"/>
      <c r="C335" s="680"/>
      <c r="D335" s="680"/>
      <c r="E335" s="680"/>
      <c r="F335" s="680"/>
      <c r="G335" s="680"/>
      <c r="H335" s="680"/>
      <c r="I335" s="680"/>
      <c r="J335" s="680"/>
      <c r="K335" s="680"/>
      <c r="L335" s="680"/>
      <c r="M335" s="680"/>
      <c r="N335" s="680"/>
      <c r="O335" s="681"/>
      <c r="P335" s="663" t="s">
        <v>80</v>
      </c>
      <c r="Q335" s="664"/>
      <c r="R335" s="664"/>
      <c r="S335" s="664"/>
      <c r="T335" s="664"/>
      <c r="U335" s="664"/>
      <c r="V335" s="665"/>
      <c r="W335" s="37" t="s">
        <v>69</v>
      </c>
      <c r="X335" s="659">
        <f>IFERROR(SUM(X333:X333),"0")</f>
        <v>39</v>
      </c>
      <c r="Y335" s="659">
        <f>IFERROR(SUM(Y333:Y333),"0")</f>
        <v>39.6</v>
      </c>
      <c r="Z335" s="37"/>
      <c r="AA335" s="660"/>
      <c r="AB335" s="660"/>
      <c r="AC335" s="660"/>
    </row>
    <row r="336" spans="1:68" ht="14.25" hidden="1" customHeight="1" x14ac:dyDescent="0.25">
      <c r="A336" s="682" t="s">
        <v>64</v>
      </c>
      <c r="B336" s="680"/>
      <c r="C336" s="680"/>
      <c r="D336" s="680"/>
      <c r="E336" s="680"/>
      <c r="F336" s="680"/>
      <c r="G336" s="680"/>
      <c r="H336" s="680"/>
      <c r="I336" s="680"/>
      <c r="J336" s="680"/>
      <c r="K336" s="680"/>
      <c r="L336" s="680"/>
      <c r="M336" s="680"/>
      <c r="N336" s="680"/>
      <c r="O336" s="680"/>
      <c r="P336" s="680"/>
      <c r="Q336" s="680"/>
      <c r="R336" s="680"/>
      <c r="S336" s="680"/>
      <c r="T336" s="680"/>
      <c r="U336" s="680"/>
      <c r="V336" s="680"/>
      <c r="W336" s="680"/>
      <c r="X336" s="680"/>
      <c r="Y336" s="680"/>
      <c r="Z336" s="680"/>
      <c r="AA336" s="653"/>
      <c r="AB336" s="653"/>
      <c r="AC336" s="653"/>
    </row>
    <row r="337" spans="1:68" ht="37.5" hidden="1" customHeight="1" x14ac:dyDescent="0.25">
      <c r="A337" s="54" t="s">
        <v>544</v>
      </c>
      <c r="B337" s="54" t="s">
        <v>545</v>
      </c>
      <c r="C337" s="31">
        <v>4301051489</v>
      </c>
      <c r="D337" s="672">
        <v>4607091387919</v>
      </c>
      <c r="E337" s="673"/>
      <c r="F337" s="656">
        <v>1.35</v>
      </c>
      <c r="G337" s="32">
        <v>6</v>
      </c>
      <c r="H337" s="656">
        <v>8.1</v>
      </c>
      <c r="I337" s="656">
        <v>8.6189999999999998</v>
      </c>
      <c r="J337" s="32">
        <v>64</v>
      </c>
      <c r="K337" s="32" t="s">
        <v>93</v>
      </c>
      <c r="L337" s="32"/>
      <c r="M337" s="33" t="s">
        <v>129</v>
      </c>
      <c r="N337" s="33"/>
      <c r="O337" s="32">
        <v>45</v>
      </c>
      <c r="P337" s="7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67"/>
      <c r="R337" s="667"/>
      <c r="S337" s="667"/>
      <c r="T337" s="668"/>
      <c r="U337" s="34"/>
      <c r="V337" s="34"/>
      <c r="W337" s="35" t="s">
        <v>69</v>
      </c>
      <c r="X337" s="657">
        <v>0</v>
      </c>
      <c r="Y337" s="658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7" t="s">
        <v>546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4301051461</v>
      </c>
      <c r="D338" s="672">
        <v>4680115883604</v>
      </c>
      <c r="E338" s="673"/>
      <c r="F338" s="656">
        <v>0.35</v>
      </c>
      <c r="G338" s="32">
        <v>6</v>
      </c>
      <c r="H338" s="656">
        <v>2.1</v>
      </c>
      <c r="I338" s="656">
        <v>2.3519999999999999</v>
      </c>
      <c r="J338" s="32">
        <v>182</v>
      </c>
      <c r="K338" s="32" t="s">
        <v>67</v>
      </c>
      <c r="L338" s="32"/>
      <c r="M338" s="33" t="s">
        <v>103</v>
      </c>
      <c r="N338" s="33"/>
      <c r="O338" s="32">
        <v>45</v>
      </c>
      <c r="P338" s="102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67"/>
      <c r="R338" s="667"/>
      <c r="S338" s="667"/>
      <c r="T338" s="668"/>
      <c r="U338" s="34"/>
      <c r="V338" s="34"/>
      <c r="W338" s="35" t="s">
        <v>69</v>
      </c>
      <c r="X338" s="657">
        <v>909.99999999999989</v>
      </c>
      <c r="Y338" s="658">
        <f>IFERROR(IF(X338="",0,CEILING((X338/$H338),1)*$H338),"")</f>
        <v>911.40000000000009</v>
      </c>
      <c r="Z338" s="36">
        <f>IFERROR(IF(Y338=0,"",ROUNDUP(Y338/H338,0)*0.00651),"")</f>
        <v>2.8253400000000002</v>
      </c>
      <c r="AA338" s="56"/>
      <c r="AB338" s="57"/>
      <c r="AC338" s="399" t="s">
        <v>549</v>
      </c>
      <c r="AG338" s="64"/>
      <c r="AJ338" s="68"/>
      <c r="AK338" s="68">
        <v>0</v>
      </c>
      <c r="BB338" s="400" t="s">
        <v>1</v>
      </c>
      <c r="BM338" s="64">
        <f>IFERROR(X338*I338/H338,"0")</f>
        <v>1019.1999999999998</v>
      </c>
      <c r="BN338" s="64">
        <f>IFERROR(Y338*I338/H338,"0")</f>
        <v>1020.7679999999999</v>
      </c>
      <c r="BO338" s="64">
        <f>IFERROR(1/J338*(X338/H338),"0")</f>
        <v>2.3809523809523809</v>
      </c>
      <c r="BP338" s="64">
        <f>IFERROR(1/J338*(Y338/H338),"0")</f>
        <v>2.3846153846153846</v>
      </c>
    </row>
    <row r="339" spans="1:68" ht="27" customHeight="1" x14ac:dyDescent="0.25">
      <c r="A339" s="54" t="s">
        <v>550</v>
      </c>
      <c r="B339" s="54" t="s">
        <v>551</v>
      </c>
      <c r="C339" s="31">
        <v>4301051864</v>
      </c>
      <c r="D339" s="672">
        <v>4680115883567</v>
      </c>
      <c r="E339" s="673"/>
      <c r="F339" s="656">
        <v>0.35</v>
      </c>
      <c r="G339" s="32">
        <v>6</v>
      </c>
      <c r="H339" s="656">
        <v>2.1</v>
      </c>
      <c r="I339" s="656">
        <v>2.34</v>
      </c>
      <c r="J339" s="32">
        <v>182</v>
      </c>
      <c r="K339" s="32" t="s">
        <v>67</v>
      </c>
      <c r="L339" s="32"/>
      <c r="M339" s="33" t="s">
        <v>129</v>
      </c>
      <c r="N339" s="33"/>
      <c r="O339" s="32">
        <v>40</v>
      </c>
      <c r="P339" s="7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67"/>
      <c r="R339" s="667"/>
      <c r="S339" s="667"/>
      <c r="T339" s="668"/>
      <c r="U339" s="34"/>
      <c r="V339" s="34"/>
      <c r="W339" s="35" t="s">
        <v>69</v>
      </c>
      <c r="X339" s="657">
        <v>280</v>
      </c>
      <c r="Y339" s="658">
        <f>IFERROR(IF(X339="",0,CEILING((X339/$H339),1)*$H339),"")</f>
        <v>281.40000000000003</v>
      </c>
      <c r="Z339" s="36">
        <f>IFERROR(IF(Y339=0,"",ROUNDUP(Y339/H339,0)*0.00651),"")</f>
        <v>0.87234</v>
      </c>
      <c r="AA339" s="56"/>
      <c r="AB339" s="57"/>
      <c r="AC339" s="401" t="s">
        <v>552</v>
      </c>
      <c r="AG339" s="64"/>
      <c r="AJ339" s="68"/>
      <c r="AK339" s="68">
        <v>0</v>
      </c>
      <c r="BB339" s="402" t="s">
        <v>1</v>
      </c>
      <c r="BM339" s="64">
        <f>IFERROR(X339*I339/H339,"0")</f>
        <v>311.99999999999994</v>
      </c>
      <c r="BN339" s="64">
        <f>IFERROR(Y339*I339/H339,"0")</f>
        <v>313.56</v>
      </c>
      <c r="BO339" s="64">
        <f>IFERROR(1/J339*(X339/H339),"0")</f>
        <v>0.73260073260073255</v>
      </c>
      <c r="BP339" s="64">
        <f>IFERROR(1/J339*(Y339/H339),"0")</f>
        <v>0.73626373626373631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63" t="s">
        <v>80</v>
      </c>
      <c r="Q340" s="664"/>
      <c r="R340" s="664"/>
      <c r="S340" s="664"/>
      <c r="T340" s="664"/>
      <c r="U340" s="664"/>
      <c r="V340" s="665"/>
      <c r="W340" s="37" t="s">
        <v>81</v>
      </c>
      <c r="X340" s="659">
        <f>IFERROR(X337/H337,"0")+IFERROR(X338/H338,"0")+IFERROR(X339/H339,"0")</f>
        <v>566.66666666666652</v>
      </c>
      <c r="Y340" s="659">
        <f>IFERROR(Y337/H337,"0")+IFERROR(Y338/H338,"0")+IFERROR(Y339/H339,"0")</f>
        <v>568</v>
      </c>
      <c r="Z340" s="659">
        <f>IFERROR(IF(Z337="",0,Z337),"0")+IFERROR(IF(Z338="",0,Z338),"0")+IFERROR(IF(Z339="",0,Z339),"0")</f>
        <v>3.6976800000000001</v>
      </c>
      <c r="AA340" s="660"/>
      <c r="AB340" s="660"/>
      <c r="AC340" s="660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63" t="s">
        <v>80</v>
      </c>
      <c r="Q341" s="664"/>
      <c r="R341" s="664"/>
      <c r="S341" s="664"/>
      <c r="T341" s="664"/>
      <c r="U341" s="664"/>
      <c r="V341" s="665"/>
      <c r="W341" s="37" t="s">
        <v>69</v>
      </c>
      <c r="X341" s="659">
        <f>IFERROR(SUM(X337:X339),"0")</f>
        <v>1190</v>
      </c>
      <c r="Y341" s="659">
        <f>IFERROR(SUM(Y337:Y339),"0")</f>
        <v>1192.8000000000002</v>
      </c>
      <c r="Z341" s="37"/>
      <c r="AA341" s="660"/>
      <c r="AB341" s="660"/>
      <c r="AC341" s="660"/>
    </row>
    <row r="342" spans="1:68" ht="27.75" hidden="1" customHeight="1" x14ac:dyDescent="0.2">
      <c r="A342" s="712" t="s">
        <v>553</v>
      </c>
      <c r="B342" s="713"/>
      <c r="C342" s="713"/>
      <c r="D342" s="713"/>
      <c r="E342" s="713"/>
      <c r="F342" s="713"/>
      <c r="G342" s="713"/>
      <c r="H342" s="713"/>
      <c r="I342" s="713"/>
      <c r="J342" s="713"/>
      <c r="K342" s="713"/>
      <c r="L342" s="713"/>
      <c r="M342" s="713"/>
      <c r="N342" s="713"/>
      <c r="O342" s="713"/>
      <c r="P342" s="713"/>
      <c r="Q342" s="713"/>
      <c r="R342" s="713"/>
      <c r="S342" s="713"/>
      <c r="T342" s="713"/>
      <c r="U342" s="713"/>
      <c r="V342" s="713"/>
      <c r="W342" s="713"/>
      <c r="X342" s="713"/>
      <c r="Y342" s="713"/>
      <c r="Z342" s="713"/>
      <c r="AA342" s="48"/>
      <c r="AB342" s="48"/>
      <c r="AC342" s="48"/>
    </row>
    <row r="343" spans="1:68" ht="16.5" hidden="1" customHeight="1" x14ac:dyDescent="0.25">
      <c r="A343" s="688" t="s">
        <v>554</v>
      </c>
      <c r="B343" s="680"/>
      <c r="C343" s="680"/>
      <c r="D343" s="680"/>
      <c r="E343" s="680"/>
      <c r="F343" s="680"/>
      <c r="G343" s="680"/>
      <c r="H343" s="680"/>
      <c r="I343" s="680"/>
      <c r="J343" s="680"/>
      <c r="K343" s="680"/>
      <c r="L343" s="680"/>
      <c r="M343" s="680"/>
      <c r="N343" s="680"/>
      <c r="O343" s="680"/>
      <c r="P343" s="680"/>
      <c r="Q343" s="680"/>
      <c r="R343" s="680"/>
      <c r="S343" s="680"/>
      <c r="T343" s="680"/>
      <c r="U343" s="680"/>
      <c r="V343" s="680"/>
      <c r="W343" s="680"/>
      <c r="X343" s="680"/>
      <c r="Y343" s="680"/>
      <c r="Z343" s="680"/>
      <c r="AA343" s="652"/>
      <c r="AB343" s="652"/>
      <c r="AC343" s="652"/>
    </row>
    <row r="344" spans="1:68" ht="14.25" hidden="1" customHeight="1" x14ac:dyDescent="0.25">
      <c r="A344" s="682" t="s">
        <v>90</v>
      </c>
      <c r="B344" s="680"/>
      <c r="C344" s="680"/>
      <c r="D344" s="680"/>
      <c r="E344" s="680"/>
      <c r="F344" s="680"/>
      <c r="G344" s="680"/>
      <c r="H344" s="680"/>
      <c r="I344" s="680"/>
      <c r="J344" s="680"/>
      <c r="K344" s="680"/>
      <c r="L344" s="680"/>
      <c r="M344" s="680"/>
      <c r="N344" s="680"/>
      <c r="O344" s="680"/>
      <c r="P344" s="680"/>
      <c r="Q344" s="680"/>
      <c r="R344" s="680"/>
      <c r="S344" s="680"/>
      <c r="T344" s="680"/>
      <c r="U344" s="680"/>
      <c r="V344" s="680"/>
      <c r="W344" s="680"/>
      <c r="X344" s="680"/>
      <c r="Y344" s="680"/>
      <c r="Z344" s="680"/>
      <c r="AA344" s="653"/>
      <c r="AB344" s="653"/>
      <c r="AC344" s="653"/>
    </row>
    <row r="345" spans="1:68" ht="37.5" customHeight="1" x14ac:dyDescent="0.25">
      <c r="A345" s="54" t="s">
        <v>555</v>
      </c>
      <c r="B345" s="54" t="s">
        <v>556</v>
      </c>
      <c r="C345" s="31">
        <v>4301011869</v>
      </c>
      <c r="D345" s="672">
        <v>4680115884847</v>
      </c>
      <c r="E345" s="673"/>
      <c r="F345" s="656">
        <v>2.5</v>
      </c>
      <c r="G345" s="32">
        <v>6</v>
      </c>
      <c r="H345" s="656">
        <v>15</v>
      </c>
      <c r="I345" s="656">
        <v>15.48</v>
      </c>
      <c r="J345" s="32">
        <v>48</v>
      </c>
      <c r="K345" s="32" t="s">
        <v>93</v>
      </c>
      <c r="L345" s="32"/>
      <c r="M345" s="33" t="s">
        <v>68</v>
      </c>
      <c r="N345" s="33"/>
      <c r="O345" s="32">
        <v>60</v>
      </c>
      <c r="P345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67"/>
      <c r="R345" s="667"/>
      <c r="S345" s="667"/>
      <c r="T345" s="668"/>
      <c r="U345" s="34"/>
      <c r="V345" s="34"/>
      <c r="W345" s="35" t="s">
        <v>69</v>
      </c>
      <c r="X345" s="657">
        <v>700</v>
      </c>
      <c r="Y345" s="658">
        <f t="shared" ref="Y345:Y354" si="52">IFERROR(IF(X345="",0,CEILING((X345/$H345),1)*$H345),"")</f>
        <v>705</v>
      </c>
      <c r="Z345" s="36">
        <f>IFERROR(IF(Y345=0,"",ROUNDUP(Y345/H345,0)*0.02175),"")</f>
        <v>1.0222499999999999</v>
      </c>
      <c r="AA345" s="56"/>
      <c r="AB345" s="57"/>
      <c r="AC345" s="403" t="s">
        <v>557</v>
      </c>
      <c r="AG345" s="64"/>
      <c r="AJ345" s="68"/>
      <c r="AK345" s="68">
        <v>0</v>
      </c>
      <c r="BB345" s="404" t="s">
        <v>1</v>
      </c>
      <c r="BM345" s="64">
        <f t="shared" ref="BM345:BM354" si="53">IFERROR(X345*I345/H345,"0")</f>
        <v>722.4</v>
      </c>
      <c r="BN345" s="64">
        <f t="shared" ref="BN345:BN354" si="54">IFERROR(Y345*I345/H345,"0")</f>
        <v>727.56</v>
      </c>
      <c r="BO345" s="64">
        <f t="shared" ref="BO345:BO354" si="55">IFERROR(1/J345*(X345/H345),"0")</f>
        <v>0.9722222222222221</v>
      </c>
      <c r="BP345" s="64">
        <f t="shared" ref="BP345:BP354" si="56">IFERROR(1/J345*(Y345/H345),"0")</f>
        <v>0.97916666666666663</v>
      </c>
    </row>
    <row r="346" spans="1:68" ht="27" hidden="1" customHeight="1" x14ac:dyDescent="0.25">
      <c r="A346" s="54" t="s">
        <v>555</v>
      </c>
      <c r="B346" s="54" t="s">
        <v>558</v>
      </c>
      <c r="C346" s="31">
        <v>4301011946</v>
      </c>
      <c r="D346" s="672">
        <v>4680115884847</v>
      </c>
      <c r="E346" s="673"/>
      <c r="F346" s="656">
        <v>2.5</v>
      </c>
      <c r="G346" s="32">
        <v>6</v>
      </c>
      <c r="H346" s="656">
        <v>15</v>
      </c>
      <c r="I346" s="656">
        <v>15.48</v>
      </c>
      <c r="J346" s="32">
        <v>48</v>
      </c>
      <c r="K346" s="32" t="s">
        <v>93</v>
      </c>
      <c r="L346" s="32"/>
      <c r="M346" s="33" t="s">
        <v>371</v>
      </c>
      <c r="N346" s="33"/>
      <c r="O346" s="32">
        <v>60</v>
      </c>
      <c r="P346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46" s="667"/>
      <c r="R346" s="667"/>
      <c r="S346" s="667"/>
      <c r="T346" s="668"/>
      <c r="U346" s="34"/>
      <c r="V346" s="34"/>
      <c r="W346" s="35" t="s">
        <v>69</v>
      </c>
      <c r="X346" s="657">
        <v>0</v>
      </c>
      <c r="Y346" s="658">
        <f t="shared" si="52"/>
        <v>0</v>
      </c>
      <c r="Z346" s="36" t="str">
        <f>IFERROR(IF(Y346=0,"",ROUNDUP(Y346/H346,0)*0.02039),"")</f>
        <v/>
      </c>
      <c r="AA346" s="56"/>
      <c r="AB346" s="57"/>
      <c r="AC346" s="405" t="s">
        <v>559</v>
      </c>
      <c r="AG346" s="64"/>
      <c r="AJ346" s="68"/>
      <c r="AK346" s="68">
        <v>0</v>
      </c>
      <c r="BB346" s="406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27" customHeight="1" x14ac:dyDescent="0.25">
      <c r="A347" s="54" t="s">
        <v>560</v>
      </c>
      <c r="B347" s="54" t="s">
        <v>561</v>
      </c>
      <c r="C347" s="31">
        <v>4301011870</v>
      </c>
      <c r="D347" s="672">
        <v>4680115884854</v>
      </c>
      <c r="E347" s="673"/>
      <c r="F347" s="656">
        <v>2.5</v>
      </c>
      <c r="G347" s="32">
        <v>6</v>
      </c>
      <c r="H347" s="656">
        <v>15</v>
      </c>
      <c r="I347" s="656">
        <v>15.48</v>
      </c>
      <c r="J347" s="32">
        <v>48</v>
      </c>
      <c r="K347" s="32" t="s">
        <v>93</v>
      </c>
      <c r="L347" s="32" t="s">
        <v>102</v>
      </c>
      <c r="M347" s="33" t="s">
        <v>68</v>
      </c>
      <c r="N347" s="33"/>
      <c r="O347" s="32">
        <v>60</v>
      </c>
      <c r="P347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667"/>
      <c r="R347" s="667"/>
      <c r="S347" s="667"/>
      <c r="T347" s="668"/>
      <c r="U347" s="34"/>
      <c r="V347" s="34"/>
      <c r="W347" s="35" t="s">
        <v>69</v>
      </c>
      <c r="X347" s="657">
        <v>700</v>
      </c>
      <c r="Y347" s="658">
        <f t="shared" si="52"/>
        <v>705</v>
      </c>
      <c r="Z347" s="36">
        <f>IFERROR(IF(Y347=0,"",ROUNDUP(Y347/H347,0)*0.02175),"")</f>
        <v>1.0222499999999999</v>
      </c>
      <c r="AA347" s="56"/>
      <c r="AB347" s="57"/>
      <c r="AC347" s="407" t="s">
        <v>562</v>
      </c>
      <c r="AG347" s="64"/>
      <c r="AJ347" s="68" t="s">
        <v>104</v>
      </c>
      <c r="AK347" s="68">
        <v>720</v>
      </c>
      <c r="BB347" s="408" t="s">
        <v>1</v>
      </c>
      <c r="BM347" s="64">
        <f t="shared" si="53"/>
        <v>722.4</v>
      </c>
      <c r="BN347" s="64">
        <f t="shared" si="54"/>
        <v>727.56</v>
      </c>
      <c r="BO347" s="64">
        <f t="shared" si="55"/>
        <v>0.9722222222222221</v>
      </c>
      <c r="BP347" s="64">
        <f t="shared" si="56"/>
        <v>0.97916666666666663</v>
      </c>
    </row>
    <row r="348" spans="1:68" ht="27" hidden="1" customHeight="1" x14ac:dyDescent="0.25">
      <c r="A348" s="54" t="s">
        <v>560</v>
      </c>
      <c r="B348" s="54" t="s">
        <v>563</v>
      </c>
      <c r="C348" s="31">
        <v>4301011947</v>
      </c>
      <c r="D348" s="672">
        <v>4680115884854</v>
      </c>
      <c r="E348" s="673"/>
      <c r="F348" s="656">
        <v>2.5</v>
      </c>
      <c r="G348" s="32">
        <v>6</v>
      </c>
      <c r="H348" s="656">
        <v>15</v>
      </c>
      <c r="I348" s="656">
        <v>15.48</v>
      </c>
      <c r="J348" s="32">
        <v>48</v>
      </c>
      <c r="K348" s="32" t="s">
        <v>93</v>
      </c>
      <c r="L348" s="32"/>
      <c r="M348" s="33" t="s">
        <v>371</v>
      </c>
      <c r="N348" s="33"/>
      <c r="O348" s="32">
        <v>60</v>
      </c>
      <c r="P348" s="9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67"/>
      <c r="R348" s="667"/>
      <c r="S348" s="667"/>
      <c r="T348" s="668"/>
      <c r="U348" s="34"/>
      <c r="V348" s="34"/>
      <c r="W348" s="35" t="s">
        <v>69</v>
      </c>
      <c r="X348" s="657">
        <v>0</v>
      </c>
      <c r="Y348" s="658">
        <f t="shared" si="52"/>
        <v>0</v>
      </c>
      <c r="Z348" s="36" t="str">
        <f>IFERROR(IF(Y348=0,"",ROUNDUP(Y348/H348,0)*0.02039),"")</f>
        <v/>
      </c>
      <c r="AA348" s="56"/>
      <c r="AB348" s="57"/>
      <c r="AC348" s="409" t="s">
        <v>559</v>
      </c>
      <c r="AG348" s="64"/>
      <c r="AJ348" s="68"/>
      <c r="AK348" s="68">
        <v>0</v>
      </c>
      <c r="BB348" s="41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564</v>
      </c>
      <c r="B349" s="54" t="s">
        <v>565</v>
      </c>
      <c r="C349" s="31">
        <v>4301011867</v>
      </c>
      <c r="D349" s="672">
        <v>4680115884830</v>
      </c>
      <c r="E349" s="673"/>
      <c r="F349" s="656">
        <v>2.5</v>
      </c>
      <c r="G349" s="32">
        <v>6</v>
      </c>
      <c r="H349" s="656">
        <v>15</v>
      </c>
      <c r="I349" s="656">
        <v>15.48</v>
      </c>
      <c r="J349" s="32">
        <v>48</v>
      </c>
      <c r="K349" s="32" t="s">
        <v>93</v>
      </c>
      <c r="L349" s="32"/>
      <c r="M349" s="33" t="s">
        <v>68</v>
      </c>
      <c r="N349" s="33"/>
      <c r="O349" s="32">
        <v>60</v>
      </c>
      <c r="P349" s="9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667"/>
      <c r="R349" s="667"/>
      <c r="S349" s="667"/>
      <c r="T349" s="668"/>
      <c r="U349" s="34"/>
      <c r="V349" s="34"/>
      <c r="W349" s="35" t="s">
        <v>69</v>
      </c>
      <c r="X349" s="657">
        <v>1500</v>
      </c>
      <c r="Y349" s="658">
        <f t="shared" si="52"/>
        <v>1500</v>
      </c>
      <c r="Z349" s="36">
        <f>IFERROR(IF(Y349=0,"",ROUNDUP(Y349/H349,0)*0.02175),"")</f>
        <v>2.1749999999999998</v>
      </c>
      <c r="AA349" s="56"/>
      <c r="AB349" s="57"/>
      <c r="AC349" s="411" t="s">
        <v>566</v>
      </c>
      <c r="AG349" s="64"/>
      <c r="AJ349" s="68"/>
      <c r="AK349" s="68">
        <v>0</v>
      </c>
      <c r="BB349" s="412" t="s">
        <v>1</v>
      </c>
      <c r="BM349" s="64">
        <f t="shared" si="53"/>
        <v>1548</v>
      </c>
      <c r="BN349" s="64">
        <f t="shared" si="54"/>
        <v>1548</v>
      </c>
      <c r="BO349" s="64">
        <f t="shared" si="55"/>
        <v>2.083333333333333</v>
      </c>
      <c r="BP349" s="64">
        <f t="shared" si="56"/>
        <v>2.083333333333333</v>
      </c>
    </row>
    <row r="350" spans="1:68" ht="27" customHeight="1" x14ac:dyDescent="0.25">
      <c r="A350" s="54" t="s">
        <v>567</v>
      </c>
      <c r="B350" s="54" t="s">
        <v>568</v>
      </c>
      <c r="C350" s="31">
        <v>4301011832</v>
      </c>
      <c r="D350" s="672">
        <v>4607091383997</v>
      </c>
      <c r="E350" s="673"/>
      <c r="F350" s="656">
        <v>2.5</v>
      </c>
      <c r="G350" s="32">
        <v>6</v>
      </c>
      <c r="H350" s="656">
        <v>15</v>
      </c>
      <c r="I350" s="656">
        <v>15.48</v>
      </c>
      <c r="J350" s="32">
        <v>48</v>
      </c>
      <c r="K350" s="32" t="s">
        <v>93</v>
      </c>
      <c r="L350" s="32"/>
      <c r="M350" s="33" t="s">
        <v>129</v>
      </c>
      <c r="N350" s="33"/>
      <c r="O350" s="32">
        <v>60</v>
      </c>
      <c r="P350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67"/>
      <c r="R350" s="667"/>
      <c r="S350" s="667"/>
      <c r="T350" s="668"/>
      <c r="U350" s="34"/>
      <c r="V350" s="34"/>
      <c r="W350" s="35" t="s">
        <v>69</v>
      </c>
      <c r="X350" s="657">
        <v>200</v>
      </c>
      <c r="Y350" s="658">
        <f t="shared" si="52"/>
        <v>210</v>
      </c>
      <c r="Z350" s="36">
        <f>IFERROR(IF(Y350=0,"",ROUNDUP(Y350/H350,0)*0.02175),"")</f>
        <v>0.30449999999999999</v>
      </c>
      <c r="AA350" s="56"/>
      <c r="AB350" s="57"/>
      <c r="AC350" s="413" t="s">
        <v>569</v>
      </c>
      <c r="AG350" s="64"/>
      <c r="AJ350" s="68"/>
      <c r="AK350" s="68">
        <v>0</v>
      </c>
      <c r="BB350" s="414" t="s">
        <v>1</v>
      </c>
      <c r="BM350" s="64">
        <f t="shared" si="53"/>
        <v>206.4</v>
      </c>
      <c r="BN350" s="64">
        <f t="shared" si="54"/>
        <v>216.72</v>
      </c>
      <c r="BO350" s="64">
        <f t="shared" si="55"/>
        <v>0.27777777777777779</v>
      </c>
      <c r="BP350" s="64">
        <f t="shared" si="56"/>
        <v>0.29166666666666663</v>
      </c>
    </row>
    <row r="351" spans="1:68" ht="27" hidden="1" customHeight="1" x14ac:dyDescent="0.25">
      <c r="A351" s="54" t="s">
        <v>564</v>
      </c>
      <c r="B351" s="54" t="s">
        <v>570</v>
      </c>
      <c r="C351" s="31">
        <v>4301011943</v>
      </c>
      <c r="D351" s="672">
        <v>4680115884830</v>
      </c>
      <c r="E351" s="673"/>
      <c r="F351" s="656">
        <v>2.5</v>
      </c>
      <c r="G351" s="32">
        <v>6</v>
      </c>
      <c r="H351" s="656">
        <v>15</v>
      </c>
      <c r="I351" s="656">
        <v>15.48</v>
      </c>
      <c r="J351" s="32">
        <v>48</v>
      </c>
      <c r="K351" s="32" t="s">
        <v>93</v>
      </c>
      <c r="L351" s="32"/>
      <c r="M351" s="33" t="s">
        <v>371</v>
      </c>
      <c r="N351" s="33"/>
      <c r="O351" s="32">
        <v>60</v>
      </c>
      <c r="P351" s="8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67"/>
      <c r="R351" s="667"/>
      <c r="S351" s="667"/>
      <c r="T351" s="668"/>
      <c r="U351" s="34"/>
      <c r="V351" s="34"/>
      <c r="W351" s="35" t="s">
        <v>69</v>
      </c>
      <c r="X351" s="657">
        <v>0</v>
      </c>
      <c r="Y351" s="658">
        <f t="shared" si="52"/>
        <v>0</v>
      </c>
      <c r="Z351" s="36" t="str">
        <f>IFERROR(IF(Y351=0,"",ROUNDUP(Y351/H351,0)*0.02039),"")</f>
        <v/>
      </c>
      <c r="AA351" s="56"/>
      <c r="AB351" s="57"/>
      <c r="AC351" s="415" t="s">
        <v>559</v>
      </c>
      <c r="AG351" s="64"/>
      <c r="AJ351" s="68"/>
      <c r="AK351" s="68">
        <v>0</v>
      </c>
      <c r="BB351" s="41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571</v>
      </c>
      <c r="B352" s="54" t="s">
        <v>572</v>
      </c>
      <c r="C352" s="31">
        <v>4301011433</v>
      </c>
      <c r="D352" s="672">
        <v>4680115882638</v>
      </c>
      <c r="E352" s="673"/>
      <c r="F352" s="656">
        <v>0.4</v>
      </c>
      <c r="G352" s="32">
        <v>10</v>
      </c>
      <c r="H352" s="656">
        <v>4</v>
      </c>
      <c r="I352" s="656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7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67"/>
      <c r="R352" s="667"/>
      <c r="S352" s="667"/>
      <c r="T352" s="668"/>
      <c r="U352" s="34"/>
      <c r="V352" s="34"/>
      <c r="W352" s="35" t="s">
        <v>69</v>
      </c>
      <c r="X352" s="657">
        <v>0</v>
      </c>
      <c r="Y352" s="658">
        <f t="shared" si="52"/>
        <v>0</v>
      </c>
      <c r="Z352" s="36" t="str">
        <f>IFERROR(IF(Y352=0,"",ROUNDUP(Y352/H352,0)*0.00902),"")</f>
        <v/>
      </c>
      <c r="AA352" s="56"/>
      <c r="AB352" s="57"/>
      <c r="AC352" s="417" t="s">
        <v>573</v>
      </c>
      <c r="AG352" s="64"/>
      <c r="AJ352" s="68"/>
      <c r="AK352" s="68">
        <v>0</v>
      </c>
      <c r="BB352" s="41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574</v>
      </c>
      <c r="B353" s="54" t="s">
        <v>575</v>
      </c>
      <c r="C353" s="31">
        <v>4301011952</v>
      </c>
      <c r="D353" s="672">
        <v>4680115884922</v>
      </c>
      <c r="E353" s="673"/>
      <c r="F353" s="656">
        <v>0.5</v>
      </c>
      <c r="G353" s="32">
        <v>10</v>
      </c>
      <c r="H353" s="656">
        <v>5</v>
      </c>
      <c r="I353" s="656">
        <v>5.21</v>
      </c>
      <c r="J353" s="32">
        <v>132</v>
      </c>
      <c r="K353" s="32" t="s">
        <v>101</v>
      </c>
      <c r="L353" s="32"/>
      <c r="M353" s="33" t="s">
        <v>68</v>
      </c>
      <c r="N353" s="33"/>
      <c r="O353" s="32">
        <v>60</v>
      </c>
      <c r="P353" s="7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67"/>
      <c r="R353" s="667"/>
      <c r="S353" s="667"/>
      <c r="T353" s="668"/>
      <c r="U353" s="34"/>
      <c r="V353" s="34"/>
      <c r="W353" s="35" t="s">
        <v>69</v>
      </c>
      <c r="X353" s="657">
        <v>0</v>
      </c>
      <c r="Y353" s="658">
        <f t="shared" si="52"/>
        <v>0</v>
      </c>
      <c r="Z353" s="36" t="str">
        <f>IFERROR(IF(Y353=0,"",ROUNDUP(Y353/H353,0)*0.00902),"")</f>
        <v/>
      </c>
      <c r="AA353" s="56"/>
      <c r="AB353" s="57"/>
      <c r="AC353" s="419" t="s">
        <v>562</v>
      </c>
      <c r="AG353" s="64"/>
      <c r="AJ353" s="68"/>
      <c r="AK353" s="68">
        <v>0</v>
      </c>
      <c r="BB353" s="42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37.5" customHeight="1" x14ac:dyDescent="0.25">
      <c r="A354" s="54" t="s">
        <v>576</v>
      </c>
      <c r="B354" s="54" t="s">
        <v>577</v>
      </c>
      <c r="C354" s="31">
        <v>4301011868</v>
      </c>
      <c r="D354" s="672">
        <v>4680115884861</v>
      </c>
      <c r="E354" s="673"/>
      <c r="F354" s="656">
        <v>0.5</v>
      </c>
      <c r="G354" s="32">
        <v>10</v>
      </c>
      <c r="H354" s="656">
        <v>5</v>
      </c>
      <c r="I354" s="656">
        <v>5.21</v>
      </c>
      <c r="J354" s="32">
        <v>132</v>
      </c>
      <c r="K354" s="32" t="s">
        <v>101</v>
      </c>
      <c r="L354" s="32"/>
      <c r="M354" s="33" t="s">
        <v>68</v>
      </c>
      <c r="N354" s="33"/>
      <c r="O354" s="32">
        <v>60</v>
      </c>
      <c r="P354" s="94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67"/>
      <c r="R354" s="667"/>
      <c r="S354" s="667"/>
      <c r="T354" s="668"/>
      <c r="U354" s="34"/>
      <c r="V354" s="34"/>
      <c r="W354" s="35" t="s">
        <v>69</v>
      </c>
      <c r="X354" s="657">
        <v>10</v>
      </c>
      <c r="Y354" s="658">
        <f t="shared" si="52"/>
        <v>10</v>
      </c>
      <c r="Z354" s="36">
        <f>IFERROR(IF(Y354=0,"",ROUNDUP(Y354/H354,0)*0.00902),"")</f>
        <v>1.804E-2</v>
      </c>
      <c r="AA354" s="56"/>
      <c r="AB354" s="57"/>
      <c r="AC354" s="421" t="s">
        <v>566</v>
      </c>
      <c r="AG354" s="64"/>
      <c r="AJ354" s="68"/>
      <c r="AK354" s="68">
        <v>0</v>
      </c>
      <c r="BB354" s="422" t="s">
        <v>1</v>
      </c>
      <c r="BM354" s="64">
        <f t="shared" si="53"/>
        <v>10.42</v>
      </c>
      <c r="BN354" s="64">
        <f t="shared" si="54"/>
        <v>10.42</v>
      </c>
      <c r="BO354" s="64">
        <f t="shared" si="55"/>
        <v>1.5151515151515152E-2</v>
      </c>
      <c r="BP354" s="64">
        <f t="shared" si="56"/>
        <v>1.5151515151515152E-2</v>
      </c>
    </row>
    <row r="355" spans="1:68" x14ac:dyDescent="0.2">
      <c r="A355" s="679"/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1"/>
      <c r="P355" s="663" t="s">
        <v>80</v>
      </c>
      <c r="Q355" s="664"/>
      <c r="R355" s="664"/>
      <c r="S355" s="664"/>
      <c r="T355" s="664"/>
      <c r="U355" s="664"/>
      <c r="V355" s="665"/>
      <c r="W355" s="37" t="s">
        <v>81</v>
      </c>
      <c r="X355" s="659">
        <f>IFERROR(X345/H345,"0")+IFERROR(X346/H346,"0")+IFERROR(X347/H347,"0")+IFERROR(X348/H348,"0")+IFERROR(X349/H349,"0")+IFERROR(X350/H350,"0")+IFERROR(X351/H351,"0")+IFERROR(X352/H352,"0")+IFERROR(X353/H353,"0")+IFERROR(X354/H354,"0")</f>
        <v>208.66666666666666</v>
      </c>
      <c r="Y355" s="659">
        <f>IFERROR(Y345/H345,"0")+IFERROR(Y346/H346,"0")+IFERROR(Y347/H347,"0")+IFERROR(Y348/H348,"0")+IFERROR(Y349/H349,"0")+IFERROR(Y350/H350,"0")+IFERROR(Y351/H351,"0")+IFERROR(Y352/H352,"0")+IFERROR(Y353/H353,"0")+IFERROR(Y354/H354,"0")</f>
        <v>210</v>
      </c>
      <c r="Z355" s="659">
        <f>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</f>
        <v>4.5420400000000001</v>
      </c>
      <c r="AA355" s="660"/>
      <c r="AB355" s="660"/>
      <c r="AC355" s="660"/>
    </row>
    <row r="356" spans="1:68" x14ac:dyDescent="0.2">
      <c r="A356" s="680"/>
      <c r="B356" s="680"/>
      <c r="C356" s="680"/>
      <c r="D356" s="680"/>
      <c r="E356" s="680"/>
      <c r="F356" s="680"/>
      <c r="G356" s="680"/>
      <c r="H356" s="680"/>
      <c r="I356" s="680"/>
      <c r="J356" s="680"/>
      <c r="K356" s="680"/>
      <c r="L356" s="680"/>
      <c r="M356" s="680"/>
      <c r="N356" s="680"/>
      <c r="O356" s="681"/>
      <c r="P356" s="663" t="s">
        <v>80</v>
      </c>
      <c r="Q356" s="664"/>
      <c r="R356" s="664"/>
      <c r="S356" s="664"/>
      <c r="T356" s="664"/>
      <c r="U356" s="664"/>
      <c r="V356" s="665"/>
      <c r="W356" s="37" t="s">
        <v>69</v>
      </c>
      <c r="X356" s="659">
        <f>IFERROR(SUM(X345:X354),"0")</f>
        <v>3110</v>
      </c>
      <c r="Y356" s="659">
        <f>IFERROR(SUM(Y345:Y354),"0")</f>
        <v>3130</v>
      </c>
      <c r="Z356" s="37"/>
      <c r="AA356" s="660"/>
      <c r="AB356" s="660"/>
      <c r="AC356" s="660"/>
    </row>
    <row r="357" spans="1:68" ht="14.25" hidden="1" customHeight="1" x14ac:dyDescent="0.25">
      <c r="A357" s="682" t="s">
        <v>133</v>
      </c>
      <c r="B357" s="680"/>
      <c r="C357" s="680"/>
      <c r="D357" s="680"/>
      <c r="E357" s="680"/>
      <c r="F357" s="680"/>
      <c r="G357" s="680"/>
      <c r="H357" s="680"/>
      <c r="I357" s="680"/>
      <c r="J357" s="680"/>
      <c r="K357" s="680"/>
      <c r="L357" s="680"/>
      <c r="M357" s="680"/>
      <c r="N357" s="680"/>
      <c r="O357" s="680"/>
      <c r="P357" s="680"/>
      <c r="Q357" s="680"/>
      <c r="R357" s="680"/>
      <c r="S357" s="680"/>
      <c r="T357" s="680"/>
      <c r="U357" s="680"/>
      <c r="V357" s="680"/>
      <c r="W357" s="680"/>
      <c r="X357" s="680"/>
      <c r="Y357" s="680"/>
      <c r="Z357" s="680"/>
      <c r="AA357" s="653"/>
      <c r="AB357" s="653"/>
      <c r="AC357" s="653"/>
    </row>
    <row r="358" spans="1:68" ht="27" customHeight="1" x14ac:dyDescent="0.25">
      <c r="A358" s="54" t="s">
        <v>578</v>
      </c>
      <c r="B358" s="54" t="s">
        <v>579</v>
      </c>
      <c r="C358" s="31">
        <v>4301020178</v>
      </c>
      <c r="D358" s="672">
        <v>4607091383980</v>
      </c>
      <c r="E358" s="673"/>
      <c r="F358" s="656">
        <v>2.5</v>
      </c>
      <c r="G358" s="32">
        <v>6</v>
      </c>
      <c r="H358" s="656">
        <v>15</v>
      </c>
      <c r="I358" s="656">
        <v>15.48</v>
      </c>
      <c r="J358" s="32">
        <v>48</v>
      </c>
      <c r="K358" s="32" t="s">
        <v>93</v>
      </c>
      <c r="L358" s="32" t="s">
        <v>102</v>
      </c>
      <c r="M358" s="33" t="s">
        <v>94</v>
      </c>
      <c r="N358" s="33"/>
      <c r="O358" s="32">
        <v>50</v>
      </c>
      <c r="P358" s="8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67"/>
      <c r="R358" s="667"/>
      <c r="S358" s="667"/>
      <c r="T358" s="668"/>
      <c r="U358" s="34"/>
      <c r="V358" s="34"/>
      <c r="W358" s="35" t="s">
        <v>69</v>
      </c>
      <c r="X358" s="657">
        <v>1000</v>
      </c>
      <c r="Y358" s="658">
        <f>IFERROR(IF(X358="",0,CEILING((X358/$H358),1)*$H358),"")</f>
        <v>1005</v>
      </c>
      <c r="Z358" s="36">
        <f>IFERROR(IF(Y358=0,"",ROUNDUP(Y358/H358,0)*0.02175),"")</f>
        <v>1.4572499999999999</v>
      </c>
      <c r="AA358" s="56"/>
      <c r="AB358" s="57"/>
      <c r="AC358" s="423" t="s">
        <v>580</v>
      </c>
      <c r="AG358" s="64"/>
      <c r="AJ358" s="68" t="s">
        <v>104</v>
      </c>
      <c r="AK358" s="68">
        <v>720</v>
      </c>
      <c r="BB358" s="424" t="s">
        <v>1</v>
      </c>
      <c r="BM358" s="64">
        <f>IFERROR(X358*I358/H358,"0")</f>
        <v>1032</v>
      </c>
      <c r="BN358" s="64">
        <f>IFERROR(Y358*I358/H358,"0")</f>
        <v>1037.1600000000001</v>
      </c>
      <c r="BO358" s="64">
        <f>IFERROR(1/J358*(X358/H358),"0")</f>
        <v>1.3888888888888888</v>
      </c>
      <c r="BP358" s="64">
        <f>IFERROR(1/J358*(Y358/H358),"0")</f>
        <v>1.3958333333333333</v>
      </c>
    </row>
    <row r="359" spans="1:68" ht="27" hidden="1" customHeight="1" x14ac:dyDescent="0.25">
      <c r="A359" s="54" t="s">
        <v>581</v>
      </c>
      <c r="B359" s="54" t="s">
        <v>582</v>
      </c>
      <c r="C359" s="31">
        <v>4301020179</v>
      </c>
      <c r="D359" s="672">
        <v>4607091384178</v>
      </c>
      <c r="E359" s="673"/>
      <c r="F359" s="656">
        <v>0.4</v>
      </c>
      <c r="G359" s="32">
        <v>10</v>
      </c>
      <c r="H359" s="656">
        <v>4</v>
      </c>
      <c r="I359" s="656">
        <v>4.21</v>
      </c>
      <c r="J359" s="32">
        <v>132</v>
      </c>
      <c r="K359" s="32" t="s">
        <v>101</v>
      </c>
      <c r="L359" s="32"/>
      <c r="M359" s="33" t="s">
        <v>94</v>
      </c>
      <c r="N359" s="33"/>
      <c r="O359" s="32">
        <v>50</v>
      </c>
      <c r="P359" s="10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67"/>
      <c r="R359" s="667"/>
      <c r="S359" s="667"/>
      <c r="T359" s="668"/>
      <c r="U359" s="34"/>
      <c r="V359" s="34"/>
      <c r="W359" s="35" t="s">
        <v>69</v>
      </c>
      <c r="X359" s="657">
        <v>0</v>
      </c>
      <c r="Y359" s="65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580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79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63" t="s">
        <v>80</v>
      </c>
      <c r="Q360" s="664"/>
      <c r="R360" s="664"/>
      <c r="S360" s="664"/>
      <c r="T360" s="664"/>
      <c r="U360" s="664"/>
      <c r="V360" s="665"/>
      <c r="W360" s="37" t="s">
        <v>81</v>
      </c>
      <c r="X360" s="659">
        <f>IFERROR(X358/H358,"0")+IFERROR(X359/H359,"0")</f>
        <v>66.666666666666671</v>
      </c>
      <c r="Y360" s="659">
        <f>IFERROR(Y358/H358,"0")+IFERROR(Y359/H359,"0")</f>
        <v>67</v>
      </c>
      <c r="Z360" s="659">
        <f>IFERROR(IF(Z358="",0,Z358),"0")+IFERROR(IF(Z359="",0,Z359),"0")</f>
        <v>1.4572499999999999</v>
      </c>
      <c r="AA360" s="660"/>
      <c r="AB360" s="660"/>
      <c r="AC360" s="660"/>
    </row>
    <row r="361" spans="1:68" x14ac:dyDescent="0.2">
      <c r="A361" s="680"/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1"/>
      <c r="P361" s="663" t="s">
        <v>80</v>
      </c>
      <c r="Q361" s="664"/>
      <c r="R361" s="664"/>
      <c r="S361" s="664"/>
      <c r="T361" s="664"/>
      <c r="U361" s="664"/>
      <c r="V361" s="665"/>
      <c r="W361" s="37" t="s">
        <v>69</v>
      </c>
      <c r="X361" s="659">
        <f>IFERROR(SUM(X358:X359),"0")</f>
        <v>1000</v>
      </c>
      <c r="Y361" s="659">
        <f>IFERROR(SUM(Y358:Y359),"0")</f>
        <v>1005</v>
      </c>
      <c r="Z361" s="37"/>
      <c r="AA361" s="660"/>
      <c r="AB361" s="660"/>
      <c r="AC361" s="660"/>
    </row>
    <row r="362" spans="1:68" ht="14.25" hidden="1" customHeight="1" x14ac:dyDescent="0.25">
      <c r="A362" s="682" t="s">
        <v>64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53"/>
      <c r="AB362" s="653"/>
      <c r="AC362" s="653"/>
    </row>
    <row r="363" spans="1:68" ht="27" hidden="1" customHeight="1" x14ac:dyDescent="0.25">
      <c r="A363" s="54" t="s">
        <v>583</v>
      </c>
      <c r="B363" s="54" t="s">
        <v>584</v>
      </c>
      <c r="C363" s="31">
        <v>4301051903</v>
      </c>
      <c r="D363" s="672">
        <v>4607091383928</v>
      </c>
      <c r="E363" s="673"/>
      <c r="F363" s="656">
        <v>1.5</v>
      </c>
      <c r="G363" s="32">
        <v>6</v>
      </c>
      <c r="H363" s="656">
        <v>9</v>
      </c>
      <c r="I363" s="656">
        <v>9.5250000000000004</v>
      </c>
      <c r="J363" s="32">
        <v>64</v>
      </c>
      <c r="K363" s="32" t="s">
        <v>93</v>
      </c>
      <c r="L363" s="32"/>
      <c r="M363" s="33" t="s">
        <v>103</v>
      </c>
      <c r="N363" s="33"/>
      <c r="O363" s="32">
        <v>40</v>
      </c>
      <c r="P363" s="1028" t="s">
        <v>585</v>
      </c>
      <c r="Q363" s="667"/>
      <c r="R363" s="667"/>
      <c r="S363" s="667"/>
      <c r="T363" s="668"/>
      <c r="U363" s="34"/>
      <c r="V363" s="34"/>
      <c r="W363" s="35" t="s">
        <v>69</v>
      </c>
      <c r="X363" s="657">
        <v>0</v>
      </c>
      <c r="Y363" s="65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27" t="s">
        <v>586</v>
      </c>
      <c r="AG363" s="64"/>
      <c r="AJ363" s="68"/>
      <c r="AK363" s="68">
        <v>0</v>
      </c>
      <c r="BB363" s="42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587</v>
      </c>
      <c r="B364" s="54" t="s">
        <v>588</v>
      </c>
      <c r="C364" s="31">
        <v>4301051897</v>
      </c>
      <c r="D364" s="672">
        <v>4607091384260</v>
      </c>
      <c r="E364" s="673"/>
      <c r="F364" s="656">
        <v>1.5</v>
      </c>
      <c r="G364" s="32">
        <v>6</v>
      </c>
      <c r="H364" s="656">
        <v>9</v>
      </c>
      <c r="I364" s="656">
        <v>9.5190000000000001</v>
      </c>
      <c r="J364" s="32">
        <v>64</v>
      </c>
      <c r="K364" s="32" t="s">
        <v>93</v>
      </c>
      <c r="L364" s="32"/>
      <c r="M364" s="33" t="s">
        <v>103</v>
      </c>
      <c r="N364" s="33"/>
      <c r="O364" s="32">
        <v>40</v>
      </c>
      <c r="P364" s="975" t="s">
        <v>589</v>
      </c>
      <c r="Q364" s="667"/>
      <c r="R364" s="667"/>
      <c r="S364" s="667"/>
      <c r="T364" s="668"/>
      <c r="U364" s="34"/>
      <c r="V364" s="34"/>
      <c r="W364" s="35" t="s">
        <v>69</v>
      </c>
      <c r="X364" s="657">
        <v>0</v>
      </c>
      <c r="Y364" s="6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590</v>
      </c>
      <c r="AG364" s="64"/>
      <c r="AJ364" s="68"/>
      <c r="AK364" s="68">
        <v>0</v>
      </c>
      <c r="BB364" s="43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679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63" t="s">
        <v>80</v>
      </c>
      <c r="Q365" s="664"/>
      <c r="R365" s="664"/>
      <c r="S365" s="664"/>
      <c r="T365" s="664"/>
      <c r="U365" s="664"/>
      <c r="V365" s="665"/>
      <c r="W365" s="37" t="s">
        <v>81</v>
      </c>
      <c r="X365" s="659">
        <f>IFERROR(X363/H363,"0")+IFERROR(X364/H364,"0")</f>
        <v>0</v>
      </c>
      <c r="Y365" s="659">
        <f>IFERROR(Y363/H363,"0")+IFERROR(Y364/H364,"0")</f>
        <v>0</v>
      </c>
      <c r="Z365" s="659">
        <f>IFERROR(IF(Z363="",0,Z363),"0")+IFERROR(IF(Z364="",0,Z364),"0")</f>
        <v>0</v>
      </c>
      <c r="AA365" s="660"/>
      <c r="AB365" s="660"/>
      <c r="AC365" s="660"/>
    </row>
    <row r="366" spans="1:68" hidden="1" x14ac:dyDescent="0.2">
      <c r="A366" s="680"/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1"/>
      <c r="P366" s="663" t="s">
        <v>80</v>
      </c>
      <c r="Q366" s="664"/>
      <c r="R366" s="664"/>
      <c r="S366" s="664"/>
      <c r="T366" s="664"/>
      <c r="U366" s="664"/>
      <c r="V366" s="665"/>
      <c r="W366" s="37" t="s">
        <v>69</v>
      </c>
      <c r="X366" s="659">
        <f>IFERROR(SUM(X363:X364),"0")</f>
        <v>0</v>
      </c>
      <c r="Y366" s="659">
        <f>IFERROR(SUM(Y363:Y364),"0")</f>
        <v>0</v>
      </c>
      <c r="Z366" s="37"/>
      <c r="AA366" s="660"/>
      <c r="AB366" s="660"/>
      <c r="AC366" s="660"/>
    </row>
    <row r="367" spans="1:68" ht="14.25" hidden="1" customHeight="1" x14ac:dyDescent="0.25">
      <c r="A367" s="682" t="s">
        <v>172</v>
      </c>
      <c r="B367" s="680"/>
      <c r="C367" s="680"/>
      <c r="D367" s="680"/>
      <c r="E367" s="680"/>
      <c r="F367" s="680"/>
      <c r="G367" s="680"/>
      <c r="H367" s="680"/>
      <c r="I367" s="680"/>
      <c r="J367" s="680"/>
      <c r="K367" s="680"/>
      <c r="L367" s="680"/>
      <c r="M367" s="680"/>
      <c r="N367" s="680"/>
      <c r="O367" s="680"/>
      <c r="P367" s="680"/>
      <c r="Q367" s="680"/>
      <c r="R367" s="680"/>
      <c r="S367" s="680"/>
      <c r="T367" s="680"/>
      <c r="U367" s="680"/>
      <c r="V367" s="680"/>
      <c r="W367" s="680"/>
      <c r="X367" s="680"/>
      <c r="Y367" s="680"/>
      <c r="Z367" s="680"/>
      <c r="AA367" s="653"/>
      <c r="AB367" s="653"/>
      <c r="AC367" s="653"/>
    </row>
    <row r="368" spans="1:68" ht="27" customHeight="1" x14ac:dyDescent="0.25">
      <c r="A368" s="54" t="s">
        <v>591</v>
      </c>
      <c r="B368" s="54" t="s">
        <v>592</v>
      </c>
      <c r="C368" s="31">
        <v>4301060439</v>
      </c>
      <c r="D368" s="672">
        <v>4607091384673</v>
      </c>
      <c r="E368" s="673"/>
      <c r="F368" s="656">
        <v>1.5</v>
      </c>
      <c r="G368" s="32">
        <v>6</v>
      </c>
      <c r="H368" s="656">
        <v>9</v>
      </c>
      <c r="I368" s="656">
        <v>9.5190000000000001</v>
      </c>
      <c r="J368" s="32">
        <v>64</v>
      </c>
      <c r="K368" s="32" t="s">
        <v>93</v>
      </c>
      <c r="L368" s="32"/>
      <c r="M368" s="33" t="s">
        <v>103</v>
      </c>
      <c r="N368" s="33"/>
      <c r="O368" s="32">
        <v>30</v>
      </c>
      <c r="P368" s="1011" t="s">
        <v>593</v>
      </c>
      <c r="Q368" s="667"/>
      <c r="R368" s="667"/>
      <c r="S368" s="667"/>
      <c r="T368" s="668"/>
      <c r="U368" s="34"/>
      <c r="V368" s="34"/>
      <c r="W368" s="35" t="s">
        <v>69</v>
      </c>
      <c r="X368" s="657">
        <v>20</v>
      </c>
      <c r="Y368" s="658">
        <f>IFERROR(IF(X368="",0,CEILING((X368/$H368),1)*$H368),"")</f>
        <v>27</v>
      </c>
      <c r="Z368" s="36">
        <f>IFERROR(IF(Y368=0,"",ROUNDUP(Y368/H368,0)*0.01898),"")</f>
        <v>5.6940000000000004E-2</v>
      </c>
      <c r="AA368" s="56"/>
      <c r="AB368" s="57"/>
      <c r="AC368" s="431" t="s">
        <v>594</v>
      </c>
      <c r="AG368" s="64"/>
      <c r="AJ368" s="68"/>
      <c r="AK368" s="68">
        <v>0</v>
      </c>
      <c r="BB368" s="432" t="s">
        <v>1</v>
      </c>
      <c r="BM368" s="64">
        <f>IFERROR(X368*I368/H368,"0")</f>
        <v>21.153333333333332</v>
      </c>
      <c r="BN368" s="64">
        <f>IFERROR(Y368*I368/H368,"0")</f>
        <v>28.556999999999999</v>
      </c>
      <c r="BO368" s="64">
        <f>IFERROR(1/J368*(X368/H368),"0")</f>
        <v>3.4722222222222224E-2</v>
      </c>
      <c r="BP368" s="64">
        <f>IFERROR(1/J368*(Y368/H368),"0")</f>
        <v>4.6875E-2</v>
      </c>
    </row>
    <row r="369" spans="1:68" x14ac:dyDescent="0.2">
      <c r="A369" s="679"/>
      <c r="B369" s="680"/>
      <c r="C369" s="680"/>
      <c r="D369" s="680"/>
      <c r="E369" s="680"/>
      <c r="F369" s="680"/>
      <c r="G369" s="680"/>
      <c r="H369" s="680"/>
      <c r="I369" s="680"/>
      <c r="J369" s="680"/>
      <c r="K369" s="680"/>
      <c r="L369" s="680"/>
      <c r="M369" s="680"/>
      <c r="N369" s="680"/>
      <c r="O369" s="681"/>
      <c r="P369" s="663" t="s">
        <v>80</v>
      </c>
      <c r="Q369" s="664"/>
      <c r="R369" s="664"/>
      <c r="S369" s="664"/>
      <c r="T369" s="664"/>
      <c r="U369" s="664"/>
      <c r="V369" s="665"/>
      <c r="W369" s="37" t="s">
        <v>81</v>
      </c>
      <c r="X369" s="659">
        <f>IFERROR(X368/H368,"0")</f>
        <v>2.2222222222222223</v>
      </c>
      <c r="Y369" s="659">
        <f>IFERROR(Y368/H368,"0")</f>
        <v>3</v>
      </c>
      <c r="Z369" s="659">
        <f>IFERROR(IF(Z368="",0,Z368),"0")</f>
        <v>5.6940000000000004E-2</v>
      </c>
      <c r="AA369" s="660"/>
      <c r="AB369" s="660"/>
      <c r="AC369" s="660"/>
    </row>
    <row r="370" spans="1:68" x14ac:dyDescent="0.2">
      <c r="A370" s="680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63" t="s">
        <v>80</v>
      </c>
      <c r="Q370" s="664"/>
      <c r="R370" s="664"/>
      <c r="S370" s="664"/>
      <c r="T370" s="664"/>
      <c r="U370" s="664"/>
      <c r="V370" s="665"/>
      <c r="W370" s="37" t="s">
        <v>69</v>
      </c>
      <c r="X370" s="659">
        <f>IFERROR(SUM(X368:X368),"0")</f>
        <v>20</v>
      </c>
      <c r="Y370" s="659">
        <f>IFERROR(SUM(Y368:Y368),"0")</f>
        <v>27</v>
      </c>
      <c r="Z370" s="37"/>
      <c r="AA370" s="660"/>
      <c r="AB370" s="660"/>
      <c r="AC370" s="660"/>
    </row>
    <row r="371" spans="1:68" ht="16.5" hidden="1" customHeight="1" x14ac:dyDescent="0.25">
      <c r="A371" s="688" t="s">
        <v>595</v>
      </c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0"/>
      <c r="P371" s="680"/>
      <c r="Q371" s="680"/>
      <c r="R371" s="680"/>
      <c r="S371" s="680"/>
      <c r="T371" s="680"/>
      <c r="U371" s="680"/>
      <c r="V371" s="680"/>
      <c r="W371" s="680"/>
      <c r="X371" s="680"/>
      <c r="Y371" s="680"/>
      <c r="Z371" s="680"/>
      <c r="AA371" s="652"/>
      <c r="AB371" s="652"/>
      <c r="AC371" s="652"/>
    </row>
    <row r="372" spans="1:68" ht="14.25" hidden="1" customHeight="1" x14ac:dyDescent="0.25">
      <c r="A372" s="682" t="s">
        <v>90</v>
      </c>
      <c r="B372" s="680"/>
      <c r="C372" s="680"/>
      <c r="D372" s="680"/>
      <c r="E372" s="680"/>
      <c r="F372" s="680"/>
      <c r="G372" s="680"/>
      <c r="H372" s="680"/>
      <c r="I372" s="680"/>
      <c r="J372" s="680"/>
      <c r="K372" s="680"/>
      <c r="L372" s="680"/>
      <c r="M372" s="680"/>
      <c r="N372" s="680"/>
      <c r="O372" s="680"/>
      <c r="P372" s="680"/>
      <c r="Q372" s="680"/>
      <c r="R372" s="680"/>
      <c r="S372" s="680"/>
      <c r="T372" s="680"/>
      <c r="U372" s="680"/>
      <c r="V372" s="680"/>
      <c r="W372" s="680"/>
      <c r="X372" s="680"/>
      <c r="Y372" s="680"/>
      <c r="Z372" s="680"/>
      <c r="AA372" s="653"/>
      <c r="AB372" s="653"/>
      <c r="AC372" s="653"/>
    </row>
    <row r="373" spans="1:68" ht="27" hidden="1" customHeight="1" x14ac:dyDescent="0.25">
      <c r="A373" s="54" t="s">
        <v>596</v>
      </c>
      <c r="B373" s="54" t="s">
        <v>597</v>
      </c>
      <c r="C373" s="31">
        <v>4301011483</v>
      </c>
      <c r="D373" s="672">
        <v>4680115881907</v>
      </c>
      <c r="E373" s="673"/>
      <c r="F373" s="656">
        <v>1.8</v>
      </c>
      <c r="G373" s="32">
        <v>6</v>
      </c>
      <c r="H373" s="656">
        <v>10.8</v>
      </c>
      <c r="I373" s="656">
        <v>11.234999999999999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60</v>
      </c>
      <c r="P373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67"/>
      <c r="R373" s="667"/>
      <c r="S373" s="667"/>
      <c r="T373" s="668"/>
      <c r="U373" s="34"/>
      <c r="V373" s="34"/>
      <c r="W373" s="35" t="s">
        <v>69</v>
      </c>
      <c r="X373" s="657">
        <v>0</v>
      </c>
      <c r="Y373" s="658">
        <f t="shared" ref="Y373:Y378" si="57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33" t="s">
        <v>598</v>
      </c>
      <c r="AG373" s="64"/>
      <c r="AJ373" s="68"/>
      <c r="AK373" s="68">
        <v>0</v>
      </c>
      <c r="BB373" s="434" t="s">
        <v>1</v>
      </c>
      <c r="BM373" s="64">
        <f t="shared" ref="BM373:BM378" si="58">IFERROR(X373*I373/H373,"0")</f>
        <v>0</v>
      </c>
      <c r="BN373" s="64">
        <f t="shared" ref="BN373:BN378" si="59">IFERROR(Y373*I373/H373,"0")</f>
        <v>0</v>
      </c>
      <c r="BO373" s="64">
        <f t="shared" ref="BO373:BO378" si="60">IFERROR(1/J373*(X373/H373),"0")</f>
        <v>0</v>
      </c>
      <c r="BP373" s="64">
        <f t="shared" ref="BP373:BP378" si="61">IFERROR(1/J373*(Y373/H373),"0")</f>
        <v>0</v>
      </c>
    </row>
    <row r="374" spans="1:68" ht="37.5" hidden="1" customHeight="1" x14ac:dyDescent="0.25">
      <c r="A374" s="54" t="s">
        <v>596</v>
      </c>
      <c r="B374" s="54" t="s">
        <v>599</v>
      </c>
      <c r="C374" s="31">
        <v>4301011873</v>
      </c>
      <c r="D374" s="672">
        <v>4680115881907</v>
      </c>
      <c r="E374" s="673"/>
      <c r="F374" s="656">
        <v>1.8</v>
      </c>
      <c r="G374" s="32">
        <v>6</v>
      </c>
      <c r="H374" s="656">
        <v>10.8</v>
      </c>
      <c r="I374" s="656">
        <v>11.234999999999999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60</v>
      </c>
      <c r="P374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67"/>
      <c r="R374" s="667"/>
      <c r="S374" s="667"/>
      <c r="T374" s="668"/>
      <c r="U374" s="34"/>
      <c r="V374" s="34"/>
      <c r="W374" s="35" t="s">
        <v>69</v>
      </c>
      <c r="X374" s="657">
        <v>0</v>
      </c>
      <c r="Y374" s="658">
        <f t="shared" si="57"/>
        <v>0</v>
      </c>
      <c r="Z374" s="36" t="str">
        <f>IFERROR(IF(Y374=0,"",ROUNDUP(Y374/H374,0)*0.01898),"")</f>
        <v/>
      </c>
      <c r="AA374" s="56"/>
      <c r="AB374" s="57"/>
      <c r="AC374" s="435" t="s">
        <v>600</v>
      </c>
      <c r="AG374" s="64"/>
      <c r="AJ374" s="68"/>
      <c r="AK374" s="68">
        <v>0</v>
      </c>
      <c r="BB374" s="436" t="s">
        <v>1</v>
      </c>
      <c r="BM374" s="64">
        <f t="shared" si="58"/>
        <v>0</v>
      </c>
      <c r="BN374" s="64">
        <f t="shared" si="59"/>
        <v>0</v>
      </c>
      <c r="BO374" s="64">
        <f t="shared" si="60"/>
        <v>0</v>
      </c>
      <c r="BP374" s="64">
        <f t="shared" si="61"/>
        <v>0</v>
      </c>
    </row>
    <row r="375" spans="1:68" ht="37.5" hidden="1" customHeight="1" x14ac:dyDescent="0.25">
      <c r="A375" s="54" t="s">
        <v>601</v>
      </c>
      <c r="B375" s="54" t="s">
        <v>602</v>
      </c>
      <c r="C375" s="31">
        <v>4301011874</v>
      </c>
      <c r="D375" s="672">
        <v>4680115884892</v>
      </c>
      <c r="E375" s="673"/>
      <c r="F375" s="656">
        <v>1.8</v>
      </c>
      <c r="G375" s="32">
        <v>6</v>
      </c>
      <c r="H375" s="656">
        <v>10.8</v>
      </c>
      <c r="I375" s="656">
        <v>11.234999999999999</v>
      </c>
      <c r="J375" s="32">
        <v>64</v>
      </c>
      <c r="K375" s="32" t="s">
        <v>93</v>
      </c>
      <c r="L375" s="32"/>
      <c r="M375" s="33" t="s">
        <v>68</v>
      </c>
      <c r="N375" s="33"/>
      <c r="O375" s="32">
        <v>60</v>
      </c>
      <c r="P375" s="8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67"/>
      <c r="R375" s="667"/>
      <c r="S375" s="667"/>
      <c r="T375" s="668"/>
      <c r="U375" s="34"/>
      <c r="V375" s="34"/>
      <c r="W375" s="35" t="s">
        <v>69</v>
      </c>
      <c r="X375" s="657">
        <v>0</v>
      </c>
      <c r="Y375" s="658">
        <f t="shared" si="57"/>
        <v>0</v>
      </c>
      <c r="Z375" s="36" t="str">
        <f>IFERROR(IF(Y375=0,"",ROUNDUP(Y375/H375,0)*0.01898),"")</f>
        <v/>
      </c>
      <c r="AA375" s="56"/>
      <c r="AB375" s="57"/>
      <c r="AC375" s="437" t="s">
        <v>603</v>
      </c>
      <c r="AG375" s="64"/>
      <c r="AJ375" s="68"/>
      <c r="AK375" s="68">
        <v>0</v>
      </c>
      <c r="BB375" s="438" t="s">
        <v>1</v>
      </c>
      <c r="BM375" s="64">
        <f t="shared" si="58"/>
        <v>0</v>
      </c>
      <c r="BN375" s="64">
        <f t="shared" si="59"/>
        <v>0</v>
      </c>
      <c r="BO375" s="64">
        <f t="shared" si="60"/>
        <v>0</v>
      </c>
      <c r="BP375" s="64">
        <f t="shared" si="61"/>
        <v>0</v>
      </c>
    </row>
    <row r="376" spans="1:68" ht="37.5" hidden="1" customHeight="1" x14ac:dyDescent="0.25">
      <c r="A376" s="54" t="s">
        <v>604</v>
      </c>
      <c r="B376" s="54" t="s">
        <v>605</v>
      </c>
      <c r="C376" s="31">
        <v>4301011312</v>
      </c>
      <c r="D376" s="672">
        <v>4607091384192</v>
      </c>
      <c r="E376" s="673"/>
      <c r="F376" s="656">
        <v>1.8</v>
      </c>
      <c r="G376" s="32">
        <v>6</v>
      </c>
      <c r="H376" s="656">
        <v>10.8</v>
      </c>
      <c r="I376" s="656">
        <v>11.234999999999999</v>
      </c>
      <c r="J376" s="32">
        <v>64</v>
      </c>
      <c r="K376" s="32" t="s">
        <v>93</v>
      </c>
      <c r="L376" s="32"/>
      <c r="M376" s="33" t="s">
        <v>94</v>
      </c>
      <c r="N376" s="33"/>
      <c r="O376" s="32">
        <v>60</v>
      </c>
      <c r="P376" s="7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76" s="667"/>
      <c r="R376" s="667"/>
      <c r="S376" s="667"/>
      <c r="T376" s="668"/>
      <c r="U376" s="34"/>
      <c r="V376" s="34"/>
      <c r="W376" s="35" t="s">
        <v>69</v>
      </c>
      <c r="X376" s="657">
        <v>0</v>
      </c>
      <c r="Y376" s="658">
        <f t="shared" si="57"/>
        <v>0</v>
      </c>
      <c r="Z376" s="36" t="str">
        <f>IFERROR(IF(Y376=0,"",ROUNDUP(Y376/H376,0)*0.01898),"")</f>
        <v/>
      </c>
      <c r="AA376" s="56"/>
      <c r="AB376" s="57"/>
      <c r="AC376" s="439" t="s">
        <v>606</v>
      </c>
      <c r="AG376" s="64"/>
      <c r="AJ376" s="68"/>
      <c r="AK376" s="68">
        <v>0</v>
      </c>
      <c r="BB376" s="440" t="s">
        <v>1</v>
      </c>
      <c r="BM376" s="64">
        <f t="shared" si="58"/>
        <v>0</v>
      </c>
      <c r="BN376" s="64">
        <f t="shared" si="59"/>
        <v>0</v>
      </c>
      <c r="BO376" s="64">
        <f t="shared" si="60"/>
        <v>0</v>
      </c>
      <c r="BP376" s="64">
        <f t="shared" si="61"/>
        <v>0</v>
      </c>
    </row>
    <row r="377" spans="1:68" ht="37.5" customHeight="1" x14ac:dyDescent="0.25">
      <c r="A377" s="54" t="s">
        <v>607</v>
      </c>
      <c r="B377" s="54" t="s">
        <v>608</v>
      </c>
      <c r="C377" s="31">
        <v>4301011875</v>
      </c>
      <c r="D377" s="672">
        <v>4680115884885</v>
      </c>
      <c r="E377" s="673"/>
      <c r="F377" s="656">
        <v>0.8</v>
      </c>
      <c r="G377" s="32">
        <v>15</v>
      </c>
      <c r="H377" s="656">
        <v>12</v>
      </c>
      <c r="I377" s="656">
        <v>12.435</v>
      </c>
      <c r="J377" s="32">
        <v>64</v>
      </c>
      <c r="K377" s="32" t="s">
        <v>93</v>
      </c>
      <c r="L377" s="32"/>
      <c r="M377" s="33" t="s">
        <v>68</v>
      </c>
      <c r="N377" s="33"/>
      <c r="O377" s="32">
        <v>60</v>
      </c>
      <c r="P377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7"/>
      <c r="R377" s="667"/>
      <c r="S377" s="667"/>
      <c r="T377" s="668"/>
      <c r="U377" s="34"/>
      <c r="V377" s="34"/>
      <c r="W377" s="35" t="s">
        <v>69</v>
      </c>
      <c r="X377" s="657">
        <v>60</v>
      </c>
      <c r="Y377" s="658">
        <f t="shared" si="57"/>
        <v>60</v>
      </c>
      <c r="Z377" s="36">
        <f>IFERROR(IF(Y377=0,"",ROUNDUP(Y377/H377,0)*0.01898),"")</f>
        <v>9.4899999999999998E-2</v>
      </c>
      <c r="AA377" s="56"/>
      <c r="AB377" s="57"/>
      <c r="AC377" s="441" t="s">
        <v>603</v>
      </c>
      <c r="AG377" s="64"/>
      <c r="AJ377" s="68"/>
      <c r="AK377" s="68">
        <v>0</v>
      </c>
      <c r="BB377" s="442" t="s">
        <v>1</v>
      </c>
      <c r="BM377" s="64">
        <f t="shared" si="58"/>
        <v>62.175000000000004</v>
      </c>
      <c r="BN377" s="64">
        <f t="shared" si="59"/>
        <v>62.175000000000004</v>
      </c>
      <c r="BO377" s="64">
        <f t="shared" si="60"/>
        <v>7.8125E-2</v>
      </c>
      <c r="BP377" s="64">
        <f t="shared" si="61"/>
        <v>7.8125E-2</v>
      </c>
    </row>
    <row r="378" spans="1:68" ht="37.5" hidden="1" customHeight="1" x14ac:dyDescent="0.25">
      <c r="A378" s="54" t="s">
        <v>609</v>
      </c>
      <c r="B378" s="54" t="s">
        <v>610</v>
      </c>
      <c r="C378" s="31">
        <v>4301011871</v>
      </c>
      <c r="D378" s="672">
        <v>4680115884908</v>
      </c>
      <c r="E378" s="673"/>
      <c r="F378" s="656">
        <v>0.4</v>
      </c>
      <c r="G378" s="32">
        <v>10</v>
      </c>
      <c r="H378" s="656">
        <v>4</v>
      </c>
      <c r="I378" s="656">
        <v>4.21</v>
      </c>
      <c r="J378" s="32">
        <v>132</v>
      </c>
      <c r="K378" s="32" t="s">
        <v>101</v>
      </c>
      <c r="L378" s="32"/>
      <c r="M378" s="33" t="s">
        <v>68</v>
      </c>
      <c r="N378" s="33"/>
      <c r="O378" s="32">
        <v>60</v>
      </c>
      <c r="P378" s="7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7"/>
      <c r="R378" s="667"/>
      <c r="S378" s="667"/>
      <c r="T378" s="668"/>
      <c r="U378" s="34"/>
      <c r="V378" s="34"/>
      <c r="W378" s="35" t="s">
        <v>69</v>
      </c>
      <c r="X378" s="657">
        <v>0</v>
      </c>
      <c r="Y378" s="658">
        <f t="shared" si="57"/>
        <v>0</v>
      </c>
      <c r="Z378" s="36" t="str">
        <f>IFERROR(IF(Y378=0,"",ROUNDUP(Y378/H378,0)*0.00902),"")</f>
        <v/>
      </c>
      <c r="AA378" s="56"/>
      <c r="AB378" s="57"/>
      <c r="AC378" s="443" t="s">
        <v>603</v>
      </c>
      <c r="AG378" s="64"/>
      <c r="AJ378" s="68"/>
      <c r="AK378" s="68">
        <v>0</v>
      </c>
      <c r="BB378" s="444" t="s">
        <v>1</v>
      </c>
      <c r="BM378" s="64">
        <f t="shared" si="58"/>
        <v>0</v>
      </c>
      <c r="BN378" s="64">
        <f t="shared" si="59"/>
        <v>0</v>
      </c>
      <c r="BO378" s="64">
        <f t="shared" si="60"/>
        <v>0</v>
      </c>
      <c r="BP378" s="64">
        <f t="shared" si="61"/>
        <v>0</v>
      </c>
    </row>
    <row r="379" spans="1:68" x14ac:dyDescent="0.2">
      <c r="A379" s="679"/>
      <c r="B379" s="680"/>
      <c r="C379" s="680"/>
      <c r="D379" s="680"/>
      <c r="E379" s="680"/>
      <c r="F379" s="680"/>
      <c r="G379" s="680"/>
      <c r="H379" s="680"/>
      <c r="I379" s="680"/>
      <c r="J379" s="680"/>
      <c r="K379" s="680"/>
      <c r="L379" s="680"/>
      <c r="M379" s="680"/>
      <c r="N379" s="680"/>
      <c r="O379" s="681"/>
      <c r="P379" s="663" t="s">
        <v>80</v>
      </c>
      <c r="Q379" s="664"/>
      <c r="R379" s="664"/>
      <c r="S379" s="664"/>
      <c r="T379" s="664"/>
      <c r="U379" s="664"/>
      <c r="V379" s="665"/>
      <c r="W379" s="37" t="s">
        <v>81</v>
      </c>
      <c r="X379" s="659">
        <f>IFERROR(X373/H373,"0")+IFERROR(X374/H374,"0")+IFERROR(X375/H375,"0")+IFERROR(X376/H376,"0")+IFERROR(X377/H377,"0")+IFERROR(X378/H378,"0")</f>
        <v>5</v>
      </c>
      <c r="Y379" s="659">
        <f>IFERROR(Y373/H373,"0")+IFERROR(Y374/H374,"0")+IFERROR(Y375/H375,"0")+IFERROR(Y376/H376,"0")+IFERROR(Y377/H377,"0")+IFERROR(Y378/H378,"0")</f>
        <v>5</v>
      </c>
      <c r="Z379" s="659">
        <f>IFERROR(IF(Z373="",0,Z373),"0")+IFERROR(IF(Z374="",0,Z374),"0")+IFERROR(IF(Z375="",0,Z375),"0")+IFERROR(IF(Z376="",0,Z376),"0")+IFERROR(IF(Z377="",0,Z377),"0")+IFERROR(IF(Z378="",0,Z378),"0")</f>
        <v>9.4899999999999998E-2</v>
      </c>
      <c r="AA379" s="660"/>
      <c r="AB379" s="660"/>
      <c r="AC379" s="660"/>
    </row>
    <row r="380" spans="1:68" x14ac:dyDescent="0.2">
      <c r="A380" s="680"/>
      <c r="B380" s="680"/>
      <c r="C380" s="680"/>
      <c r="D380" s="680"/>
      <c r="E380" s="680"/>
      <c r="F380" s="680"/>
      <c r="G380" s="680"/>
      <c r="H380" s="680"/>
      <c r="I380" s="680"/>
      <c r="J380" s="680"/>
      <c r="K380" s="680"/>
      <c r="L380" s="680"/>
      <c r="M380" s="680"/>
      <c r="N380" s="680"/>
      <c r="O380" s="681"/>
      <c r="P380" s="663" t="s">
        <v>80</v>
      </c>
      <c r="Q380" s="664"/>
      <c r="R380" s="664"/>
      <c r="S380" s="664"/>
      <c r="T380" s="664"/>
      <c r="U380" s="664"/>
      <c r="V380" s="665"/>
      <c r="W380" s="37" t="s">
        <v>69</v>
      </c>
      <c r="X380" s="659">
        <f>IFERROR(SUM(X373:X378),"0")</f>
        <v>60</v>
      </c>
      <c r="Y380" s="659">
        <f>IFERROR(SUM(Y373:Y378),"0")</f>
        <v>60</v>
      </c>
      <c r="Z380" s="37"/>
      <c r="AA380" s="660"/>
      <c r="AB380" s="660"/>
      <c r="AC380" s="660"/>
    </row>
    <row r="381" spans="1:68" ht="14.25" hidden="1" customHeight="1" x14ac:dyDescent="0.25">
      <c r="A381" s="682" t="s">
        <v>146</v>
      </c>
      <c r="B381" s="680"/>
      <c r="C381" s="680"/>
      <c r="D381" s="680"/>
      <c r="E381" s="680"/>
      <c r="F381" s="680"/>
      <c r="G381" s="680"/>
      <c r="H381" s="680"/>
      <c r="I381" s="680"/>
      <c r="J381" s="680"/>
      <c r="K381" s="680"/>
      <c r="L381" s="680"/>
      <c r="M381" s="680"/>
      <c r="N381" s="680"/>
      <c r="O381" s="680"/>
      <c r="P381" s="680"/>
      <c r="Q381" s="680"/>
      <c r="R381" s="680"/>
      <c r="S381" s="680"/>
      <c r="T381" s="680"/>
      <c r="U381" s="680"/>
      <c r="V381" s="680"/>
      <c r="W381" s="680"/>
      <c r="X381" s="680"/>
      <c r="Y381" s="680"/>
      <c r="Z381" s="680"/>
      <c r="AA381" s="653"/>
      <c r="AB381" s="653"/>
      <c r="AC381" s="653"/>
    </row>
    <row r="382" spans="1:68" ht="27" hidden="1" customHeight="1" x14ac:dyDescent="0.25">
      <c r="A382" s="54" t="s">
        <v>611</v>
      </c>
      <c r="B382" s="54" t="s">
        <v>612</v>
      </c>
      <c r="C382" s="31">
        <v>4301031303</v>
      </c>
      <c r="D382" s="672">
        <v>4607091384802</v>
      </c>
      <c r="E382" s="673"/>
      <c r="F382" s="656">
        <v>0.73</v>
      </c>
      <c r="G382" s="32">
        <v>6</v>
      </c>
      <c r="H382" s="656">
        <v>4.38</v>
      </c>
      <c r="I382" s="656">
        <v>4.6500000000000004</v>
      </c>
      <c r="J382" s="32">
        <v>132</v>
      </c>
      <c r="K382" s="32" t="s">
        <v>101</v>
      </c>
      <c r="L382" s="32"/>
      <c r="M382" s="33" t="s">
        <v>68</v>
      </c>
      <c r="N382" s="33"/>
      <c r="O382" s="32">
        <v>35</v>
      </c>
      <c r="P382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7"/>
      <c r="R382" s="667"/>
      <c r="S382" s="667"/>
      <c r="T382" s="668"/>
      <c r="U382" s="34"/>
      <c r="V382" s="34"/>
      <c r="W382" s="35" t="s">
        <v>69</v>
      </c>
      <c r="X382" s="657">
        <v>0</v>
      </c>
      <c r="Y382" s="65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45" t="s">
        <v>613</v>
      </c>
      <c r="AG382" s="64"/>
      <c r="AJ382" s="68"/>
      <c r="AK382" s="68">
        <v>0</v>
      </c>
      <c r="BB382" s="44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614</v>
      </c>
      <c r="B383" s="54" t="s">
        <v>615</v>
      </c>
      <c r="C383" s="31">
        <v>4301031304</v>
      </c>
      <c r="D383" s="672">
        <v>4607091384826</v>
      </c>
      <c r="E383" s="673"/>
      <c r="F383" s="656">
        <v>0.35</v>
      </c>
      <c r="G383" s="32">
        <v>8</v>
      </c>
      <c r="H383" s="656">
        <v>2.8</v>
      </c>
      <c r="I383" s="656">
        <v>2.98</v>
      </c>
      <c r="J383" s="32">
        <v>234</v>
      </c>
      <c r="K383" s="32" t="s">
        <v>149</v>
      </c>
      <c r="L383" s="32"/>
      <c r="M383" s="33" t="s">
        <v>68</v>
      </c>
      <c r="N383" s="33"/>
      <c r="O383" s="32">
        <v>35</v>
      </c>
      <c r="P383" s="10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83" s="667"/>
      <c r="R383" s="667"/>
      <c r="S383" s="667"/>
      <c r="T383" s="668"/>
      <c r="U383" s="34"/>
      <c r="V383" s="34"/>
      <c r="W383" s="35" t="s">
        <v>69</v>
      </c>
      <c r="X383" s="657">
        <v>0</v>
      </c>
      <c r="Y383" s="658">
        <f>IFERROR(IF(X383="",0,CEILING((X383/$H383),1)*$H383),"")</f>
        <v>0</v>
      </c>
      <c r="Z383" s="36" t="str">
        <f>IFERROR(IF(Y383=0,"",ROUNDUP(Y383/H383,0)*0.00502),"")</f>
        <v/>
      </c>
      <c r="AA383" s="56"/>
      <c r="AB383" s="57"/>
      <c r="AC383" s="447" t="s">
        <v>613</v>
      </c>
      <c r="AG383" s="64"/>
      <c r="AJ383" s="68"/>
      <c r="AK383" s="68">
        <v>0</v>
      </c>
      <c r="BB383" s="44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79"/>
      <c r="B384" s="680"/>
      <c r="C384" s="680"/>
      <c r="D384" s="680"/>
      <c r="E384" s="680"/>
      <c r="F384" s="680"/>
      <c r="G384" s="680"/>
      <c r="H384" s="680"/>
      <c r="I384" s="680"/>
      <c r="J384" s="680"/>
      <c r="K384" s="680"/>
      <c r="L384" s="680"/>
      <c r="M384" s="680"/>
      <c r="N384" s="680"/>
      <c r="O384" s="681"/>
      <c r="P384" s="663" t="s">
        <v>80</v>
      </c>
      <c r="Q384" s="664"/>
      <c r="R384" s="664"/>
      <c r="S384" s="664"/>
      <c r="T384" s="664"/>
      <c r="U384" s="664"/>
      <c r="V384" s="665"/>
      <c r="W384" s="37" t="s">
        <v>81</v>
      </c>
      <c r="X384" s="659">
        <f>IFERROR(X382/H382,"0")+IFERROR(X383/H383,"0")</f>
        <v>0</v>
      </c>
      <c r="Y384" s="659">
        <f>IFERROR(Y382/H382,"0")+IFERROR(Y383/H383,"0")</f>
        <v>0</v>
      </c>
      <c r="Z384" s="659">
        <f>IFERROR(IF(Z382="",0,Z382),"0")+IFERROR(IF(Z383="",0,Z383),"0")</f>
        <v>0</v>
      </c>
      <c r="AA384" s="660"/>
      <c r="AB384" s="660"/>
      <c r="AC384" s="660"/>
    </row>
    <row r="385" spans="1:68" hidden="1" x14ac:dyDescent="0.2">
      <c r="A385" s="680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63" t="s">
        <v>80</v>
      </c>
      <c r="Q385" s="664"/>
      <c r="R385" s="664"/>
      <c r="S385" s="664"/>
      <c r="T385" s="664"/>
      <c r="U385" s="664"/>
      <c r="V385" s="665"/>
      <c r="W385" s="37" t="s">
        <v>69</v>
      </c>
      <c r="X385" s="659">
        <f>IFERROR(SUM(X382:X383),"0")</f>
        <v>0</v>
      </c>
      <c r="Y385" s="659">
        <f>IFERROR(SUM(Y382:Y383),"0")</f>
        <v>0</v>
      </c>
      <c r="Z385" s="37"/>
      <c r="AA385" s="660"/>
      <c r="AB385" s="660"/>
      <c r="AC385" s="660"/>
    </row>
    <row r="386" spans="1:68" ht="14.25" hidden="1" customHeight="1" x14ac:dyDescent="0.25">
      <c r="A386" s="682" t="s">
        <v>64</v>
      </c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0"/>
      <c r="P386" s="680"/>
      <c r="Q386" s="680"/>
      <c r="R386" s="680"/>
      <c r="S386" s="680"/>
      <c r="T386" s="680"/>
      <c r="U386" s="680"/>
      <c r="V386" s="680"/>
      <c r="W386" s="680"/>
      <c r="X386" s="680"/>
      <c r="Y386" s="680"/>
      <c r="Z386" s="680"/>
      <c r="AA386" s="653"/>
      <c r="AB386" s="653"/>
      <c r="AC386" s="653"/>
    </row>
    <row r="387" spans="1:68" ht="27" customHeight="1" x14ac:dyDescent="0.25">
      <c r="A387" s="54" t="s">
        <v>616</v>
      </c>
      <c r="B387" s="54" t="s">
        <v>617</v>
      </c>
      <c r="C387" s="31">
        <v>4301051899</v>
      </c>
      <c r="D387" s="672">
        <v>4607091384246</v>
      </c>
      <c r="E387" s="673"/>
      <c r="F387" s="656">
        <v>1.5</v>
      </c>
      <c r="G387" s="32">
        <v>6</v>
      </c>
      <c r="H387" s="656">
        <v>9</v>
      </c>
      <c r="I387" s="656">
        <v>9.5190000000000001</v>
      </c>
      <c r="J387" s="32">
        <v>64</v>
      </c>
      <c r="K387" s="32" t="s">
        <v>93</v>
      </c>
      <c r="L387" s="32"/>
      <c r="M387" s="33" t="s">
        <v>103</v>
      </c>
      <c r="N387" s="33"/>
      <c r="O387" s="32">
        <v>40</v>
      </c>
      <c r="P387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7" s="667"/>
      <c r="R387" s="667"/>
      <c r="S387" s="667"/>
      <c r="T387" s="668"/>
      <c r="U387" s="34"/>
      <c r="V387" s="34"/>
      <c r="W387" s="35" t="s">
        <v>69</v>
      </c>
      <c r="X387" s="657">
        <v>20</v>
      </c>
      <c r="Y387" s="658">
        <f>IFERROR(IF(X387="",0,CEILING((X387/$H387),1)*$H387),"")</f>
        <v>27</v>
      </c>
      <c r="Z387" s="36">
        <f>IFERROR(IF(Y387=0,"",ROUNDUP(Y387/H387,0)*0.01898),"")</f>
        <v>5.6940000000000004E-2</v>
      </c>
      <c r="AA387" s="56"/>
      <c r="AB387" s="57"/>
      <c r="AC387" s="449" t="s">
        <v>618</v>
      </c>
      <c r="AG387" s="64"/>
      <c r="AJ387" s="68"/>
      <c r="AK387" s="68">
        <v>0</v>
      </c>
      <c r="BB387" s="450" t="s">
        <v>1</v>
      </c>
      <c r="BM387" s="64">
        <f>IFERROR(X387*I387/H387,"0")</f>
        <v>21.153333333333332</v>
      </c>
      <c r="BN387" s="64">
        <f>IFERROR(Y387*I387/H387,"0")</f>
        <v>28.556999999999999</v>
      </c>
      <c r="BO387" s="64">
        <f>IFERROR(1/J387*(X387/H387),"0")</f>
        <v>3.4722222222222224E-2</v>
      </c>
      <c r="BP387" s="64">
        <f>IFERROR(1/J387*(Y387/H387),"0")</f>
        <v>4.6875E-2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4301051901</v>
      </c>
      <c r="D388" s="672">
        <v>4680115881976</v>
      </c>
      <c r="E388" s="673"/>
      <c r="F388" s="656">
        <v>1.5</v>
      </c>
      <c r="G388" s="32">
        <v>6</v>
      </c>
      <c r="H388" s="656">
        <v>9</v>
      </c>
      <c r="I388" s="656">
        <v>9.4350000000000005</v>
      </c>
      <c r="J388" s="32">
        <v>64</v>
      </c>
      <c r="K388" s="32" t="s">
        <v>93</v>
      </c>
      <c r="L388" s="32"/>
      <c r="M388" s="33" t="s">
        <v>103</v>
      </c>
      <c r="N388" s="33"/>
      <c r="O388" s="32">
        <v>40</v>
      </c>
      <c r="P388" s="755" t="s">
        <v>621</v>
      </c>
      <c r="Q388" s="667"/>
      <c r="R388" s="667"/>
      <c r="S388" s="667"/>
      <c r="T388" s="668"/>
      <c r="U388" s="34"/>
      <c r="V388" s="34"/>
      <c r="W388" s="35" t="s">
        <v>69</v>
      </c>
      <c r="X388" s="657">
        <v>0</v>
      </c>
      <c r="Y388" s="658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1" t="s">
        <v>622</v>
      </c>
      <c r="AG388" s="64"/>
      <c r="AJ388" s="68"/>
      <c r="AK388" s="68">
        <v>0</v>
      </c>
      <c r="BB388" s="452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623</v>
      </c>
      <c r="B389" s="54" t="s">
        <v>624</v>
      </c>
      <c r="C389" s="31">
        <v>4301051660</v>
      </c>
      <c r="D389" s="672">
        <v>4607091384253</v>
      </c>
      <c r="E389" s="673"/>
      <c r="F389" s="656">
        <v>0.4</v>
      </c>
      <c r="G389" s="32">
        <v>6</v>
      </c>
      <c r="H389" s="656">
        <v>2.4</v>
      </c>
      <c r="I389" s="656">
        <v>2.6640000000000001</v>
      </c>
      <c r="J389" s="32">
        <v>182</v>
      </c>
      <c r="K389" s="32" t="s">
        <v>67</v>
      </c>
      <c r="L389" s="32"/>
      <c r="M389" s="33" t="s">
        <v>103</v>
      </c>
      <c r="N389" s="33"/>
      <c r="O389" s="32">
        <v>40</v>
      </c>
      <c r="P389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9" s="667"/>
      <c r="R389" s="667"/>
      <c r="S389" s="667"/>
      <c r="T389" s="668"/>
      <c r="U389" s="34"/>
      <c r="V389" s="34"/>
      <c r="W389" s="35" t="s">
        <v>69</v>
      </c>
      <c r="X389" s="657">
        <v>0</v>
      </c>
      <c r="Y389" s="658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618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625</v>
      </c>
      <c r="C390" s="31">
        <v>4301051297</v>
      </c>
      <c r="D390" s="672">
        <v>4607091384253</v>
      </c>
      <c r="E390" s="673"/>
      <c r="F390" s="656">
        <v>0.4</v>
      </c>
      <c r="G390" s="32">
        <v>6</v>
      </c>
      <c r="H390" s="656">
        <v>2.4</v>
      </c>
      <c r="I390" s="656">
        <v>2.6640000000000001</v>
      </c>
      <c r="J390" s="32">
        <v>182</v>
      </c>
      <c r="K390" s="32" t="s">
        <v>67</v>
      </c>
      <c r="L390" s="32"/>
      <c r="M390" s="33" t="s">
        <v>68</v>
      </c>
      <c r="N390" s="33"/>
      <c r="O390" s="32">
        <v>40</v>
      </c>
      <c r="P390" s="8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90" s="667"/>
      <c r="R390" s="667"/>
      <c r="S390" s="667"/>
      <c r="T390" s="668"/>
      <c r="U390" s="34"/>
      <c r="V390" s="34"/>
      <c r="W390" s="35" t="s">
        <v>69</v>
      </c>
      <c r="X390" s="657">
        <v>0</v>
      </c>
      <c r="Y390" s="658">
        <f>IFERROR(IF(X390="",0,CEILING((X390/$H390),1)*$H390),"")</f>
        <v>0</v>
      </c>
      <c r="Z390" s="36" t="str">
        <f>IFERROR(IF(Y390=0,"",ROUNDUP(Y390/H390,0)*0.00651),"")</f>
        <v/>
      </c>
      <c r="AA390" s="56"/>
      <c r="AB390" s="57"/>
      <c r="AC390" s="455" t="s">
        <v>626</v>
      </c>
      <c r="AG390" s="64"/>
      <c r="AJ390" s="68"/>
      <c r="AK390" s="68">
        <v>0</v>
      </c>
      <c r="BB390" s="45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627</v>
      </c>
      <c r="B391" s="54" t="s">
        <v>628</v>
      </c>
      <c r="C391" s="31">
        <v>4301051444</v>
      </c>
      <c r="D391" s="672">
        <v>4680115881969</v>
      </c>
      <c r="E391" s="673"/>
      <c r="F391" s="656">
        <v>0.4</v>
      </c>
      <c r="G391" s="32">
        <v>6</v>
      </c>
      <c r="H391" s="656">
        <v>2.4</v>
      </c>
      <c r="I391" s="656">
        <v>2.58</v>
      </c>
      <c r="J391" s="32">
        <v>182</v>
      </c>
      <c r="K391" s="32" t="s">
        <v>67</v>
      </c>
      <c r="L391" s="32"/>
      <c r="M391" s="33" t="s">
        <v>68</v>
      </c>
      <c r="N391" s="33"/>
      <c r="O391" s="32">
        <v>40</v>
      </c>
      <c r="P391" s="6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91" s="667"/>
      <c r="R391" s="667"/>
      <c r="S391" s="667"/>
      <c r="T391" s="668"/>
      <c r="U391" s="34"/>
      <c r="V391" s="34"/>
      <c r="W391" s="35" t="s">
        <v>69</v>
      </c>
      <c r="X391" s="657">
        <v>0</v>
      </c>
      <c r="Y391" s="65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57" t="s">
        <v>629</v>
      </c>
      <c r="AG391" s="64"/>
      <c r="AJ391" s="68"/>
      <c r="AK391" s="68">
        <v>0</v>
      </c>
      <c r="BB391" s="45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79"/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1"/>
      <c r="P392" s="663" t="s">
        <v>80</v>
      </c>
      <c r="Q392" s="664"/>
      <c r="R392" s="664"/>
      <c r="S392" s="664"/>
      <c r="T392" s="664"/>
      <c r="U392" s="664"/>
      <c r="V392" s="665"/>
      <c r="W392" s="37" t="s">
        <v>81</v>
      </c>
      <c r="X392" s="659">
        <f>IFERROR(X387/H387,"0")+IFERROR(X388/H388,"0")+IFERROR(X389/H389,"0")+IFERROR(X390/H390,"0")+IFERROR(X391/H391,"0")</f>
        <v>2.2222222222222223</v>
      </c>
      <c r="Y392" s="659">
        <f>IFERROR(Y387/H387,"0")+IFERROR(Y388/H388,"0")+IFERROR(Y389/H389,"0")+IFERROR(Y390/H390,"0")+IFERROR(Y391/H391,"0")</f>
        <v>3</v>
      </c>
      <c r="Z392" s="659">
        <f>IFERROR(IF(Z387="",0,Z387),"0")+IFERROR(IF(Z388="",0,Z388),"0")+IFERROR(IF(Z389="",0,Z389),"0")+IFERROR(IF(Z390="",0,Z390),"0")+IFERROR(IF(Z391="",0,Z391),"0")</f>
        <v>5.6940000000000004E-2</v>
      </c>
      <c r="AA392" s="660"/>
      <c r="AB392" s="660"/>
      <c r="AC392" s="660"/>
    </row>
    <row r="393" spans="1:68" x14ac:dyDescent="0.2">
      <c r="A393" s="680"/>
      <c r="B393" s="680"/>
      <c r="C393" s="680"/>
      <c r="D393" s="680"/>
      <c r="E393" s="680"/>
      <c r="F393" s="680"/>
      <c r="G393" s="680"/>
      <c r="H393" s="680"/>
      <c r="I393" s="680"/>
      <c r="J393" s="680"/>
      <c r="K393" s="680"/>
      <c r="L393" s="680"/>
      <c r="M393" s="680"/>
      <c r="N393" s="680"/>
      <c r="O393" s="681"/>
      <c r="P393" s="663" t="s">
        <v>80</v>
      </c>
      <c r="Q393" s="664"/>
      <c r="R393" s="664"/>
      <c r="S393" s="664"/>
      <c r="T393" s="664"/>
      <c r="U393" s="664"/>
      <c r="V393" s="665"/>
      <c r="W393" s="37" t="s">
        <v>69</v>
      </c>
      <c r="X393" s="659">
        <f>IFERROR(SUM(X387:X391),"0")</f>
        <v>20</v>
      </c>
      <c r="Y393" s="659">
        <f>IFERROR(SUM(Y387:Y391),"0")</f>
        <v>27</v>
      </c>
      <c r="Z393" s="37"/>
      <c r="AA393" s="660"/>
      <c r="AB393" s="660"/>
      <c r="AC393" s="660"/>
    </row>
    <row r="394" spans="1:68" ht="14.25" hidden="1" customHeight="1" x14ac:dyDescent="0.25">
      <c r="A394" s="682" t="s">
        <v>172</v>
      </c>
      <c r="B394" s="680"/>
      <c r="C394" s="680"/>
      <c r="D394" s="680"/>
      <c r="E394" s="680"/>
      <c r="F394" s="680"/>
      <c r="G394" s="680"/>
      <c r="H394" s="680"/>
      <c r="I394" s="680"/>
      <c r="J394" s="680"/>
      <c r="K394" s="680"/>
      <c r="L394" s="680"/>
      <c r="M394" s="680"/>
      <c r="N394" s="680"/>
      <c r="O394" s="680"/>
      <c r="P394" s="680"/>
      <c r="Q394" s="680"/>
      <c r="R394" s="680"/>
      <c r="S394" s="680"/>
      <c r="T394" s="680"/>
      <c r="U394" s="680"/>
      <c r="V394" s="680"/>
      <c r="W394" s="680"/>
      <c r="X394" s="680"/>
      <c r="Y394" s="680"/>
      <c r="Z394" s="680"/>
      <c r="AA394" s="653"/>
      <c r="AB394" s="653"/>
      <c r="AC394" s="653"/>
    </row>
    <row r="395" spans="1:68" ht="27" hidden="1" customHeight="1" x14ac:dyDescent="0.25">
      <c r="A395" s="54" t="s">
        <v>630</v>
      </c>
      <c r="B395" s="54" t="s">
        <v>631</v>
      </c>
      <c r="C395" s="31">
        <v>4301060441</v>
      </c>
      <c r="D395" s="672">
        <v>4607091389357</v>
      </c>
      <c r="E395" s="673"/>
      <c r="F395" s="656">
        <v>1.5</v>
      </c>
      <c r="G395" s="32">
        <v>6</v>
      </c>
      <c r="H395" s="656">
        <v>9</v>
      </c>
      <c r="I395" s="656">
        <v>9.4350000000000005</v>
      </c>
      <c r="J395" s="32">
        <v>64</v>
      </c>
      <c r="K395" s="32" t="s">
        <v>93</v>
      </c>
      <c r="L395" s="32"/>
      <c r="M395" s="33" t="s">
        <v>103</v>
      </c>
      <c r="N395" s="33"/>
      <c r="O395" s="32">
        <v>40</v>
      </c>
      <c r="P395" s="858" t="s">
        <v>632</v>
      </c>
      <c r="Q395" s="667"/>
      <c r="R395" s="667"/>
      <c r="S395" s="667"/>
      <c r="T395" s="668"/>
      <c r="U395" s="34"/>
      <c r="V395" s="34"/>
      <c r="W395" s="35" t="s">
        <v>69</v>
      </c>
      <c r="X395" s="657">
        <v>0</v>
      </c>
      <c r="Y395" s="65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59" t="s">
        <v>633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679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63" t="s">
        <v>80</v>
      </c>
      <c r="Q396" s="664"/>
      <c r="R396" s="664"/>
      <c r="S396" s="664"/>
      <c r="T396" s="664"/>
      <c r="U396" s="664"/>
      <c r="V396" s="665"/>
      <c r="W396" s="37" t="s">
        <v>81</v>
      </c>
      <c r="X396" s="659">
        <f>IFERROR(X395/H395,"0")</f>
        <v>0</v>
      </c>
      <c r="Y396" s="659">
        <f>IFERROR(Y395/H395,"0")</f>
        <v>0</v>
      </c>
      <c r="Z396" s="659">
        <f>IFERROR(IF(Z395="",0,Z395),"0")</f>
        <v>0</v>
      </c>
      <c r="AA396" s="660"/>
      <c r="AB396" s="660"/>
      <c r="AC396" s="660"/>
    </row>
    <row r="397" spans="1:68" hidden="1" x14ac:dyDescent="0.2">
      <c r="A397" s="680"/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1"/>
      <c r="P397" s="663" t="s">
        <v>80</v>
      </c>
      <c r="Q397" s="664"/>
      <c r="R397" s="664"/>
      <c r="S397" s="664"/>
      <c r="T397" s="664"/>
      <c r="U397" s="664"/>
      <c r="V397" s="665"/>
      <c r="W397" s="37" t="s">
        <v>69</v>
      </c>
      <c r="X397" s="659">
        <f>IFERROR(SUM(X395:X395),"0")</f>
        <v>0</v>
      </c>
      <c r="Y397" s="659">
        <f>IFERROR(SUM(Y395:Y395),"0")</f>
        <v>0</v>
      </c>
      <c r="Z397" s="37"/>
      <c r="AA397" s="660"/>
      <c r="AB397" s="660"/>
      <c r="AC397" s="660"/>
    </row>
    <row r="398" spans="1:68" ht="27.75" hidden="1" customHeight="1" x14ac:dyDescent="0.2">
      <c r="A398" s="712" t="s">
        <v>634</v>
      </c>
      <c r="B398" s="713"/>
      <c r="C398" s="713"/>
      <c r="D398" s="713"/>
      <c r="E398" s="713"/>
      <c r="F398" s="713"/>
      <c r="G398" s="713"/>
      <c r="H398" s="713"/>
      <c r="I398" s="713"/>
      <c r="J398" s="713"/>
      <c r="K398" s="713"/>
      <c r="L398" s="713"/>
      <c r="M398" s="713"/>
      <c r="N398" s="713"/>
      <c r="O398" s="713"/>
      <c r="P398" s="713"/>
      <c r="Q398" s="713"/>
      <c r="R398" s="713"/>
      <c r="S398" s="713"/>
      <c r="T398" s="713"/>
      <c r="U398" s="713"/>
      <c r="V398" s="713"/>
      <c r="W398" s="713"/>
      <c r="X398" s="713"/>
      <c r="Y398" s="713"/>
      <c r="Z398" s="713"/>
      <c r="AA398" s="48"/>
      <c r="AB398" s="48"/>
      <c r="AC398" s="48"/>
    </row>
    <row r="399" spans="1:68" ht="16.5" hidden="1" customHeight="1" x14ac:dyDescent="0.25">
      <c r="A399" s="688" t="s">
        <v>635</v>
      </c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0"/>
      <c r="P399" s="680"/>
      <c r="Q399" s="680"/>
      <c r="R399" s="680"/>
      <c r="S399" s="680"/>
      <c r="T399" s="680"/>
      <c r="U399" s="680"/>
      <c r="V399" s="680"/>
      <c r="W399" s="680"/>
      <c r="X399" s="680"/>
      <c r="Y399" s="680"/>
      <c r="Z399" s="680"/>
      <c r="AA399" s="652"/>
      <c r="AB399" s="652"/>
      <c r="AC399" s="652"/>
    </row>
    <row r="400" spans="1:68" ht="14.25" hidden="1" customHeight="1" x14ac:dyDescent="0.25">
      <c r="A400" s="682" t="s">
        <v>146</v>
      </c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0"/>
      <c r="P400" s="680"/>
      <c r="Q400" s="680"/>
      <c r="R400" s="680"/>
      <c r="S400" s="680"/>
      <c r="T400" s="680"/>
      <c r="U400" s="680"/>
      <c r="V400" s="680"/>
      <c r="W400" s="680"/>
      <c r="X400" s="680"/>
      <c r="Y400" s="680"/>
      <c r="Z400" s="680"/>
      <c r="AA400" s="653"/>
      <c r="AB400" s="653"/>
      <c r="AC400" s="653"/>
    </row>
    <row r="401" spans="1:68" ht="27" customHeight="1" x14ac:dyDescent="0.25">
      <c r="A401" s="54" t="s">
        <v>636</v>
      </c>
      <c r="B401" s="54" t="s">
        <v>637</v>
      </c>
      <c r="C401" s="31">
        <v>4301031405</v>
      </c>
      <c r="D401" s="672">
        <v>4680115886100</v>
      </c>
      <c r="E401" s="673"/>
      <c r="F401" s="656">
        <v>0.9</v>
      </c>
      <c r="G401" s="32">
        <v>6</v>
      </c>
      <c r="H401" s="656">
        <v>5.4</v>
      </c>
      <c r="I401" s="656">
        <v>5.61</v>
      </c>
      <c r="J401" s="32">
        <v>132</v>
      </c>
      <c r="K401" s="32" t="s">
        <v>101</v>
      </c>
      <c r="L401" s="32"/>
      <c r="M401" s="33" t="s">
        <v>68</v>
      </c>
      <c r="N401" s="33"/>
      <c r="O401" s="32">
        <v>50</v>
      </c>
      <c r="P401" s="752" t="s">
        <v>638</v>
      </c>
      <c r="Q401" s="667"/>
      <c r="R401" s="667"/>
      <c r="S401" s="667"/>
      <c r="T401" s="668"/>
      <c r="U401" s="34"/>
      <c r="V401" s="34"/>
      <c r="W401" s="35" t="s">
        <v>69</v>
      </c>
      <c r="X401" s="657">
        <v>10</v>
      </c>
      <c r="Y401" s="658">
        <f t="shared" ref="Y401:Y412" si="62">IFERROR(IF(X401="",0,CEILING((X401/$H401),1)*$H401),"")</f>
        <v>10.8</v>
      </c>
      <c r="Z401" s="36">
        <f>IFERROR(IF(Y401=0,"",ROUNDUP(Y401/H401,0)*0.00902),"")</f>
        <v>1.804E-2</v>
      </c>
      <c r="AA401" s="56"/>
      <c r="AB401" s="57"/>
      <c r="AC401" s="461" t="s">
        <v>639</v>
      </c>
      <c r="AG401" s="64"/>
      <c r="AJ401" s="68"/>
      <c r="AK401" s="68">
        <v>0</v>
      </c>
      <c r="BB401" s="462" t="s">
        <v>1</v>
      </c>
      <c r="BM401" s="64">
        <f t="shared" ref="BM401:BM412" si="63">IFERROR(X401*I401/H401,"0")</f>
        <v>10.388888888888889</v>
      </c>
      <c r="BN401" s="64">
        <f t="shared" ref="BN401:BN412" si="64">IFERROR(Y401*I401/H401,"0")</f>
        <v>11.22</v>
      </c>
      <c r="BO401" s="64">
        <f t="shared" ref="BO401:BO412" si="65">IFERROR(1/J401*(X401/H401),"0")</f>
        <v>1.4029180695847361E-2</v>
      </c>
      <c r="BP401" s="64">
        <f t="shared" ref="BP401:BP412" si="66">IFERROR(1/J401*(Y401/H401),"0")</f>
        <v>1.5151515151515152E-2</v>
      </c>
    </row>
    <row r="402" spans="1:68" ht="27" hidden="1" customHeight="1" x14ac:dyDescent="0.25">
      <c r="A402" s="54" t="s">
        <v>640</v>
      </c>
      <c r="B402" s="54" t="s">
        <v>641</v>
      </c>
      <c r="C402" s="31">
        <v>4301031406</v>
      </c>
      <c r="D402" s="672">
        <v>4680115886117</v>
      </c>
      <c r="E402" s="673"/>
      <c r="F402" s="656">
        <v>0.9</v>
      </c>
      <c r="G402" s="32">
        <v>6</v>
      </c>
      <c r="H402" s="656">
        <v>5.4</v>
      </c>
      <c r="I402" s="656">
        <v>5.61</v>
      </c>
      <c r="J402" s="32">
        <v>132</v>
      </c>
      <c r="K402" s="32" t="s">
        <v>101</v>
      </c>
      <c r="L402" s="32"/>
      <c r="M402" s="33" t="s">
        <v>68</v>
      </c>
      <c r="N402" s="33"/>
      <c r="O402" s="32">
        <v>50</v>
      </c>
      <c r="P402" s="751" t="s">
        <v>642</v>
      </c>
      <c r="Q402" s="667"/>
      <c r="R402" s="667"/>
      <c r="S402" s="667"/>
      <c r="T402" s="668"/>
      <c r="U402" s="34"/>
      <c r="V402" s="34"/>
      <c r="W402" s="35" t="s">
        <v>69</v>
      </c>
      <c r="X402" s="657">
        <v>0</v>
      </c>
      <c r="Y402" s="658">
        <f t="shared" si="62"/>
        <v>0</v>
      </c>
      <c r="Z402" s="36" t="str">
        <f>IFERROR(IF(Y402=0,"",ROUNDUP(Y402/H402,0)*0.00902),"")</f>
        <v/>
      </c>
      <c r="AA402" s="56"/>
      <c r="AB402" s="57"/>
      <c r="AC402" s="463" t="s">
        <v>643</v>
      </c>
      <c r="AG402" s="64"/>
      <c r="AJ402" s="68"/>
      <c r="AK402" s="68">
        <v>0</v>
      </c>
      <c r="BB402" s="464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640</v>
      </c>
      <c r="B403" s="54" t="s">
        <v>644</v>
      </c>
      <c r="C403" s="31">
        <v>4301031382</v>
      </c>
      <c r="D403" s="672">
        <v>4680115886117</v>
      </c>
      <c r="E403" s="673"/>
      <c r="F403" s="656">
        <v>0.9</v>
      </c>
      <c r="G403" s="32">
        <v>6</v>
      </c>
      <c r="H403" s="656">
        <v>5.4</v>
      </c>
      <c r="I403" s="656">
        <v>5.61</v>
      </c>
      <c r="J403" s="32">
        <v>132</v>
      </c>
      <c r="K403" s="32" t="s">
        <v>101</v>
      </c>
      <c r="L403" s="32"/>
      <c r="M403" s="33" t="s">
        <v>68</v>
      </c>
      <c r="N403" s="33"/>
      <c r="O403" s="32">
        <v>50</v>
      </c>
      <c r="P403" s="798" t="s">
        <v>642</v>
      </c>
      <c r="Q403" s="667"/>
      <c r="R403" s="667"/>
      <c r="S403" s="667"/>
      <c r="T403" s="668"/>
      <c r="U403" s="34"/>
      <c r="V403" s="34"/>
      <c r="W403" s="35" t="s">
        <v>69</v>
      </c>
      <c r="X403" s="657">
        <v>0</v>
      </c>
      <c r="Y403" s="658">
        <f t="shared" si="62"/>
        <v>0</v>
      </c>
      <c r="Z403" s="36" t="str">
        <f>IFERROR(IF(Y403=0,"",ROUNDUP(Y403/H403,0)*0.00902),"")</f>
        <v/>
      </c>
      <c r="AA403" s="56"/>
      <c r="AB403" s="57"/>
      <c r="AC403" s="465" t="s">
        <v>643</v>
      </c>
      <c r="AG403" s="64"/>
      <c r="AJ403" s="68"/>
      <c r="AK403" s="68">
        <v>0</v>
      </c>
      <c r="BB403" s="466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645</v>
      </c>
      <c r="B404" s="54" t="s">
        <v>646</v>
      </c>
      <c r="C404" s="31">
        <v>4301031402</v>
      </c>
      <c r="D404" s="672">
        <v>4680115886124</v>
      </c>
      <c r="E404" s="673"/>
      <c r="F404" s="656">
        <v>0.9</v>
      </c>
      <c r="G404" s="32">
        <v>6</v>
      </c>
      <c r="H404" s="656">
        <v>5.4</v>
      </c>
      <c r="I404" s="656">
        <v>5.61</v>
      </c>
      <c r="J404" s="32">
        <v>132</v>
      </c>
      <c r="K404" s="32" t="s">
        <v>101</v>
      </c>
      <c r="L404" s="32"/>
      <c r="M404" s="33" t="s">
        <v>68</v>
      </c>
      <c r="N404" s="33"/>
      <c r="O404" s="32">
        <v>50</v>
      </c>
      <c r="P404" s="724" t="s">
        <v>647</v>
      </c>
      <c r="Q404" s="667"/>
      <c r="R404" s="667"/>
      <c r="S404" s="667"/>
      <c r="T404" s="668"/>
      <c r="U404" s="34"/>
      <c r="V404" s="34"/>
      <c r="W404" s="35" t="s">
        <v>69</v>
      </c>
      <c r="X404" s="657">
        <v>10</v>
      </c>
      <c r="Y404" s="658">
        <f t="shared" si="62"/>
        <v>10.8</v>
      </c>
      <c r="Z404" s="36">
        <f>IFERROR(IF(Y404=0,"",ROUNDUP(Y404/H404,0)*0.00902),"")</f>
        <v>1.804E-2</v>
      </c>
      <c r="AA404" s="56"/>
      <c r="AB404" s="57"/>
      <c r="AC404" s="467" t="s">
        <v>648</v>
      </c>
      <c r="AG404" s="64"/>
      <c r="AJ404" s="68"/>
      <c r="AK404" s="68">
        <v>0</v>
      </c>
      <c r="BB404" s="468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hidden="1" customHeight="1" x14ac:dyDescent="0.25">
      <c r="A405" s="54" t="s">
        <v>649</v>
      </c>
      <c r="B405" s="54" t="s">
        <v>650</v>
      </c>
      <c r="C405" s="31">
        <v>4301031335</v>
      </c>
      <c r="D405" s="672">
        <v>4680115883147</v>
      </c>
      <c r="E405" s="673"/>
      <c r="F405" s="656">
        <v>0.28000000000000003</v>
      </c>
      <c r="G405" s="32">
        <v>6</v>
      </c>
      <c r="H405" s="656">
        <v>1.68</v>
      </c>
      <c r="I405" s="656">
        <v>1.81</v>
      </c>
      <c r="J405" s="32">
        <v>234</v>
      </c>
      <c r="K405" s="32" t="s">
        <v>149</v>
      </c>
      <c r="L405" s="32"/>
      <c r="M405" s="33" t="s">
        <v>68</v>
      </c>
      <c r="N405" s="33"/>
      <c r="O405" s="32">
        <v>50</v>
      </c>
      <c r="P405" s="7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67"/>
      <c r="R405" s="667"/>
      <c r="S405" s="667"/>
      <c r="T405" s="668"/>
      <c r="U405" s="34"/>
      <c r="V405" s="34"/>
      <c r="W405" s="35" t="s">
        <v>69</v>
      </c>
      <c r="X405" s="657">
        <v>0</v>
      </c>
      <c r="Y405" s="658">
        <f t="shared" si="62"/>
        <v>0</v>
      </c>
      <c r="Z405" s="36" t="str">
        <f t="shared" ref="Z405:Z412" si="67">IFERROR(IF(Y405=0,"",ROUNDUP(Y405/H405,0)*0.00502),"")</f>
        <v/>
      </c>
      <c r="AA405" s="56"/>
      <c r="AB405" s="57"/>
      <c r="AC405" s="469" t="s">
        <v>639</v>
      </c>
      <c r="AG405" s="64"/>
      <c r="AJ405" s="68"/>
      <c r="AK405" s="68">
        <v>0</v>
      </c>
      <c r="BB405" s="470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649</v>
      </c>
      <c r="B406" s="54" t="s">
        <v>651</v>
      </c>
      <c r="C406" s="31">
        <v>4301031366</v>
      </c>
      <c r="D406" s="672">
        <v>4680115883147</v>
      </c>
      <c r="E406" s="673"/>
      <c r="F406" s="656">
        <v>0.28000000000000003</v>
      </c>
      <c r="G406" s="32">
        <v>6</v>
      </c>
      <c r="H406" s="656">
        <v>1.68</v>
      </c>
      <c r="I406" s="656">
        <v>1.81</v>
      </c>
      <c r="J406" s="32">
        <v>234</v>
      </c>
      <c r="K406" s="32" t="s">
        <v>149</v>
      </c>
      <c r="L406" s="32"/>
      <c r="M406" s="33" t="s">
        <v>68</v>
      </c>
      <c r="N406" s="33"/>
      <c r="O406" s="32">
        <v>50</v>
      </c>
      <c r="P406" s="808" t="s">
        <v>652</v>
      </c>
      <c r="Q406" s="667"/>
      <c r="R406" s="667"/>
      <c r="S406" s="667"/>
      <c r="T406" s="668"/>
      <c r="U406" s="34"/>
      <c r="V406" s="34"/>
      <c r="W406" s="35" t="s">
        <v>69</v>
      </c>
      <c r="X406" s="657">
        <v>0</v>
      </c>
      <c r="Y406" s="658">
        <f t="shared" si="62"/>
        <v>0</v>
      </c>
      <c r="Z406" s="36" t="str">
        <f t="shared" si="67"/>
        <v/>
      </c>
      <c r="AA406" s="56"/>
      <c r="AB406" s="57"/>
      <c r="AC406" s="471" t="s">
        <v>639</v>
      </c>
      <c r="AG406" s="64"/>
      <c r="AJ406" s="68"/>
      <c r="AK406" s="68">
        <v>0</v>
      </c>
      <c r="BB406" s="472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27" customHeight="1" x14ac:dyDescent="0.25">
      <c r="A407" s="54" t="s">
        <v>653</v>
      </c>
      <c r="B407" s="54" t="s">
        <v>654</v>
      </c>
      <c r="C407" s="31">
        <v>4301031362</v>
      </c>
      <c r="D407" s="672">
        <v>4607091384338</v>
      </c>
      <c r="E407" s="673"/>
      <c r="F407" s="656">
        <v>0.35</v>
      </c>
      <c r="G407" s="32">
        <v>6</v>
      </c>
      <c r="H407" s="656">
        <v>2.1</v>
      </c>
      <c r="I407" s="656">
        <v>2.23</v>
      </c>
      <c r="J407" s="32">
        <v>234</v>
      </c>
      <c r="K407" s="32" t="s">
        <v>149</v>
      </c>
      <c r="L407" s="32"/>
      <c r="M407" s="33" t="s">
        <v>68</v>
      </c>
      <c r="N407" s="33"/>
      <c r="O407" s="32">
        <v>50</v>
      </c>
      <c r="P407" s="7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7" s="667"/>
      <c r="R407" s="667"/>
      <c r="S407" s="667"/>
      <c r="T407" s="668"/>
      <c r="U407" s="34"/>
      <c r="V407" s="34"/>
      <c r="W407" s="35" t="s">
        <v>69</v>
      </c>
      <c r="X407" s="657">
        <v>70</v>
      </c>
      <c r="Y407" s="658">
        <f t="shared" si="62"/>
        <v>71.400000000000006</v>
      </c>
      <c r="Z407" s="36">
        <f t="shared" si="67"/>
        <v>0.17068</v>
      </c>
      <c r="AA407" s="56"/>
      <c r="AB407" s="57"/>
      <c r="AC407" s="473" t="s">
        <v>639</v>
      </c>
      <c r="AG407" s="64"/>
      <c r="AJ407" s="68"/>
      <c r="AK407" s="68">
        <v>0</v>
      </c>
      <c r="BB407" s="474" t="s">
        <v>1</v>
      </c>
      <c r="BM407" s="64">
        <f t="shared" si="63"/>
        <v>74.333333333333329</v>
      </c>
      <c r="BN407" s="64">
        <f t="shared" si="64"/>
        <v>75.820000000000007</v>
      </c>
      <c r="BO407" s="64">
        <f t="shared" si="65"/>
        <v>0.14245014245014245</v>
      </c>
      <c r="BP407" s="64">
        <f t="shared" si="66"/>
        <v>0.14529914529914531</v>
      </c>
    </row>
    <row r="408" spans="1:68" ht="37.5" customHeight="1" x14ac:dyDescent="0.25">
      <c r="A408" s="54" t="s">
        <v>655</v>
      </c>
      <c r="B408" s="54" t="s">
        <v>656</v>
      </c>
      <c r="C408" s="31">
        <v>4301031361</v>
      </c>
      <c r="D408" s="672">
        <v>4607091389524</v>
      </c>
      <c r="E408" s="673"/>
      <c r="F408" s="656">
        <v>0.35</v>
      </c>
      <c r="G408" s="32">
        <v>6</v>
      </c>
      <c r="H408" s="656">
        <v>2.1</v>
      </c>
      <c r="I408" s="656">
        <v>2.23</v>
      </c>
      <c r="J408" s="32">
        <v>234</v>
      </c>
      <c r="K408" s="32" t="s">
        <v>149</v>
      </c>
      <c r="L408" s="32"/>
      <c r="M408" s="33" t="s">
        <v>68</v>
      </c>
      <c r="N408" s="33"/>
      <c r="O408" s="32">
        <v>50</v>
      </c>
      <c r="P408" s="10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8" s="667"/>
      <c r="R408" s="667"/>
      <c r="S408" s="667"/>
      <c r="T408" s="668"/>
      <c r="U408" s="34"/>
      <c r="V408" s="34"/>
      <c r="W408" s="35" t="s">
        <v>69</v>
      </c>
      <c r="X408" s="657">
        <v>17.5</v>
      </c>
      <c r="Y408" s="658">
        <f t="shared" si="62"/>
        <v>18.900000000000002</v>
      </c>
      <c r="Z408" s="36">
        <f t="shared" si="67"/>
        <v>4.5179999999999998E-2</v>
      </c>
      <c r="AA408" s="56"/>
      <c r="AB408" s="57"/>
      <c r="AC408" s="475" t="s">
        <v>657</v>
      </c>
      <c r="AG408" s="64"/>
      <c r="AJ408" s="68"/>
      <c r="AK408" s="68">
        <v>0</v>
      </c>
      <c r="BB408" s="476" t="s">
        <v>1</v>
      </c>
      <c r="BM408" s="64">
        <f t="shared" si="63"/>
        <v>18.583333333333332</v>
      </c>
      <c r="BN408" s="64">
        <f t="shared" si="64"/>
        <v>20.07</v>
      </c>
      <c r="BO408" s="64">
        <f t="shared" si="65"/>
        <v>3.5612535612535613E-2</v>
      </c>
      <c r="BP408" s="64">
        <f t="shared" si="66"/>
        <v>3.8461538461538464E-2</v>
      </c>
    </row>
    <row r="409" spans="1:68" ht="27" hidden="1" customHeight="1" x14ac:dyDescent="0.25">
      <c r="A409" s="54" t="s">
        <v>658</v>
      </c>
      <c r="B409" s="54" t="s">
        <v>659</v>
      </c>
      <c r="C409" s="31">
        <v>4301031337</v>
      </c>
      <c r="D409" s="672">
        <v>4680115883161</v>
      </c>
      <c r="E409" s="673"/>
      <c r="F409" s="656">
        <v>0.28000000000000003</v>
      </c>
      <c r="G409" s="32">
        <v>6</v>
      </c>
      <c r="H409" s="656">
        <v>1.68</v>
      </c>
      <c r="I409" s="656">
        <v>1.81</v>
      </c>
      <c r="J409" s="32">
        <v>234</v>
      </c>
      <c r="K409" s="32" t="s">
        <v>149</v>
      </c>
      <c r="L409" s="32"/>
      <c r="M409" s="33" t="s">
        <v>68</v>
      </c>
      <c r="N409" s="33"/>
      <c r="O409" s="32">
        <v>50</v>
      </c>
      <c r="P409" s="10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9" s="667"/>
      <c r="R409" s="667"/>
      <c r="S409" s="667"/>
      <c r="T409" s="668"/>
      <c r="U409" s="34"/>
      <c r="V409" s="34"/>
      <c r="W409" s="35" t="s">
        <v>69</v>
      </c>
      <c r="X409" s="657">
        <v>0</v>
      </c>
      <c r="Y409" s="658">
        <f t="shared" si="62"/>
        <v>0</v>
      </c>
      <c r="Z409" s="36" t="str">
        <f t="shared" si="67"/>
        <v/>
      </c>
      <c r="AA409" s="56"/>
      <c r="AB409" s="57"/>
      <c r="AC409" s="477" t="s">
        <v>660</v>
      </c>
      <c r="AG409" s="64"/>
      <c r="AJ409" s="68"/>
      <c r="AK409" s="68">
        <v>0</v>
      </c>
      <c r="BB409" s="478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27" hidden="1" customHeight="1" x14ac:dyDescent="0.25">
      <c r="A410" s="54" t="s">
        <v>658</v>
      </c>
      <c r="B410" s="54" t="s">
        <v>661</v>
      </c>
      <c r="C410" s="31">
        <v>4301031364</v>
      </c>
      <c r="D410" s="672">
        <v>4680115883161</v>
      </c>
      <c r="E410" s="673"/>
      <c r="F410" s="656">
        <v>0.28000000000000003</v>
      </c>
      <c r="G410" s="32">
        <v>6</v>
      </c>
      <c r="H410" s="656">
        <v>1.68</v>
      </c>
      <c r="I410" s="656">
        <v>1.81</v>
      </c>
      <c r="J410" s="32">
        <v>234</v>
      </c>
      <c r="K410" s="32" t="s">
        <v>149</v>
      </c>
      <c r="L410" s="32"/>
      <c r="M410" s="33" t="s">
        <v>68</v>
      </c>
      <c r="N410" s="33"/>
      <c r="O410" s="32">
        <v>50</v>
      </c>
      <c r="P410" s="1017" t="s">
        <v>662</v>
      </c>
      <c r="Q410" s="667"/>
      <c r="R410" s="667"/>
      <c r="S410" s="667"/>
      <c r="T410" s="668"/>
      <c r="U410" s="34"/>
      <c r="V410" s="34"/>
      <c r="W410" s="35" t="s">
        <v>69</v>
      </c>
      <c r="X410" s="657">
        <v>0</v>
      </c>
      <c r="Y410" s="658">
        <f t="shared" si="62"/>
        <v>0</v>
      </c>
      <c r="Z410" s="36" t="str">
        <f t="shared" si="67"/>
        <v/>
      </c>
      <c r="AA410" s="56"/>
      <c r="AB410" s="57"/>
      <c r="AC410" s="479" t="s">
        <v>660</v>
      </c>
      <c r="AG410" s="64"/>
      <c r="AJ410" s="68"/>
      <c r="AK410" s="68">
        <v>0</v>
      </c>
      <c r="BB410" s="480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27" customHeight="1" x14ac:dyDescent="0.25">
      <c r="A411" s="54" t="s">
        <v>663</v>
      </c>
      <c r="B411" s="54" t="s">
        <v>664</v>
      </c>
      <c r="C411" s="31">
        <v>4301031358</v>
      </c>
      <c r="D411" s="672">
        <v>4607091389531</v>
      </c>
      <c r="E411" s="673"/>
      <c r="F411" s="656">
        <v>0.35</v>
      </c>
      <c r="G411" s="32">
        <v>6</v>
      </c>
      <c r="H411" s="656">
        <v>2.1</v>
      </c>
      <c r="I411" s="656">
        <v>2.23</v>
      </c>
      <c r="J411" s="32">
        <v>234</v>
      </c>
      <c r="K411" s="32" t="s">
        <v>149</v>
      </c>
      <c r="L411" s="32"/>
      <c r="M411" s="33" t="s">
        <v>68</v>
      </c>
      <c r="N411" s="33"/>
      <c r="O411" s="32">
        <v>50</v>
      </c>
      <c r="P411" s="8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11" s="667"/>
      <c r="R411" s="667"/>
      <c r="S411" s="667"/>
      <c r="T411" s="668"/>
      <c r="U411" s="34"/>
      <c r="V411" s="34"/>
      <c r="W411" s="35" t="s">
        <v>69</v>
      </c>
      <c r="X411" s="657">
        <v>17.5</v>
      </c>
      <c r="Y411" s="658">
        <f t="shared" si="62"/>
        <v>18.900000000000002</v>
      </c>
      <c r="Z411" s="36">
        <f t="shared" si="67"/>
        <v>4.5179999999999998E-2</v>
      </c>
      <c r="AA411" s="56"/>
      <c r="AB411" s="57"/>
      <c r="AC411" s="481" t="s">
        <v>665</v>
      </c>
      <c r="AG411" s="64"/>
      <c r="AJ411" s="68"/>
      <c r="AK411" s="68">
        <v>0</v>
      </c>
      <c r="BB411" s="482" t="s">
        <v>1</v>
      </c>
      <c r="BM411" s="64">
        <f t="shared" si="63"/>
        <v>18.583333333333332</v>
      </c>
      <c r="BN411" s="64">
        <f t="shared" si="64"/>
        <v>20.07</v>
      </c>
      <c r="BO411" s="64">
        <f t="shared" si="65"/>
        <v>3.5612535612535613E-2</v>
      </c>
      <c r="BP411" s="64">
        <f t="shared" si="66"/>
        <v>3.8461538461538464E-2</v>
      </c>
    </row>
    <row r="412" spans="1:68" ht="37.5" hidden="1" customHeight="1" x14ac:dyDescent="0.25">
      <c r="A412" s="54" t="s">
        <v>666</v>
      </c>
      <c r="B412" s="54" t="s">
        <v>667</v>
      </c>
      <c r="C412" s="31">
        <v>4301031360</v>
      </c>
      <c r="D412" s="672">
        <v>4607091384345</v>
      </c>
      <c r="E412" s="673"/>
      <c r="F412" s="656">
        <v>0.35</v>
      </c>
      <c r="G412" s="32">
        <v>6</v>
      </c>
      <c r="H412" s="656">
        <v>2.1</v>
      </c>
      <c r="I412" s="656">
        <v>2.23</v>
      </c>
      <c r="J412" s="32">
        <v>234</v>
      </c>
      <c r="K412" s="32" t="s">
        <v>149</v>
      </c>
      <c r="L412" s="32"/>
      <c r="M412" s="33" t="s">
        <v>68</v>
      </c>
      <c r="N412" s="33"/>
      <c r="O412" s="32">
        <v>50</v>
      </c>
      <c r="P412" s="9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2" s="667"/>
      <c r="R412" s="667"/>
      <c r="S412" s="667"/>
      <c r="T412" s="668"/>
      <c r="U412" s="34"/>
      <c r="V412" s="34"/>
      <c r="W412" s="35" t="s">
        <v>69</v>
      </c>
      <c r="X412" s="657">
        <v>0</v>
      </c>
      <c r="Y412" s="658">
        <f t="shared" si="62"/>
        <v>0</v>
      </c>
      <c r="Z412" s="36" t="str">
        <f t="shared" si="67"/>
        <v/>
      </c>
      <c r="AA412" s="56"/>
      <c r="AB412" s="57"/>
      <c r="AC412" s="483" t="s">
        <v>660</v>
      </c>
      <c r="AG412" s="64"/>
      <c r="AJ412" s="68"/>
      <c r="AK412" s="68">
        <v>0</v>
      </c>
      <c r="BB412" s="484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679"/>
      <c r="B413" s="680"/>
      <c r="C413" s="680"/>
      <c r="D413" s="680"/>
      <c r="E413" s="680"/>
      <c r="F413" s="680"/>
      <c r="G413" s="680"/>
      <c r="H413" s="680"/>
      <c r="I413" s="680"/>
      <c r="J413" s="680"/>
      <c r="K413" s="680"/>
      <c r="L413" s="680"/>
      <c r="M413" s="680"/>
      <c r="N413" s="680"/>
      <c r="O413" s="681"/>
      <c r="P413" s="663" t="s">
        <v>80</v>
      </c>
      <c r="Q413" s="664"/>
      <c r="R413" s="664"/>
      <c r="S413" s="664"/>
      <c r="T413" s="664"/>
      <c r="U413" s="664"/>
      <c r="V413" s="665"/>
      <c r="W413" s="37" t="s">
        <v>81</v>
      </c>
      <c r="X413" s="659">
        <f>IFERROR(X401/H401,"0")+IFERROR(X402/H402,"0")+IFERROR(X403/H403,"0")+IFERROR(X404/H404,"0")+IFERROR(X405/H405,"0")+IFERROR(X406/H406,"0")+IFERROR(X407/H407,"0")+IFERROR(X408/H408,"0")+IFERROR(X409/H409,"0")+IFERROR(X410/H410,"0")+IFERROR(X411/H411,"0")+IFERROR(X412/H412,"0")</f>
        <v>53.703703703703695</v>
      </c>
      <c r="Y413" s="659">
        <f>IFERROR(Y401/H401,"0")+IFERROR(Y402/H402,"0")+IFERROR(Y403/H403,"0")+IFERROR(Y404/H404,"0")+IFERROR(Y405/H405,"0")+IFERROR(Y406/H406,"0")+IFERROR(Y407/H407,"0")+IFERROR(Y408/H408,"0")+IFERROR(Y409/H409,"0")+IFERROR(Y410/H410,"0")+IFERROR(Y411/H411,"0")+IFERROR(Y412/H412,"0")</f>
        <v>56</v>
      </c>
      <c r="Z413" s="65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+IFERROR(IF(Z412="",0,Z412),"0")</f>
        <v>0.29712</v>
      </c>
      <c r="AA413" s="660"/>
      <c r="AB413" s="660"/>
      <c r="AC413" s="660"/>
    </row>
    <row r="414" spans="1:68" x14ac:dyDescent="0.2">
      <c r="A414" s="680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63" t="s">
        <v>80</v>
      </c>
      <c r="Q414" s="664"/>
      <c r="R414" s="664"/>
      <c r="S414" s="664"/>
      <c r="T414" s="664"/>
      <c r="U414" s="664"/>
      <c r="V414" s="665"/>
      <c r="W414" s="37" t="s">
        <v>69</v>
      </c>
      <c r="X414" s="659">
        <f>IFERROR(SUM(X401:X412),"0")</f>
        <v>125</v>
      </c>
      <c r="Y414" s="659">
        <f>IFERROR(SUM(Y401:Y412),"0")</f>
        <v>130.80000000000001</v>
      </c>
      <c r="Z414" s="37"/>
      <c r="AA414" s="660"/>
      <c r="AB414" s="660"/>
      <c r="AC414" s="660"/>
    </row>
    <row r="415" spans="1:68" ht="14.25" hidden="1" customHeight="1" x14ac:dyDescent="0.25">
      <c r="A415" s="682" t="s">
        <v>64</v>
      </c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0"/>
      <c r="P415" s="680"/>
      <c r="Q415" s="680"/>
      <c r="R415" s="680"/>
      <c r="S415" s="680"/>
      <c r="T415" s="680"/>
      <c r="U415" s="680"/>
      <c r="V415" s="680"/>
      <c r="W415" s="680"/>
      <c r="X415" s="680"/>
      <c r="Y415" s="680"/>
      <c r="Z415" s="680"/>
      <c r="AA415" s="653"/>
      <c r="AB415" s="653"/>
      <c r="AC415" s="653"/>
    </row>
    <row r="416" spans="1:68" ht="27" hidden="1" customHeight="1" x14ac:dyDescent="0.25">
      <c r="A416" s="54" t="s">
        <v>668</v>
      </c>
      <c r="B416" s="54" t="s">
        <v>669</v>
      </c>
      <c r="C416" s="31">
        <v>4301051284</v>
      </c>
      <c r="D416" s="672">
        <v>4607091384352</v>
      </c>
      <c r="E416" s="673"/>
      <c r="F416" s="656">
        <v>0.6</v>
      </c>
      <c r="G416" s="32">
        <v>4</v>
      </c>
      <c r="H416" s="656">
        <v>2.4</v>
      </c>
      <c r="I416" s="656">
        <v>2.6459999999999999</v>
      </c>
      <c r="J416" s="32">
        <v>132</v>
      </c>
      <c r="K416" s="32" t="s">
        <v>101</v>
      </c>
      <c r="L416" s="32"/>
      <c r="M416" s="33" t="s">
        <v>103</v>
      </c>
      <c r="N416" s="33"/>
      <c r="O416" s="32">
        <v>45</v>
      </c>
      <c r="P416" s="7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6" s="667"/>
      <c r="R416" s="667"/>
      <c r="S416" s="667"/>
      <c r="T416" s="668"/>
      <c r="U416" s="34"/>
      <c r="V416" s="34"/>
      <c r="W416" s="35" t="s">
        <v>69</v>
      </c>
      <c r="X416" s="657">
        <v>0</v>
      </c>
      <c r="Y416" s="65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85" t="s">
        <v>670</v>
      </c>
      <c r="AG416" s="64"/>
      <c r="AJ416" s="68"/>
      <c r="AK416" s="68">
        <v>0</v>
      </c>
      <c r="BB416" s="48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671</v>
      </c>
      <c r="B417" s="54" t="s">
        <v>672</v>
      </c>
      <c r="C417" s="31">
        <v>4301051431</v>
      </c>
      <c r="D417" s="672">
        <v>4607091389654</v>
      </c>
      <c r="E417" s="673"/>
      <c r="F417" s="656">
        <v>0.33</v>
      </c>
      <c r="G417" s="32">
        <v>6</v>
      </c>
      <c r="H417" s="656">
        <v>1.98</v>
      </c>
      <c r="I417" s="656">
        <v>2.238</v>
      </c>
      <c r="J417" s="32">
        <v>182</v>
      </c>
      <c r="K417" s="32" t="s">
        <v>67</v>
      </c>
      <c r="L417" s="32"/>
      <c r="M417" s="33" t="s">
        <v>103</v>
      </c>
      <c r="N417" s="33"/>
      <c r="O417" s="32">
        <v>45</v>
      </c>
      <c r="P417" s="9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7" s="667"/>
      <c r="R417" s="667"/>
      <c r="S417" s="667"/>
      <c r="T417" s="668"/>
      <c r="U417" s="34"/>
      <c r="V417" s="34"/>
      <c r="W417" s="35" t="s">
        <v>69</v>
      </c>
      <c r="X417" s="657">
        <v>0</v>
      </c>
      <c r="Y417" s="658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87" t="s">
        <v>673</v>
      </c>
      <c r="AG417" s="64"/>
      <c r="AJ417" s="68"/>
      <c r="AK417" s="68">
        <v>0</v>
      </c>
      <c r="BB417" s="488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79"/>
      <c r="B418" s="680"/>
      <c r="C418" s="680"/>
      <c r="D418" s="680"/>
      <c r="E418" s="680"/>
      <c r="F418" s="680"/>
      <c r="G418" s="680"/>
      <c r="H418" s="680"/>
      <c r="I418" s="680"/>
      <c r="J418" s="680"/>
      <c r="K418" s="680"/>
      <c r="L418" s="680"/>
      <c r="M418" s="680"/>
      <c r="N418" s="680"/>
      <c r="O418" s="681"/>
      <c r="P418" s="663" t="s">
        <v>80</v>
      </c>
      <c r="Q418" s="664"/>
      <c r="R418" s="664"/>
      <c r="S418" s="664"/>
      <c r="T418" s="664"/>
      <c r="U418" s="664"/>
      <c r="V418" s="665"/>
      <c r="W418" s="37" t="s">
        <v>81</v>
      </c>
      <c r="X418" s="659">
        <f>IFERROR(X416/H416,"0")+IFERROR(X417/H417,"0")</f>
        <v>0</v>
      </c>
      <c r="Y418" s="659">
        <f>IFERROR(Y416/H416,"0")+IFERROR(Y417/H417,"0")</f>
        <v>0</v>
      </c>
      <c r="Z418" s="659">
        <f>IFERROR(IF(Z416="",0,Z416),"0")+IFERROR(IF(Z417="",0,Z417),"0")</f>
        <v>0</v>
      </c>
      <c r="AA418" s="660"/>
      <c r="AB418" s="660"/>
      <c r="AC418" s="660"/>
    </row>
    <row r="419" spans="1:68" hidden="1" x14ac:dyDescent="0.2">
      <c r="A419" s="680"/>
      <c r="B419" s="680"/>
      <c r="C419" s="680"/>
      <c r="D419" s="680"/>
      <c r="E419" s="680"/>
      <c r="F419" s="680"/>
      <c r="G419" s="680"/>
      <c r="H419" s="680"/>
      <c r="I419" s="680"/>
      <c r="J419" s="680"/>
      <c r="K419" s="680"/>
      <c r="L419" s="680"/>
      <c r="M419" s="680"/>
      <c r="N419" s="680"/>
      <c r="O419" s="681"/>
      <c r="P419" s="663" t="s">
        <v>80</v>
      </c>
      <c r="Q419" s="664"/>
      <c r="R419" s="664"/>
      <c r="S419" s="664"/>
      <c r="T419" s="664"/>
      <c r="U419" s="664"/>
      <c r="V419" s="665"/>
      <c r="W419" s="37" t="s">
        <v>69</v>
      </c>
      <c r="X419" s="659">
        <f>IFERROR(SUM(X416:X417),"0")</f>
        <v>0</v>
      </c>
      <c r="Y419" s="659">
        <f>IFERROR(SUM(Y416:Y417),"0")</f>
        <v>0</v>
      </c>
      <c r="Z419" s="37"/>
      <c r="AA419" s="660"/>
      <c r="AB419" s="660"/>
      <c r="AC419" s="660"/>
    </row>
    <row r="420" spans="1:68" ht="16.5" hidden="1" customHeight="1" x14ac:dyDescent="0.25">
      <c r="A420" s="688" t="s">
        <v>674</v>
      </c>
      <c r="B420" s="680"/>
      <c r="C420" s="680"/>
      <c r="D420" s="680"/>
      <c r="E420" s="680"/>
      <c r="F420" s="680"/>
      <c r="G420" s="680"/>
      <c r="H420" s="680"/>
      <c r="I420" s="680"/>
      <c r="J420" s="680"/>
      <c r="K420" s="680"/>
      <c r="L420" s="680"/>
      <c r="M420" s="680"/>
      <c r="N420" s="680"/>
      <c r="O420" s="680"/>
      <c r="P420" s="680"/>
      <c r="Q420" s="680"/>
      <c r="R420" s="680"/>
      <c r="S420" s="680"/>
      <c r="T420" s="680"/>
      <c r="U420" s="680"/>
      <c r="V420" s="680"/>
      <c r="W420" s="680"/>
      <c r="X420" s="680"/>
      <c r="Y420" s="680"/>
      <c r="Z420" s="680"/>
      <c r="AA420" s="652"/>
      <c r="AB420" s="652"/>
      <c r="AC420" s="652"/>
    </row>
    <row r="421" spans="1:68" ht="14.25" hidden="1" customHeight="1" x14ac:dyDescent="0.25">
      <c r="A421" s="682" t="s">
        <v>133</v>
      </c>
      <c r="B421" s="680"/>
      <c r="C421" s="680"/>
      <c r="D421" s="680"/>
      <c r="E421" s="680"/>
      <c r="F421" s="680"/>
      <c r="G421" s="680"/>
      <c r="H421" s="680"/>
      <c r="I421" s="680"/>
      <c r="J421" s="680"/>
      <c r="K421" s="680"/>
      <c r="L421" s="680"/>
      <c r="M421" s="680"/>
      <c r="N421" s="680"/>
      <c r="O421" s="680"/>
      <c r="P421" s="680"/>
      <c r="Q421" s="680"/>
      <c r="R421" s="680"/>
      <c r="S421" s="680"/>
      <c r="T421" s="680"/>
      <c r="U421" s="680"/>
      <c r="V421" s="680"/>
      <c r="W421" s="680"/>
      <c r="X421" s="680"/>
      <c r="Y421" s="680"/>
      <c r="Z421" s="680"/>
      <c r="AA421" s="653"/>
      <c r="AB421" s="653"/>
      <c r="AC421" s="653"/>
    </row>
    <row r="422" spans="1:68" ht="27" hidden="1" customHeight="1" x14ac:dyDescent="0.25">
      <c r="A422" s="54" t="s">
        <v>675</v>
      </c>
      <c r="B422" s="54" t="s">
        <v>676</v>
      </c>
      <c r="C422" s="31">
        <v>4301020319</v>
      </c>
      <c r="D422" s="672">
        <v>4680115885240</v>
      </c>
      <c r="E422" s="673"/>
      <c r="F422" s="656">
        <v>0.35</v>
      </c>
      <c r="G422" s="32">
        <v>6</v>
      </c>
      <c r="H422" s="656">
        <v>2.1</v>
      </c>
      <c r="I422" s="656">
        <v>2.31</v>
      </c>
      <c r="J422" s="32">
        <v>182</v>
      </c>
      <c r="K422" s="32" t="s">
        <v>67</v>
      </c>
      <c r="L422" s="32"/>
      <c r="M422" s="33" t="s">
        <v>68</v>
      </c>
      <c r="N422" s="33"/>
      <c r="O422" s="32">
        <v>40</v>
      </c>
      <c r="P422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2" s="667"/>
      <c r="R422" s="667"/>
      <c r="S422" s="667"/>
      <c r="T422" s="668"/>
      <c r="U422" s="34"/>
      <c r="V422" s="34"/>
      <c r="W422" s="35" t="s">
        <v>69</v>
      </c>
      <c r="X422" s="657">
        <v>0</v>
      </c>
      <c r="Y422" s="658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89" t="s">
        <v>677</v>
      </c>
      <c r="AG422" s="64"/>
      <c r="AJ422" s="68"/>
      <c r="AK422" s="68">
        <v>0</v>
      </c>
      <c r="BB422" s="490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4301020315</v>
      </c>
      <c r="D423" s="672">
        <v>4607091389364</v>
      </c>
      <c r="E423" s="673"/>
      <c r="F423" s="656">
        <v>0.42</v>
      </c>
      <c r="G423" s="32">
        <v>6</v>
      </c>
      <c r="H423" s="656">
        <v>2.52</v>
      </c>
      <c r="I423" s="656">
        <v>2.73</v>
      </c>
      <c r="J423" s="32">
        <v>182</v>
      </c>
      <c r="K423" s="32" t="s">
        <v>67</v>
      </c>
      <c r="L423" s="32"/>
      <c r="M423" s="33" t="s">
        <v>68</v>
      </c>
      <c r="N423" s="33"/>
      <c r="O423" s="32">
        <v>40</v>
      </c>
      <c r="P423" s="79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3" s="667"/>
      <c r="R423" s="667"/>
      <c r="S423" s="667"/>
      <c r="T423" s="668"/>
      <c r="U423" s="34"/>
      <c r="V423" s="34"/>
      <c r="W423" s="35" t="s">
        <v>69</v>
      </c>
      <c r="X423" s="657">
        <v>0</v>
      </c>
      <c r="Y423" s="65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91" t="s">
        <v>680</v>
      </c>
      <c r="AG423" s="64"/>
      <c r="AJ423" s="68"/>
      <c r="AK423" s="68">
        <v>0</v>
      </c>
      <c r="BB423" s="492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679"/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1"/>
      <c r="P424" s="663" t="s">
        <v>80</v>
      </c>
      <c r="Q424" s="664"/>
      <c r="R424" s="664"/>
      <c r="S424" s="664"/>
      <c r="T424" s="664"/>
      <c r="U424" s="664"/>
      <c r="V424" s="665"/>
      <c r="W424" s="37" t="s">
        <v>81</v>
      </c>
      <c r="X424" s="659">
        <f>IFERROR(X422/H422,"0")+IFERROR(X423/H423,"0")</f>
        <v>0</v>
      </c>
      <c r="Y424" s="659">
        <f>IFERROR(Y422/H422,"0")+IFERROR(Y423/H423,"0")</f>
        <v>0</v>
      </c>
      <c r="Z424" s="659">
        <f>IFERROR(IF(Z422="",0,Z422),"0")+IFERROR(IF(Z423="",0,Z423),"0")</f>
        <v>0</v>
      </c>
      <c r="AA424" s="660"/>
      <c r="AB424" s="660"/>
      <c r="AC424" s="660"/>
    </row>
    <row r="425" spans="1:68" hidden="1" x14ac:dyDescent="0.2">
      <c r="A425" s="680"/>
      <c r="B425" s="680"/>
      <c r="C425" s="680"/>
      <c r="D425" s="680"/>
      <c r="E425" s="680"/>
      <c r="F425" s="680"/>
      <c r="G425" s="680"/>
      <c r="H425" s="680"/>
      <c r="I425" s="680"/>
      <c r="J425" s="680"/>
      <c r="K425" s="680"/>
      <c r="L425" s="680"/>
      <c r="M425" s="680"/>
      <c r="N425" s="680"/>
      <c r="O425" s="681"/>
      <c r="P425" s="663" t="s">
        <v>80</v>
      </c>
      <c r="Q425" s="664"/>
      <c r="R425" s="664"/>
      <c r="S425" s="664"/>
      <c r="T425" s="664"/>
      <c r="U425" s="664"/>
      <c r="V425" s="665"/>
      <c r="W425" s="37" t="s">
        <v>69</v>
      </c>
      <c r="X425" s="659">
        <f>IFERROR(SUM(X422:X423),"0")</f>
        <v>0</v>
      </c>
      <c r="Y425" s="659">
        <f>IFERROR(SUM(Y422:Y423),"0")</f>
        <v>0</v>
      </c>
      <c r="Z425" s="37"/>
      <c r="AA425" s="660"/>
      <c r="AB425" s="660"/>
      <c r="AC425" s="660"/>
    </row>
    <row r="426" spans="1:68" ht="14.25" hidden="1" customHeight="1" x14ac:dyDescent="0.25">
      <c r="A426" s="682" t="s">
        <v>146</v>
      </c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0"/>
      <c r="P426" s="680"/>
      <c r="Q426" s="680"/>
      <c r="R426" s="680"/>
      <c r="S426" s="680"/>
      <c r="T426" s="680"/>
      <c r="U426" s="680"/>
      <c r="V426" s="680"/>
      <c r="W426" s="680"/>
      <c r="X426" s="680"/>
      <c r="Y426" s="680"/>
      <c r="Z426" s="680"/>
      <c r="AA426" s="653"/>
      <c r="AB426" s="653"/>
      <c r="AC426" s="653"/>
    </row>
    <row r="427" spans="1:68" ht="27" customHeight="1" x14ac:dyDescent="0.25">
      <c r="A427" s="54" t="s">
        <v>681</v>
      </c>
      <c r="B427" s="54" t="s">
        <v>682</v>
      </c>
      <c r="C427" s="31">
        <v>4301031403</v>
      </c>
      <c r="D427" s="672">
        <v>4680115886094</v>
      </c>
      <c r="E427" s="673"/>
      <c r="F427" s="656">
        <v>0.9</v>
      </c>
      <c r="G427" s="32">
        <v>6</v>
      </c>
      <c r="H427" s="656">
        <v>5.4</v>
      </c>
      <c r="I427" s="656">
        <v>5.61</v>
      </c>
      <c r="J427" s="32">
        <v>132</v>
      </c>
      <c r="K427" s="32" t="s">
        <v>101</v>
      </c>
      <c r="L427" s="32"/>
      <c r="M427" s="33" t="s">
        <v>94</v>
      </c>
      <c r="N427" s="33"/>
      <c r="O427" s="32">
        <v>50</v>
      </c>
      <c r="P427" s="827" t="s">
        <v>683</v>
      </c>
      <c r="Q427" s="667"/>
      <c r="R427" s="667"/>
      <c r="S427" s="667"/>
      <c r="T427" s="668"/>
      <c r="U427" s="34"/>
      <c r="V427" s="34"/>
      <c r="W427" s="35" t="s">
        <v>69</v>
      </c>
      <c r="X427" s="657">
        <v>10</v>
      </c>
      <c r="Y427" s="658">
        <f>IFERROR(IF(X427="",0,CEILING((X427/$H427),1)*$H427),"")</f>
        <v>10.8</v>
      </c>
      <c r="Z427" s="36">
        <f>IFERROR(IF(Y427=0,"",ROUNDUP(Y427/H427,0)*0.00902),"")</f>
        <v>1.804E-2</v>
      </c>
      <c r="AA427" s="56"/>
      <c r="AB427" s="57"/>
      <c r="AC427" s="493" t="s">
        <v>684</v>
      </c>
      <c r="AG427" s="64"/>
      <c r="AJ427" s="68"/>
      <c r="AK427" s="68">
        <v>0</v>
      </c>
      <c r="BB427" s="494" t="s">
        <v>1</v>
      </c>
      <c r="BM427" s="64">
        <f>IFERROR(X427*I427/H427,"0")</f>
        <v>10.388888888888889</v>
      </c>
      <c r="BN427" s="64">
        <f>IFERROR(Y427*I427/H427,"0")</f>
        <v>11.22</v>
      </c>
      <c r="BO427" s="64">
        <f>IFERROR(1/J427*(X427/H427),"0")</f>
        <v>1.4029180695847361E-2</v>
      </c>
      <c r="BP427" s="64">
        <f>IFERROR(1/J427*(Y427/H427),"0")</f>
        <v>1.5151515151515152E-2</v>
      </c>
    </row>
    <row r="428" spans="1:68" ht="27" hidden="1" customHeight="1" x14ac:dyDescent="0.25">
      <c r="A428" s="54" t="s">
        <v>685</v>
      </c>
      <c r="B428" s="54" t="s">
        <v>686</v>
      </c>
      <c r="C428" s="31">
        <v>4301031363</v>
      </c>
      <c r="D428" s="672">
        <v>4607091389425</v>
      </c>
      <c r="E428" s="673"/>
      <c r="F428" s="656">
        <v>0.35</v>
      </c>
      <c r="G428" s="32">
        <v>6</v>
      </c>
      <c r="H428" s="656">
        <v>2.1</v>
      </c>
      <c r="I428" s="656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8" s="667"/>
      <c r="R428" s="667"/>
      <c r="S428" s="667"/>
      <c r="T428" s="668"/>
      <c r="U428" s="34"/>
      <c r="V428" s="34"/>
      <c r="W428" s="35" t="s">
        <v>69</v>
      </c>
      <c r="X428" s="657">
        <v>0</v>
      </c>
      <c r="Y428" s="65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95" t="s">
        <v>687</v>
      </c>
      <c r="AG428" s="64"/>
      <c r="AJ428" s="68"/>
      <c r="AK428" s="68">
        <v>0</v>
      </c>
      <c r="BB428" s="496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688</v>
      </c>
      <c r="B429" s="54" t="s">
        <v>689</v>
      </c>
      <c r="C429" s="31">
        <v>4301031373</v>
      </c>
      <c r="D429" s="672">
        <v>4680115880771</v>
      </c>
      <c r="E429" s="673"/>
      <c r="F429" s="656">
        <v>0.28000000000000003</v>
      </c>
      <c r="G429" s="32">
        <v>6</v>
      </c>
      <c r="H429" s="656">
        <v>1.68</v>
      </c>
      <c r="I429" s="656">
        <v>1.81</v>
      </c>
      <c r="J429" s="32">
        <v>234</v>
      </c>
      <c r="K429" s="32" t="s">
        <v>149</v>
      </c>
      <c r="L429" s="32"/>
      <c r="M429" s="33" t="s">
        <v>68</v>
      </c>
      <c r="N429" s="33"/>
      <c r="O429" s="32">
        <v>50</v>
      </c>
      <c r="P429" s="778" t="s">
        <v>690</v>
      </c>
      <c r="Q429" s="667"/>
      <c r="R429" s="667"/>
      <c r="S429" s="667"/>
      <c r="T429" s="668"/>
      <c r="U429" s="34"/>
      <c r="V429" s="34"/>
      <c r="W429" s="35" t="s">
        <v>69</v>
      </c>
      <c r="X429" s="657">
        <v>0</v>
      </c>
      <c r="Y429" s="658">
        <f>IFERROR(IF(X429="",0,CEILING((X429/$H429),1)*$H429),"")</f>
        <v>0</v>
      </c>
      <c r="Z429" s="36" t="str">
        <f>IFERROR(IF(Y429=0,"",ROUNDUP(Y429/H429,0)*0.00502),"")</f>
        <v/>
      </c>
      <c r="AA429" s="56"/>
      <c r="AB429" s="57"/>
      <c r="AC429" s="497" t="s">
        <v>691</v>
      </c>
      <c r="AG429" s="64"/>
      <c r="AJ429" s="68"/>
      <c r="AK429" s="68">
        <v>0</v>
      </c>
      <c r="BB429" s="49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692</v>
      </c>
      <c r="B430" s="54" t="s">
        <v>693</v>
      </c>
      <c r="C430" s="31">
        <v>4301031359</v>
      </c>
      <c r="D430" s="672">
        <v>4607091389500</v>
      </c>
      <c r="E430" s="673"/>
      <c r="F430" s="656">
        <v>0.35</v>
      </c>
      <c r="G430" s="32">
        <v>6</v>
      </c>
      <c r="H430" s="656">
        <v>2.1</v>
      </c>
      <c r="I430" s="656">
        <v>2.23</v>
      </c>
      <c r="J430" s="32">
        <v>234</v>
      </c>
      <c r="K430" s="32" t="s">
        <v>149</v>
      </c>
      <c r="L430" s="32"/>
      <c r="M430" s="33" t="s">
        <v>68</v>
      </c>
      <c r="N430" s="33"/>
      <c r="O430" s="32">
        <v>50</v>
      </c>
      <c r="P430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667"/>
      <c r="R430" s="667"/>
      <c r="S430" s="667"/>
      <c r="T430" s="668"/>
      <c r="U430" s="34"/>
      <c r="V430" s="34"/>
      <c r="W430" s="35" t="s">
        <v>69</v>
      </c>
      <c r="X430" s="657">
        <v>14</v>
      </c>
      <c r="Y430" s="658">
        <f>IFERROR(IF(X430="",0,CEILING((X430/$H430),1)*$H430),"")</f>
        <v>14.700000000000001</v>
      </c>
      <c r="Z430" s="36">
        <f>IFERROR(IF(Y430=0,"",ROUNDUP(Y430/H430,0)*0.00502),"")</f>
        <v>3.5140000000000005E-2</v>
      </c>
      <c r="AA430" s="56"/>
      <c r="AB430" s="57"/>
      <c r="AC430" s="499" t="s">
        <v>691</v>
      </c>
      <c r="AG430" s="64"/>
      <c r="AJ430" s="68"/>
      <c r="AK430" s="68">
        <v>0</v>
      </c>
      <c r="BB430" s="500" t="s">
        <v>1</v>
      </c>
      <c r="BM430" s="64">
        <f>IFERROR(X430*I430/H430,"0")</f>
        <v>14.866666666666665</v>
      </c>
      <c r="BN430" s="64">
        <f>IFERROR(Y430*I430/H430,"0")</f>
        <v>15.61</v>
      </c>
      <c r="BO430" s="64">
        <f>IFERROR(1/J430*(X430/H430),"0")</f>
        <v>2.8490028490028491E-2</v>
      </c>
      <c r="BP430" s="64">
        <f>IFERROR(1/J430*(Y430/H430),"0")</f>
        <v>2.9914529914529919E-2</v>
      </c>
    </row>
    <row r="431" spans="1:68" x14ac:dyDescent="0.2">
      <c r="A431" s="679"/>
      <c r="B431" s="680"/>
      <c r="C431" s="680"/>
      <c r="D431" s="680"/>
      <c r="E431" s="680"/>
      <c r="F431" s="680"/>
      <c r="G431" s="680"/>
      <c r="H431" s="680"/>
      <c r="I431" s="680"/>
      <c r="J431" s="680"/>
      <c r="K431" s="680"/>
      <c r="L431" s="680"/>
      <c r="M431" s="680"/>
      <c r="N431" s="680"/>
      <c r="O431" s="681"/>
      <c r="P431" s="663" t="s">
        <v>80</v>
      </c>
      <c r="Q431" s="664"/>
      <c r="R431" s="664"/>
      <c r="S431" s="664"/>
      <c r="T431" s="664"/>
      <c r="U431" s="664"/>
      <c r="V431" s="665"/>
      <c r="W431" s="37" t="s">
        <v>81</v>
      </c>
      <c r="X431" s="659">
        <f>IFERROR(X427/H427,"0")+IFERROR(X428/H428,"0")+IFERROR(X429/H429,"0")+IFERROR(X430/H430,"0")</f>
        <v>8.5185185185185173</v>
      </c>
      <c r="Y431" s="659">
        <f>IFERROR(Y427/H427,"0")+IFERROR(Y428/H428,"0")+IFERROR(Y429/H429,"0")+IFERROR(Y430/H430,"0")</f>
        <v>9</v>
      </c>
      <c r="Z431" s="659">
        <f>IFERROR(IF(Z427="",0,Z427),"0")+IFERROR(IF(Z428="",0,Z428),"0")+IFERROR(IF(Z429="",0,Z429),"0")+IFERROR(IF(Z430="",0,Z430),"0")</f>
        <v>5.3180000000000005E-2</v>
      </c>
      <c r="AA431" s="660"/>
      <c r="AB431" s="660"/>
      <c r="AC431" s="660"/>
    </row>
    <row r="432" spans="1:68" x14ac:dyDescent="0.2">
      <c r="A432" s="680"/>
      <c r="B432" s="680"/>
      <c r="C432" s="680"/>
      <c r="D432" s="680"/>
      <c r="E432" s="680"/>
      <c r="F432" s="680"/>
      <c r="G432" s="680"/>
      <c r="H432" s="680"/>
      <c r="I432" s="680"/>
      <c r="J432" s="680"/>
      <c r="K432" s="680"/>
      <c r="L432" s="680"/>
      <c r="M432" s="680"/>
      <c r="N432" s="680"/>
      <c r="O432" s="681"/>
      <c r="P432" s="663" t="s">
        <v>80</v>
      </c>
      <c r="Q432" s="664"/>
      <c r="R432" s="664"/>
      <c r="S432" s="664"/>
      <c r="T432" s="664"/>
      <c r="U432" s="664"/>
      <c r="V432" s="665"/>
      <c r="W432" s="37" t="s">
        <v>69</v>
      </c>
      <c r="X432" s="659">
        <f>IFERROR(SUM(X427:X430),"0")</f>
        <v>24</v>
      </c>
      <c r="Y432" s="659">
        <f>IFERROR(SUM(Y427:Y430),"0")</f>
        <v>25.5</v>
      </c>
      <c r="Z432" s="37"/>
      <c r="AA432" s="660"/>
      <c r="AB432" s="660"/>
      <c r="AC432" s="660"/>
    </row>
    <row r="433" spans="1:68" ht="16.5" hidden="1" customHeight="1" x14ac:dyDescent="0.25">
      <c r="A433" s="688" t="s">
        <v>694</v>
      </c>
      <c r="B433" s="680"/>
      <c r="C433" s="680"/>
      <c r="D433" s="680"/>
      <c r="E433" s="680"/>
      <c r="F433" s="680"/>
      <c r="G433" s="680"/>
      <c r="H433" s="680"/>
      <c r="I433" s="680"/>
      <c r="J433" s="680"/>
      <c r="K433" s="680"/>
      <c r="L433" s="680"/>
      <c r="M433" s="680"/>
      <c r="N433" s="680"/>
      <c r="O433" s="680"/>
      <c r="P433" s="680"/>
      <c r="Q433" s="680"/>
      <c r="R433" s="680"/>
      <c r="S433" s="680"/>
      <c r="T433" s="680"/>
      <c r="U433" s="680"/>
      <c r="V433" s="680"/>
      <c r="W433" s="680"/>
      <c r="X433" s="680"/>
      <c r="Y433" s="680"/>
      <c r="Z433" s="680"/>
      <c r="AA433" s="652"/>
      <c r="AB433" s="652"/>
      <c r="AC433" s="652"/>
    </row>
    <row r="434" spans="1:68" ht="14.25" hidden="1" customHeight="1" x14ac:dyDescent="0.25">
      <c r="A434" s="682" t="s">
        <v>146</v>
      </c>
      <c r="B434" s="680"/>
      <c r="C434" s="680"/>
      <c r="D434" s="680"/>
      <c r="E434" s="680"/>
      <c r="F434" s="680"/>
      <c r="G434" s="680"/>
      <c r="H434" s="680"/>
      <c r="I434" s="680"/>
      <c r="J434" s="680"/>
      <c r="K434" s="680"/>
      <c r="L434" s="680"/>
      <c r="M434" s="680"/>
      <c r="N434" s="680"/>
      <c r="O434" s="680"/>
      <c r="P434" s="680"/>
      <c r="Q434" s="680"/>
      <c r="R434" s="680"/>
      <c r="S434" s="680"/>
      <c r="T434" s="680"/>
      <c r="U434" s="680"/>
      <c r="V434" s="680"/>
      <c r="W434" s="680"/>
      <c r="X434" s="680"/>
      <c r="Y434" s="680"/>
      <c r="Z434" s="680"/>
      <c r="AA434" s="653"/>
      <c r="AB434" s="653"/>
      <c r="AC434" s="653"/>
    </row>
    <row r="435" spans="1:68" ht="27" hidden="1" customHeight="1" x14ac:dyDescent="0.25">
      <c r="A435" s="54" t="s">
        <v>695</v>
      </c>
      <c r="B435" s="54" t="s">
        <v>696</v>
      </c>
      <c r="C435" s="31">
        <v>4301031294</v>
      </c>
      <c r="D435" s="672">
        <v>4680115885189</v>
      </c>
      <c r="E435" s="673"/>
      <c r="F435" s="656">
        <v>0.2</v>
      </c>
      <c r="G435" s="32">
        <v>6</v>
      </c>
      <c r="H435" s="656">
        <v>1.2</v>
      </c>
      <c r="I435" s="656">
        <v>1.3720000000000001</v>
      </c>
      <c r="J435" s="32">
        <v>234</v>
      </c>
      <c r="K435" s="32" t="s">
        <v>149</v>
      </c>
      <c r="L435" s="32"/>
      <c r="M435" s="33" t="s">
        <v>68</v>
      </c>
      <c r="N435" s="33"/>
      <c r="O435" s="32">
        <v>40</v>
      </c>
      <c r="P435" s="99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35" s="667"/>
      <c r="R435" s="667"/>
      <c r="S435" s="667"/>
      <c r="T435" s="668"/>
      <c r="U435" s="34"/>
      <c r="V435" s="34"/>
      <c r="W435" s="35" t="s">
        <v>69</v>
      </c>
      <c r="X435" s="657">
        <v>0</v>
      </c>
      <c r="Y435" s="658">
        <f>IFERROR(IF(X435="",0,CEILING((X435/$H435),1)*$H435),"")</f>
        <v>0</v>
      </c>
      <c r="Z435" s="36" t="str">
        <f>IFERROR(IF(Y435=0,"",ROUNDUP(Y435/H435,0)*0.00502),"")</f>
        <v/>
      </c>
      <c r="AA435" s="56"/>
      <c r="AB435" s="57"/>
      <c r="AC435" s="501" t="s">
        <v>697</v>
      </c>
      <c r="AG435" s="64"/>
      <c r="AJ435" s="68"/>
      <c r="AK435" s="68">
        <v>0</v>
      </c>
      <c r="BB435" s="50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698</v>
      </c>
      <c r="B436" s="54" t="s">
        <v>699</v>
      </c>
      <c r="C436" s="31">
        <v>4301031347</v>
      </c>
      <c r="D436" s="672">
        <v>4680115885110</v>
      </c>
      <c r="E436" s="673"/>
      <c r="F436" s="656">
        <v>0.2</v>
      </c>
      <c r="G436" s="32">
        <v>6</v>
      </c>
      <c r="H436" s="656">
        <v>1.2</v>
      </c>
      <c r="I436" s="656">
        <v>2.1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50</v>
      </c>
      <c r="P436" s="1003" t="s">
        <v>700</v>
      </c>
      <c r="Q436" s="667"/>
      <c r="R436" s="667"/>
      <c r="S436" s="667"/>
      <c r="T436" s="668"/>
      <c r="U436" s="34"/>
      <c r="V436" s="34"/>
      <c r="W436" s="35" t="s">
        <v>69</v>
      </c>
      <c r="X436" s="657">
        <v>10</v>
      </c>
      <c r="Y436" s="658">
        <f>IFERROR(IF(X436="",0,CEILING((X436/$H436),1)*$H436),"")</f>
        <v>10.799999999999999</v>
      </c>
      <c r="Z436" s="36">
        <f>IFERROR(IF(Y436=0,"",ROUNDUP(Y436/H436,0)*0.00651),"")</f>
        <v>5.8590000000000003E-2</v>
      </c>
      <c r="AA436" s="56"/>
      <c r="AB436" s="57"/>
      <c r="AC436" s="503" t="s">
        <v>701</v>
      </c>
      <c r="AG436" s="64"/>
      <c r="AJ436" s="68"/>
      <c r="AK436" s="68">
        <v>0</v>
      </c>
      <c r="BB436" s="504" t="s">
        <v>1</v>
      </c>
      <c r="BM436" s="64">
        <f>IFERROR(X436*I436/H436,"0")</f>
        <v>17.5</v>
      </c>
      <c r="BN436" s="64">
        <f>IFERROR(Y436*I436/H436,"0")</f>
        <v>18.900000000000002</v>
      </c>
      <c r="BO436" s="64">
        <f>IFERROR(1/J436*(X436/H436),"0")</f>
        <v>4.5787545787545791E-2</v>
      </c>
      <c r="BP436" s="64">
        <f>IFERROR(1/J436*(Y436/H436),"0")</f>
        <v>4.9450549450549455E-2</v>
      </c>
    </row>
    <row r="437" spans="1:68" x14ac:dyDescent="0.2">
      <c r="A437" s="679"/>
      <c r="B437" s="680"/>
      <c r="C437" s="680"/>
      <c r="D437" s="680"/>
      <c r="E437" s="680"/>
      <c r="F437" s="680"/>
      <c r="G437" s="680"/>
      <c r="H437" s="680"/>
      <c r="I437" s="680"/>
      <c r="J437" s="680"/>
      <c r="K437" s="680"/>
      <c r="L437" s="680"/>
      <c r="M437" s="680"/>
      <c r="N437" s="680"/>
      <c r="O437" s="681"/>
      <c r="P437" s="663" t="s">
        <v>80</v>
      </c>
      <c r="Q437" s="664"/>
      <c r="R437" s="664"/>
      <c r="S437" s="664"/>
      <c r="T437" s="664"/>
      <c r="U437" s="664"/>
      <c r="V437" s="665"/>
      <c r="W437" s="37" t="s">
        <v>81</v>
      </c>
      <c r="X437" s="659">
        <f>IFERROR(X435/H435,"0")+IFERROR(X436/H436,"0")</f>
        <v>8.3333333333333339</v>
      </c>
      <c r="Y437" s="659">
        <f>IFERROR(Y435/H435,"0")+IFERROR(Y436/H436,"0")</f>
        <v>9</v>
      </c>
      <c r="Z437" s="659">
        <f>IFERROR(IF(Z435="",0,Z435),"0")+IFERROR(IF(Z436="",0,Z436),"0")</f>
        <v>5.8590000000000003E-2</v>
      </c>
      <c r="AA437" s="660"/>
      <c r="AB437" s="660"/>
      <c r="AC437" s="660"/>
    </row>
    <row r="438" spans="1:68" x14ac:dyDescent="0.2">
      <c r="A438" s="680"/>
      <c r="B438" s="680"/>
      <c r="C438" s="680"/>
      <c r="D438" s="680"/>
      <c r="E438" s="680"/>
      <c r="F438" s="680"/>
      <c r="G438" s="680"/>
      <c r="H438" s="680"/>
      <c r="I438" s="680"/>
      <c r="J438" s="680"/>
      <c r="K438" s="680"/>
      <c r="L438" s="680"/>
      <c r="M438" s="680"/>
      <c r="N438" s="680"/>
      <c r="O438" s="681"/>
      <c r="P438" s="663" t="s">
        <v>80</v>
      </c>
      <c r="Q438" s="664"/>
      <c r="R438" s="664"/>
      <c r="S438" s="664"/>
      <c r="T438" s="664"/>
      <c r="U438" s="664"/>
      <c r="V438" s="665"/>
      <c r="W438" s="37" t="s">
        <v>69</v>
      </c>
      <c r="X438" s="659">
        <f>IFERROR(SUM(X435:X436),"0")</f>
        <v>10</v>
      </c>
      <c r="Y438" s="659">
        <f>IFERROR(SUM(Y435:Y436),"0")</f>
        <v>10.799999999999999</v>
      </c>
      <c r="Z438" s="37"/>
      <c r="AA438" s="660"/>
      <c r="AB438" s="660"/>
      <c r="AC438" s="660"/>
    </row>
    <row r="439" spans="1:68" ht="16.5" hidden="1" customHeight="1" x14ac:dyDescent="0.25">
      <c r="A439" s="688" t="s">
        <v>702</v>
      </c>
      <c r="B439" s="680"/>
      <c r="C439" s="680"/>
      <c r="D439" s="680"/>
      <c r="E439" s="680"/>
      <c r="F439" s="680"/>
      <c r="G439" s="680"/>
      <c r="H439" s="680"/>
      <c r="I439" s="680"/>
      <c r="J439" s="680"/>
      <c r="K439" s="680"/>
      <c r="L439" s="680"/>
      <c r="M439" s="680"/>
      <c r="N439" s="680"/>
      <c r="O439" s="680"/>
      <c r="P439" s="680"/>
      <c r="Q439" s="680"/>
      <c r="R439" s="680"/>
      <c r="S439" s="680"/>
      <c r="T439" s="680"/>
      <c r="U439" s="680"/>
      <c r="V439" s="680"/>
      <c r="W439" s="680"/>
      <c r="X439" s="680"/>
      <c r="Y439" s="680"/>
      <c r="Z439" s="680"/>
      <c r="AA439" s="652"/>
      <c r="AB439" s="652"/>
      <c r="AC439" s="652"/>
    </row>
    <row r="440" spans="1:68" ht="14.25" hidden="1" customHeight="1" x14ac:dyDescent="0.25">
      <c r="A440" s="682" t="s">
        <v>146</v>
      </c>
      <c r="B440" s="680"/>
      <c r="C440" s="680"/>
      <c r="D440" s="680"/>
      <c r="E440" s="680"/>
      <c r="F440" s="680"/>
      <c r="G440" s="680"/>
      <c r="H440" s="680"/>
      <c r="I440" s="680"/>
      <c r="J440" s="680"/>
      <c r="K440" s="680"/>
      <c r="L440" s="680"/>
      <c r="M440" s="680"/>
      <c r="N440" s="680"/>
      <c r="O440" s="680"/>
      <c r="P440" s="680"/>
      <c r="Q440" s="680"/>
      <c r="R440" s="680"/>
      <c r="S440" s="680"/>
      <c r="T440" s="680"/>
      <c r="U440" s="680"/>
      <c r="V440" s="680"/>
      <c r="W440" s="680"/>
      <c r="X440" s="680"/>
      <c r="Y440" s="680"/>
      <c r="Z440" s="680"/>
      <c r="AA440" s="653"/>
      <c r="AB440" s="653"/>
      <c r="AC440" s="653"/>
    </row>
    <row r="441" spans="1:68" ht="27" hidden="1" customHeight="1" x14ac:dyDescent="0.25">
      <c r="A441" s="54" t="s">
        <v>703</v>
      </c>
      <c r="B441" s="54" t="s">
        <v>704</v>
      </c>
      <c r="C441" s="31">
        <v>4301031261</v>
      </c>
      <c r="D441" s="672">
        <v>4680115885103</v>
      </c>
      <c r="E441" s="673"/>
      <c r="F441" s="656">
        <v>0.27</v>
      </c>
      <c r="G441" s="32">
        <v>6</v>
      </c>
      <c r="H441" s="656">
        <v>1.62</v>
      </c>
      <c r="I441" s="656">
        <v>1.8</v>
      </c>
      <c r="J441" s="32">
        <v>182</v>
      </c>
      <c r="K441" s="32" t="s">
        <v>67</v>
      </c>
      <c r="L441" s="32"/>
      <c r="M441" s="33" t="s">
        <v>68</v>
      </c>
      <c r="N441" s="33"/>
      <c r="O441" s="32">
        <v>40</v>
      </c>
      <c r="P441" s="8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41" s="667"/>
      <c r="R441" s="667"/>
      <c r="S441" s="667"/>
      <c r="T441" s="668"/>
      <c r="U441" s="34"/>
      <c r="V441" s="34"/>
      <c r="W441" s="35" t="s">
        <v>69</v>
      </c>
      <c r="X441" s="657">
        <v>0</v>
      </c>
      <c r="Y441" s="658">
        <f>IFERROR(IF(X441="",0,CEILING((X441/$H441),1)*$H441),"")</f>
        <v>0</v>
      </c>
      <c r="Z441" s="36" t="str">
        <f>IFERROR(IF(Y441=0,"",ROUNDUP(Y441/H441,0)*0.00651),"")</f>
        <v/>
      </c>
      <c r="AA441" s="56"/>
      <c r="AB441" s="57"/>
      <c r="AC441" s="505" t="s">
        <v>705</v>
      </c>
      <c r="AG441" s="64"/>
      <c r="AJ441" s="68"/>
      <c r="AK441" s="68">
        <v>0</v>
      </c>
      <c r="BB441" s="50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79"/>
      <c r="B442" s="680"/>
      <c r="C442" s="680"/>
      <c r="D442" s="680"/>
      <c r="E442" s="680"/>
      <c r="F442" s="680"/>
      <c r="G442" s="680"/>
      <c r="H442" s="680"/>
      <c r="I442" s="680"/>
      <c r="J442" s="680"/>
      <c r="K442" s="680"/>
      <c r="L442" s="680"/>
      <c r="M442" s="680"/>
      <c r="N442" s="680"/>
      <c r="O442" s="681"/>
      <c r="P442" s="663" t="s">
        <v>80</v>
      </c>
      <c r="Q442" s="664"/>
      <c r="R442" s="664"/>
      <c r="S442" s="664"/>
      <c r="T442" s="664"/>
      <c r="U442" s="664"/>
      <c r="V442" s="665"/>
      <c r="W442" s="37" t="s">
        <v>81</v>
      </c>
      <c r="X442" s="659">
        <f>IFERROR(X441/H441,"0")</f>
        <v>0</v>
      </c>
      <c r="Y442" s="659">
        <f>IFERROR(Y441/H441,"0")</f>
        <v>0</v>
      </c>
      <c r="Z442" s="659">
        <f>IFERROR(IF(Z441="",0,Z441),"0")</f>
        <v>0</v>
      </c>
      <c r="AA442" s="660"/>
      <c r="AB442" s="660"/>
      <c r="AC442" s="660"/>
    </row>
    <row r="443" spans="1:68" hidden="1" x14ac:dyDescent="0.2">
      <c r="A443" s="680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63" t="s">
        <v>80</v>
      </c>
      <c r="Q443" s="664"/>
      <c r="R443" s="664"/>
      <c r="S443" s="664"/>
      <c r="T443" s="664"/>
      <c r="U443" s="664"/>
      <c r="V443" s="665"/>
      <c r="W443" s="37" t="s">
        <v>69</v>
      </c>
      <c r="X443" s="659">
        <f>IFERROR(SUM(X441:X441),"0")</f>
        <v>0</v>
      </c>
      <c r="Y443" s="659">
        <f>IFERROR(SUM(Y441:Y441),"0")</f>
        <v>0</v>
      </c>
      <c r="Z443" s="37"/>
      <c r="AA443" s="660"/>
      <c r="AB443" s="660"/>
      <c r="AC443" s="660"/>
    </row>
    <row r="444" spans="1:68" ht="14.25" hidden="1" customHeight="1" x14ac:dyDescent="0.25">
      <c r="A444" s="682" t="s">
        <v>172</v>
      </c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0"/>
      <c r="P444" s="680"/>
      <c r="Q444" s="680"/>
      <c r="R444" s="680"/>
      <c r="S444" s="680"/>
      <c r="T444" s="680"/>
      <c r="U444" s="680"/>
      <c r="V444" s="680"/>
      <c r="W444" s="680"/>
      <c r="X444" s="680"/>
      <c r="Y444" s="680"/>
      <c r="Z444" s="680"/>
      <c r="AA444" s="653"/>
      <c r="AB444" s="653"/>
      <c r="AC444" s="653"/>
    </row>
    <row r="445" spans="1:68" ht="27" hidden="1" customHeight="1" x14ac:dyDescent="0.25">
      <c r="A445" s="54" t="s">
        <v>706</v>
      </c>
      <c r="B445" s="54" t="s">
        <v>707</v>
      </c>
      <c r="C445" s="31">
        <v>4301060412</v>
      </c>
      <c r="D445" s="672">
        <v>4680115885509</v>
      </c>
      <c r="E445" s="673"/>
      <c r="F445" s="656">
        <v>0.27</v>
      </c>
      <c r="G445" s="32">
        <v>6</v>
      </c>
      <c r="H445" s="656">
        <v>1.62</v>
      </c>
      <c r="I445" s="656">
        <v>1.8660000000000001</v>
      </c>
      <c r="J445" s="32">
        <v>182</v>
      </c>
      <c r="K445" s="32" t="s">
        <v>67</v>
      </c>
      <c r="L445" s="32"/>
      <c r="M445" s="33" t="s">
        <v>68</v>
      </c>
      <c r="N445" s="33"/>
      <c r="O445" s="32">
        <v>35</v>
      </c>
      <c r="P445" s="70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45" s="667"/>
      <c r="R445" s="667"/>
      <c r="S445" s="667"/>
      <c r="T445" s="668"/>
      <c r="U445" s="34"/>
      <c r="V445" s="34"/>
      <c r="W445" s="35" t="s">
        <v>69</v>
      </c>
      <c r="X445" s="657">
        <v>0</v>
      </c>
      <c r="Y445" s="658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507" t="s">
        <v>708</v>
      </c>
      <c r="AG445" s="64"/>
      <c r="AJ445" s="68"/>
      <c r="AK445" s="68">
        <v>0</v>
      </c>
      <c r="BB445" s="50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679"/>
      <c r="B446" s="680"/>
      <c r="C446" s="680"/>
      <c r="D446" s="680"/>
      <c r="E446" s="680"/>
      <c r="F446" s="680"/>
      <c r="G446" s="680"/>
      <c r="H446" s="680"/>
      <c r="I446" s="680"/>
      <c r="J446" s="680"/>
      <c r="K446" s="680"/>
      <c r="L446" s="680"/>
      <c r="M446" s="680"/>
      <c r="N446" s="680"/>
      <c r="O446" s="681"/>
      <c r="P446" s="663" t="s">
        <v>80</v>
      </c>
      <c r="Q446" s="664"/>
      <c r="R446" s="664"/>
      <c r="S446" s="664"/>
      <c r="T446" s="664"/>
      <c r="U446" s="664"/>
      <c r="V446" s="665"/>
      <c r="W446" s="37" t="s">
        <v>81</v>
      </c>
      <c r="X446" s="659">
        <f>IFERROR(X445/H445,"0")</f>
        <v>0</v>
      </c>
      <c r="Y446" s="659">
        <f>IFERROR(Y445/H445,"0")</f>
        <v>0</v>
      </c>
      <c r="Z446" s="659">
        <f>IFERROR(IF(Z445="",0,Z445),"0")</f>
        <v>0</v>
      </c>
      <c r="AA446" s="660"/>
      <c r="AB446" s="660"/>
      <c r="AC446" s="660"/>
    </row>
    <row r="447" spans="1:68" hidden="1" x14ac:dyDescent="0.2">
      <c r="A447" s="680"/>
      <c r="B447" s="680"/>
      <c r="C447" s="680"/>
      <c r="D447" s="680"/>
      <c r="E447" s="680"/>
      <c r="F447" s="680"/>
      <c r="G447" s="680"/>
      <c r="H447" s="680"/>
      <c r="I447" s="680"/>
      <c r="J447" s="680"/>
      <c r="K447" s="680"/>
      <c r="L447" s="680"/>
      <c r="M447" s="680"/>
      <c r="N447" s="680"/>
      <c r="O447" s="681"/>
      <c r="P447" s="663" t="s">
        <v>80</v>
      </c>
      <c r="Q447" s="664"/>
      <c r="R447" s="664"/>
      <c r="S447" s="664"/>
      <c r="T447" s="664"/>
      <c r="U447" s="664"/>
      <c r="V447" s="665"/>
      <c r="W447" s="37" t="s">
        <v>69</v>
      </c>
      <c r="X447" s="659">
        <f>IFERROR(SUM(X445:X445),"0")</f>
        <v>0</v>
      </c>
      <c r="Y447" s="659">
        <f>IFERROR(SUM(Y445:Y445),"0")</f>
        <v>0</v>
      </c>
      <c r="Z447" s="37"/>
      <c r="AA447" s="660"/>
      <c r="AB447" s="660"/>
      <c r="AC447" s="660"/>
    </row>
    <row r="448" spans="1:68" ht="27.75" hidden="1" customHeight="1" x14ac:dyDescent="0.2">
      <c r="A448" s="712" t="s">
        <v>709</v>
      </c>
      <c r="B448" s="713"/>
      <c r="C448" s="713"/>
      <c r="D448" s="713"/>
      <c r="E448" s="713"/>
      <c r="F448" s="713"/>
      <c r="G448" s="713"/>
      <c r="H448" s="713"/>
      <c r="I448" s="713"/>
      <c r="J448" s="713"/>
      <c r="K448" s="713"/>
      <c r="L448" s="713"/>
      <c r="M448" s="713"/>
      <c r="N448" s="713"/>
      <c r="O448" s="713"/>
      <c r="P448" s="713"/>
      <c r="Q448" s="713"/>
      <c r="R448" s="713"/>
      <c r="S448" s="713"/>
      <c r="T448" s="713"/>
      <c r="U448" s="713"/>
      <c r="V448" s="713"/>
      <c r="W448" s="713"/>
      <c r="X448" s="713"/>
      <c r="Y448" s="713"/>
      <c r="Z448" s="713"/>
      <c r="AA448" s="48"/>
      <c r="AB448" s="48"/>
      <c r="AC448" s="48"/>
    </row>
    <row r="449" spans="1:68" ht="16.5" hidden="1" customHeight="1" x14ac:dyDescent="0.25">
      <c r="A449" s="688" t="s">
        <v>709</v>
      </c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0"/>
      <c r="P449" s="680"/>
      <c r="Q449" s="680"/>
      <c r="R449" s="680"/>
      <c r="S449" s="680"/>
      <c r="T449" s="680"/>
      <c r="U449" s="680"/>
      <c r="V449" s="680"/>
      <c r="W449" s="680"/>
      <c r="X449" s="680"/>
      <c r="Y449" s="680"/>
      <c r="Z449" s="680"/>
      <c r="AA449" s="652"/>
      <c r="AB449" s="652"/>
      <c r="AC449" s="652"/>
    </row>
    <row r="450" spans="1:68" ht="14.25" hidden="1" customHeight="1" x14ac:dyDescent="0.25">
      <c r="A450" s="682" t="s">
        <v>90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53"/>
      <c r="AB450" s="653"/>
      <c r="AC450" s="653"/>
    </row>
    <row r="451" spans="1:68" ht="27" customHeight="1" x14ac:dyDescent="0.25">
      <c r="A451" s="54" t="s">
        <v>710</v>
      </c>
      <c r="B451" s="54" t="s">
        <v>711</v>
      </c>
      <c r="C451" s="31">
        <v>4301011795</v>
      </c>
      <c r="D451" s="672">
        <v>4607091389067</v>
      </c>
      <c r="E451" s="673"/>
      <c r="F451" s="656">
        <v>0.88</v>
      </c>
      <c r="G451" s="32">
        <v>6</v>
      </c>
      <c r="H451" s="656">
        <v>5.28</v>
      </c>
      <c r="I451" s="656">
        <v>5.64</v>
      </c>
      <c r="J451" s="32">
        <v>104</v>
      </c>
      <c r="K451" s="32" t="s">
        <v>93</v>
      </c>
      <c r="L451" s="32"/>
      <c r="M451" s="33" t="s">
        <v>94</v>
      </c>
      <c r="N451" s="33"/>
      <c r="O451" s="32">
        <v>60</v>
      </c>
      <c r="P45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1" s="667"/>
      <c r="R451" s="667"/>
      <c r="S451" s="667"/>
      <c r="T451" s="668"/>
      <c r="U451" s="34"/>
      <c r="V451" s="34"/>
      <c r="W451" s="35" t="s">
        <v>69</v>
      </c>
      <c r="X451" s="657">
        <v>50</v>
      </c>
      <c r="Y451" s="658">
        <f t="shared" ref="Y451:Y465" si="68">IFERROR(IF(X451="",0,CEILING((X451/$H451),1)*$H451),"")</f>
        <v>52.800000000000004</v>
      </c>
      <c r="Z451" s="36">
        <f>IFERROR(IF(Y451=0,"",ROUNDUP(Y451/H451,0)*0.01196),"")</f>
        <v>0.1196</v>
      </c>
      <c r="AA451" s="56"/>
      <c r="AB451" s="57"/>
      <c r="AC451" s="509" t="s">
        <v>712</v>
      </c>
      <c r="AG451" s="64"/>
      <c r="AJ451" s="68"/>
      <c r="AK451" s="68">
        <v>0</v>
      </c>
      <c r="BB451" s="510" t="s">
        <v>1</v>
      </c>
      <c r="BM451" s="64">
        <f t="shared" ref="BM451:BM465" si="69">IFERROR(X451*I451/H451,"0")</f>
        <v>53.409090909090907</v>
      </c>
      <c r="BN451" s="64">
        <f t="shared" ref="BN451:BN465" si="70">IFERROR(Y451*I451/H451,"0")</f>
        <v>56.400000000000006</v>
      </c>
      <c r="BO451" s="64">
        <f t="shared" ref="BO451:BO465" si="71">IFERROR(1/J451*(X451/H451),"0")</f>
        <v>9.1054778554778545E-2</v>
      </c>
      <c r="BP451" s="64">
        <f t="shared" ref="BP451:BP465" si="72">IFERROR(1/J451*(Y451/H451),"0")</f>
        <v>9.6153846153846159E-2</v>
      </c>
    </row>
    <row r="452" spans="1:68" ht="27" hidden="1" customHeight="1" x14ac:dyDescent="0.25">
      <c r="A452" s="54" t="s">
        <v>713</v>
      </c>
      <c r="B452" s="54" t="s">
        <v>714</v>
      </c>
      <c r="C452" s="31">
        <v>4301011961</v>
      </c>
      <c r="D452" s="672">
        <v>4680115885271</v>
      </c>
      <c r="E452" s="673"/>
      <c r="F452" s="656">
        <v>0.88</v>
      </c>
      <c r="G452" s="32">
        <v>6</v>
      </c>
      <c r="H452" s="656">
        <v>5.28</v>
      </c>
      <c r="I452" s="656">
        <v>5.64</v>
      </c>
      <c r="J452" s="32">
        <v>104</v>
      </c>
      <c r="K452" s="32" t="s">
        <v>93</v>
      </c>
      <c r="L452" s="32"/>
      <c r="M452" s="33" t="s">
        <v>94</v>
      </c>
      <c r="N452" s="33"/>
      <c r="O452" s="32">
        <v>60</v>
      </c>
      <c r="P452" s="6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2" s="667"/>
      <c r="R452" s="667"/>
      <c r="S452" s="667"/>
      <c r="T452" s="668"/>
      <c r="U452" s="34"/>
      <c r="V452" s="34"/>
      <c r="W452" s="35" t="s">
        <v>69</v>
      </c>
      <c r="X452" s="657">
        <v>0</v>
      </c>
      <c r="Y452" s="658">
        <f t="shared" si="68"/>
        <v>0</v>
      </c>
      <c r="Z452" s="36" t="str">
        <f>IFERROR(IF(Y452=0,"",ROUNDUP(Y452/H452,0)*0.01196),"")</f>
        <v/>
      </c>
      <c r="AA452" s="56"/>
      <c r="AB452" s="57"/>
      <c r="AC452" s="511" t="s">
        <v>715</v>
      </c>
      <c r="AG452" s="64"/>
      <c r="AJ452" s="68"/>
      <c r="AK452" s="68">
        <v>0</v>
      </c>
      <c r="BB452" s="512" t="s">
        <v>1</v>
      </c>
      <c r="BM452" s="64">
        <f t="shared" si="69"/>
        <v>0</v>
      </c>
      <c r="BN452" s="64">
        <f t="shared" si="70"/>
        <v>0</v>
      </c>
      <c r="BO452" s="64">
        <f t="shared" si="71"/>
        <v>0</v>
      </c>
      <c r="BP452" s="64">
        <f t="shared" si="72"/>
        <v>0</v>
      </c>
    </row>
    <row r="453" spans="1:68" ht="27" customHeight="1" x14ac:dyDescent="0.25">
      <c r="A453" s="54" t="s">
        <v>716</v>
      </c>
      <c r="B453" s="54" t="s">
        <v>717</v>
      </c>
      <c r="C453" s="31">
        <v>4301011376</v>
      </c>
      <c r="D453" s="672">
        <v>4680115885226</v>
      </c>
      <c r="E453" s="673"/>
      <c r="F453" s="656">
        <v>0.88</v>
      </c>
      <c r="G453" s="32">
        <v>6</v>
      </c>
      <c r="H453" s="656">
        <v>5.28</v>
      </c>
      <c r="I453" s="656">
        <v>5.64</v>
      </c>
      <c r="J453" s="32">
        <v>104</v>
      </c>
      <c r="K453" s="32" t="s">
        <v>93</v>
      </c>
      <c r="L453" s="32"/>
      <c r="M453" s="33" t="s">
        <v>103</v>
      </c>
      <c r="N453" s="33"/>
      <c r="O453" s="32">
        <v>60</v>
      </c>
      <c r="P453" s="7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3" s="667"/>
      <c r="R453" s="667"/>
      <c r="S453" s="667"/>
      <c r="T453" s="668"/>
      <c r="U453" s="34"/>
      <c r="V453" s="34"/>
      <c r="W453" s="35" t="s">
        <v>69</v>
      </c>
      <c r="X453" s="657">
        <v>100</v>
      </c>
      <c r="Y453" s="658">
        <f t="shared" si="68"/>
        <v>100.32000000000001</v>
      </c>
      <c r="Z453" s="36">
        <f>IFERROR(IF(Y453=0,"",ROUNDUP(Y453/H453,0)*0.01196),"")</f>
        <v>0.22724</v>
      </c>
      <c r="AA453" s="56"/>
      <c r="AB453" s="57"/>
      <c r="AC453" s="513" t="s">
        <v>718</v>
      </c>
      <c r="AG453" s="64"/>
      <c r="AJ453" s="68"/>
      <c r="AK453" s="68">
        <v>0</v>
      </c>
      <c r="BB453" s="514" t="s">
        <v>1</v>
      </c>
      <c r="BM453" s="64">
        <f t="shared" si="69"/>
        <v>106.81818181818181</v>
      </c>
      <c r="BN453" s="64">
        <f t="shared" si="70"/>
        <v>107.16</v>
      </c>
      <c r="BO453" s="64">
        <f t="shared" si="71"/>
        <v>0.18210955710955709</v>
      </c>
      <c r="BP453" s="64">
        <f t="shared" si="72"/>
        <v>0.18269230769230771</v>
      </c>
    </row>
    <row r="454" spans="1:68" ht="27" customHeight="1" x14ac:dyDescent="0.25">
      <c r="A454" s="54" t="s">
        <v>719</v>
      </c>
      <c r="B454" s="54" t="s">
        <v>720</v>
      </c>
      <c r="C454" s="31">
        <v>4301011771</v>
      </c>
      <c r="D454" s="672">
        <v>4607091389104</v>
      </c>
      <c r="E454" s="673"/>
      <c r="F454" s="656">
        <v>0.88</v>
      </c>
      <c r="G454" s="32">
        <v>6</v>
      </c>
      <c r="H454" s="656">
        <v>5.28</v>
      </c>
      <c r="I454" s="656">
        <v>5.64</v>
      </c>
      <c r="J454" s="32">
        <v>104</v>
      </c>
      <c r="K454" s="32" t="s">
        <v>93</v>
      </c>
      <c r="L454" s="32"/>
      <c r="M454" s="33" t="s">
        <v>94</v>
      </c>
      <c r="N454" s="33"/>
      <c r="O454" s="32">
        <v>60</v>
      </c>
      <c r="P454" s="6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54" s="667"/>
      <c r="R454" s="667"/>
      <c r="S454" s="667"/>
      <c r="T454" s="668"/>
      <c r="U454" s="34"/>
      <c r="V454" s="34"/>
      <c r="W454" s="35" t="s">
        <v>69</v>
      </c>
      <c r="X454" s="657">
        <v>120</v>
      </c>
      <c r="Y454" s="658">
        <f t="shared" si="68"/>
        <v>121.44000000000001</v>
      </c>
      <c r="Z454" s="36">
        <f>IFERROR(IF(Y454=0,"",ROUNDUP(Y454/H454,0)*0.01196),"")</f>
        <v>0.27507999999999999</v>
      </c>
      <c r="AA454" s="56"/>
      <c r="AB454" s="57"/>
      <c r="AC454" s="515" t="s">
        <v>721</v>
      </c>
      <c r="AG454" s="64"/>
      <c r="AJ454" s="68"/>
      <c r="AK454" s="68">
        <v>0</v>
      </c>
      <c r="BB454" s="516" t="s">
        <v>1</v>
      </c>
      <c r="BM454" s="64">
        <f t="shared" si="69"/>
        <v>128.18181818181816</v>
      </c>
      <c r="BN454" s="64">
        <f t="shared" si="70"/>
        <v>129.72</v>
      </c>
      <c r="BO454" s="64">
        <f t="shared" si="71"/>
        <v>0.21853146853146854</v>
      </c>
      <c r="BP454" s="64">
        <f t="shared" si="72"/>
        <v>0.22115384615384617</v>
      </c>
    </row>
    <row r="455" spans="1:68" ht="16.5" hidden="1" customHeight="1" x14ac:dyDescent="0.25">
      <c r="A455" s="54" t="s">
        <v>722</v>
      </c>
      <c r="B455" s="54" t="s">
        <v>723</v>
      </c>
      <c r="C455" s="31">
        <v>4301011799</v>
      </c>
      <c r="D455" s="672">
        <v>4680115884519</v>
      </c>
      <c r="E455" s="673"/>
      <c r="F455" s="656">
        <v>0.88</v>
      </c>
      <c r="G455" s="32">
        <v>6</v>
      </c>
      <c r="H455" s="656">
        <v>5.28</v>
      </c>
      <c r="I455" s="656">
        <v>5.64</v>
      </c>
      <c r="J455" s="32">
        <v>104</v>
      </c>
      <c r="K455" s="32" t="s">
        <v>93</v>
      </c>
      <c r="L455" s="32"/>
      <c r="M455" s="33" t="s">
        <v>103</v>
      </c>
      <c r="N455" s="33"/>
      <c r="O455" s="32">
        <v>60</v>
      </c>
      <c r="P455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55" s="667"/>
      <c r="R455" s="667"/>
      <c r="S455" s="667"/>
      <c r="T455" s="668"/>
      <c r="U455" s="34"/>
      <c r="V455" s="34"/>
      <c r="W455" s="35" t="s">
        <v>69</v>
      </c>
      <c r="X455" s="657">
        <v>0</v>
      </c>
      <c r="Y455" s="658">
        <f t="shared" si="68"/>
        <v>0</v>
      </c>
      <c r="Z455" s="36" t="str">
        <f>IFERROR(IF(Y455=0,"",ROUNDUP(Y455/H455,0)*0.01196),"")</f>
        <v/>
      </c>
      <c r="AA455" s="56"/>
      <c r="AB455" s="57"/>
      <c r="AC455" s="517" t="s">
        <v>724</v>
      </c>
      <c r="AG455" s="64"/>
      <c r="AJ455" s="68"/>
      <c r="AK455" s="68">
        <v>0</v>
      </c>
      <c r="BB455" s="518" t="s">
        <v>1</v>
      </c>
      <c r="BM455" s="64">
        <f t="shared" si="69"/>
        <v>0</v>
      </c>
      <c r="BN455" s="64">
        <f t="shared" si="70"/>
        <v>0</v>
      </c>
      <c r="BO455" s="64">
        <f t="shared" si="71"/>
        <v>0</v>
      </c>
      <c r="BP455" s="64">
        <f t="shared" si="72"/>
        <v>0</v>
      </c>
    </row>
    <row r="456" spans="1:68" ht="27" hidden="1" customHeight="1" x14ac:dyDescent="0.25">
      <c r="A456" s="54" t="s">
        <v>725</v>
      </c>
      <c r="B456" s="54" t="s">
        <v>726</v>
      </c>
      <c r="C456" s="31">
        <v>4301012125</v>
      </c>
      <c r="D456" s="672">
        <v>4680115886391</v>
      </c>
      <c r="E456" s="673"/>
      <c r="F456" s="656">
        <v>0.4</v>
      </c>
      <c r="G456" s="32">
        <v>6</v>
      </c>
      <c r="H456" s="656">
        <v>2.4</v>
      </c>
      <c r="I456" s="656">
        <v>2.58</v>
      </c>
      <c r="J456" s="32">
        <v>182</v>
      </c>
      <c r="K456" s="32" t="s">
        <v>67</v>
      </c>
      <c r="L456" s="32"/>
      <c r="M456" s="33" t="s">
        <v>103</v>
      </c>
      <c r="N456" s="33"/>
      <c r="O456" s="32">
        <v>60</v>
      </c>
      <c r="P456" s="771" t="s">
        <v>727</v>
      </c>
      <c r="Q456" s="667"/>
      <c r="R456" s="667"/>
      <c r="S456" s="667"/>
      <c r="T456" s="668"/>
      <c r="U456" s="34"/>
      <c r="V456" s="34"/>
      <c r="W456" s="35" t="s">
        <v>69</v>
      </c>
      <c r="X456" s="657">
        <v>0</v>
      </c>
      <c r="Y456" s="658">
        <f t="shared" si="68"/>
        <v>0</v>
      </c>
      <c r="Z456" s="36" t="str">
        <f>IFERROR(IF(Y456=0,"",ROUNDUP(Y456/H456,0)*0.00651),"")</f>
        <v/>
      </c>
      <c r="AA456" s="56"/>
      <c r="AB456" s="57"/>
      <c r="AC456" s="519" t="s">
        <v>712</v>
      </c>
      <c r="AG456" s="64"/>
      <c r="AJ456" s="68"/>
      <c r="AK456" s="68">
        <v>0</v>
      </c>
      <c r="BB456" s="520" t="s">
        <v>1</v>
      </c>
      <c r="BM456" s="64">
        <f t="shared" si="69"/>
        <v>0</v>
      </c>
      <c r="BN456" s="64">
        <f t="shared" si="70"/>
        <v>0</v>
      </c>
      <c r="BO456" s="64">
        <f t="shared" si="71"/>
        <v>0</v>
      </c>
      <c r="BP456" s="64">
        <f t="shared" si="72"/>
        <v>0</v>
      </c>
    </row>
    <row r="457" spans="1:68" ht="27" customHeight="1" x14ac:dyDescent="0.25">
      <c r="A457" s="54" t="s">
        <v>728</v>
      </c>
      <c r="B457" s="54" t="s">
        <v>729</v>
      </c>
      <c r="C457" s="31">
        <v>4301011778</v>
      </c>
      <c r="D457" s="672">
        <v>4680115880603</v>
      </c>
      <c r="E457" s="673"/>
      <c r="F457" s="656">
        <v>0.6</v>
      </c>
      <c r="G457" s="32">
        <v>6</v>
      </c>
      <c r="H457" s="656">
        <v>3.6</v>
      </c>
      <c r="I457" s="656">
        <v>3.81</v>
      </c>
      <c r="J457" s="32">
        <v>132</v>
      </c>
      <c r="K457" s="32" t="s">
        <v>101</v>
      </c>
      <c r="L457" s="32"/>
      <c r="M457" s="33" t="s">
        <v>94</v>
      </c>
      <c r="N457" s="33"/>
      <c r="O457" s="32">
        <v>60</v>
      </c>
      <c r="P457" s="6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7" s="667"/>
      <c r="R457" s="667"/>
      <c r="S457" s="667"/>
      <c r="T457" s="668"/>
      <c r="U457" s="34"/>
      <c r="V457" s="34"/>
      <c r="W457" s="35" t="s">
        <v>69</v>
      </c>
      <c r="X457" s="657">
        <v>60</v>
      </c>
      <c r="Y457" s="658">
        <f t="shared" si="68"/>
        <v>61.2</v>
      </c>
      <c r="Z457" s="36">
        <f>IFERROR(IF(Y457=0,"",ROUNDUP(Y457/H457,0)*0.00902),"")</f>
        <v>0.15334</v>
      </c>
      <c r="AA457" s="56"/>
      <c r="AB457" s="57"/>
      <c r="AC457" s="521" t="s">
        <v>712</v>
      </c>
      <c r="AG457" s="64"/>
      <c r="AJ457" s="68"/>
      <c r="AK457" s="68">
        <v>0</v>
      </c>
      <c r="BB457" s="522" t="s">
        <v>1</v>
      </c>
      <c r="BM457" s="64">
        <f t="shared" si="69"/>
        <v>63.5</v>
      </c>
      <c r="BN457" s="64">
        <f t="shared" si="70"/>
        <v>64.77000000000001</v>
      </c>
      <c r="BO457" s="64">
        <f t="shared" si="71"/>
        <v>0.12626262626262627</v>
      </c>
      <c r="BP457" s="64">
        <f t="shared" si="72"/>
        <v>0.12878787878787878</v>
      </c>
    </row>
    <row r="458" spans="1:68" ht="27" hidden="1" customHeight="1" x14ac:dyDescent="0.25">
      <c r="A458" s="54" t="s">
        <v>728</v>
      </c>
      <c r="B458" s="54" t="s">
        <v>730</v>
      </c>
      <c r="C458" s="31">
        <v>4301012035</v>
      </c>
      <c r="D458" s="672">
        <v>4680115880603</v>
      </c>
      <c r="E458" s="673"/>
      <c r="F458" s="656">
        <v>0.6</v>
      </c>
      <c r="G458" s="32">
        <v>8</v>
      </c>
      <c r="H458" s="656">
        <v>4.8</v>
      </c>
      <c r="I458" s="656">
        <v>6.96</v>
      </c>
      <c r="J458" s="32">
        <v>120</v>
      </c>
      <c r="K458" s="32" t="s">
        <v>101</v>
      </c>
      <c r="L458" s="32"/>
      <c r="M458" s="33" t="s">
        <v>94</v>
      </c>
      <c r="N458" s="33"/>
      <c r="O458" s="32">
        <v>60</v>
      </c>
      <c r="P458" s="7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8" s="667"/>
      <c r="R458" s="667"/>
      <c r="S458" s="667"/>
      <c r="T458" s="668"/>
      <c r="U458" s="34"/>
      <c r="V458" s="34"/>
      <c r="W458" s="35" t="s">
        <v>69</v>
      </c>
      <c r="X458" s="657">
        <v>0</v>
      </c>
      <c r="Y458" s="658">
        <f t="shared" si="68"/>
        <v>0</v>
      </c>
      <c r="Z458" s="36" t="str">
        <f>IFERROR(IF(Y458=0,"",ROUNDUP(Y458/H458,0)*0.00937),"")</f>
        <v/>
      </c>
      <c r="AA458" s="56"/>
      <c r="AB458" s="57"/>
      <c r="AC458" s="523" t="s">
        <v>712</v>
      </c>
      <c r="AG458" s="64"/>
      <c r="AJ458" s="68"/>
      <c r="AK458" s="68">
        <v>0</v>
      </c>
      <c r="BB458" s="524" t="s">
        <v>1</v>
      </c>
      <c r="BM458" s="64">
        <f t="shared" si="69"/>
        <v>0</v>
      </c>
      <c r="BN458" s="64">
        <f t="shared" si="70"/>
        <v>0</v>
      </c>
      <c r="BO458" s="64">
        <f t="shared" si="71"/>
        <v>0</v>
      </c>
      <c r="BP458" s="64">
        <f t="shared" si="72"/>
        <v>0</v>
      </c>
    </row>
    <row r="459" spans="1:68" ht="27" hidden="1" customHeight="1" x14ac:dyDescent="0.25">
      <c r="A459" s="54" t="s">
        <v>731</v>
      </c>
      <c r="B459" s="54" t="s">
        <v>732</v>
      </c>
      <c r="C459" s="31">
        <v>4301012036</v>
      </c>
      <c r="D459" s="672">
        <v>4680115882782</v>
      </c>
      <c r="E459" s="673"/>
      <c r="F459" s="656">
        <v>0.6</v>
      </c>
      <c r="G459" s="32">
        <v>8</v>
      </c>
      <c r="H459" s="656">
        <v>4.8</v>
      </c>
      <c r="I459" s="656">
        <v>6.96</v>
      </c>
      <c r="J459" s="32">
        <v>120</v>
      </c>
      <c r="K459" s="32" t="s">
        <v>101</v>
      </c>
      <c r="L459" s="32"/>
      <c r="M459" s="33" t="s">
        <v>94</v>
      </c>
      <c r="N459" s="33"/>
      <c r="O459" s="32">
        <v>60</v>
      </c>
      <c r="P459" s="7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9" s="667"/>
      <c r="R459" s="667"/>
      <c r="S459" s="667"/>
      <c r="T459" s="668"/>
      <c r="U459" s="34"/>
      <c r="V459" s="34"/>
      <c r="W459" s="35" t="s">
        <v>69</v>
      </c>
      <c r="X459" s="657">
        <v>0</v>
      </c>
      <c r="Y459" s="658">
        <f t="shared" si="68"/>
        <v>0</v>
      </c>
      <c r="Z459" s="36" t="str">
        <f>IFERROR(IF(Y459=0,"",ROUNDUP(Y459/H459,0)*0.00937),"")</f>
        <v/>
      </c>
      <c r="AA459" s="56"/>
      <c r="AB459" s="57"/>
      <c r="AC459" s="525" t="s">
        <v>715</v>
      </c>
      <c r="AG459" s="64"/>
      <c r="AJ459" s="68"/>
      <c r="AK459" s="68">
        <v>0</v>
      </c>
      <c r="BB459" s="526" t="s">
        <v>1</v>
      </c>
      <c r="BM459" s="64">
        <f t="shared" si="69"/>
        <v>0</v>
      </c>
      <c r="BN459" s="64">
        <f t="shared" si="70"/>
        <v>0</v>
      </c>
      <c r="BO459" s="64">
        <f t="shared" si="71"/>
        <v>0</v>
      </c>
      <c r="BP459" s="64">
        <f t="shared" si="72"/>
        <v>0</v>
      </c>
    </row>
    <row r="460" spans="1:68" ht="27" hidden="1" customHeight="1" x14ac:dyDescent="0.25">
      <c r="A460" s="54" t="s">
        <v>733</v>
      </c>
      <c r="B460" s="54" t="s">
        <v>734</v>
      </c>
      <c r="C460" s="31">
        <v>4301012055</v>
      </c>
      <c r="D460" s="672">
        <v>4680115886469</v>
      </c>
      <c r="E460" s="673"/>
      <c r="F460" s="656">
        <v>0.55000000000000004</v>
      </c>
      <c r="G460" s="32">
        <v>8</v>
      </c>
      <c r="H460" s="656">
        <v>4.4000000000000004</v>
      </c>
      <c r="I460" s="656">
        <v>4.6100000000000003</v>
      </c>
      <c r="J460" s="32">
        <v>132</v>
      </c>
      <c r="K460" s="32" t="s">
        <v>101</v>
      </c>
      <c r="L460" s="32"/>
      <c r="M460" s="33" t="s">
        <v>94</v>
      </c>
      <c r="N460" s="33"/>
      <c r="O460" s="32">
        <v>60</v>
      </c>
      <c r="P460" s="931" t="s">
        <v>735</v>
      </c>
      <c r="Q460" s="667"/>
      <c r="R460" s="667"/>
      <c r="S460" s="667"/>
      <c r="T460" s="668"/>
      <c r="U460" s="34"/>
      <c r="V460" s="34"/>
      <c r="W460" s="35" t="s">
        <v>69</v>
      </c>
      <c r="X460" s="657">
        <v>0</v>
      </c>
      <c r="Y460" s="658">
        <f t="shared" si="68"/>
        <v>0</v>
      </c>
      <c r="Z460" s="36" t="str">
        <f>IFERROR(IF(Y460=0,"",ROUNDUP(Y460/H460,0)*0.00902),"")</f>
        <v/>
      </c>
      <c r="AA460" s="56"/>
      <c r="AB460" s="57"/>
      <c r="AC460" s="527" t="s">
        <v>718</v>
      </c>
      <c r="AG460" s="64"/>
      <c r="AJ460" s="68"/>
      <c r="AK460" s="68">
        <v>0</v>
      </c>
      <c r="BB460" s="528" t="s">
        <v>1</v>
      </c>
      <c r="BM460" s="64">
        <f t="shared" si="69"/>
        <v>0</v>
      </c>
      <c r="BN460" s="64">
        <f t="shared" si="70"/>
        <v>0</v>
      </c>
      <c r="BO460" s="64">
        <f t="shared" si="71"/>
        <v>0</v>
      </c>
      <c r="BP460" s="64">
        <f t="shared" si="72"/>
        <v>0</v>
      </c>
    </row>
    <row r="461" spans="1:68" ht="27" hidden="1" customHeight="1" x14ac:dyDescent="0.25">
      <c r="A461" s="54" t="s">
        <v>736</v>
      </c>
      <c r="B461" s="54" t="s">
        <v>737</v>
      </c>
      <c r="C461" s="31">
        <v>4301012057</v>
      </c>
      <c r="D461" s="672">
        <v>4680115886483</v>
      </c>
      <c r="E461" s="673"/>
      <c r="F461" s="656">
        <v>0.55000000000000004</v>
      </c>
      <c r="G461" s="32">
        <v>8</v>
      </c>
      <c r="H461" s="656">
        <v>4.4000000000000004</v>
      </c>
      <c r="I461" s="656">
        <v>4.6100000000000003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60</v>
      </c>
      <c r="P461" s="929" t="s">
        <v>738</v>
      </c>
      <c r="Q461" s="667"/>
      <c r="R461" s="667"/>
      <c r="S461" s="667"/>
      <c r="T461" s="668"/>
      <c r="U461" s="34"/>
      <c r="V461" s="34"/>
      <c r="W461" s="35" t="s">
        <v>69</v>
      </c>
      <c r="X461" s="657">
        <v>0</v>
      </c>
      <c r="Y461" s="658">
        <f t="shared" si="68"/>
        <v>0</v>
      </c>
      <c r="Z461" s="36" t="str">
        <f>IFERROR(IF(Y461=0,"",ROUNDUP(Y461/H461,0)*0.00902),"")</f>
        <v/>
      </c>
      <c r="AA461" s="56"/>
      <c r="AB461" s="57"/>
      <c r="AC461" s="529" t="s">
        <v>739</v>
      </c>
      <c r="AG461" s="64"/>
      <c r="AJ461" s="68"/>
      <c r="AK461" s="68">
        <v>0</v>
      </c>
      <c r="BB461" s="530" t="s">
        <v>1</v>
      </c>
      <c r="BM461" s="64">
        <f t="shared" si="69"/>
        <v>0</v>
      </c>
      <c r="BN461" s="64">
        <f t="shared" si="70"/>
        <v>0</v>
      </c>
      <c r="BO461" s="64">
        <f t="shared" si="71"/>
        <v>0</v>
      </c>
      <c r="BP461" s="64">
        <f t="shared" si="72"/>
        <v>0</v>
      </c>
    </row>
    <row r="462" spans="1:68" ht="27" hidden="1" customHeight="1" x14ac:dyDescent="0.25">
      <c r="A462" s="54" t="s">
        <v>740</v>
      </c>
      <c r="B462" s="54" t="s">
        <v>741</v>
      </c>
      <c r="C462" s="31">
        <v>4301012050</v>
      </c>
      <c r="D462" s="672">
        <v>4680115885479</v>
      </c>
      <c r="E462" s="673"/>
      <c r="F462" s="656">
        <v>0.4</v>
      </c>
      <c r="G462" s="32">
        <v>6</v>
      </c>
      <c r="H462" s="656">
        <v>2.4</v>
      </c>
      <c r="I462" s="656">
        <v>2.58</v>
      </c>
      <c r="J462" s="32">
        <v>182</v>
      </c>
      <c r="K462" s="32" t="s">
        <v>67</v>
      </c>
      <c r="L462" s="32"/>
      <c r="M462" s="33" t="s">
        <v>94</v>
      </c>
      <c r="N462" s="33"/>
      <c r="O462" s="32">
        <v>60</v>
      </c>
      <c r="P462" s="937" t="s">
        <v>742</v>
      </c>
      <c r="Q462" s="667"/>
      <c r="R462" s="667"/>
      <c r="S462" s="667"/>
      <c r="T462" s="668"/>
      <c r="U462" s="34"/>
      <c r="V462" s="34"/>
      <c r="W462" s="35" t="s">
        <v>69</v>
      </c>
      <c r="X462" s="657">
        <v>0</v>
      </c>
      <c r="Y462" s="658">
        <f t="shared" si="68"/>
        <v>0</v>
      </c>
      <c r="Z462" s="36" t="str">
        <f>IFERROR(IF(Y462=0,"",ROUNDUP(Y462/H462,0)*0.00651),"")</f>
        <v/>
      </c>
      <c r="AA462" s="56"/>
      <c r="AB462" s="57"/>
      <c r="AC462" s="531" t="s">
        <v>743</v>
      </c>
      <c r="AG462" s="64"/>
      <c r="AJ462" s="68"/>
      <c r="AK462" s="68">
        <v>0</v>
      </c>
      <c r="BB462" s="532" t="s">
        <v>1</v>
      </c>
      <c r="BM462" s="64">
        <f t="shared" si="69"/>
        <v>0</v>
      </c>
      <c r="BN462" s="64">
        <f t="shared" si="70"/>
        <v>0</v>
      </c>
      <c r="BO462" s="64">
        <f t="shared" si="71"/>
        <v>0</v>
      </c>
      <c r="BP462" s="64">
        <f t="shared" si="72"/>
        <v>0</v>
      </c>
    </row>
    <row r="463" spans="1:68" ht="27" customHeight="1" x14ac:dyDescent="0.25">
      <c r="A463" s="54" t="s">
        <v>744</v>
      </c>
      <c r="B463" s="54" t="s">
        <v>745</v>
      </c>
      <c r="C463" s="31">
        <v>4301011784</v>
      </c>
      <c r="D463" s="672">
        <v>4607091389982</v>
      </c>
      <c r="E463" s="673"/>
      <c r="F463" s="656">
        <v>0.6</v>
      </c>
      <c r="G463" s="32">
        <v>6</v>
      </c>
      <c r="H463" s="656">
        <v>3.6</v>
      </c>
      <c r="I463" s="656">
        <v>3.81</v>
      </c>
      <c r="J463" s="32">
        <v>132</v>
      </c>
      <c r="K463" s="32" t="s">
        <v>101</v>
      </c>
      <c r="L463" s="32"/>
      <c r="M463" s="33" t="s">
        <v>94</v>
      </c>
      <c r="N463" s="33"/>
      <c r="O463" s="32">
        <v>60</v>
      </c>
      <c r="P463" s="9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3" s="667"/>
      <c r="R463" s="667"/>
      <c r="S463" s="667"/>
      <c r="T463" s="668"/>
      <c r="U463" s="34"/>
      <c r="V463" s="34"/>
      <c r="W463" s="35" t="s">
        <v>69</v>
      </c>
      <c r="X463" s="657">
        <v>132</v>
      </c>
      <c r="Y463" s="658">
        <f t="shared" si="68"/>
        <v>133.20000000000002</v>
      </c>
      <c r="Z463" s="36">
        <f>IFERROR(IF(Y463=0,"",ROUNDUP(Y463/H463,0)*0.00902),"")</f>
        <v>0.33374000000000004</v>
      </c>
      <c r="AA463" s="56"/>
      <c r="AB463" s="57"/>
      <c r="AC463" s="533" t="s">
        <v>721</v>
      </c>
      <c r="AG463" s="64"/>
      <c r="AJ463" s="68"/>
      <c r="AK463" s="68">
        <v>0</v>
      </c>
      <c r="BB463" s="534" t="s">
        <v>1</v>
      </c>
      <c r="BM463" s="64">
        <f t="shared" si="69"/>
        <v>139.69999999999999</v>
      </c>
      <c r="BN463" s="64">
        <f t="shared" si="70"/>
        <v>140.97000000000003</v>
      </c>
      <c r="BO463" s="64">
        <f t="shared" si="71"/>
        <v>0.27777777777777779</v>
      </c>
      <c r="BP463" s="64">
        <f t="shared" si="72"/>
        <v>0.28030303030303039</v>
      </c>
    </row>
    <row r="464" spans="1:68" ht="27" hidden="1" customHeight="1" x14ac:dyDescent="0.25">
      <c r="A464" s="54" t="s">
        <v>744</v>
      </c>
      <c r="B464" s="54" t="s">
        <v>746</v>
      </c>
      <c r="C464" s="31">
        <v>4301012034</v>
      </c>
      <c r="D464" s="672">
        <v>4607091389982</v>
      </c>
      <c r="E464" s="673"/>
      <c r="F464" s="656">
        <v>0.6</v>
      </c>
      <c r="G464" s="32">
        <v>8</v>
      </c>
      <c r="H464" s="656">
        <v>4.8</v>
      </c>
      <c r="I464" s="656">
        <v>6.96</v>
      </c>
      <c r="J464" s="32">
        <v>120</v>
      </c>
      <c r="K464" s="32" t="s">
        <v>101</v>
      </c>
      <c r="L464" s="32"/>
      <c r="M464" s="33" t="s">
        <v>94</v>
      </c>
      <c r="N464" s="33"/>
      <c r="O464" s="32">
        <v>60</v>
      </c>
      <c r="P464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4" s="667"/>
      <c r="R464" s="667"/>
      <c r="S464" s="667"/>
      <c r="T464" s="668"/>
      <c r="U464" s="34"/>
      <c r="V464" s="34"/>
      <c r="W464" s="35" t="s">
        <v>69</v>
      </c>
      <c r="X464" s="657">
        <v>0</v>
      </c>
      <c r="Y464" s="658">
        <f t="shared" si="68"/>
        <v>0</v>
      </c>
      <c r="Z464" s="36" t="str">
        <f>IFERROR(IF(Y464=0,"",ROUNDUP(Y464/H464,0)*0.00937),"")</f>
        <v/>
      </c>
      <c r="AA464" s="56"/>
      <c r="AB464" s="57"/>
      <c r="AC464" s="535" t="s">
        <v>721</v>
      </c>
      <c r="AG464" s="64"/>
      <c r="AJ464" s="68"/>
      <c r="AK464" s="68">
        <v>0</v>
      </c>
      <c r="BB464" s="536" t="s">
        <v>1</v>
      </c>
      <c r="BM464" s="64">
        <f t="shared" si="69"/>
        <v>0</v>
      </c>
      <c r="BN464" s="64">
        <f t="shared" si="70"/>
        <v>0</v>
      </c>
      <c r="BO464" s="64">
        <f t="shared" si="71"/>
        <v>0</v>
      </c>
      <c r="BP464" s="64">
        <f t="shared" si="72"/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4301012058</v>
      </c>
      <c r="D465" s="672">
        <v>4680115886490</v>
      </c>
      <c r="E465" s="673"/>
      <c r="F465" s="656">
        <v>0.55000000000000004</v>
      </c>
      <c r="G465" s="32">
        <v>8</v>
      </c>
      <c r="H465" s="656">
        <v>4.4000000000000004</v>
      </c>
      <c r="I465" s="656">
        <v>4.6100000000000003</v>
      </c>
      <c r="J465" s="32">
        <v>132</v>
      </c>
      <c r="K465" s="32" t="s">
        <v>101</v>
      </c>
      <c r="L465" s="32"/>
      <c r="M465" s="33" t="s">
        <v>94</v>
      </c>
      <c r="N465" s="33"/>
      <c r="O465" s="32">
        <v>60</v>
      </c>
      <c r="P465" s="96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65" s="667"/>
      <c r="R465" s="667"/>
      <c r="S465" s="667"/>
      <c r="T465" s="668"/>
      <c r="U465" s="34"/>
      <c r="V465" s="34"/>
      <c r="W465" s="35" t="s">
        <v>69</v>
      </c>
      <c r="X465" s="657">
        <v>0</v>
      </c>
      <c r="Y465" s="658">
        <f t="shared" si="68"/>
        <v>0</v>
      </c>
      <c r="Z465" s="36" t="str">
        <f>IFERROR(IF(Y465=0,"",ROUNDUP(Y465/H465,0)*0.00902),"")</f>
        <v/>
      </c>
      <c r="AA465" s="56"/>
      <c r="AB465" s="57"/>
      <c r="AC465" s="537" t="s">
        <v>724</v>
      </c>
      <c r="AG465" s="64"/>
      <c r="AJ465" s="68"/>
      <c r="AK465" s="68">
        <v>0</v>
      </c>
      <c r="BB465" s="538" t="s">
        <v>1</v>
      </c>
      <c r="BM465" s="64">
        <f t="shared" si="69"/>
        <v>0</v>
      </c>
      <c r="BN465" s="64">
        <f t="shared" si="70"/>
        <v>0</v>
      </c>
      <c r="BO465" s="64">
        <f t="shared" si="71"/>
        <v>0</v>
      </c>
      <c r="BP465" s="64">
        <f t="shared" si="72"/>
        <v>0</v>
      </c>
    </row>
    <row r="466" spans="1:68" x14ac:dyDescent="0.2">
      <c r="A466" s="679"/>
      <c r="B466" s="680"/>
      <c r="C466" s="680"/>
      <c r="D466" s="680"/>
      <c r="E466" s="680"/>
      <c r="F466" s="680"/>
      <c r="G466" s="680"/>
      <c r="H466" s="680"/>
      <c r="I466" s="680"/>
      <c r="J466" s="680"/>
      <c r="K466" s="680"/>
      <c r="L466" s="680"/>
      <c r="M466" s="680"/>
      <c r="N466" s="680"/>
      <c r="O466" s="681"/>
      <c r="P466" s="663" t="s">
        <v>80</v>
      </c>
      <c r="Q466" s="664"/>
      <c r="R466" s="664"/>
      <c r="S466" s="664"/>
      <c r="T466" s="664"/>
      <c r="U466" s="664"/>
      <c r="V466" s="665"/>
      <c r="W466" s="37" t="s">
        <v>81</v>
      </c>
      <c r="X466" s="659">
        <f>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+IFERROR(X465/H465,"0")</f>
        <v>104.46969696969697</v>
      </c>
      <c r="Y466" s="659">
        <f>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+IFERROR(Y465/H465,"0")</f>
        <v>106</v>
      </c>
      <c r="Z466" s="659">
        <f>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</f>
        <v>1.109</v>
      </c>
      <c r="AA466" s="660"/>
      <c r="AB466" s="660"/>
      <c r="AC466" s="660"/>
    </row>
    <row r="467" spans="1:68" x14ac:dyDescent="0.2">
      <c r="A467" s="680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63" t="s">
        <v>80</v>
      </c>
      <c r="Q467" s="664"/>
      <c r="R467" s="664"/>
      <c r="S467" s="664"/>
      <c r="T467" s="664"/>
      <c r="U467" s="664"/>
      <c r="V467" s="665"/>
      <c r="W467" s="37" t="s">
        <v>69</v>
      </c>
      <c r="X467" s="659">
        <f>IFERROR(SUM(X451:X465),"0")</f>
        <v>462</v>
      </c>
      <c r="Y467" s="659">
        <f>IFERROR(SUM(Y451:Y465),"0")</f>
        <v>468.96000000000004</v>
      </c>
      <c r="Z467" s="37"/>
      <c r="AA467" s="660"/>
      <c r="AB467" s="660"/>
      <c r="AC467" s="660"/>
    </row>
    <row r="468" spans="1:68" ht="14.25" hidden="1" customHeight="1" x14ac:dyDescent="0.25">
      <c r="A468" s="682" t="s">
        <v>133</v>
      </c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0"/>
      <c r="P468" s="680"/>
      <c r="Q468" s="680"/>
      <c r="R468" s="680"/>
      <c r="S468" s="680"/>
      <c r="T468" s="680"/>
      <c r="U468" s="680"/>
      <c r="V468" s="680"/>
      <c r="W468" s="680"/>
      <c r="X468" s="680"/>
      <c r="Y468" s="680"/>
      <c r="Z468" s="680"/>
      <c r="AA468" s="653"/>
      <c r="AB468" s="653"/>
      <c r="AC468" s="653"/>
    </row>
    <row r="469" spans="1:68" ht="16.5" customHeight="1" x14ac:dyDescent="0.25">
      <c r="A469" s="54" t="s">
        <v>749</v>
      </c>
      <c r="B469" s="54" t="s">
        <v>750</v>
      </c>
      <c r="C469" s="31">
        <v>4301020222</v>
      </c>
      <c r="D469" s="672">
        <v>4607091388930</v>
      </c>
      <c r="E469" s="673"/>
      <c r="F469" s="656">
        <v>0.88</v>
      </c>
      <c r="G469" s="32">
        <v>6</v>
      </c>
      <c r="H469" s="656">
        <v>5.28</v>
      </c>
      <c r="I469" s="656">
        <v>5.64</v>
      </c>
      <c r="J469" s="32">
        <v>104</v>
      </c>
      <c r="K469" s="32" t="s">
        <v>93</v>
      </c>
      <c r="L469" s="32"/>
      <c r="M469" s="33" t="s">
        <v>94</v>
      </c>
      <c r="N469" s="33"/>
      <c r="O469" s="32">
        <v>55</v>
      </c>
      <c r="P469" s="8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69" s="667"/>
      <c r="R469" s="667"/>
      <c r="S469" s="667"/>
      <c r="T469" s="668"/>
      <c r="U469" s="34"/>
      <c r="V469" s="34"/>
      <c r="W469" s="35" t="s">
        <v>69</v>
      </c>
      <c r="X469" s="657">
        <v>100</v>
      </c>
      <c r="Y469" s="658">
        <f>IFERROR(IF(X469="",0,CEILING((X469/$H469),1)*$H469),"")</f>
        <v>100.32000000000001</v>
      </c>
      <c r="Z469" s="36">
        <f>IFERROR(IF(Y469=0,"",ROUNDUP(Y469/H469,0)*0.01196),"")</f>
        <v>0.22724</v>
      </c>
      <c r="AA469" s="56"/>
      <c r="AB469" s="57"/>
      <c r="AC469" s="539" t="s">
        <v>751</v>
      </c>
      <c r="AG469" s="64"/>
      <c r="AJ469" s="68"/>
      <c r="AK469" s="68">
        <v>0</v>
      </c>
      <c r="BB469" s="540" t="s">
        <v>1</v>
      </c>
      <c r="BM469" s="64">
        <f>IFERROR(X469*I469/H469,"0")</f>
        <v>106.81818181818181</v>
      </c>
      <c r="BN469" s="64">
        <f>IFERROR(Y469*I469/H469,"0")</f>
        <v>107.16</v>
      </c>
      <c r="BO469" s="64">
        <f>IFERROR(1/J469*(X469/H469),"0")</f>
        <v>0.18210955710955709</v>
      </c>
      <c r="BP469" s="64">
        <f>IFERROR(1/J469*(Y469/H469),"0")</f>
        <v>0.18269230769230771</v>
      </c>
    </row>
    <row r="470" spans="1:68" ht="16.5" hidden="1" customHeight="1" x14ac:dyDescent="0.25">
      <c r="A470" s="54" t="s">
        <v>749</v>
      </c>
      <c r="B470" s="54" t="s">
        <v>752</v>
      </c>
      <c r="C470" s="31">
        <v>4301020334</v>
      </c>
      <c r="D470" s="672">
        <v>4607091388930</v>
      </c>
      <c r="E470" s="673"/>
      <c r="F470" s="656">
        <v>0.88</v>
      </c>
      <c r="G470" s="32">
        <v>6</v>
      </c>
      <c r="H470" s="656">
        <v>5.28</v>
      </c>
      <c r="I470" s="656">
        <v>5.64</v>
      </c>
      <c r="J470" s="32">
        <v>104</v>
      </c>
      <c r="K470" s="32" t="s">
        <v>93</v>
      </c>
      <c r="L470" s="32"/>
      <c r="M470" s="33" t="s">
        <v>103</v>
      </c>
      <c r="N470" s="33"/>
      <c r="O470" s="32">
        <v>70</v>
      </c>
      <c r="P470" s="958" t="s">
        <v>753</v>
      </c>
      <c r="Q470" s="667"/>
      <c r="R470" s="667"/>
      <c r="S470" s="667"/>
      <c r="T470" s="668"/>
      <c r="U470" s="34"/>
      <c r="V470" s="34"/>
      <c r="W470" s="35" t="s">
        <v>69</v>
      </c>
      <c r="X470" s="657">
        <v>0</v>
      </c>
      <c r="Y470" s="658">
        <f>IFERROR(IF(X470="",0,CEILING((X470/$H470),1)*$H470),"")</f>
        <v>0</v>
      </c>
      <c r="Z470" s="36" t="str">
        <f>IFERROR(IF(Y470=0,"",ROUNDUP(Y470/H470,0)*0.01196),"")</f>
        <v/>
      </c>
      <c r="AA470" s="56"/>
      <c r="AB470" s="57"/>
      <c r="AC470" s="541" t="s">
        <v>754</v>
      </c>
      <c r="AG470" s="64"/>
      <c r="AJ470" s="68"/>
      <c r="AK470" s="68">
        <v>0</v>
      </c>
      <c r="BB470" s="54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755</v>
      </c>
      <c r="B471" s="54" t="s">
        <v>756</v>
      </c>
      <c r="C471" s="31">
        <v>4301020384</v>
      </c>
      <c r="D471" s="672">
        <v>4680115886407</v>
      </c>
      <c r="E471" s="673"/>
      <c r="F471" s="656">
        <v>0.4</v>
      </c>
      <c r="G471" s="32">
        <v>6</v>
      </c>
      <c r="H471" s="656">
        <v>2.4</v>
      </c>
      <c r="I471" s="656">
        <v>2.58</v>
      </c>
      <c r="J471" s="32">
        <v>182</v>
      </c>
      <c r="K471" s="32" t="s">
        <v>67</v>
      </c>
      <c r="L471" s="32"/>
      <c r="M471" s="33" t="s">
        <v>103</v>
      </c>
      <c r="N471" s="33"/>
      <c r="O471" s="32">
        <v>70</v>
      </c>
      <c r="P471" s="740" t="s">
        <v>757</v>
      </c>
      <c r="Q471" s="667"/>
      <c r="R471" s="667"/>
      <c r="S471" s="667"/>
      <c r="T471" s="668"/>
      <c r="U471" s="34"/>
      <c r="V471" s="34"/>
      <c r="W471" s="35" t="s">
        <v>69</v>
      </c>
      <c r="X471" s="657">
        <v>0</v>
      </c>
      <c r="Y471" s="65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43" t="s">
        <v>754</v>
      </c>
      <c r="AG471" s="64"/>
      <c r="AJ471" s="68"/>
      <c r="AK471" s="68">
        <v>0</v>
      </c>
      <c r="BB471" s="54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758</v>
      </c>
      <c r="B472" s="54" t="s">
        <v>759</v>
      </c>
      <c r="C472" s="31">
        <v>4301020385</v>
      </c>
      <c r="D472" s="672">
        <v>4680115880054</v>
      </c>
      <c r="E472" s="673"/>
      <c r="F472" s="656">
        <v>0.6</v>
      </c>
      <c r="G472" s="32">
        <v>8</v>
      </c>
      <c r="H472" s="656">
        <v>4.8</v>
      </c>
      <c r="I472" s="656">
        <v>6.93</v>
      </c>
      <c r="J472" s="32">
        <v>132</v>
      </c>
      <c r="K472" s="32" t="s">
        <v>101</v>
      </c>
      <c r="L472" s="32"/>
      <c r="M472" s="33" t="s">
        <v>94</v>
      </c>
      <c r="N472" s="33"/>
      <c r="O472" s="32">
        <v>70</v>
      </c>
      <c r="P472" s="899" t="s">
        <v>760</v>
      </c>
      <c r="Q472" s="667"/>
      <c r="R472" s="667"/>
      <c r="S472" s="667"/>
      <c r="T472" s="668"/>
      <c r="U472" s="34"/>
      <c r="V472" s="34"/>
      <c r="W472" s="35" t="s">
        <v>69</v>
      </c>
      <c r="X472" s="657">
        <v>0</v>
      </c>
      <c r="Y472" s="65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45" t="s">
        <v>754</v>
      </c>
      <c r="AG472" s="64"/>
      <c r="AJ472" s="68"/>
      <c r="AK472" s="68">
        <v>0</v>
      </c>
      <c r="BB472" s="54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679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63" t="s">
        <v>80</v>
      </c>
      <c r="Q473" s="664"/>
      <c r="R473" s="664"/>
      <c r="S473" s="664"/>
      <c r="T473" s="664"/>
      <c r="U473" s="664"/>
      <c r="V473" s="665"/>
      <c r="W473" s="37" t="s">
        <v>81</v>
      </c>
      <c r="X473" s="659">
        <f>IFERROR(X469/H469,"0")+IFERROR(X470/H470,"0")+IFERROR(X471/H471,"0")+IFERROR(X472/H472,"0")</f>
        <v>18.939393939393938</v>
      </c>
      <c r="Y473" s="659">
        <f>IFERROR(Y469/H469,"0")+IFERROR(Y470/H470,"0")+IFERROR(Y471/H471,"0")+IFERROR(Y472/H472,"0")</f>
        <v>19</v>
      </c>
      <c r="Z473" s="659">
        <f>IFERROR(IF(Z469="",0,Z469),"0")+IFERROR(IF(Z470="",0,Z470),"0")+IFERROR(IF(Z471="",0,Z471),"0")+IFERROR(IF(Z472="",0,Z472),"0")</f>
        <v>0.22724</v>
      </c>
      <c r="AA473" s="660"/>
      <c r="AB473" s="660"/>
      <c r="AC473" s="660"/>
    </row>
    <row r="474" spans="1:68" x14ac:dyDescent="0.2">
      <c r="A474" s="680"/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1"/>
      <c r="P474" s="663" t="s">
        <v>80</v>
      </c>
      <c r="Q474" s="664"/>
      <c r="R474" s="664"/>
      <c r="S474" s="664"/>
      <c r="T474" s="664"/>
      <c r="U474" s="664"/>
      <c r="V474" s="665"/>
      <c r="W474" s="37" t="s">
        <v>69</v>
      </c>
      <c r="X474" s="659">
        <f>IFERROR(SUM(X469:X472),"0")</f>
        <v>100</v>
      </c>
      <c r="Y474" s="659">
        <f>IFERROR(SUM(Y469:Y472),"0")</f>
        <v>100.32000000000001</v>
      </c>
      <c r="Z474" s="37"/>
      <c r="AA474" s="660"/>
      <c r="AB474" s="660"/>
      <c r="AC474" s="660"/>
    </row>
    <row r="475" spans="1:68" ht="14.25" hidden="1" customHeight="1" x14ac:dyDescent="0.25">
      <c r="A475" s="682" t="s">
        <v>146</v>
      </c>
      <c r="B475" s="680"/>
      <c r="C475" s="680"/>
      <c r="D475" s="680"/>
      <c r="E475" s="680"/>
      <c r="F475" s="680"/>
      <c r="G475" s="680"/>
      <c r="H475" s="680"/>
      <c r="I475" s="680"/>
      <c r="J475" s="680"/>
      <c r="K475" s="680"/>
      <c r="L475" s="680"/>
      <c r="M475" s="680"/>
      <c r="N475" s="680"/>
      <c r="O475" s="680"/>
      <c r="P475" s="680"/>
      <c r="Q475" s="680"/>
      <c r="R475" s="680"/>
      <c r="S475" s="680"/>
      <c r="T475" s="680"/>
      <c r="U475" s="680"/>
      <c r="V475" s="680"/>
      <c r="W475" s="680"/>
      <c r="X475" s="680"/>
      <c r="Y475" s="680"/>
      <c r="Z475" s="680"/>
      <c r="AA475" s="653"/>
      <c r="AB475" s="653"/>
      <c r="AC475" s="653"/>
    </row>
    <row r="476" spans="1:68" ht="27" hidden="1" customHeight="1" x14ac:dyDescent="0.25">
      <c r="A476" s="54" t="s">
        <v>761</v>
      </c>
      <c r="B476" s="54" t="s">
        <v>762</v>
      </c>
      <c r="C476" s="31">
        <v>4301031349</v>
      </c>
      <c r="D476" s="672">
        <v>4680115883116</v>
      </c>
      <c r="E476" s="673"/>
      <c r="F476" s="656">
        <v>0.88</v>
      </c>
      <c r="G476" s="32">
        <v>6</v>
      </c>
      <c r="H476" s="656">
        <v>5.28</v>
      </c>
      <c r="I476" s="656">
        <v>5.64</v>
      </c>
      <c r="J476" s="32">
        <v>104</v>
      </c>
      <c r="K476" s="32" t="s">
        <v>93</v>
      </c>
      <c r="L476" s="32"/>
      <c r="M476" s="33" t="s">
        <v>94</v>
      </c>
      <c r="N476" s="33"/>
      <c r="O476" s="32">
        <v>70</v>
      </c>
      <c r="P476" s="731" t="s">
        <v>763</v>
      </c>
      <c r="Q476" s="667"/>
      <c r="R476" s="667"/>
      <c r="S476" s="667"/>
      <c r="T476" s="668"/>
      <c r="U476" s="34"/>
      <c r="V476" s="34"/>
      <c r="W476" s="35" t="s">
        <v>69</v>
      </c>
      <c r="X476" s="657">
        <v>0</v>
      </c>
      <c r="Y476" s="658">
        <f t="shared" ref="Y476:Y487" si="73">IFERROR(IF(X476="",0,CEILING((X476/$H476),1)*$H476),"")</f>
        <v>0</v>
      </c>
      <c r="Z476" s="36" t="str">
        <f>IFERROR(IF(Y476=0,"",ROUNDUP(Y476/H476,0)*0.01196),"")</f>
        <v/>
      </c>
      <c r="AA476" s="56"/>
      <c r="AB476" s="57"/>
      <c r="AC476" s="547" t="s">
        <v>764</v>
      </c>
      <c r="AG476" s="64"/>
      <c r="AJ476" s="68"/>
      <c r="AK476" s="68">
        <v>0</v>
      </c>
      <c r="BB476" s="548" t="s">
        <v>1</v>
      </c>
      <c r="BM476" s="64">
        <f t="shared" ref="BM476:BM487" si="74">IFERROR(X476*I476/H476,"0")</f>
        <v>0</v>
      </c>
      <c r="BN476" s="64">
        <f t="shared" ref="BN476:BN487" si="75">IFERROR(Y476*I476/H476,"0")</f>
        <v>0</v>
      </c>
      <c r="BO476" s="64">
        <f t="shared" ref="BO476:BO487" si="76">IFERROR(1/J476*(X476/H476),"0")</f>
        <v>0</v>
      </c>
      <c r="BP476" s="64">
        <f t="shared" ref="BP476:BP487" si="77">IFERROR(1/J476*(Y476/H476),"0")</f>
        <v>0</v>
      </c>
    </row>
    <row r="477" spans="1:68" ht="27" customHeight="1" x14ac:dyDescent="0.25">
      <c r="A477" s="54" t="s">
        <v>765</v>
      </c>
      <c r="B477" s="54" t="s">
        <v>766</v>
      </c>
      <c r="C477" s="31">
        <v>4301031350</v>
      </c>
      <c r="D477" s="672">
        <v>4680115883093</v>
      </c>
      <c r="E477" s="673"/>
      <c r="F477" s="656">
        <v>0.88</v>
      </c>
      <c r="G477" s="32">
        <v>6</v>
      </c>
      <c r="H477" s="656">
        <v>5.28</v>
      </c>
      <c r="I477" s="656">
        <v>5.64</v>
      </c>
      <c r="J477" s="32">
        <v>104</v>
      </c>
      <c r="K477" s="32" t="s">
        <v>93</v>
      </c>
      <c r="L477" s="32"/>
      <c r="M477" s="33" t="s">
        <v>68</v>
      </c>
      <c r="N477" s="33"/>
      <c r="O477" s="32">
        <v>70</v>
      </c>
      <c r="P477" s="883" t="s">
        <v>767</v>
      </c>
      <c r="Q477" s="667"/>
      <c r="R477" s="667"/>
      <c r="S477" s="667"/>
      <c r="T477" s="668"/>
      <c r="U477" s="34"/>
      <c r="V477" s="34"/>
      <c r="W477" s="35" t="s">
        <v>69</v>
      </c>
      <c r="X477" s="657">
        <v>50</v>
      </c>
      <c r="Y477" s="658">
        <f t="shared" si="73"/>
        <v>52.800000000000004</v>
      </c>
      <c r="Z477" s="36">
        <f>IFERROR(IF(Y477=0,"",ROUNDUP(Y477/H477,0)*0.01196),"")</f>
        <v>0.1196</v>
      </c>
      <c r="AA477" s="56"/>
      <c r="AB477" s="57"/>
      <c r="AC477" s="549" t="s">
        <v>768</v>
      </c>
      <c r="AG477" s="64"/>
      <c r="AJ477" s="68"/>
      <c r="AK477" s="68">
        <v>0</v>
      </c>
      <c r="BB477" s="550" t="s">
        <v>1</v>
      </c>
      <c r="BM477" s="64">
        <f t="shared" si="74"/>
        <v>53.409090909090907</v>
      </c>
      <c r="BN477" s="64">
        <f t="shared" si="75"/>
        <v>56.400000000000006</v>
      </c>
      <c r="BO477" s="64">
        <f t="shared" si="76"/>
        <v>9.1054778554778545E-2</v>
      </c>
      <c r="BP477" s="64">
        <f t="shared" si="77"/>
        <v>9.6153846153846159E-2</v>
      </c>
    </row>
    <row r="478" spans="1:68" ht="27" customHeight="1" x14ac:dyDescent="0.25">
      <c r="A478" s="54" t="s">
        <v>769</v>
      </c>
      <c r="B478" s="54" t="s">
        <v>770</v>
      </c>
      <c r="C478" s="31">
        <v>4301031353</v>
      </c>
      <c r="D478" s="672">
        <v>4680115883109</v>
      </c>
      <c r="E478" s="673"/>
      <c r="F478" s="656">
        <v>0.88</v>
      </c>
      <c r="G478" s="32">
        <v>6</v>
      </c>
      <c r="H478" s="656">
        <v>5.28</v>
      </c>
      <c r="I478" s="656">
        <v>5.64</v>
      </c>
      <c r="J478" s="32">
        <v>104</v>
      </c>
      <c r="K478" s="32" t="s">
        <v>93</v>
      </c>
      <c r="L478" s="32"/>
      <c r="M478" s="33" t="s">
        <v>68</v>
      </c>
      <c r="N478" s="33"/>
      <c r="O478" s="32">
        <v>70</v>
      </c>
      <c r="P478" s="1037" t="s">
        <v>771</v>
      </c>
      <c r="Q478" s="667"/>
      <c r="R478" s="667"/>
      <c r="S478" s="667"/>
      <c r="T478" s="668"/>
      <c r="U478" s="34"/>
      <c r="V478" s="34"/>
      <c r="W478" s="35" t="s">
        <v>69</v>
      </c>
      <c r="X478" s="657">
        <v>50</v>
      </c>
      <c r="Y478" s="658">
        <f t="shared" si="73"/>
        <v>52.800000000000004</v>
      </c>
      <c r="Z478" s="36">
        <f>IFERROR(IF(Y478=0,"",ROUNDUP(Y478/H478,0)*0.01196),"")</f>
        <v>0.1196</v>
      </c>
      <c r="AA478" s="56"/>
      <c r="AB478" s="57"/>
      <c r="AC478" s="551" t="s">
        <v>772</v>
      </c>
      <c r="AG478" s="64"/>
      <c r="AJ478" s="68"/>
      <c r="AK478" s="68">
        <v>0</v>
      </c>
      <c r="BB478" s="552" t="s">
        <v>1</v>
      </c>
      <c r="BM478" s="64">
        <f t="shared" si="74"/>
        <v>53.409090909090907</v>
      </c>
      <c r="BN478" s="64">
        <f t="shared" si="75"/>
        <v>56.400000000000006</v>
      </c>
      <c r="BO478" s="64">
        <f t="shared" si="76"/>
        <v>9.1054778554778545E-2</v>
      </c>
      <c r="BP478" s="64">
        <f t="shared" si="77"/>
        <v>9.6153846153846159E-2</v>
      </c>
    </row>
    <row r="479" spans="1:68" ht="27" hidden="1" customHeight="1" x14ac:dyDescent="0.25">
      <c r="A479" s="54" t="s">
        <v>773</v>
      </c>
      <c r="B479" s="54" t="s">
        <v>774</v>
      </c>
      <c r="C479" s="31">
        <v>4301031409</v>
      </c>
      <c r="D479" s="672">
        <v>4680115886438</v>
      </c>
      <c r="E479" s="673"/>
      <c r="F479" s="656">
        <v>0.4</v>
      </c>
      <c r="G479" s="32">
        <v>6</v>
      </c>
      <c r="H479" s="656">
        <v>2.4</v>
      </c>
      <c r="I479" s="656">
        <v>2.58</v>
      </c>
      <c r="J479" s="32">
        <v>182</v>
      </c>
      <c r="K479" s="32" t="s">
        <v>67</v>
      </c>
      <c r="L479" s="32"/>
      <c r="M479" s="33" t="s">
        <v>94</v>
      </c>
      <c r="N479" s="33"/>
      <c r="O479" s="32">
        <v>70</v>
      </c>
      <c r="P479" s="768" t="s">
        <v>775</v>
      </c>
      <c r="Q479" s="667"/>
      <c r="R479" s="667"/>
      <c r="S479" s="667"/>
      <c r="T479" s="668"/>
      <c r="U479" s="34"/>
      <c r="V479" s="34"/>
      <c r="W479" s="35" t="s">
        <v>69</v>
      </c>
      <c r="X479" s="657">
        <v>0</v>
      </c>
      <c r="Y479" s="658">
        <f t="shared" si="73"/>
        <v>0</v>
      </c>
      <c r="Z479" s="36" t="str">
        <f>IFERROR(IF(Y479=0,"",ROUNDUP(Y479/H479,0)*0.00651),"")</f>
        <v/>
      </c>
      <c r="AA479" s="56"/>
      <c r="AB479" s="57"/>
      <c r="AC479" s="553" t="s">
        <v>764</v>
      </c>
      <c r="AG479" s="64"/>
      <c r="AJ479" s="68"/>
      <c r="AK479" s="68">
        <v>0</v>
      </c>
      <c r="BB479" s="554" t="s">
        <v>1</v>
      </c>
      <c r="BM479" s="64">
        <f t="shared" si="74"/>
        <v>0</v>
      </c>
      <c r="BN479" s="64">
        <f t="shared" si="75"/>
        <v>0</v>
      </c>
      <c r="BO479" s="64">
        <f t="shared" si="76"/>
        <v>0</v>
      </c>
      <c r="BP479" s="64">
        <f t="shared" si="77"/>
        <v>0</v>
      </c>
    </row>
    <row r="480" spans="1:68" ht="27" customHeight="1" x14ac:dyDescent="0.25">
      <c r="A480" s="54" t="s">
        <v>776</v>
      </c>
      <c r="B480" s="54" t="s">
        <v>777</v>
      </c>
      <c r="C480" s="31">
        <v>4301031419</v>
      </c>
      <c r="D480" s="672">
        <v>4680115882072</v>
      </c>
      <c r="E480" s="673"/>
      <c r="F480" s="656">
        <v>0.6</v>
      </c>
      <c r="G480" s="32">
        <v>8</v>
      </c>
      <c r="H480" s="656">
        <v>4.8</v>
      </c>
      <c r="I480" s="656">
        <v>6.93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70</v>
      </c>
      <c r="P480" s="801" t="s">
        <v>778</v>
      </c>
      <c r="Q480" s="667"/>
      <c r="R480" s="667"/>
      <c r="S480" s="667"/>
      <c r="T480" s="668"/>
      <c r="U480" s="34"/>
      <c r="V480" s="34"/>
      <c r="W480" s="35" t="s">
        <v>69</v>
      </c>
      <c r="X480" s="657">
        <v>42</v>
      </c>
      <c r="Y480" s="658">
        <f t="shared" si="73"/>
        <v>43.199999999999996</v>
      </c>
      <c r="Z480" s="36">
        <f>IFERROR(IF(Y480=0,"",ROUNDUP(Y480/H480,0)*0.00902),"")</f>
        <v>8.1180000000000002E-2</v>
      </c>
      <c r="AA480" s="56"/>
      <c r="AB480" s="57"/>
      <c r="AC480" s="555" t="s">
        <v>764</v>
      </c>
      <c r="AG480" s="64"/>
      <c r="AJ480" s="68"/>
      <c r="AK480" s="68">
        <v>0</v>
      </c>
      <c r="BB480" s="556" t="s">
        <v>1</v>
      </c>
      <c r="BM480" s="64">
        <f t="shared" si="74"/>
        <v>60.637500000000003</v>
      </c>
      <c r="BN480" s="64">
        <f t="shared" si="75"/>
        <v>62.37</v>
      </c>
      <c r="BO480" s="64">
        <f t="shared" si="76"/>
        <v>6.6287878787878785E-2</v>
      </c>
      <c r="BP480" s="64">
        <f t="shared" si="77"/>
        <v>6.8181818181818177E-2</v>
      </c>
    </row>
    <row r="481" spans="1:68" ht="27" hidden="1" customHeight="1" x14ac:dyDescent="0.25">
      <c r="A481" s="54" t="s">
        <v>776</v>
      </c>
      <c r="B481" s="54" t="s">
        <v>779</v>
      </c>
      <c r="C481" s="31">
        <v>4301031351</v>
      </c>
      <c r="D481" s="672">
        <v>4680115882072</v>
      </c>
      <c r="E481" s="673"/>
      <c r="F481" s="656">
        <v>0.6</v>
      </c>
      <c r="G481" s="32">
        <v>6</v>
      </c>
      <c r="H481" s="656">
        <v>3.6</v>
      </c>
      <c r="I481" s="656">
        <v>3.81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70</v>
      </c>
      <c r="P481" s="830" t="s">
        <v>780</v>
      </c>
      <c r="Q481" s="667"/>
      <c r="R481" s="667"/>
      <c r="S481" s="667"/>
      <c r="T481" s="668"/>
      <c r="U481" s="34"/>
      <c r="V481" s="34"/>
      <c r="W481" s="35" t="s">
        <v>69</v>
      </c>
      <c r="X481" s="657">
        <v>0</v>
      </c>
      <c r="Y481" s="658">
        <f t="shared" si="73"/>
        <v>0</v>
      </c>
      <c r="Z481" s="36" t="str">
        <f>IFERROR(IF(Y481=0,"",ROUNDUP(Y481/H481,0)*0.00902),"")</f>
        <v/>
      </c>
      <c r="AA481" s="56"/>
      <c r="AB481" s="57"/>
      <c r="AC481" s="557" t="s">
        <v>764</v>
      </c>
      <c r="AG481" s="64"/>
      <c r="AJ481" s="68"/>
      <c r="AK481" s="68">
        <v>0</v>
      </c>
      <c r="BB481" s="558" t="s">
        <v>1</v>
      </c>
      <c r="BM481" s="64">
        <f t="shared" si="74"/>
        <v>0</v>
      </c>
      <c r="BN481" s="64">
        <f t="shared" si="75"/>
        <v>0</v>
      </c>
      <c r="BO481" s="64">
        <f t="shared" si="76"/>
        <v>0</v>
      </c>
      <c r="BP481" s="64">
        <f t="shared" si="77"/>
        <v>0</v>
      </c>
    </row>
    <row r="482" spans="1:68" ht="27" hidden="1" customHeight="1" x14ac:dyDescent="0.25">
      <c r="A482" s="54" t="s">
        <v>776</v>
      </c>
      <c r="B482" s="54" t="s">
        <v>781</v>
      </c>
      <c r="C482" s="31">
        <v>4301031383</v>
      </c>
      <c r="D482" s="672">
        <v>4680115882072</v>
      </c>
      <c r="E482" s="673"/>
      <c r="F482" s="656">
        <v>0.6</v>
      </c>
      <c r="G482" s="32">
        <v>8</v>
      </c>
      <c r="H482" s="656">
        <v>4.8</v>
      </c>
      <c r="I482" s="656">
        <v>6.96</v>
      </c>
      <c r="J482" s="32">
        <v>120</v>
      </c>
      <c r="K482" s="32" t="s">
        <v>101</v>
      </c>
      <c r="L482" s="32"/>
      <c r="M482" s="33" t="s">
        <v>94</v>
      </c>
      <c r="N482" s="33"/>
      <c r="O482" s="32">
        <v>60</v>
      </c>
      <c r="P482" s="74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67"/>
      <c r="R482" s="667"/>
      <c r="S482" s="667"/>
      <c r="T482" s="668"/>
      <c r="U482" s="34"/>
      <c r="V482" s="34"/>
      <c r="W482" s="35" t="s">
        <v>69</v>
      </c>
      <c r="X482" s="657">
        <v>0</v>
      </c>
      <c r="Y482" s="658">
        <f t="shared" si="73"/>
        <v>0</v>
      </c>
      <c r="Z482" s="36" t="str">
        <f>IFERROR(IF(Y482=0,"",ROUNDUP(Y482/H482,0)*0.00937),"")</f>
        <v/>
      </c>
      <c r="AA482" s="56"/>
      <c r="AB482" s="57"/>
      <c r="AC482" s="559" t="s">
        <v>782</v>
      </c>
      <c r="AG482" s="64"/>
      <c r="AJ482" s="68"/>
      <c r="AK482" s="68">
        <v>0</v>
      </c>
      <c r="BB482" s="560" t="s">
        <v>1</v>
      </c>
      <c r="BM482" s="64">
        <f t="shared" si="74"/>
        <v>0</v>
      </c>
      <c r="BN482" s="64">
        <f t="shared" si="75"/>
        <v>0</v>
      </c>
      <c r="BO482" s="64">
        <f t="shared" si="76"/>
        <v>0</v>
      </c>
      <c r="BP482" s="64">
        <f t="shared" si="77"/>
        <v>0</v>
      </c>
    </row>
    <row r="483" spans="1:68" ht="27" hidden="1" customHeight="1" x14ac:dyDescent="0.25">
      <c r="A483" s="54" t="s">
        <v>783</v>
      </c>
      <c r="B483" s="54" t="s">
        <v>784</v>
      </c>
      <c r="C483" s="31">
        <v>4301031418</v>
      </c>
      <c r="D483" s="672">
        <v>4680115882102</v>
      </c>
      <c r="E483" s="673"/>
      <c r="F483" s="656">
        <v>0.6</v>
      </c>
      <c r="G483" s="32">
        <v>8</v>
      </c>
      <c r="H483" s="656">
        <v>4.8</v>
      </c>
      <c r="I483" s="656">
        <v>6.69</v>
      </c>
      <c r="J483" s="32">
        <v>132</v>
      </c>
      <c r="K483" s="32" t="s">
        <v>101</v>
      </c>
      <c r="L483" s="32"/>
      <c r="M483" s="33" t="s">
        <v>68</v>
      </c>
      <c r="N483" s="33"/>
      <c r="O483" s="32">
        <v>70</v>
      </c>
      <c r="P483" s="957" t="s">
        <v>785</v>
      </c>
      <c r="Q483" s="667"/>
      <c r="R483" s="667"/>
      <c r="S483" s="667"/>
      <c r="T483" s="668"/>
      <c r="U483" s="34"/>
      <c r="V483" s="34"/>
      <c r="W483" s="35" t="s">
        <v>69</v>
      </c>
      <c r="X483" s="657">
        <v>0</v>
      </c>
      <c r="Y483" s="658">
        <f t="shared" si="73"/>
        <v>0</v>
      </c>
      <c r="Z483" s="36" t="str">
        <f>IFERROR(IF(Y483=0,"",ROUNDUP(Y483/H483,0)*0.00902),"")</f>
        <v/>
      </c>
      <c r="AA483" s="56"/>
      <c r="AB483" s="57"/>
      <c r="AC483" s="561" t="s">
        <v>768</v>
      </c>
      <c r="AG483" s="64"/>
      <c r="AJ483" s="68"/>
      <c r="AK483" s="68">
        <v>0</v>
      </c>
      <c r="BB483" s="562" t="s">
        <v>1</v>
      </c>
      <c r="BM483" s="64">
        <f t="shared" si="74"/>
        <v>0</v>
      </c>
      <c r="BN483" s="64">
        <f t="shared" si="75"/>
        <v>0</v>
      </c>
      <c r="BO483" s="64">
        <f t="shared" si="76"/>
        <v>0</v>
      </c>
      <c r="BP483" s="64">
        <f t="shared" si="77"/>
        <v>0</v>
      </c>
    </row>
    <row r="484" spans="1:68" ht="27" customHeight="1" x14ac:dyDescent="0.25">
      <c r="A484" s="54" t="s">
        <v>783</v>
      </c>
      <c r="B484" s="54" t="s">
        <v>786</v>
      </c>
      <c r="C484" s="31">
        <v>4301031251</v>
      </c>
      <c r="D484" s="672">
        <v>4680115882102</v>
      </c>
      <c r="E484" s="673"/>
      <c r="F484" s="656">
        <v>0.6</v>
      </c>
      <c r="G484" s="32">
        <v>6</v>
      </c>
      <c r="H484" s="656">
        <v>3.6</v>
      </c>
      <c r="I484" s="656">
        <v>3.81</v>
      </c>
      <c r="J484" s="32">
        <v>132</v>
      </c>
      <c r="K484" s="32" t="s">
        <v>101</v>
      </c>
      <c r="L484" s="32"/>
      <c r="M484" s="33" t="s">
        <v>68</v>
      </c>
      <c r="N484" s="33"/>
      <c r="O484" s="32">
        <v>60</v>
      </c>
      <c r="P484" s="9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4" s="667"/>
      <c r="R484" s="667"/>
      <c r="S484" s="667"/>
      <c r="T484" s="668"/>
      <c r="U484" s="34"/>
      <c r="V484" s="34"/>
      <c r="W484" s="35" t="s">
        <v>69</v>
      </c>
      <c r="X484" s="657">
        <v>18</v>
      </c>
      <c r="Y484" s="658">
        <f t="shared" si="73"/>
        <v>18</v>
      </c>
      <c r="Z484" s="36">
        <f>IFERROR(IF(Y484=0,"",ROUNDUP(Y484/H484,0)*0.00902),"")</f>
        <v>4.5100000000000001E-2</v>
      </c>
      <c r="AA484" s="56"/>
      <c r="AB484" s="57"/>
      <c r="AC484" s="563" t="s">
        <v>787</v>
      </c>
      <c r="AG484" s="64"/>
      <c r="AJ484" s="68"/>
      <c r="AK484" s="68">
        <v>0</v>
      </c>
      <c r="BB484" s="564" t="s">
        <v>1</v>
      </c>
      <c r="BM484" s="64">
        <f t="shared" si="74"/>
        <v>19.05</v>
      </c>
      <c r="BN484" s="64">
        <f t="shared" si="75"/>
        <v>19.05</v>
      </c>
      <c r="BO484" s="64">
        <f t="shared" si="76"/>
        <v>3.787878787878788E-2</v>
      </c>
      <c r="BP484" s="64">
        <f t="shared" si="77"/>
        <v>3.787878787878788E-2</v>
      </c>
    </row>
    <row r="485" spans="1:68" ht="27" hidden="1" customHeight="1" x14ac:dyDescent="0.25">
      <c r="A485" s="54" t="s">
        <v>788</v>
      </c>
      <c r="B485" s="54" t="s">
        <v>789</v>
      </c>
      <c r="C485" s="31">
        <v>4301031384</v>
      </c>
      <c r="D485" s="672">
        <v>4680115882096</v>
      </c>
      <c r="E485" s="673"/>
      <c r="F485" s="656">
        <v>0.6</v>
      </c>
      <c r="G485" s="32">
        <v>8</v>
      </c>
      <c r="H485" s="656">
        <v>4.8</v>
      </c>
      <c r="I485" s="656">
        <v>6.69</v>
      </c>
      <c r="J485" s="32">
        <v>120</v>
      </c>
      <c r="K485" s="32" t="s">
        <v>101</v>
      </c>
      <c r="L485" s="32"/>
      <c r="M485" s="33" t="s">
        <v>68</v>
      </c>
      <c r="N485" s="33"/>
      <c r="O485" s="32">
        <v>60</v>
      </c>
      <c r="P485" s="8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67"/>
      <c r="R485" s="667"/>
      <c r="S485" s="667"/>
      <c r="T485" s="668"/>
      <c r="U485" s="34"/>
      <c r="V485" s="34"/>
      <c r="W485" s="35" t="s">
        <v>69</v>
      </c>
      <c r="X485" s="657">
        <v>0</v>
      </c>
      <c r="Y485" s="658">
        <f t="shared" si="73"/>
        <v>0</v>
      </c>
      <c r="Z485" s="36" t="str">
        <f>IFERROR(IF(Y485=0,"",ROUNDUP(Y485/H485,0)*0.00937),"")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74"/>
        <v>0</v>
      </c>
      <c r="BN485" s="64">
        <f t="shared" si="75"/>
        <v>0</v>
      </c>
      <c r="BO485" s="64">
        <f t="shared" si="76"/>
        <v>0</v>
      </c>
      <c r="BP485" s="64">
        <f t="shared" si="77"/>
        <v>0</v>
      </c>
    </row>
    <row r="486" spans="1:68" ht="27" hidden="1" customHeight="1" x14ac:dyDescent="0.25">
      <c r="A486" s="54" t="s">
        <v>788</v>
      </c>
      <c r="B486" s="54" t="s">
        <v>790</v>
      </c>
      <c r="C486" s="31">
        <v>4301031417</v>
      </c>
      <c r="D486" s="672">
        <v>4680115882096</v>
      </c>
      <c r="E486" s="673"/>
      <c r="F486" s="656">
        <v>0.6</v>
      </c>
      <c r="G486" s="32">
        <v>8</v>
      </c>
      <c r="H486" s="656">
        <v>4.8</v>
      </c>
      <c r="I486" s="656">
        <v>6.69</v>
      </c>
      <c r="J486" s="32">
        <v>132</v>
      </c>
      <c r="K486" s="32" t="s">
        <v>101</v>
      </c>
      <c r="L486" s="32"/>
      <c r="M486" s="33" t="s">
        <v>68</v>
      </c>
      <c r="N486" s="33"/>
      <c r="O486" s="32">
        <v>70</v>
      </c>
      <c r="P486" s="988" t="s">
        <v>791</v>
      </c>
      <c r="Q486" s="667"/>
      <c r="R486" s="667"/>
      <c r="S486" s="667"/>
      <c r="T486" s="668"/>
      <c r="U486" s="34"/>
      <c r="V486" s="34"/>
      <c r="W486" s="35" t="s">
        <v>69</v>
      </c>
      <c r="X486" s="657">
        <v>0</v>
      </c>
      <c r="Y486" s="658">
        <f t="shared" si="73"/>
        <v>0</v>
      </c>
      <c r="Z486" s="36" t="str">
        <f>IFERROR(IF(Y486=0,"",ROUNDUP(Y486/H486,0)*0.00902),"")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74"/>
        <v>0</v>
      </c>
      <c r="BN486" s="64">
        <f t="shared" si="75"/>
        <v>0</v>
      </c>
      <c r="BO486" s="64">
        <f t="shared" si="76"/>
        <v>0</v>
      </c>
      <c r="BP486" s="64">
        <f t="shared" si="77"/>
        <v>0</v>
      </c>
    </row>
    <row r="487" spans="1:68" ht="27" customHeight="1" x14ac:dyDescent="0.25">
      <c r="A487" s="54" t="s">
        <v>788</v>
      </c>
      <c r="B487" s="54" t="s">
        <v>792</v>
      </c>
      <c r="C487" s="31">
        <v>4301031253</v>
      </c>
      <c r="D487" s="672">
        <v>4680115882096</v>
      </c>
      <c r="E487" s="673"/>
      <c r="F487" s="656">
        <v>0.6</v>
      </c>
      <c r="G487" s="32">
        <v>6</v>
      </c>
      <c r="H487" s="656">
        <v>3.6</v>
      </c>
      <c r="I487" s="656">
        <v>3.81</v>
      </c>
      <c r="J487" s="32">
        <v>132</v>
      </c>
      <c r="K487" s="32" t="s">
        <v>101</v>
      </c>
      <c r="L487" s="32"/>
      <c r="M487" s="33" t="s">
        <v>68</v>
      </c>
      <c r="N487" s="33"/>
      <c r="O487" s="32">
        <v>60</v>
      </c>
      <c r="P487" s="9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7" s="667"/>
      <c r="R487" s="667"/>
      <c r="S487" s="667"/>
      <c r="T487" s="668"/>
      <c r="U487" s="34"/>
      <c r="V487" s="34"/>
      <c r="W487" s="35" t="s">
        <v>69</v>
      </c>
      <c r="X487" s="657">
        <v>102</v>
      </c>
      <c r="Y487" s="658">
        <f t="shared" si="73"/>
        <v>104.4</v>
      </c>
      <c r="Z487" s="36">
        <f>IFERROR(IF(Y487=0,"",ROUNDUP(Y487/H487,0)*0.00902),"")</f>
        <v>0.26158000000000003</v>
      </c>
      <c r="AA487" s="56"/>
      <c r="AB487" s="57"/>
      <c r="AC487" s="569" t="s">
        <v>793</v>
      </c>
      <c r="AG487" s="64"/>
      <c r="AJ487" s="68"/>
      <c r="AK487" s="68">
        <v>0</v>
      </c>
      <c r="BB487" s="570" t="s">
        <v>1</v>
      </c>
      <c r="BM487" s="64">
        <f t="shared" si="74"/>
        <v>107.95</v>
      </c>
      <c r="BN487" s="64">
        <f t="shared" si="75"/>
        <v>110.49</v>
      </c>
      <c r="BO487" s="64">
        <f t="shared" si="76"/>
        <v>0.21464646464646464</v>
      </c>
      <c r="BP487" s="64">
        <f t="shared" si="77"/>
        <v>0.2196969696969697</v>
      </c>
    </row>
    <row r="488" spans="1:68" x14ac:dyDescent="0.2">
      <c r="A488" s="679"/>
      <c r="B488" s="680"/>
      <c r="C488" s="680"/>
      <c r="D488" s="680"/>
      <c r="E488" s="680"/>
      <c r="F488" s="680"/>
      <c r="G488" s="680"/>
      <c r="H488" s="680"/>
      <c r="I488" s="680"/>
      <c r="J488" s="680"/>
      <c r="K488" s="680"/>
      <c r="L488" s="680"/>
      <c r="M488" s="680"/>
      <c r="N488" s="680"/>
      <c r="O488" s="681"/>
      <c r="P488" s="663" t="s">
        <v>80</v>
      </c>
      <c r="Q488" s="664"/>
      <c r="R488" s="664"/>
      <c r="S488" s="664"/>
      <c r="T488" s="664"/>
      <c r="U488" s="664"/>
      <c r="V488" s="665"/>
      <c r="W488" s="37" t="s">
        <v>81</v>
      </c>
      <c r="X488" s="659">
        <f>IFERROR(X476/H476,"0")+IFERROR(X477/H477,"0")+IFERROR(X478/H478,"0")+IFERROR(X479/H479,"0")+IFERROR(X480/H480,"0")+IFERROR(X481/H481,"0")+IFERROR(X482/H482,"0")+IFERROR(X483/H483,"0")+IFERROR(X484/H484,"0")+IFERROR(X485/H485,"0")+IFERROR(X486/H486,"0")+IFERROR(X487/H487,"0")</f>
        <v>61.022727272727266</v>
      </c>
      <c r="Y488" s="659">
        <f>IFERROR(Y476/H476,"0")+IFERROR(Y477/H477,"0")+IFERROR(Y478/H478,"0")+IFERROR(Y479/H479,"0")+IFERROR(Y480/H480,"0")+IFERROR(Y481/H481,"0")+IFERROR(Y482/H482,"0")+IFERROR(Y483/H483,"0")+IFERROR(Y484/H484,"0")+IFERROR(Y485/H485,"0")+IFERROR(Y486/H486,"0")+IFERROR(Y487/H487,"0")</f>
        <v>63</v>
      </c>
      <c r="Z488" s="659">
        <f>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</f>
        <v>0.62706000000000006</v>
      </c>
      <c r="AA488" s="660"/>
      <c r="AB488" s="660"/>
      <c r="AC488" s="660"/>
    </row>
    <row r="489" spans="1:68" x14ac:dyDescent="0.2">
      <c r="A489" s="680"/>
      <c r="B489" s="680"/>
      <c r="C489" s="680"/>
      <c r="D489" s="680"/>
      <c r="E489" s="680"/>
      <c r="F489" s="680"/>
      <c r="G489" s="680"/>
      <c r="H489" s="680"/>
      <c r="I489" s="680"/>
      <c r="J489" s="680"/>
      <c r="K489" s="680"/>
      <c r="L489" s="680"/>
      <c r="M489" s="680"/>
      <c r="N489" s="680"/>
      <c r="O489" s="681"/>
      <c r="P489" s="663" t="s">
        <v>80</v>
      </c>
      <c r="Q489" s="664"/>
      <c r="R489" s="664"/>
      <c r="S489" s="664"/>
      <c r="T489" s="664"/>
      <c r="U489" s="664"/>
      <c r="V489" s="665"/>
      <c r="W489" s="37" t="s">
        <v>69</v>
      </c>
      <c r="X489" s="659">
        <f>IFERROR(SUM(X476:X487),"0")</f>
        <v>262</v>
      </c>
      <c r="Y489" s="659">
        <f>IFERROR(SUM(Y476:Y487),"0")</f>
        <v>271.20000000000005</v>
      </c>
      <c r="Z489" s="37"/>
      <c r="AA489" s="660"/>
      <c r="AB489" s="660"/>
      <c r="AC489" s="660"/>
    </row>
    <row r="490" spans="1:68" ht="14.25" hidden="1" customHeight="1" x14ac:dyDescent="0.25">
      <c r="A490" s="682" t="s">
        <v>64</v>
      </c>
      <c r="B490" s="680"/>
      <c r="C490" s="680"/>
      <c r="D490" s="680"/>
      <c r="E490" s="680"/>
      <c r="F490" s="680"/>
      <c r="G490" s="680"/>
      <c r="H490" s="680"/>
      <c r="I490" s="680"/>
      <c r="J490" s="680"/>
      <c r="K490" s="680"/>
      <c r="L490" s="680"/>
      <c r="M490" s="680"/>
      <c r="N490" s="680"/>
      <c r="O490" s="680"/>
      <c r="P490" s="680"/>
      <c r="Q490" s="680"/>
      <c r="R490" s="680"/>
      <c r="S490" s="680"/>
      <c r="T490" s="680"/>
      <c r="U490" s="680"/>
      <c r="V490" s="680"/>
      <c r="W490" s="680"/>
      <c r="X490" s="680"/>
      <c r="Y490" s="680"/>
      <c r="Z490" s="680"/>
      <c r="AA490" s="653"/>
      <c r="AB490" s="653"/>
      <c r="AC490" s="653"/>
    </row>
    <row r="491" spans="1:68" ht="16.5" hidden="1" customHeight="1" x14ac:dyDescent="0.25">
      <c r="A491" s="54" t="s">
        <v>794</v>
      </c>
      <c r="B491" s="54" t="s">
        <v>795</v>
      </c>
      <c r="C491" s="31">
        <v>4301051232</v>
      </c>
      <c r="D491" s="672">
        <v>4607091383409</v>
      </c>
      <c r="E491" s="673"/>
      <c r="F491" s="656">
        <v>1.3</v>
      </c>
      <c r="G491" s="32">
        <v>6</v>
      </c>
      <c r="H491" s="656">
        <v>7.8</v>
      </c>
      <c r="I491" s="656">
        <v>8.3010000000000002</v>
      </c>
      <c r="J491" s="32">
        <v>64</v>
      </c>
      <c r="K491" s="32" t="s">
        <v>93</v>
      </c>
      <c r="L491" s="32"/>
      <c r="M491" s="33" t="s">
        <v>103</v>
      </c>
      <c r="N491" s="33"/>
      <c r="O491" s="32">
        <v>45</v>
      </c>
      <c r="P491" s="8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1" s="667"/>
      <c r="R491" s="667"/>
      <c r="S491" s="667"/>
      <c r="T491" s="668"/>
      <c r="U491" s="34"/>
      <c r="V491" s="34"/>
      <c r="W491" s="35" t="s">
        <v>69</v>
      </c>
      <c r="X491" s="657">
        <v>0</v>
      </c>
      <c r="Y491" s="6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71" t="s">
        <v>796</v>
      </c>
      <c r="AG491" s="64"/>
      <c r="AJ491" s="68"/>
      <c r="AK491" s="68">
        <v>0</v>
      </c>
      <c r="BB491" s="57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797</v>
      </c>
      <c r="B492" s="54" t="s">
        <v>798</v>
      </c>
      <c r="C492" s="31">
        <v>4301051231</v>
      </c>
      <c r="D492" s="672">
        <v>4607091383416</v>
      </c>
      <c r="E492" s="673"/>
      <c r="F492" s="656">
        <v>1.3</v>
      </c>
      <c r="G492" s="32">
        <v>6</v>
      </c>
      <c r="H492" s="656">
        <v>7.8</v>
      </c>
      <c r="I492" s="656">
        <v>8.3010000000000002</v>
      </c>
      <c r="J492" s="32">
        <v>64</v>
      </c>
      <c r="K492" s="32" t="s">
        <v>93</v>
      </c>
      <c r="L492" s="32"/>
      <c r="M492" s="33" t="s">
        <v>68</v>
      </c>
      <c r="N492" s="33"/>
      <c r="O492" s="32">
        <v>45</v>
      </c>
      <c r="P492" s="7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2" s="667"/>
      <c r="R492" s="667"/>
      <c r="S492" s="667"/>
      <c r="T492" s="668"/>
      <c r="U492" s="34"/>
      <c r="V492" s="34"/>
      <c r="W492" s="35" t="s">
        <v>69</v>
      </c>
      <c r="X492" s="657">
        <v>0</v>
      </c>
      <c r="Y492" s="65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73" t="s">
        <v>799</v>
      </c>
      <c r="AG492" s="64"/>
      <c r="AJ492" s="68"/>
      <c r="AK492" s="68">
        <v>0</v>
      </c>
      <c r="BB492" s="57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800</v>
      </c>
      <c r="B493" s="54" t="s">
        <v>801</v>
      </c>
      <c r="C493" s="31">
        <v>4301051064</v>
      </c>
      <c r="D493" s="672">
        <v>4680115883536</v>
      </c>
      <c r="E493" s="673"/>
      <c r="F493" s="656">
        <v>0.3</v>
      </c>
      <c r="G493" s="32">
        <v>6</v>
      </c>
      <c r="H493" s="656">
        <v>1.8</v>
      </c>
      <c r="I493" s="656">
        <v>2.0459999999999998</v>
      </c>
      <c r="J493" s="32">
        <v>182</v>
      </c>
      <c r="K493" s="32" t="s">
        <v>67</v>
      </c>
      <c r="L493" s="32"/>
      <c r="M493" s="33" t="s">
        <v>103</v>
      </c>
      <c r="N493" s="33"/>
      <c r="O493" s="32">
        <v>45</v>
      </c>
      <c r="P493" s="8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3" s="667"/>
      <c r="R493" s="667"/>
      <c r="S493" s="667"/>
      <c r="T493" s="668"/>
      <c r="U493" s="34"/>
      <c r="V493" s="34"/>
      <c r="W493" s="35" t="s">
        <v>69</v>
      </c>
      <c r="X493" s="657">
        <v>0</v>
      </c>
      <c r="Y493" s="658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5" t="s">
        <v>802</v>
      </c>
      <c r="AG493" s="64"/>
      <c r="AJ493" s="68"/>
      <c r="AK493" s="68">
        <v>0</v>
      </c>
      <c r="BB493" s="57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679"/>
      <c r="B494" s="680"/>
      <c r="C494" s="680"/>
      <c r="D494" s="680"/>
      <c r="E494" s="680"/>
      <c r="F494" s="680"/>
      <c r="G494" s="680"/>
      <c r="H494" s="680"/>
      <c r="I494" s="680"/>
      <c r="J494" s="680"/>
      <c r="K494" s="680"/>
      <c r="L494" s="680"/>
      <c r="M494" s="680"/>
      <c r="N494" s="680"/>
      <c r="O494" s="681"/>
      <c r="P494" s="663" t="s">
        <v>80</v>
      </c>
      <c r="Q494" s="664"/>
      <c r="R494" s="664"/>
      <c r="S494" s="664"/>
      <c r="T494" s="664"/>
      <c r="U494" s="664"/>
      <c r="V494" s="665"/>
      <c r="W494" s="37" t="s">
        <v>81</v>
      </c>
      <c r="X494" s="659">
        <f>IFERROR(X491/H491,"0")+IFERROR(X492/H492,"0")+IFERROR(X493/H493,"0")</f>
        <v>0</v>
      </c>
      <c r="Y494" s="659">
        <f>IFERROR(Y491/H491,"0")+IFERROR(Y492/H492,"0")+IFERROR(Y493/H493,"0")</f>
        <v>0</v>
      </c>
      <c r="Z494" s="659">
        <f>IFERROR(IF(Z491="",0,Z491),"0")+IFERROR(IF(Z492="",0,Z492),"0")+IFERROR(IF(Z493="",0,Z493),"0")</f>
        <v>0</v>
      </c>
      <c r="AA494" s="660"/>
      <c r="AB494" s="660"/>
      <c r="AC494" s="660"/>
    </row>
    <row r="495" spans="1:68" hidden="1" x14ac:dyDescent="0.2">
      <c r="A495" s="680"/>
      <c r="B495" s="680"/>
      <c r="C495" s="680"/>
      <c r="D495" s="680"/>
      <c r="E495" s="680"/>
      <c r="F495" s="680"/>
      <c r="G495" s="680"/>
      <c r="H495" s="680"/>
      <c r="I495" s="680"/>
      <c r="J495" s="680"/>
      <c r="K495" s="680"/>
      <c r="L495" s="680"/>
      <c r="M495" s="680"/>
      <c r="N495" s="680"/>
      <c r="O495" s="681"/>
      <c r="P495" s="663" t="s">
        <v>80</v>
      </c>
      <c r="Q495" s="664"/>
      <c r="R495" s="664"/>
      <c r="S495" s="664"/>
      <c r="T495" s="664"/>
      <c r="U495" s="664"/>
      <c r="V495" s="665"/>
      <c r="W495" s="37" t="s">
        <v>69</v>
      </c>
      <c r="X495" s="659">
        <f>IFERROR(SUM(X491:X493),"0")</f>
        <v>0</v>
      </c>
      <c r="Y495" s="659">
        <f>IFERROR(SUM(Y491:Y493),"0")</f>
        <v>0</v>
      </c>
      <c r="Z495" s="37"/>
      <c r="AA495" s="660"/>
      <c r="AB495" s="660"/>
      <c r="AC495" s="660"/>
    </row>
    <row r="496" spans="1:68" ht="14.25" hidden="1" customHeight="1" x14ac:dyDescent="0.25">
      <c r="A496" s="682" t="s">
        <v>172</v>
      </c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0"/>
      <c r="P496" s="680"/>
      <c r="Q496" s="680"/>
      <c r="R496" s="680"/>
      <c r="S496" s="680"/>
      <c r="T496" s="680"/>
      <c r="U496" s="680"/>
      <c r="V496" s="680"/>
      <c r="W496" s="680"/>
      <c r="X496" s="680"/>
      <c r="Y496" s="680"/>
      <c r="Z496" s="680"/>
      <c r="AA496" s="653"/>
      <c r="AB496" s="653"/>
      <c r="AC496" s="653"/>
    </row>
    <row r="497" spans="1:68" ht="37.5" hidden="1" customHeight="1" x14ac:dyDescent="0.25">
      <c r="A497" s="54" t="s">
        <v>803</v>
      </c>
      <c r="B497" s="54" t="s">
        <v>804</v>
      </c>
      <c r="C497" s="31">
        <v>4301060363</v>
      </c>
      <c r="D497" s="672">
        <v>4680115885035</v>
      </c>
      <c r="E497" s="673"/>
      <c r="F497" s="656">
        <v>1</v>
      </c>
      <c r="G497" s="32">
        <v>4</v>
      </c>
      <c r="H497" s="656">
        <v>4</v>
      </c>
      <c r="I497" s="656">
        <v>4.4160000000000004</v>
      </c>
      <c r="J497" s="32">
        <v>104</v>
      </c>
      <c r="K497" s="32" t="s">
        <v>93</v>
      </c>
      <c r="L497" s="32"/>
      <c r="M497" s="33" t="s">
        <v>68</v>
      </c>
      <c r="N497" s="33"/>
      <c r="O497" s="32">
        <v>35</v>
      </c>
      <c r="P497" s="10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7" s="667"/>
      <c r="R497" s="667"/>
      <c r="S497" s="667"/>
      <c r="T497" s="668"/>
      <c r="U497" s="34"/>
      <c r="V497" s="34"/>
      <c r="W497" s="35" t="s">
        <v>69</v>
      </c>
      <c r="X497" s="657">
        <v>0</v>
      </c>
      <c r="Y497" s="658">
        <f>IFERROR(IF(X497="",0,CEILING((X497/$H497),1)*$H497),"")</f>
        <v>0</v>
      </c>
      <c r="Z497" s="36" t="str">
        <f>IFERROR(IF(Y497=0,"",ROUNDUP(Y497/H497,0)*0.01196),"")</f>
        <v/>
      </c>
      <c r="AA497" s="56"/>
      <c r="AB497" s="57"/>
      <c r="AC497" s="577" t="s">
        <v>805</v>
      </c>
      <c r="AG497" s="64"/>
      <c r="AJ497" s="68"/>
      <c r="AK497" s="68">
        <v>0</v>
      </c>
      <c r="BB497" s="57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37.5" hidden="1" customHeight="1" x14ac:dyDescent="0.25">
      <c r="A498" s="54" t="s">
        <v>806</v>
      </c>
      <c r="B498" s="54" t="s">
        <v>807</v>
      </c>
      <c r="C498" s="31">
        <v>4301060436</v>
      </c>
      <c r="D498" s="672">
        <v>4680115885936</v>
      </c>
      <c r="E498" s="673"/>
      <c r="F498" s="656">
        <v>1.3</v>
      </c>
      <c r="G498" s="32">
        <v>6</v>
      </c>
      <c r="H498" s="656">
        <v>7.8</v>
      </c>
      <c r="I498" s="656">
        <v>8.2349999999999994</v>
      </c>
      <c r="J498" s="32">
        <v>64</v>
      </c>
      <c r="K498" s="32" t="s">
        <v>93</v>
      </c>
      <c r="L498" s="32"/>
      <c r="M498" s="33" t="s">
        <v>68</v>
      </c>
      <c r="N498" s="33"/>
      <c r="O498" s="32">
        <v>35</v>
      </c>
      <c r="P498" s="829" t="s">
        <v>808</v>
      </c>
      <c r="Q498" s="667"/>
      <c r="R498" s="667"/>
      <c r="S498" s="667"/>
      <c r="T498" s="668"/>
      <c r="U498" s="34"/>
      <c r="V498" s="34"/>
      <c r="W498" s="35" t="s">
        <v>69</v>
      </c>
      <c r="X498" s="657">
        <v>0</v>
      </c>
      <c r="Y498" s="65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79" t="s">
        <v>805</v>
      </c>
      <c r="AG498" s="64"/>
      <c r="AJ498" s="68"/>
      <c r="AK498" s="68">
        <v>0</v>
      </c>
      <c r="BB498" s="58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679"/>
      <c r="B499" s="680"/>
      <c r="C499" s="680"/>
      <c r="D499" s="680"/>
      <c r="E499" s="680"/>
      <c r="F499" s="680"/>
      <c r="G499" s="680"/>
      <c r="H499" s="680"/>
      <c r="I499" s="680"/>
      <c r="J499" s="680"/>
      <c r="K499" s="680"/>
      <c r="L499" s="680"/>
      <c r="M499" s="680"/>
      <c r="N499" s="680"/>
      <c r="O499" s="681"/>
      <c r="P499" s="663" t="s">
        <v>80</v>
      </c>
      <c r="Q499" s="664"/>
      <c r="R499" s="664"/>
      <c r="S499" s="664"/>
      <c r="T499" s="664"/>
      <c r="U499" s="664"/>
      <c r="V499" s="665"/>
      <c r="W499" s="37" t="s">
        <v>81</v>
      </c>
      <c r="X499" s="659">
        <f>IFERROR(X497/H497,"0")+IFERROR(X498/H498,"0")</f>
        <v>0</v>
      </c>
      <c r="Y499" s="659">
        <f>IFERROR(Y497/H497,"0")+IFERROR(Y498/H498,"0")</f>
        <v>0</v>
      </c>
      <c r="Z499" s="659">
        <f>IFERROR(IF(Z497="",0,Z497),"0")+IFERROR(IF(Z498="",0,Z498),"0")</f>
        <v>0</v>
      </c>
      <c r="AA499" s="660"/>
      <c r="AB499" s="660"/>
      <c r="AC499" s="660"/>
    </row>
    <row r="500" spans="1:68" hidden="1" x14ac:dyDescent="0.2">
      <c r="A500" s="680"/>
      <c r="B500" s="680"/>
      <c r="C500" s="680"/>
      <c r="D500" s="680"/>
      <c r="E500" s="680"/>
      <c r="F500" s="680"/>
      <c r="G500" s="680"/>
      <c r="H500" s="680"/>
      <c r="I500" s="680"/>
      <c r="J500" s="680"/>
      <c r="K500" s="680"/>
      <c r="L500" s="680"/>
      <c r="M500" s="680"/>
      <c r="N500" s="680"/>
      <c r="O500" s="681"/>
      <c r="P500" s="663" t="s">
        <v>80</v>
      </c>
      <c r="Q500" s="664"/>
      <c r="R500" s="664"/>
      <c r="S500" s="664"/>
      <c r="T500" s="664"/>
      <c r="U500" s="664"/>
      <c r="V500" s="665"/>
      <c r="W500" s="37" t="s">
        <v>69</v>
      </c>
      <c r="X500" s="659">
        <f>IFERROR(SUM(X497:X498),"0")</f>
        <v>0</v>
      </c>
      <c r="Y500" s="659">
        <f>IFERROR(SUM(Y497:Y498),"0")</f>
        <v>0</v>
      </c>
      <c r="Z500" s="37"/>
      <c r="AA500" s="660"/>
      <c r="AB500" s="660"/>
      <c r="AC500" s="660"/>
    </row>
    <row r="501" spans="1:68" ht="27.75" hidden="1" customHeight="1" x14ac:dyDescent="0.2">
      <c r="A501" s="712" t="s">
        <v>809</v>
      </c>
      <c r="B501" s="713"/>
      <c r="C501" s="713"/>
      <c r="D501" s="713"/>
      <c r="E501" s="713"/>
      <c r="F501" s="713"/>
      <c r="G501" s="713"/>
      <c r="H501" s="713"/>
      <c r="I501" s="713"/>
      <c r="J501" s="713"/>
      <c r="K501" s="713"/>
      <c r="L501" s="713"/>
      <c r="M501" s="713"/>
      <c r="N501" s="713"/>
      <c r="O501" s="713"/>
      <c r="P501" s="713"/>
      <c r="Q501" s="713"/>
      <c r="R501" s="713"/>
      <c r="S501" s="713"/>
      <c r="T501" s="713"/>
      <c r="U501" s="713"/>
      <c r="V501" s="713"/>
      <c r="W501" s="713"/>
      <c r="X501" s="713"/>
      <c r="Y501" s="713"/>
      <c r="Z501" s="713"/>
      <c r="AA501" s="48"/>
      <c r="AB501" s="48"/>
      <c r="AC501" s="48"/>
    </row>
    <row r="502" spans="1:68" ht="16.5" hidden="1" customHeight="1" x14ac:dyDescent="0.25">
      <c r="A502" s="688" t="s">
        <v>809</v>
      </c>
      <c r="B502" s="680"/>
      <c r="C502" s="680"/>
      <c r="D502" s="680"/>
      <c r="E502" s="680"/>
      <c r="F502" s="680"/>
      <c r="G502" s="680"/>
      <c r="H502" s="680"/>
      <c r="I502" s="680"/>
      <c r="J502" s="680"/>
      <c r="K502" s="680"/>
      <c r="L502" s="680"/>
      <c r="M502" s="680"/>
      <c r="N502" s="680"/>
      <c r="O502" s="680"/>
      <c r="P502" s="680"/>
      <c r="Q502" s="680"/>
      <c r="R502" s="680"/>
      <c r="S502" s="680"/>
      <c r="T502" s="680"/>
      <c r="U502" s="680"/>
      <c r="V502" s="680"/>
      <c r="W502" s="680"/>
      <c r="X502" s="680"/>
      <c r="Y502" s="680"/>
      <c r="Z502" s="680"/>
      <c r="AA502" s="652"/>
      <c r="AB502" s="652"/>
      <c r="AC502" s="652"/>
    </row>
    <row r="503" spans="1:68" ht="14.25" hidden="1" customHeight="1" x14ac:dyDescent="0.25">
      <c r="A503" s="682" t="s">
        <v>90</v>
      </c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0"/>
      <c r="P503" s="680"/>
      <c r="Q503" s="680"/>
      <c r="R503" s="680"/>
      <c r="S503" s="680"/>
      <c r="T503" s="680"/>
      <c r="U503" s="680"/>
      <c r="V503" s="680"/>
      <c r="W503" s="680"/>
      <c r="X503" s="680"/>
      <c r="Y503" s="680"/>
      <c r="Z503" s="680"/>
      <c r="AA503" s="653"/>
      <c r="AB503" s="653"/>
      <c r="AC503" s="653"/>
    </row>
    <row r="504" spans="1:68" ht="27" hidden="1" customHeight="1" x14ac:dyDescent="0.25">
      <c r="A504" s="54" t="s">
        <v>810</v>
      </c>
      <c r="B504" s="54" t="s">
        <v>811</v>
      </c>
      <c r="C504" s="31">
        <v>4301011763</v>
      </c>
      <c r="D504" s="672">
        <v>4640242181011</v>
      </c>
      <c r="E504" s="673"/>
      <c r="F504" s="656">
        <v>1.35</v>
      </c>
      <c r="G504" s="32">
        <v>8</v>
      </c>
      <c r="H504" s="656">
        <v>10.8</v>
      </c>
      <c r="I504" s="656">
        <v>11.234999999999999</v>
      </c>
      <c r="J504" s="32">
        <v>64</v>
      </c>
      <c r="K504" s="32" t="s">
        <v>93</v>
      </c>
      <c r="L504" s="32"/>
      <c r="M504" s="33" t="s">
        <v>103</v>
      </c>
      <c r="N504" s="33"/>
      <c r="O504" s="32">
        <v>55</v>
      </c>
      <c r="P504" s="875" t="s">
        <v>812</v>
      </c>
      <c r="Q504" s="667"/>
      <c r="R504" s="667"/>
      <c r="S504" s="667"/>
      <c r="T504" s="668"/>
      <c r="U504" s="34"/>
      <c r="V504" s="34"/>
      <c r="W504" s="35" t="s">
        <v>69</v>
      </c>
      <c r="X504" s="657">
        <v>0</v>
      </c>
      <c r="Y504" s="658">
        <f t="shared" ref="Y504:Y509" si="78"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81" t="s">
        <v>813</v>
      </c>
      <c r="AG504" s="64"/>
      <c r="AJ504" s="68"/>
      <c r="AK504" s="68">
        <v>0</v>
      </c>
      <c r="BB504" s="582" t="s">
        <v>1</v>
      </c>
      <c r="BM504" s="64">
        <f t="shared" ref="BM504:BM509" si="79">IFERROR(X504*I504/H504,"0")</f>
        <v>0</v>
      </c>
      <c r="BN504" s="64">
        <f t="shared" ref="BN504:BN509" si="80">IFERROR(Y504*I504/H504,"0")</f>
        <v>0</v>
      </c>
      <c r="BO504" s="64">
        <f t="shared" ref="BO504:BO509" si="81">IFERROR(1/J504*(X504/H504),"0")</f>
        <v>0</v>
      </c>
      <c r="BP504" s="64">
        <f t="shared" ref="BP504:BP509" si="82">IFERROR(1/J504*(Y504/H504),"0")</f>
        <v>0</v>
      </c>
    </row>
    <row r="505" spans="1:68" ht="27" hidden="1" customHeight="1" x14ac:dyDescent="0.25">
      <c r="A505" s="54" t="s">
        <v>814</v>
      </c>
      <c r="B505" s="54" t="s">
        <v>815</v>
      </c>
      <c r="C505" s="31">
        <v>4301011585</v>
      </c>
      <c r="D505" s="672">
        <v>4640242180441</v>
      </c>
      <c r="E505" s="673"/>
      <c r="F505" s="656">
        <v>1.5</v>
      </c>
      <c r="G505" s="32">
        <v>8</v>
      </c>
      <c r="H505" s="656">
        <v>12</v>
      </c>
      <c r="I505" s="656">
        <v>12.435</v>
      </c>
      <c r="J505" s="32">
        <v>64</v>
      </c>
      <c r="K505" s="32" t="s">
        <v>93</v>
      </c>
      <c r="L505" s="32"/>
      <c r="M505" s="33" t="s">
        <v>94</v>
      </c>
      <c r="N505" s="33"/>
      <c r="O505" s="32">
        <v>50</v>
      </c>
      <c r="P505" s="1025" t="s">
        <v>816</v>
      </c>
      <c r="Q505" s="667"/>
      <c r="R505" s="667"/>
      <c r="S505" s="667"/>
      <c r="T505" s="668"/>
      <c r="U505" s="34"/>
      <c r="V505" s="34"/>
      <c r="W505" s="35" t="s">
        <v>69</v>
      </c>
      <c r="X505" s="657">
        <v>0</v>
      </c>
      <c r="Y505" s="658">
        <f t="shared" si="78"/>
        <v>0</v>
      </c>
      <c r="Z505" s="36" t="str">
        <f>IFERROR(IF(Y505=0,"",ROUNDUP(Y505/H505,0)*0.01898),"")</f>
        <v/>
      </c>
      <c r="AA505" s="56"/>
      <c r="AB505" s="57"/>
      <c r="AC505" s="583" t="s">
        <v>817</v>
      </c>
      <c r="AG505" s="64"/>
      <c r="AJ505" s="68"/>
      <c r="AK505" s="68">
        <v>0</v>
      </c>
      <c r="BB505" s="584" t="s">
        <v>1</v>
      </c>
      <c r="BM505" s="64">
        <f t="shared" si="79"/>
        <v>0</v>
      </c>
      <c r="BN505" s="64">
        <f t="shared" si="80"/>
        <v>0</v>
      </c>
      <c r="BO505" s="64">
        <f t="shared" si="81"/>
        <v>0</v>
      </c>
      <c r="BP505" s="64">
        <f t="shared" si="82"/>
        <v>0</v>
      </c>
    </row>
    <row r="506" spans="1:68" ht="27" customHeight="1" x14ac:dyDescent="0.25">
      <c r="A506" s="54" t="s">
        <v>818</v>
      </c>
      <c r="B506" s="54" t="s">
        <v>819</v>
      </c>
      <c r="C506" s="31">
        <v>4301011584</v>
      </c>
      <c r="D506" s="672">
        <v>4640242180564</v>
      </c>
      <c r="E506" s="673"/>
      <c r="F506" s="656">
        <v>1.5</v>
      </c>
      <c r="G506" s="32">
        <v>8</v>
      </c>
      <c r="H506" s="656">
        <v>12</v>
      </c>
      <c r="I506" s="656">
        <v>12.435</v>
      </c>
      <c r="J506" s="32">
        <v>64</v>
      </c>
      <c r="K506" s="32" t="s">
        <v>93</v>
      </c>
      <c r="L506" s="32"/>
      <c r="M506" s="33" t="s">
        <v>94</v>
      </c>
      <c r="N506" s="33"/>
      <c r="O506" s="32">
        <v>50</v>
      </c>
      <c r="P506" s="881" t="s">
        <v>820</v>
      </c>
      <c r="Q506" s="667"/>
      <c r="R506" s="667"/>
      <c r="S506" s="667"/>
      <c r="T506" s="668"/>
      <c r="U506" s="34"/>
      <c r="V506" s="34"/>
      <c r="W506" s="35" t="s">
        <v>69</v>
      </c>
      <c r="X506" s="657">
        <v>50</v>
      </c>
      <c r="Y506" s="658">
        <f t="shared" si="78"/>
        <v>60</v>
      </c>
      <c r="Z506" s="36">
        <f>IFERROR(IF(Y506=0,"",ROUNDUP(Y506/H506,0)*0.01898),"")</f>
        <v>9.4899999999999998E-2</v>
      </c>
      <c r="AA506" s="56"/>
      <c r="AB506" s="57"/>
      <c r="AC506" s="585" t="s">
        <v>821</v>
      </c>
      <c r="AG506" s="64"/>
      <c r="AJ506" s="68"/>
      <c r="AK506" s="68">
        <v>0</v>
      </c>
      <c r="BB506" s="586" t="s">
        <v>1</v>
      </c>
      <c r="BM506" s="64">
        <f t="shared" si="79"/>
        <v>51.8125</v>
      </c>
      <c r="BN506" s="64">
        <f t="shared" si="80"/>
        <v>62.175000000000004</v>
      </c>
      <c r="BO506" s="64">
        <f t="shared" si="81"/>
        <v>6.5104166666666671E-2</v>
      </c>
      <c r="BP506" s="64">
        <f t="shared" si="82"/>
        <v>7.8125E-2</v>
      </c>
    </row>
    <row r="507" spans="1:68" ht="27" hidden="1" customHeight="1" x14ac:dyDescent="0.25">
      <c r="A507" s="54" t="s">
        <v>822</v>
      </c>
      <c r="B507" s="54" t="s">
        <v>823</v>
      </c>
      <c r="C507" s="31">
        <v>4301011762</v>
      </c>
      <c r="D507" s="672">
        <v>4640242180922</v>
      </c>
      <c r="E507" s="673"/>
      <c r="F507" s="656">
        <v>1.35</v>
      </c>
      <c r="G507" s="32">
        <v>8</v>
      </c>
      <c r="H507" s="656">
        <v>10.8</v>
      </c>
      <c r="I507" s="656">
        <v>11.234999999999999</v>
      </c>
      <c r="J507" s="32">
        <v>64</v>
      </c>
      <c r="K507" s="32" t="s">
        <v>93</v>
      </c>
      <c r="L507" s="32"/>
      <c r="M507" s="33" t="s">
        <v>94</v>
      </c>
      <c r="N507" s="33"/>
      <c r="O507" s="32">
        <v>55</v>
      </c>
      <c r="P507" s="1026" t="s">
        <v>824</v>
      </c>
      <c r="Q507" s="667"/>
      <c r="R507" s="667"/>
      <c r="S507" s="667"/>
      <c r="T507" s="668"/>
      <c r="U507" s="34"/>
      <c r="V507" s="34"/>
      <c r="W507" s="35" t="s">
        <v>69</v>
      </c>
      <c r="X507" s="657">
        <v>0</v>
      </c>
      <c r="Y507" s="658">
        <f t="shared" si="78"/>
        <v>0</v>
      </c>
      <c r="Z507" s="36" t="str">
        <f>IFERROR(IF(Y507=0,"",ROUNDUP(Y507/H507,0)*0.01898),"")</f>
        <v/>
      </c>
      <c r="AA507" s="56"/>
      <c r="AB507" s="57"/>
      <c r="AC507" s="587" t="s">
        <v>825</v>
      </c>
      <c r="AG507" s="64"/>
      <c r="AJ507" s="68"/>
      <c r="AK507" s="68">
        <v>0</v>
      </c>
      <c r="BB507" s="588" t="s">
        <v>1</v>
      </c>
      <c r="BM507" s="64">
        <f t="shared" si="79"/>
        <v>0</v>
      </c>
      <c r="BN507" s="64">
        <f t="shared" si="80"/>
        <v>0</v>
      </c>
      <c r="BO507" s="64">
        <f t="shared" si="81"/>
        <v>0</v>
      </c>
      <c r="BP507" s="64">
        <f t="shared" si="82"/>
        <v>0</v>
      </c>
    </row>
    <row r="508" spans="1:68" ht="27" hidden="1" customHeight="1" x14ac:dyDescent="0.25">
      <c r="A508" s="54" t="s">
        <v>826</v>
      </c>
      <c r="B508" s="54" t="s">
        <v>827</v>
      </c>
      <c r="C508" s="31">
        <v>4301011551</v>
      </c>
      <c r="D508" s="672">
        <v>4640242180038</v>
      </c>
      <c r="E508" s="673"/>
      <c r="F508" s="656">
        <v>0.4</v>
      </c>
      <c r="G508" s="32">
        <v>10</v>
      </c>
      <c r="H508" s="656">
        <v>4</v>
      </c>
      <c r="I508" s="656">
        <v>4.21</v>
      </c>
      <c r="J508" s="32">
        <v>132</v>
      </c>
      <c r="K508" s="32" t="s">
        <v>101</v>
      </c>
      <c r="L508" s="32"/>
      <c r="M508" s="33" t="s">
        <v>94</v>
      </c>
      <c r="N508" s="33"/>
      <c r="O508" s="32">
        <v>50</v>
      </c>
      <c r="P508" s="747" t="s">
        <v>828</v>
      </c>
      <c r="Q508" s="667"/>
      <c r="R508" s="667"/>
      <c r="S508" s="667"/>
      <c r="T508" s="668"/>
      <c r="U508" s="34"/>
      <c r="V508" s="34"/>
      <c r="W508" s="35" t="s">
        <v>69</v>
      </c>
      <c r="X508" s="657">
        <v>0</v>
      </c>
      <c r="Y508" s="658">
        <f t="shared" si="78"/>
        <v>0</v>
      </c>
      <c r="Z508" s="36" t="str">
        <f>IFERROR(IF(Y508=0,"",ROUNDUP(Y508/H508,0)*0.00902),"")</f>
        <v/>
      </c>
      <c r="AA508" s="56"/>
      <c r="AB508" s="57"/>
      <c r="AC508" s="589" t="s">
        <v>821</v>
      </c>
      <c r="AG508" s="64"/>
      <c r="AJ508" s="68"/>
      <c r="AK508" s="68">
        <v>0</v>
      </c>
      <c r="BB508" s="590" t="s">
        <v>1</v>
      </c>
      <c r="BM508" s="64">
        <f t="shared" si="79"/>
        <v>0</v>
      </c>
      <c r="BN508" s="64">
        <f t="shared" si="80"/>
        <v>0</v>
      </c>
      <c r="BO508" s="64">
        <f t="shared" si="81"/>
        <v>0</v>
      </c>
      <c r="BP508" s="64">
        <f t="shared" si="82"/>
        <v>0</v>
      </c>
    </row>
    <row r="509" spans="1:68" ht="27" hidden="1" customHeight="1" x14ac:dyDescent="0.25">
      <c r="A509" s="54" t="s">
        <v>829</v>
      </c>
      <c r="B509" s="54" t="s">
        <v>830</v>
      </c>
      <c r="C509" s="31">
        <v>4301011765</v>
      </c>
      <c r="D509" s="672">
        <v>4640242181172</v>
      </c>
      <c r="E509" s="673"/>
      <c r="F509" s="656">
        <v>0.4</v>
      </c>
      <c r="G509" s="32">
        <v>10</v>
      </c>
      <c r="H509" s="656">
        <v>4</v>
      </c>
      <c r="I509" s="656">
        <v>4.21</v>
      </c>
      <c r="J509" s="32">
        <v>132</v>
      </c>
      <c r="K509" s="32" t="s">
        <v>101</v>
      </c>
      <c r="L509" s="32"/>
      <c r="M509" s="33" t="s">
        <v>94</v>
      </c>
      <c r="N509" s="33"/>
      <c r="O509" s="32">
        <v>55</v>
      </c>
      <c r="P509" s="983" t="s">
        <v>831</v>
      </c>
      <c r="Q509" s="667"/>
      <c r="R509" s="667"/>
      <c r="S509" s="667"/>
      <c r="T509" s="668"/>
      <c r="U509" s="34"/>
      <c r="V509" s="34"/>
      <c r="W509" s="35" t="s">
        <v>69</v>
      </c>
      <c r="X509" s="657">
        <v>0</v>
      </c>
      <c r="Y509" s="658">
        <f t="shared" si="78"/>
        <v>0</v>
      </c>
      <c r="Z509" s="36" t="str">
        <f>IFERROR(IF(Y509=0,"",ROUNDUP(Y509/H509,0)*0.00902),"")</f>
        <v/>
      </c>
      <c r="AA509" s="56"/>
      <c r="AB509" s="57"/>
      <c r="AC509" s="591" t="s">
        <v>825</v>
      </c>
      <c r="AG509" s="64"/>
      <c r="AJ509" s="68"/>
      <c r="AK509" s="68">
        <v>0</v>
      </c>
      <c r="BB509" s="592" t="s">
        <v>1</v>
      </c>
      <c r="BM509" s="64">
        <f t="shared" si="79"/>
        <v>0</v>
      </c>
      <c r="BN509" s="64">
        <f t="shared" si="80"/>
        <v>0</v>
      </c>
      <c r="BO509" s="64">
        <f t="shared" si="81"/>
        <v>0</v>
      </c>
      <c r="BP509" s="64">
        <f t="shared" si="82"/>
        <v>0</v>
      </c>
    </row>
    <row r="510" spans="1:68" x14ac:dyDescent="0.2">
      <c r="A510" s="679"/>
      <c r="B510" s="680"/>
      <c r="C510" s="680"/>
      <c r="D510" s="680"/>
      <c r="E510" s="680"/>
      <c r="F510" s="680"/>
      <c r="G510" s="680"/>
      <c r="H510" s="680"/>
      <c r="I510" s="680"/>
      <c r="J510" s="680"/>
      <c r="K510" s="680"/>
      <c r="L510" s="680"/>
      <c r="M510" s="680"/>
      <c r="N510" s="680"/>
      <c r="O510" s="681"/>
      <c r="P510" s="663" t="s">
        <v>80</v>
      </c>
      <c r="Q510" s="664"/>
      <c r="R510" s="664"/>
      <c r="S510" s="664"/>
      <c r="T510" s="664"/>
      <c r="U510" s="664"/>
      <c r="V510" s="665"/>
      <c r="W510" s="37" t="s">
        <v>81</v>
      </c>
      <c r="X510" s="659">
        <f>IFERROR(X504/H504,"0")+IFERROR(X505/H505,"0")+IFERROR(X506/H506,"0")+IFERROR(X507/H507,"0")+IFERROR(X508/H508,"0")+IFERROR(X509/H509,"0")</f>
        <v>4.166666666666667</v>
      </c>
      <c r="Y510" s="659">
        <f>IFERROR(Y504/H504,"0")+IFERROR(Y505/H505,"0")+IFERROR(Y506/H506,"0")+IFERROR(Y507/H507,"0")+IFERROR(Y508/H508,"0")+IFERROR(Y509/H509,"0")</f>
        <v>5</v>
      </c>
      <c r="Z510" s="659">
        <f>IFERROR(IF(Z504="",0,Z504),"0")+IFERROR(IF(Z505="",0,Z505),"0")+IFERROR(IF(Z506="",0,Z506),"0")+IFERROR(IF(Z507="",0,Z507),"0")+IFERROR(IF(Z508="",0,Z508),"0")+IFERROR(IF(Z509="",0,Z509),"0")</f>
        <v>9.4899999999999998E-2</v>
      </c>
      <c r="AA510" s="660"/>
      <c r="AB510" s="660"/>
      <c r="AC510" s="660"/>
    </row>
    <row r="511" spans="1:68" x14ac:dyDescent="0.2">
      <c r="A511" s="680"/>
      <c r="B511" s="680"/>
      <c r="C511" s="680"/>
      <c r="D511" s="680"/>
      <c r="E511" s="680"/>
      <c r="F511" s="680"/>
      <c r="G511" s="680"/>
      <c r="H511" s="680"/>
      <c r="I511" s="680"/>
      <c r="J511" s="680"/>
      <c r="K511" s="680"/>
      <c r="L511" s="680"/>
      <c r="M511" s="680"/>
      <c r="N511" s="680"/>
      <c r="O511" s="681"/>
      <c r="P511" s="663" t="s">
        <v>80</v>
      </c>
      <c r="Q511" s="664"/>
      <c r="R511" s="664"/>
      <c r="S511" s="664"/>
      <c r="T511" s="664"/>
      <c r="U511" s="664"/>
      <c r="V511" s="665"/>
      <c r="W511" s="37" t="s">
        <v>69</v>
      </c>
      <c r="X511" s="659">
        <f>IFERROR(SUM(X504:X509),"0")</f>
        <v>50</v>
      </c>
      <c r="Y511" s="659">
        <f>IFERROR(SUM(Y504:Y509),"0")</f>
        <v>60</v>
      </c>
      <c r="Z511" s="37"/>
      <c r="AA511" s="660"/>
      <c r="AB511" s="660"/>
      <c r="AC511" s="660"/>
    </row>
    <row r="512" spans="1:68" ht="14.25" hidden="1" customHeight="1" x14ac:dyDescent="0.25">
      <c r="A512" s="682" t="s">
        <v>133</v>
      </c>
      <c r="B512" s="680"/>
      <c r="C512" s="680"/>
      <c r="D512" s="680"/>
      <c r="E512" s="680"/>
      <c r="F512" s="680"/>
      <c r="G512" s="680"/>
      <c r="H512" s="680"/>
      <c r="I512" s="680"/>
      <c r="J512" s="680"/>
      <c r="K512" s="680"/>
      <c r="L512" s="680"/>
      <c r="M512" s="680"/>
      <c r="N512" s="680"/>
      <c r="O512" s="680"/>
      <c r="P512" s="680"/>
      <c r="Q512" s="680"/>
      <c r="R512" s="680"/>
      <c r="S512" s="680"/>
      <c r="T512" s="680"/>
      <c r="U512" s="680"/>
      <c r="V512" s="680"/>
      <c r="W512" s="680"/>
      <c r="X512" s="680"/>
      <c r="Y512" s="680"/>
      <c r="Z512" s="680"/>
      <c r="AA512" s="653"/>
      <c r="AB512" s="653"/>
      <c r="AC512" s="653"/>
    </row>
    <row r="513" spans="1:68" ht="16.5" hidden="1" customHeight="1" x14ac:dyDescent="0.25">
      <c r="A513" s="54" t="s">
        <v>832</v>
      </c>
      <c r="B513" s="54" t="s">
        <v>833</v>
      </c>
      <c r="C513" s="31">
        <v>4301020400</v>
      </c>
      <c r="D513" s="672">
        <v>4640242180519</v>
      </c>
      <c r="E513" s="673"/>
      <c r="F513" s="656">
        <v>1.5</v>
      </c>
      <c r="G513" s="32">
        <v>8</v>
      </c>
      <c r="H513" s="656">
        <v>12</v>
      </c>
      <c r="I513" s="656">
        <v>12.435</v>
      </c>
      <c r="J513" s="32">
        <v>64</v>
      </c>
      <c r="K513" s="32" t="s">
        <v>93</v>
      </c>
      <c r="L513" s="32"/>
      <c r="M513" s="33" t="s">
        <v>94</v>
      </c>
      <c r="N513" s="33"/>
      <c r="O513" s="32">
        <v>50</v>
      </c>
      <c r="P513" s="950" t="s">
        <v>834</v>
      </c>
      <c r="Q513" s="667"/>
      <c r="R513" s="667"/>
      <c r="S513" s="667"/>
      <c r="T513" s="668"/>
      <c r="U513" s="34"/>
      <c r="V513" s="34"/>
      <c r="W513" s="35" t="s">
        <v>69</v>
      </c>
      <c r="X513" s="657">
        <v>0</v>
      </c>
      <c r="Y513" s="65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93" t="s">
        <v>835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832</v>
      </c>
      <c r="B514" s="54" t="s">
        <v>836</v>
      </c>
      <c r="C514" s="31">
        <v>4301020269</v>
      </c>
      <c r="D514" s="672">
        <v>4640242180519</v>
      </c>
      <c r="E514" s="673"/>
      <c r="F514" s="656">
        <v>1.35</v>
      </c>
      <c r="G514" s="32">
        <v>8</v>
      </c>
      <c r="H514" s="656">
        <v>10.8</v>
      </c>
      <c r="I514" s="656">
        <v>11.234999999999999</v>
      </c>
      <c r="J514" s="32">
        <v>64</v>
      </c>
      <c r="K514" s="32" t="s">
        <v>93</v>
      </c>
      <c r="L514" s="32"/>
      <c r="M514" s="33" t="s">
        <v>103</v>
      </c>
      <c r="N514" s="33"/>
      <c r="O514" s="32">
        <v>50</v>
      </c>
      <c r="P514" s="835" t="s">
        <v>837</v>
      </c>
      <c r="Q514" s="667"/>
      <c r="R514" s="667"/>
      <c r="S514" s="667"/>
      <c r="T514" s="668"/>
      <c r="U514" s="34"/>
      <c r="V514" s="34"/>
      <c r="W514" s="35" t="s">
        <v>69</v>
      </c>
      <c r="X514" s="657">
        <v>0</v>
      </c>
      <c r="Y514" s="65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5" t="s">
        <v>838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839</v>
      </c>
      <c r="B515" s="54" t="s">
        <v>840</v>
      </c>
      <c r="C515" s="31">
        <v>4301020260</v>
      </c>
      <c r="D515" s="672">
        <v>4640242180526</v>
      </c>
      <c r="E515" s="673"/>
      <c r="F515" s="656">
        <v>1.8</v>
      </c>
      <c r="G515" s="32">
        <v>6</v>
      </c>
      <c r="H515" s="656">
        <v>10.8</v>
      </c>
      <c r="I515" s="656">
        <v>11.234999999999999</v>
      </c>
      <c r="J515" s="32">
        <v>64</v>
      </c>
      <c r="K515" s="32" t="s">
        <v>93</v>
      </c>
      <c r="L515" s="32"/>
      <c r="M515" s="33" t="s">
        <v>94</v>
      </c>
      <c r="N515" s="33"/>
      <c r="O515" s="32">
        <v>50</v>
      </c>
      <c r="P515" s="976" t="s">
        <v>841</v>
      </c>
      <c r="Q515" s="667"/>
      <c r="R515" s="667"/>
      <c r="S515" s="667"/>
      <c r="T515" s="668"/>
      <c r="U515" s="34"/>
      <c r="V515" s="34"/>
      <c r="W515" s="35" t="s">
        <v>69</v>
      </c>
      <c r="X515" s="657">
        <v>0</v>
      </c>
      <c r="Y515" s="658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97" t="s">
        <v>838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842</v>
      </c>
      <c r="B516" s="54" t="s">
        <v>843</v>
      </c>
      <c r="C516" s="31">
        <v>4301020309</v>
      </c>
      <c r="D516" s="672">
        <v>4640242180090</v>
      </c>
      <c r="E516" s="673"/>
      <c r="F516" s="656">
        <v>1.35</v>
      </c>
      <c r="G516" s="32">
        <v>8</v>
      </c>
      <c r="H516" s="656">
        <v>10.8</v>
      </c>
      <c r="I516" s="656">
        <v>11.234999999999999</v>
      </c>
      <c r="J516" s="32">
        <v>64</v>
      </c>
      <c r="K516" s="32" t="s">
        <v>93</v>
      </c>
      <c r="L516" s="32"/>
      <c r="M516" s="33" t="s">
        <v>94</v>
      </c>
      <c r="N516" s="33"/>
      <c r="O516" s="32">
        <v>50</v>
      </c>
      <c r="P516" s="776" t="s">
        <v>844</v>
      </c>
      <c r="Q516" s="667"/>
      <c r="R516" s="667"/>
      <c r="S516" s="667"/>
      <c r="T516" s="668"/>
      <c r="U516" s="34"/>
      <c r="V516" s="34"/>
      <c r="W516" s="35" t="s">
        <v>69</v>
      </c>
      <c r="X516" s="657">
        <v>0</v>
      </c>
      <c r="Y516" s="658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99" t="s">
        <v>845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846</v>
      </c>
      <c r="B517" s="54" t="s">
        <v>847</v>
      </c>
      <c r="C517" s="31">
        <v>4301020295</v>
      </c>
      <c r="D517" s="672">
        <v>4640242181363</v>
      </c>
      <c r="E517" s="673"/>
      <c r="F517" s="656">
        <v>0.4</v>
      </c>
      <c r="G517" s="32">
        <v>10</v>
      </c>
      <c r="H517" s="656">
        <v>4</v>
      </c>
      <c r="I517" s="656">
        <v>4.21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50</v>
      </c>
      <c r="P517" s="871" t="s">
        <v>848</v>
      </c>
      <c r="Q517" s="667"/>
      <c r="R517" s="667"/>
      <c r="S517" s="667"/>
      <c r="T517" s="668"/>
      <c r="U517" s="34"/>
      <c r="V517" s="34"/>
      <c r="W517" s="35" t="s">
        <v>69</v>
      </c>
      <c r="X517" s="657">
        <v>0</v>
      </c>
      <c r="Y517" s="658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845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63" t="s">
        <v>80</v>
      </c>
      <c r="Q518" s="664"/>
      <c r="R518" s="664"/>
      <c r="S518" s="664"/>
      <c r="T518" s="664"/>
      <c r="U518" s="664"/>
      <c r="V518" s="665"/>
      <c r="W518" s="37" t="s">
        <v>81</v>
      </c>
      <c r="X518" s="659">
        <f>IFERROR(X513/H513,"0")+IFERROR(X514/H514,"0")+IFERROR(X515/H515,"0")+IFERROR(X516/H516,"0")+IFERROR(X517/H517,"0")</f>
        <v>0</v>
      </c>
      <c r="Y518" s="659">
        <f>IFERROR(Y513/H513,"0")+IFERROR(Y514/H514,"0")+IFERROR(Y515/H515,"0")+IFERROR(Y516/H516,"0")+IFERROR(Y517/H517,"0")</f>
        <v>0</v>
      </c>
      <c r="Z518" s="659">
        <f>IFERROR(IF(Z513="",0,Z513),"0")+IFERROR(IF(Z514="",0,Z514),"0")+IFERROR(IF(Z515="",0,Z515),"0")+IFERROR(IF(Z516="",0,Z516),"0")+IFERROR(IF(Z517="",0,Z517),"0")</f>
        <v>0</v>
      </c>
      <c r="AA518" s="660"/>
      <c r="AB518" s="660"/>
      <c r="AC518" s="660"/>
    </row>
    <row r="519" spans="1:68" hidden="1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63" t="s">
        <v>80</v>
      </c>
      <c r="Q519" s="664"/>
      <c r="R519" s="664"/>
      <c r="S519" s="664"/>
      <c r="T519" s="664"/>
      <c r="U519" s="664"/>
      <c r="V519" s="665"/>
      <c r="W519" s="37" t="s">
        <v>69</v>
      </c>
      <c r="X519" s="659">
        <f>IFERROR(SUM(X513:X517),"0")</f>
        <v>0</v>
      </c>
      <c r="Y519" s="659">
        <f>IFERROR(SUM(Y513:Y517),"0")</f>
        <v>0</v>
      </c>
      <c r="Z519" s="37"/>
      <c r="AA519" s="660"/>
      <c r="AB519" s="660"/>
      <c r="AC519" s="660"/>
    </row>
    <row r="520" spans="1:68" ht="14.25" hidden="1" customHeight="1" x14ac:dyDescent="0.25">
      <c r="A520" s="682" t="s">
        <v>146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53"/>
      <c r="AB520" s="653"/>
      <c r="AC520" s="653"/>
    </row>
    <row r="521" spans="1:68" ht="27" hidden="1" customHeight="1" x14ac:dyDescent="0.25">
      <c r="A521" s="54" t="s">
        <v>849</v>
      </c>
      <c r="B521" s="54" t="s">
        <v>850</v>
      </c>
      <c r="C521" s="31">
        <v>4301031280</v>
      </c>
      <c r="D521" s="672">
        <v>4640242180816</v>
      </c>
      <c r="E521" s="673"/>
      <c r="F521" s="656">
        <v>0.7</v>
      </c>
      <c r="G521" s="32">
        <v>6</v>
      </c>
      <c r="H521" s="656">
        <v>4.2</v>
      </c>
      <c r="I521" s="656">
        <v>4.47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40</v>
      </c>
      <c r="P521" s="714" t="s">
        <v>851</v>
      </c>
      <c r="Q521" s="667"/>
      <c r="R521" s="667"/>
      <c r="S521" s="667"/>
      <c r="T521" s="668"/>
      <c r="U521" s="34"/>
      <c r="V521" s="34"/>
      <c r="W521" s="35" t="s">
        <v>69</v>
      </c>
      <c r="X521" s="657">
        <v>0</v>
      </c>
      <c r="Y521" s="658">
        <f t="shared" ref="Y521:Y527" si="83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03" t="s">
        <v>852</v>
      </c>
      <c r="AG521" s="64"/>
      <c r="AJ521" s="68"/>
      <c r="AK521" s="68">
        <v>0</v>
      </c>
      <c r="BB521" s="604" t="s">
        <v>1</v>
      </c>
      <c r="BM521" s="64">
        <f t="shared" ref="BM521:BM527" si="84">IFERROR(X521*I521/H521,"0")</f>
        <v>0</v>
      </c>
      <c r="BN521" s="64">
        <f t="shared" ref="BN521:BN527" si="85">IFERROR(Y521*I521/H521,"0")</f>
        <v>0</v>
      </c>
      <c r="BO521" s="64">
        <f t="shared" ref="BO521:BO527" si="86">IFERROR(1/J521*(X521/H521),"0")</f>
        <v>0</v>
      </c>
      <c r="BP521" s="64">
        <f t="shared" ref="BP521:BP527" si="87">IFERROR(1/J521*(Y521/H521),"0")</f>
        <v>0</v>
      </c>
    </row>
    <row r="522" spans="1:68" ht="27" hidden="1" customHeight="1" x14ac:dyDescent="0.25">
      <c r="A522" s="54" t="s">
        <v>853</v>
      </c>
      <c r="B522" s="54" t="s">
        <v>854</v>
      </c>
      <c r="C522" s="31">
        <v>4301031244</v>
      </c>
      <c r="D522" s="672">
        <v>4640242180595</v>
      </c>
      <c r="E522" s="673"/>
      <c r="F522" s="656">
        <v>0.7</v>
      </c>
      <c r="G522" s="32">
        <v>6</v>
      </c>
      <c r="H522" s="656">
        <v>4.2</v>
      </c>
      <c r="I522" s="656">
        <v>4.47</v>
      </c>
      <c r="J522" s="32">
        <v>132</v>
      </c>
      <c r="K522" s="32" t="s">
        <v>101</v>
      </c>
      <c r="L522" s="32"/>
      <c r="M522" s="33" t="s">
        <v>68</v>
      </c>
      <c r="N522" s="33"/>
      <c r="O522" s="32">
        <v>40</v>
      </c>
      <c r="P522" s="779" t="s">
        <v>855</v>
      </c>
      <c r="Q522" s="667"/>
      <c r="R522" s="667"/>
      <c r="S522" s="667"/>
      <c r="T522" s="668"/>
      <c r="U522" s="34"/>
      <c r="V522" s="34"/>
      <c r="W522" s="35" t="s">
        <v>69</v>
      </c>
      <c r="X522" s="657">
        <v>0</v>
      </c>
      <c r="Y522" s="658">
        <f t="shared" si="83"/>
        <v>0</v>
      </c>
      <c r="Z522" s="36" t="str">
        <f>IFERROR(IF(Y522=0,"",ROUNDUP(Y522/H522,0)*0.00902),"")</f>
        <v/>
      </c>
      <c r="AA522" s="56"/>
      <c r="AB522" s="57"/>
      <c r="AC522" s="605" t="s">
        <v>856</v>
      </c>
      <c r="AG522" s="64"/>
      <c r="AJ522" s="68"/>
      <c r="AK522" s="68">
        <v>0</v>
      </c>
      <c r="BB522" s="606" t="s">
        <v>1</v>
      </c>
      <c r="BM522" s="64">
        <f t="shared" si="84"/>
        <v>0</v>
      </c>
      <c r="BN522" s="64">
        <f t="shared" si="85"/>
        <v>0</v>
      </c>
      <c r="BO522" s="64">
        <f t="shared" si="86"/>
        <v>0</v>
      </c>
      <c r="BP522" s="64">
        <f t="shared" si="87"/>
        <v>0</v>
      </c>
    </row>
    <row r="523" spans="1:68" ht="27" hidden="1" customHeight="1" x14ac:dyDescent="0.25">
      <c r="A523" s="54" t="s">
        <v>857</v>
      </c>
      <c r="B523" s="54" t="s">
        <v>858</v>
      </c>
      <c r="C523" s="31">
        <v>4301031289</v>
      </c>
      <c r="D523" s="672">
        <v>4640242181615</v>
      </c>
      <c r="E523" s="673"/>
      <c r="F523" s="656">
        <v>0.7</v>
      </c>
      <c r="G523" s="32">
        <v>6</v>
      </c>
      <c r="H523" s="656">
        <v>4.2</v>
      </c>
      <c r="I523" s="656">
        <v>4.41</v>
      </c>
      <c r="J523" s="32">
        <v>132</v>
      </c>
      <c r="K523" s="32" t="s">
        <v>101</v>
      </c>
      <c r="L523" s="32"/>
      <c r="M523" s="33" t="s">
        <v>68</v>
      </c>
      <c r="N523" s="33"/>
      <c r="O523" s="32">
        <v>45</v>
      </c>
      <c r="P523" s="772" t="s">
        <v>859</v>
      </c>
      <c r="Q523" s="667"/>
      <c r="R523" s="667"/>
      <c r="S523" s="667"/>
      <c r="T523" s="668"/>
      <c r="U523" s="34"/>
      <c r="V523" s="34"/>
      <c r="W523" s="35" t="s">
        <v>69</v>
      </c>
      <c r="X523" s="657">
        <v>0</v>
      </c>
      <c r="Y523" s="658">
        <f t="shared" si="83"/>
        <v>0</v>
      </c>
      <c r="Z523" s="36" t="str">
        <f>IFERROR(IF(Y523=0,"",ROUNDUP(Y523/H523,0)*0.00902),"")</f>
        <v/>
      </c>
      <c r="AA523" s="56"/>
      <c r="AB523" s="57"/>
      <c r="AC523" s="607" t="s">
        <v>860</v>
      </c>
      <c r="AG523" s="64"/>
      <c r="AJ523" s="68"/>
      <c r="AK523" s="68">
        <v>0</v>
      </c>
      <c r="BB523" s="608" t="s">
        <v>1</v>
      </c>
      <c r="BM523" s="64">
        <f t="shared" si="84"/>
        <v>0</v>
      </c>
      <c r="BN523" s="64">
        <f t="shared" si="85"/>
        <v>0</v>
      </c>
      <c r="BO523" s="64">
        <f t="shared" si="86"/>
        <v>0</v>
      </c>
      <c r="BP523" s="64">
        <f t="shared" si="87"/>
        <v>0</v>
      </c>
    </row>
    <row r="524" spans="1:68" ht="27" hidden="1" customHeight="1" x14ac:dyDescent="0.25">
      <c r="A524" s="54" t="s">
        <v>861</v>
      </c>
      <c r="B524" s="54" t="s">
        <v>862</v>
      </c>
      <c r="C524" s="31">
        <v>4301031285</v>
      </c>
      <c r="D524" s="672">
        <v>4640242181639</v>
      </c>
      <c r="E524" s="673"/>
      <c r="F524" s="656">
        <v>0.7</v>
      </c>
      <c r="G524" s="32">
        <v>6</v>
      </c>
      <c r="H524" s="656">
        <v>4.2</v>
      </c>
      <c r="I524" s="656">
        <v>4.41</v>
      </c>
      <c r="J524" s="32">
        <v>132</v>
      </c>
      <c r="K524" s="32" t="s">
        <v>101</v>
      </c>
      <c r="L524" s="32"/>
      <c r="M524" s="33" t="s">
        <v>68</v>
      </c>
      <c r="N524" s="33"/>
      <c r="O524" s="32">
        <v>45</v>
      </c>
      <c r="P524" s="787" t="s">
        <v>863</v>
      </c>
      <c r="Q524" s="667"/>
      <c r="R524" s="667"/>
      <c r="S524" s="667"/>
      <c r="T524" s="668"/>
      <c r="U524" s="34"/>
      <c r="V524" s="34"/>
      <c r="W524" s="35" t="s">
        <v>69</v>
      </c>
      <c r="X524" s="657">
        <v>0</v>
      </c>
      <c r="Y524" s="658">
        <f t="shared" si="83"/>
        <v>0</v>
      </c>
      <c r="Z524" s="36" t="str">
        <f>IFERROR(IF(Y524=0,"",ROUNDUP(Y524/H524,0)*0.00902),"")</f>
        <v/>
      </c>
      <c r="AA524" s="56"/>
      <c r="AB524" s="57"/>
      <c r="AC524" s="609" t="s">
        <v>864</v>
      </c>
      <c r="AG524" s="64"/>
      <c r="AJ524" s="68"/>
      <c r="AK524" s="68">
        <v>0</v>
      </c>
      <c r="BB524" s="610" t="s">
        <v>1</v>
      </c>
      <c r="BM524" s="64">
        <f t="shared" si="84"/>
        <v>0</v>
      </c>
      <c r="BN524" s="64">
        <f t="shared" si="85"/>
        <v>0</v>
      </c>
      <c r="BO524" s="64">
        <f t="shared" si="86"/>
        <v>0</v>
      </c>
      <c r="BP524" s="64">
        <f t="shared" si="87"/>
        <v>0</v>
      </c>
    </row>
    <row r="525" spans="1:68" ht="27" hidden="1" customHeight="1" x14ac:dyDescent="0.25">
      <c r="A525" s="54" t="s">
        <v>865</v>
      </c>
      <c r="B525" s="54" t="s">
        <v>866</v>
      </c>
      <c r="C525" s="31">
        <v>4301031287</v>
      </c>
      <c r="D525" s="672">
        <v>4640242181622</v>
      </c>
      <c r="E525" s="673"/>
      <c r="F525" s="656">
        <v>0.7</v>
      </c>
      <c r="G525" s="32">
        <v>6</v>
      </c>
      <c r="H525" s="656">
        <v>4.2</v>
      </c>
      <c r="I525" s="656">
        <v>4.41</v>
      </c>
      <c r="J525" s="32">
        <v>132</v>
      </c>
      <c r="K525" s="32" t="s">
        <v>101</v>
      </c>
      <c r="L525" s="32"/>
      <c r="M525" s="33" t="s">
        <v>68</v>
      </c>
      <c r="N525" s="33"/>
      <c r="O525" s="32">
        <v>45</v>
      </c>
      <c r="P525" s="932" t="s">
        <v>867</v>
      </c>
      <c r="Q525" s="667"/>
      <c r="R525" s="667"/>
      <c r="S525" s="667"/>
      <c r="T525" s="668"/>
      <c r="U525" s="34"/>
      <c r="V525" s="34"/>
      <c r="W525" s="35" t="s">
        <v>69</v>
      </c>
      <c r="X525" s="657">
        <v>0</v>
      </c>
      <c r="Y525" s="658">
        <f t="shared" si="83"/>
        <v>0</v>
      </c>
      <c r="Z525" s="36" t="str">
        <f>IFERROR(IF(Y525=0,"",ROUNDUP(Y525/H525,0)*0.00902),"")</f>
        <v/>
      </c>
      <c r="AA525" s="56"/>
      <c r="AB525" s="57"/>
      <c r="AC525" s="611" t="s">
        <v>868</v>
      </c>
      <c r="AG525" s="64"/>
      <c r="AJ525" s="68"/>
      <c r="AK525" s="68">
        <v>0</v>
      </c>
      <c r="BB525" s="612" t="s">
        <v>1</v>
      </c>
      <c r="BM525" s="64">
        <f t="shared" si="84"/>
        <v>0</v>
      </c>
      <c r="BN525" s="64">
        <f t="shared" si="85"/>
        <v>0</v>
      </c>
      <c r="BO525" s="64">
        <f t="shared" si="86"/>
        <v>0</v>
      </c>
      <c r="BP525" s="64">
        <f t="shared" si="87"/>
        <v>0</v>
      </c>
    </row>
    <row r="526" spans="1:68" ht="27" hidden="1" customHeight="1" x14ac:dyDescent="0.25">
      <c r="A526" s="54" t="s">
        <v>869</v>
      </c>
      <c r="B526" s="54" t="s">
        <v>870</v>
      </c>
      <c r="C526" s="31">
        <v>4301031203</v>
      </c>
      <c r="D526" s="672">
        <v>4640242180908</v>
      </c>
      <c r="E526" s="673"/>
      <c r="F526" s="656">
        <v>0.28000000000000003</v>
      </c>
      <c r="G526" s="32">
        <v>6</v>
      </c>
      <c r="H526" s="656">
        <v>1.68</v>
      </c>
      <c r="I526" s="656">
        <v>1.81</v>
      </c>
      <c r="J526" s="32">
        <v>234</v>
      </c>
      <c r="K526" s="32" t="s">
        <v>149</v>
      </c>
      <c r="L526" s="32"/>
      <c r="M526" s="33" t="s">
        <v>68</v>
      </c>
      <c r="N526" s="33"/>
      <c r="O526" s="32">
        <v>40</v>
      </c>
      <c r="P526" s="906" t="s">
        <v>871</v>
      </c>
      <c r="Q526" s="667"/>
      <c r="R526" s="667"/>
      <c r="S526" s="667"/>
      <c r="T526" s="668"/>
      <c r="U526" s="34"/>
      <c r="V526" s="34"/>
      <c r="W526" s="35" t="s">
        <v>69</v>
      </c>
      <c r="X526" s="657">
        <v>0</v>
      </c>
      <c r="Y526" s="658">
        <f t="shared" si="83"/>
        <v>0</v>
      </c>
      <c r="Z526" s="36" t="str">
        <f>IFERROR(IF(Y526=0,"",ROUNDUP(Y526/H526,0)*0.00502),"")</f>
        <v/>
      </c>
      <c r="AA526" s="56"/>
      <c r="AB526" s="57"/>
      <c r="AC526" s="613" t="s">
        <v>852</v>
      </c>
      <c r="AG526" s="64"/>
      <c r="AJ526" s="68"/>
      <c r="AK526" s="68">
        <v>0</v>
      </c>
      <c r="BB526" s="614" t="s">
        <v>1</v>
      </c>
      <c r="BM526" s="64">
        <f t="shared" si="84"/>
        <v>0</v>
      </c>
      <c r="BN526" s="64">
        <f t="shared" si="85"/>
        <v>0</v>
      </c>
      <c r="BO526" s="64">
        <f t="shared" si="86"/>
        <v>0</v>
      </c>
      <c r="BP526" s="64">
        <f t="shared" si="87"/>
        <v>0</v>
      </c>
    </row>
    <row r="527" spans="1:68" ht="27" hidden="1" customHeight="1" x14ac:dyDescent="0.25">
      <c r="A527" s="54" t="s">
        <v>872</v>
      </c>
      <c r="B527" s="54" t="s">
        <v>873</v>
      </c>
      <c r="C527" s="31">
        <v>4301031200</v>
      </c>
      <c r="D527" s="672">
        <v>4640242180489</v>
      </c>
      <c r="E527" s="673"/>
      <c r="F527" s="656">
        <v>0.28000000000000003</v>
      </c>
      <c r="G527" s="32">
        <v>6</v>
      </c>
      <c r="H527" s="656">
        <v>1.68</v>
      </c>
      <c r="I527" s="656">
        <v>1.84</v>
      </c>
      <c r="J527" s="32">
        <v>234</v>
      </c>
      <c r="K527" s="32" t="s">
        <v>149</v>
      </c>
      <c r="L527" s="32"/>
      <c r="M527" s="33" t="s">
        <v>68</v>
      </c>
      <c r="N527" s="33"/>
      <c r="O527" s="32">
        <v>40</v>
      </c>
      <c r="P527" s="726" t="s">
        <v>874</v>
      </c>
      <c r="Q527" s="667"/>
      <c r="R527" s="667"/>
      <c r="S527" s="667"/>
      <c r="T527" s="668"/>
      <c r="U527" s="34"/>
      <c r="V527" s="34"/>
      <c r="W527" s="35" t="s">
        <v>69</v>
      </c>
      <c r="X527" s="657">
        <v>0</v>
      </c>
      <c r="Y527" s="658">
        <f t="shared" si="83"/>
        <v>0</v>
      </c>
      <c r="Z527" s="36" t="str">
        <f>IFERROR(IF(Y527=0,"",ROUNDUP(Y527/H527,0)*0.00502),"")</f>
        <v/>
      </c>
      <c r="AA527" s="56"/>
      <c r="AB527" s="57"/>
      <c r="AC527" s="615" t="s">
        <v>856</v>
      </c>
      <c r="AG527" s="64"/>
      <c r="AJ527" s="68"/>
      <c r="AK527" s="68">
        <v>0</v>
      </c>
      <c r="BB527" s="616" t="s">
        <v>1</v>
      </c>
      <c r="BM527" s="64">
        <f t="shared" si="84"/>
        <v>0</v>
      </c>
      <c r="BN527" s="64">
        <f t="shared" si="85"/>
        <v>0</v>
      </c>
      <c r="BO527" s="64">
        <f t="shared" si="86"/>
        <v>0</v>
      </c>
      <c r="BP527" s="64">
        <f t="shared" si="87"/>
        <v>0</v>
      </c>
    </row>
    <row r="528" spans="1:68" hidden="1" x14ac:dyDescent="0.2">
      <c r="A528" s="679"/>
      <c r="B528" s="680"/>
      <c r="C528" s="680"/>
      <c r="D528" s="680"/>
      <c r="E528" s="680"/>
      <c r="F528" s="680"/>
      <c r="G528" s="680"/>
      <c r="H528" s="680"/>
      <c r="I528" s="680"/>
      <c r="J528" s="680"/>
      <c r="K528" s="680"/>
      <c r="L528" s="680"/>
      <c r="M528" s="680"/>
      <c r="N528" s="680"/>
      <c r="O528" s="681"/>
      <c r="P528" s="663" t="s">
        <v>80</v>
      </c>
      <c r="Q528" s="664"/>
      <c r="R528" s="664"/>
      <c r="S528" s="664"/>
      <c r="T528" s="664"/>
      <c r="U528" s="664"/>
      <c r="V528" s="665"/>
      <c r="W528" s="37" t="s">
        <v>81</v>
      </c>
      <c r="X528" s="659">
        <f>IFERROR(X521/H521,"0")+IFERROR(X522/H522,"0")+IFERROR(X523/H523,"0")+IFERROR(X524/H524,"0")+IFERROR(X525/H525,"0")+IFERROR(X526/H526,"0")+IFERROR(X527/H527,"0")</f>
        <v>0</v>
      </c>
      <c r="Y528" s="659">
        <f>IFERROR(Y521/H521,"0")+IFERROR(Y522/H522,"0")+IFERROR(Y523/H523,"0")+IFERROR(Y524/H524,"0")+IFERROR(Y525/H525,"0")+IFERROR(Y526/H526,"0")+IFERROR(Y527/H527,"0")</f>
        <v>0</v>
      </c>
      <c r="Z528" s="65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60"/>
      <c r="AB528" s="660"/>
      <c r="AC528" s="660"/>
    </row>
    <row r="529" spans="1:68" hidden="1" x14ac:dyDescent="0.2">
      <c r="A529" s="680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63" t="s">
        <v>80</v>
      </c>
      <c r="Q529" s="664"/>
      <c r="R529" s="664"/>
      <c r="S529" s="664"/>
      <c r="T529" s="664"/>
      <c r="U529" s="664"/>
      <c r="V529" s="665"/>
      <c r="W529" s="37" t="s">
        <v>69</v>
      </c>
      <c r="X529" s="659">
        <f>IFERROR(SUM(X521:X527),"0")</f>
        <v>0</v>
      </c>
      <c r="Y529" s="659">
        <f>IFERROR(SUM(Y521:Y527),"0")</f>
        <v>0</v>
      </c>
      <c r="Z529" s="37"/>
      <c r="AA529" s="660"/>
      <c r="AB529" s="660"/>
      <c r="AC529" s="660"/>
    </row>
    <row r="530" spans="1:68" ht="14.25" hidden="1" customHeight="1" x14ac:dyDescent="0.25">
      <c r="A530" s="682" t="s">
        <v>64</v>
      </c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0"/>
      <c r="P530" s="680"/>
      <c r="Q530" s="680"/>
      <c r="R530" s="680"/>
      <c r="S530" s="680"/>
      <c r="T530" s="680"/>
      <c r="U530" s="680"/>
      <c r="V530" s="680"/>
      <c r="W530" s="680"/>
      <c r="X530" s="680"/>
      <c r="Y530" s="680"/>
      <c r="Z530" s="680"/>
      <c r="AA530" s="653"/>
      <c r="AB530" s="653"/>
      <c r="AC530" s="653"/>
    </row>
    <row r="531" spans="1:68" ht="27" hidden="1" customHeight="1" x14ac:dyDescent="0.25">
      <c r="A531" s="54" t="s">
        <v>875</v>
      </c>
      <c r="B531" s="54" t="s">
        <v>876</v>
      </c>
      <c r="C531" s="31">
        <v>4301052046</v>
      </c>
      <c r="D531" s="672">
        <v>4640242180533</v>
      </c>
      <c r="E531" s="673"/>
      <c r="F531" s="656">
        <v>1.5</v>
      </c>
      <c r="G531" s="32">
        <v>6</v>
      </c>
      <c r="H531" s="656">
        <v>9</v>
      </c>
      <c r="I531" s="656">
        <v>9.5190000000000001</v>
      </c>
      <c r="J531" s="32">
        <v>64</v>
      </c>
      <c r="K531" s="32" t="s">
        <v>93</v>
      </c>
      <c r="L531" s="32"/>
      <c r="M531" s="33" t="s">
        <v>129</v>
      </c>
      <c r="N531" s="33"/>
      <c r="O531" s="32">
        <v>45</v>
      </c>
      <c r="P531" s="694" t="s">
        <v>877</v>
      </c>
      <c r="Q531" s="667"/>
      <c r="R531" s="667"/>
      <c r="S531" s="667"/>
      <c r="T531" s="668"/>
      <c r="U531" s="34"/>
      <c r="V531" s="34"/>
      <c r="W531" s="35" t="s">
        <v>69</v>
      </c>
      <c r="X531" s="657">
        <v>0</v>
      </c>
      <c r="Y531" s="658">
        <f t="shared" ref="Y531:Y536" si="88"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17" t="s">
        <v>878</v>
      </c>
      <c r="AG531" s="64"/>
      <c r="AJ531" s="68"/>
      <c r="AK531" s="68">
        <v>0</v>
      </c>
      <c r="BB531" s="618" t="s">
        <v>1</v>
      </c>
      <c r="BM531" s="64">
        <f t="shared" ref="BM531:BM536" si="89">IFERROR(X531*I531/H531,"0")</f>
        <v>0</v>
      </c>
      <c r="BN531" s="64">
        <f t="shared" ref="BN531:BN536" si="90">IFERROR(Y531*I531/H531,"0")</f>
        <v>0</v>
      </c>
      <c r="BO531" s="64">
        <f t="shared" ref="BO531:BO536" si="91">IFERROR(1/J531*(X531/H531),"0")</f>
        <v>0</v>
      </c>
      <c r="BP531" s="64">
        <f t="shared" ref="BP531:BP536" si="92">IFERROR(1/J531*(Y531/H531),"0")</f>
        <v>0</v>
      </c>
    </row>
    <row r="532" spans="1:68" ht="27" hidden="1" customHeight="1" x14ac:dyDescent="0.25">
      <c r="A532" s="54" t="s">
        <v>875</v>
      </c>
      <c r="B532" s="54" t="s">
        <v>879</v>
      </c>
      <c r="C532" s="31">
        <v>4301051887</v>
      </c>
      <c r="D532" s="672">
        <v>4640242180533</v>
      </c>
      <c r="E532" s="673"/>
      <c r="F532" s="656">
        <v>1.3</v>
      </c>
      <c r="G532" s="32">
        <v>6</v>
      </c>
      <c r="H532" s="656">
        <v>7.8</v>
      </c>
      <c r="I532" s="656">
        <v>8.3190000000000008</v>
      </c>
      <c r="J532" s="32">
        <v>64</v>
      </c>
      <c r="K532" s="32" t="s">
        <v>93</v>
      </c>
      <c r="L532" s="32"/>
      <c r="M532" s="33" t="s">
        <v>103</v>
      </c>
      <c r="N532" s="33"/>
      <c r="O532" s="32">
        <v>45</v>
      </c>
      <c r="P532" s="860" t="s">
        <v>877</v>
      </c>
      <c r="Q532" s="667"/>
      <c r="R532" s="667"/>
      <c r="S532" s="667"/>
      <c r="T532" s="668"/>
      <c r="U532" s="34"/>
      <c r="V532" s="34"/>
      <c r="W532" s="35" t="s">
        <v>69</v>
      </c>
      <c r="X532" s="657">
        <v>0</v>
      </c>
      <c r="Y532" s="658">
        <f t="shared" si="88"/>
        <v>0</v>
      </c>
      <c r="Z532" s="36" t="str">
        <f>IFERROR(IF(Y532=0,"",ROUNDUP(Y532/H532,0)*0.01898),"")</f>
        <v/>
      </c>
      <c r="AA532" s="56"/>
      <c r="AB532" s="57"/>
      <c r="AC532" s="619" t="s">
        <v>878</v>
      </c>
      <c r="AG532" s="64"/>
      <c r="AJ532" s="68"/>
      <c r="AK532" s="68">
        <v>0</v>
      </c>
      <c r="BB532" s="620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875</v>
      </c>
      <c r="B533" s="54" t="s">
        <v>880</v>
      </c>
      <c r="C533" s="31">
        <v>4301051746</v>
      </c>
      <c r="D533" s="672">
        <v>4640242180533</v>
      </c>
      <c r="E533" s="673"/>
      <c r="F533" s="656">
        <v>1.3</v>
      </c>
      <c r="G533" s="32">
        <v>6</v>
      </c>
      <c r="H533" s="656">
        <v>7.8</v>
      </c>
      <c r="I533" s="656">
        <v>8.3190000000000008</v>
      </c>
      <c r="J533" s="32">
        <v>64</v>
      </c>
      <c r="K533" s="32" t="s">
        <v>93</v>
      </c>
      <c r="L533" s="32"/>
      <c r="M533" s="33" t="s">
        <v>103</v>
      </c>
      <c r="N533" s="33"/>
      <c r="O533" s="32">
        <v>40</v>
      </c>
      <c r="P533" s="882" t="s">
        <v>881</v>
      </c>
      <c r="Q533" s="667"/>
      <c r="R533" s="667"/>
      <c r="S533" s="667"/>
      <c r="T533" s="668"/>
      <c r="U533" s="34"/>
      <c r="V533" s="34"/>
      <c r="W533" s="35" t="s">
        <v>69</v>
      </c>
      <c r="X533" s="657">
        <v>1600</v>
      </c>
      <c r="Y533" s="658">
        <f t="shared" si="88"/>
        <v>1606.8</v>
      </c>
      <c r="Z533" s="36">
        <f>IFERROR(IF(Y533=0,"",ROUNDUP(Y533/H533,0)*0.01898),"")</f>
        <v>3.9098800000000002</v>
      </c>
      <c r="AA533" s="56"/>
      <c r="AB533" s="57"/>
      <c r="AC533" s="621" t="s">
        <v>878</v>
      </c>
      <c r="AG533" s="64"/>
      <c r="AJ533" s="68"/>
      <c r="AK533" s="68">
        <v>0</v>
      </c>
      <c r="BB533" s="622" t="s">
        <v>1</v>
      </c>
      <c r="BM533" s="64">
        <f t="shared" si="89"/>
        <v>1706.4615384615388</v>
      </c>
      <c r="BN533" s="64">
        <f t="shared" si="90"/>
        <v>1713.7140000000002</v>
      </c>
      <c r="BO533" s="64">
        <f t="shared" si="91"/>
        <v>3.2051282051282053</v>
      </c>
      <c r="BP533" s="64">
        <f t="shared" si="92"/>
        <v>3.21875</v>
      </c>
    </row>
    <row r="534" spans="1:68" ht="27" hidden="1" customHeight="1" x14ac:dyDescent="0.25">
      <c r="A534" s="54" t="s">
        <v>882</v>
      </c>
      <c r="B534" s="54" t="s">
        <v>883</v>
      </c>
      <c r="C534" s="31">
        <v>4301051933</v>
      </c>
      <c r="D534" s="672">
        <v>4640242180540</v>
      </c>
      <c r="E534" s="673"/>
      <c r="F534" s="656">
        <v>1.3</v>
      </c>
      <c r="G534" s="32">
        <v>6</v>
      </c>
      <c r="H534" s="656">
        <v>7.8</v>
      </c>
      <c r="I534" s="656">
        <v>8.3190000000000008</v>
      </c>
      <c r="J534" s="32">
        <v>64</v>
      </c>
      <c r="K534" s="32" t="s">
        <v>93</v>
      </c>
      <c r="L534" s="32"/>
      <c r="M534" s="33" t="s">
        <v>103</v>
      </c>
      <c r="N534" s="33"/>
      <c r="O534" s="32">
        <v>45</v>
      </c>
      <c r="P534" s="1027" t="s">
        <v>884</v>
      </c>
      <c r="Q534" s="667"/>
      <c r="R534" s="667"/>
      <c r="S534" s="667"/>
      <c r="T534" s="668"/>
      <c r="U534" s="34"/>
      <c r="V534" s="34"/>
      <c r="W534" s="35" t="s">
        <v>69</v>
      </c>
      <c r="X534" s="657">
        <v>0</v>
      </c>
      <c r="Y534" s="658">
        <f t="shared" si="88"/>
        <v>0</v>
      </c>
      <c r="Z534" s="36" t="str">
        <f>IFERROR(IF(Y534=0,"",ROUNDUP(Y534/H534,0)*0.01898),"")</f>
        <v/>
      </c>
      <c r="AA534" s="56"/>
      <c r="AB534" s="57"/>
      <c r="AC534" s="623" t="s">
        <v>885</v>
      </c>
      <c r="AG534" s="64"/>
      <c r="AJ534" s="68"/>
      <c r="AK534" s="68">
        <v>0</v>
      </c>
      <c r="BB534" s="624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886</v>
      </c>
      <c r="B535" s="54" t="s">
        <v>887</v>
      </c>
      <c r="C535" s="31">
        <v>4301051920</v>
      </c>
      <c r="D535" s="672">
        <v>4640242181233</v>
      </c>
      <c r="E535" s="673"/>
      <c r="F535" s="656">
        <v>0.3</v>
      </c>
      <c r="G535" s="32">
        <v>6</v>
      </c>
      <c r="H535" s="656">
        <v>1.8</v>
      </c>
      <c r="I535" s="656">
        <v>2.0640000000000001</v>
      </c>
      <c r="J535" s="32">
        <v>182</v>
      </c>
      <c r="K535" s="32" t="s">
        <v>67</v>
      </c>
      <c r="L535" s="32"/>
      <c r="M535" s="33" t="s">
        <v>129</v>
      </c>
      <c r="N535" s="33"/>
      <c r="O535" s="32">
        <v>45</v>
      </c>
      <c r="P535" s="892" t="s">
        <v>888</v>
      </c>
      <c r="Q535" s="667"/>
      <c r="R535" s="667"/>
      <c r="S535" s="667"/>
      <c r="T535" s="668"/>
      <c r="U535" s="34"/>
      <c r="V535" s="34"/>
      <c r="W535" s="35" t="s">
        <v>69</v>
      </c>
      <c r="X535" s="657">
        <v>0</v>
      </c>
      <c r="Y535" s="658">
        <f t="shared" si="88"/>
        <v>0</v>
      </c>
      <c r="Z535" s="36" t="str">
        <f>IFERROR(IF(Y535=0,"",ROUNDUP(Y535/H535,0)*0.00651),"")</f>
        <v/>
      </c>
      <c r="AA535" s="56"/>
      <c r="AB535" s="57"/>
      <c r="AC535" s="625" t="s">
        <v>878</v>
      </c>
      <c r="AG535" s="64"/>
      <c r="AJ535" s="68"/>
      <c r="AK535" s="68">
        <v>0</v>
      </c>
      <c r="BB535" s="626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889</v>
      </c>
      <c r="B536" s="54" t="s">
        <v>890</v>
      </c>
      <c r="C536" s="31">
        <v>4301051921</v>
      </c>
      <c r="D536" s="672">
        <v>4640242181226</v>
      </c>
      <c r="E536" s="673"/>
      <c r="F536" s="656">
        <v>0.3</v>
      </c>
      <c r="G536" s="32">
        <v>6</v>
      </c>
      <c r="H536" s="656">
        <v>1.8</v>
      </c>
      <c r="I536" s="656">
        <v>2.052</v>
      </c>
      <c r="J536" s="32">
        <v>182</v>
      </c>
      <c r="K536" s="32" t="s">
        <v>67</v>
      </c>
      <c r="L536" s="32"/>
      <c r="M536" s="33" t="s">
        <v>129</v>
      </c>
      <c r="N536" s="33"/>
      <c r="O536" s="32">
        <v>45</v>
      </c>
      <c r="P536" s="1035" t="s">
        <v>891</v>
      </c>
      <c r="Q536" s="667"/>
      <c r="R536" s="667"/>
      <c r="S536" s="667"/>
      <c r="T536" s="668"/>
      <c r="U536" s="34"/>
      <c r="V536" s="34"/>
      <c r="W536" s="35" t="s">
        <v>69</v>
      </c>
      <c r="X536" s="657">
        <v>0</v>
      </c>
      <c r="Y536" s="658">
        <f t="shared" si="88"/>
        <v>0</v>
      </c>
      <c r="Z536" s="36" t="str">
        <f>IFERROR(IF(Y536=0,"",ROUNDUP(Y536/H536,0)*0.00651),"")</f>
        <v/>
      </c>
      <c r="AA536" s="56"/>
      <c r="AB536" s="57"/>
      <c r="AC536" s="627" t="s">
        <v>885</v>
      </c>
      <c r="AG536" s="64"/>
      <c r="AJ536" s="68"/>
      <c r="AK536" s="68">
        <v>0</v>
      </c>
      <c r="BB536" s="628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x14ac:dyDescent="0.2">
      <c r="A537" s="679"/>
      <c r="B537" s="680"/>
      <c r="C537" s="680"/>
      <c r="D537" s="680"/>
      <c r="E537" s="680"/>
      <c r="F537" s="680"/>
      <c r="G537" s="680"/>
      <c r="H537" s="680"/>
      <c r="I537" s="680"/>
      <c r="J537" s="680"/>
      <c r="K537" s="680"/>
      <c r="L537" s="680"/>
      <c r="M537" s="680"/>
      <c r="N537" s="680"/>
      <c r="O537" s="681"/>
      <c r="P537" s="663" t="s">
        <v>80</v>
      </c>
      <c r="Q537" s="664"/>
      <c r="R537" s="664"/>
      <c r="S537" s="664"/>
      <c r="T537" s="664"/>
      <c r="U537" s="664"/>
      <c r="V537" s="665"/>
      <c r="W537" s="37" t="s">
        <v>81</v>
      </c>
      <c r="X537" s="659">
        <f>IFERROR(X531/H531,"0")+IFERROR(X532/H532,"0")+IFERROR(X533/H533,"0")+IFERROR(X534/H534,"0")+IFERROR(X535/H535,"0")+IFERROR(X536/H536,"0")</f>
        <v>205.12820512820514</v>
      </c>
      <c r="Y537" s="659">
        <f>IFERROR(Y531/H531,"0")+IFERROR(Y532/H532,"0")+IFERROR(Y533/H533,"0")+IFERROR(Y534/H534,"0")+IFERROR(Y535/H535,"0")+IFERROR(Y536/H536,"0")</f>
        <v>206</v>
      </c>
      <c r="Z537" s="659">
        <f>IFERROR(IF(Z531="",0,Z531),"0")+IFERROR(IF(Z532="",0,Z532),"0")+IFERROR(IF(Z533="",0,Z533),"0")+IFERROR(IF(Z534="",0,Z534),"0")+IFERROR(IF(Z535="",0,Z535),"0")+IFERROR(IF(Z536="",0,Z536),"0")</f>
        <v>3.9098800000000002</v>
      </c>
      <c r="AA537" s="660"/>
      <c r="AB537" s="660"/>
      <c r="AC537" s="660"/>
    </row>
    <row r="538" spans="1:68" x14ac:dyDescent="0.2">
      <c r="A538" s="680"/>
      <c r="B538" s="680"/>
      <c r="C538" s="680"/>
      <c r="D538" s="680"/>
      <c r="E538" s="680"/>
      <c r="F538" s="680"/>
      <c r="G538" s="680"/>
      <c r="H538" s="680"/>
      <c r="I538" s="680"/>
      <c r="J538" s="680"/>
      <c r="K538" s="680"/>
      <c r="L538" s="680"/>
      <c r="M538" s="680"/>
      <c r="N538" s="680"/>
      <c r="O538" s="681"/>
      <c r="P538" s="663" t="s">
        <v>80</v>
      </c>
      <c r="Q538" s="664"/>
      <c r="R538" s="664"/>
      <c r="S538" s="664"/>
      <c r="T538" s="664"/>
      <c r="U538" s="664"/>
      <c r="V538" s="665"/>
      <c r="W538" s="37" t="s">
        <v>69</v>
      </c>
      <c r="X538" s="659">
        <f>IFERROR(SUM(X531:X536),"0")</f>
        <v>1600</v>
      </c>
      <c r="Y538" s="659">
        <f>IFERROR(SUM(Y531:Y536),"0")</f>
        <v>1606.8</v>
      </c>
      <c r="Z538" s="37"/>
      <c r="AA538" s="660"/>
      <c r="AB538" s="660"/>
      <c r="AC538" s="660"/>
    </row>
    <row r="539" spans="1:68" ht="14.25" hidden="1" customHeight="1" x14ac:dyDescent="0.25">
      <c r="A539" s="682" t="s">
        <v>172</v>
      </c>
      <c r="B539" s="680"/>
      <c r="C539" s="680"/>
      <c r="D539" s="680"/>
      <c r="E539" s="680"/>
      <c r="F539" s="680"/>
      <c r="G539" s="680"/>
      <c r="H539" s="680"/>
      <c r="I539" s="680"/>
      <c r="J539" s="680"/>
      <c r="K539" s="680"/>
      <c r="L539" s="680"/>
      <c r="M539" s="680"/>
      <c r="N539" s="680"/>
      <c r="O539" s="680"/>
      <c r="P539" s="680"/>
      <c r="Q539" s="680"/>
      <c r="R539" s="680"/>
      <c r="S539" s="680"/>
      <c r="T539" s="680"/>
      <c r="U539" s="680"/>
      <c r="V539" s="680"/>
      <c r="W539" s="680"/>
      <c r="X539" s="680"/>
      <c r="Y539" s="680"/>
      <c r="Z539" s="680"/>
      <c r="AA539" s="653"/>
      <c r="AB539" s="653"/>
      <c r="AC539" s="653"/>
    </row>
    <row r="540" spans="1:68" ht="27" hidden="1" customHeight="1" x14ac:dyDescent="0.25">
      <c r="A540" s="54" t="s">
        <v>892</v>
      </c>
      <c r="B540" s="54" t="s">
        <v>893</v>
      </c>
      <c r="C540" s="31">
        <v>4301060496</v>
      </c>
      <c r="D540" s="672">
        <v>4640242180120</v>
      </c>
      <c r="E540" s="673"/>
      <c r="F540" s="656">
        <v>1.5</v>
      </c>
      <c r="G540" s="32">
        <v>6</v>
      </c>
      <c r="H540" s="656">
        <v>9</v>
      </c>
      <c r="I540" s="656">
        <v>9.4350000000000005</v>
      </c>
      <c r="J540" s="32">
        <v>64</v>
      </c>
      <c r="K540" s="32" t="s">
        <v>93</v>
      </c>
      <c r="L540" s="32"/>
      <c r="M540" s="33" t="s">
        <v>129</v>
      </c>
      <c r="N540" s="33"/>
      <c r="O540" s="32">
        <v>40</v>
      </c>
      <c r="P540" s="878" t="s">
        <v>894</v>
      </c>
      <c r="Q540" s="667"/>
      <c r="R540" s="667"/>
      <c r="S540" s="667"/>
      <c r="T540" s="668"/>
      <c r="U540" s="34"/>
      <c r="V540" s="34"/>
      <c r="W540" s="35" t="s">
        <v>69</v>
      </c>
      <c r="X540" s="657">
        <v>0</v>
      </c>
      <c r="Y540" s="658">
        <f t="shared" ref="Y540:Y545" si="93">IFERROR(IF(X540="",0,CEILING((X540/$H540),1)*$H540),"")</f>
        <v>0</v>
      </c>
      <c r="Z540" s="36" t="str">
        <f t="shared" ref="Z540:Z545" si="94">IFERROR(IF(Y540=0,"",ROUNDUP(Y540/H540,0)*0.01898),"")</f>
        <v/>
      </c>
      <c r="AA540" s="56"/>
      <c r="AB540" s="57"/>
      <c r="AC540" s="629" t="s">
        <v>895</v>
      </c>
      <c r="AG540" s="64"/>
      <c r="AJ540" s="68"/>
      <c r="AK540" s="68">
        <v>0</v>
      </c>
      <c r="BB540" s="630" t="s">
        <v>1</v>
      </c>
      <c r="BM540" s="64">
        <f t="shared" ref="BM540:BM545" si="95">IFERROR(X540*I540/H540,"0")</f>
        <v>0</v>
      </c>
      <c r="BN540" s="64">
        <f t="shared" ref="BN540:BN545" si="96">IFERROR(Y540*I540/H540,"0")</f>
        <v>0</v>
      </c>
      <c r="BO540" s="64">
        <f t="shared" ref="BO540:BO545" si="97">IFERROR(1/J540*(X540/H540),"0")</f>
        <v>0</v>
      </c>
      <c r="BP540" s="64">
        <f t="shared" ref="BP540:BP545" si="98">IFERROR(1/J540*(Y540/H540),"0")</f>
        <v>0</v>
      </c>
    </row>
    <row r="541" spans="1:68" ht="27" customHeight="1" x14ac:dyDescent="0.25">
      <c r="A541" s="54" t="s">
        <v>892</v>
      </c>
      <c r="B541" s="54" t="s">
        <v>896</v>
      </c>
      <c r="C541" s="31">
        <v>4301060354</v>
      </c>
      <c r="D541" s="672">
        <v>4640242180120</v>
      </c>
      <c r="E541" s="673"/>
      <c r="F541" s="656">
        <v>1.3</v>
      </c>
      <c r="G541" s="32">
        <v>6</v>
      </c>
      <c r="H541" s="656">
        <v>7.8</v>
      </c>
      <c r="I541" s="656">
        <v>8.2349999999999994</v>
      </c>
      <c r="J541" s="32">
        <v>64</v>
      </c>
      <c r="K541" s="32" t="s">
        <v>93</v>
      </c>
      <c r="L541" s="32"/>
      <c r="M541" s="33" t="s">
        <v>68</v>
      </c>
      <c r="N541" s="33"/>
      <c r="O541" s="32">
        <v>40</v>
      </c>
      <c r="P541" s="916" t="s">
        <v>897</v>
      </c>
      <c r="Q541" s="667"/>
      <c r="R541" s="667"/>
      <c r="S541" s="667"/>
      <c r="T541" s="668"/>
      <c r="U541" s="34"/>
      <c r="V541" s="34"/>
      <c r="W541" s="35" t="s">
        <v>69</v>
      </c>
      <c r="X541" s="657">
        <v>50</v>
      </c>
      <c r="Y541" s="658">
        <f t="shared" si="93"/>
        <v>54.6</v>
      </c>
      <c r="Z541" s="36">
        <f t="shared" si="94"/>
        <v>0.13286000000000001</v>
      </c>
      <c r="AA541" s="56"/>
      <c r="AB541" s="57"/>
      <c r="AC541" s="631" t="s">
        <v>895</v>
      </c>
      <c r="AG541" s="64"/>
      <c r="AJ541" s="68"/>
      <c r="AK541" s="68">
        <v>0</v>
      </c>
      <c r="BB541" s="632" t="s">
        <v>1</v>
      </c>
      <c r="BM541" s="64">
        <f t="shared" si="95"/>
        <v>52.78846153846154</v>
      </c>
      <c r="BN541" s="64">
        <f t="shared" si="96"/>
        <v>57.644999999999996</v>
      </c>
      <c r="BO541" s="64">
        <f t="shared" si="97"/>
        <v>0.10016025641025642</v>
      </c>
      <c r="BP541" s="64">
        <f t="shared" si="98"/>
        <v>0.109375</v>
      </c>
    </row>
    <row r="542" spans="1:68" ht="27" hidden="1" customHeight="1" x14ac:dyDescent="0.25">
      <c r="A542" s="54" t="s">
        <v>892</v>
      </c>
      <c r="B542" s="54" t="s">
        <v>898</v>
      </c>
      <c r="C542" s="31">
        <v>4301060485</v>
      </c>
      <c r="D542" s="672">
        <v>4640242180120</v>
      </c>
      <c r="E542" s="673"/>
      <c r="F542" s="656">
        <v>1.3</v>
      </c>
      <c r="G542" s="32">
        <v>6</v>
      </c>
      <c r="H542" s="656">
        <v>7.8</v>
      </c>
      <c r="I542" s="656">
        <v>8.2349999999999994</v>
      </c>
      <c r="J542" s="32">
        <v>64</v>
      </c>
      <c r="K542" s="32" t="s">
        <v>93</v>
      </c>
      <c r="L542" s="32"/>
      <c r="M542" s="33" t="s">
        <v>103</v>
      </c>
      <c r="N542" s="33"/>
      <c r="O542" s="32">
        <v>40</v>
      </c>
      <c r="P542" s="744" t="s">
        <v>899</v>
      </c>
      <c r="Q542" s="667"/>
      <c r="R542" s="667"/>
      <c r="S542" s="667"/>
      <c r="T542" s="668"/>
      <c r="U542" s="34"/>
      <c r="V542" s="34"/>
      <c r="W542" s="35" t="s">
        <v>69</v>
      </c>
      <c r="X542" s="657">
        <v>0</v>
      </c>
      <c r="Y542" s="658">
        <f t="shared" si="93"/>
        <v>0</v>
      </c>
      <c r="Z542" s="36" t="str">
        <f t="shared" si="94"/>
        <v/>
      </c>
      <c r="AA542" s="56"/>
      <c r="AB542" s="57"/>
      <c r="AC542" s="633" t="s">
        <v>895</v>
      </c>
      <c r="AG542" s="64"/>
      <c r="AJ542" s="68"/>
      <c r="AK542" s="68">
        <v>0</v>
      </c>
      <c r="BB542" s="634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900</v>
      </c>
      <c r="B543" s="54" t="s">
        <v>901</v>
      </c>
      <c r="C543" s="31">
        <v>4301060498</v>
      </c>
      <c r="D543" s="672">
        <v>4640242180137</v>
      </c>
      <c r="E543" s="673"/>
      <c r="F543" s="656">
        <v>1.5</v>
      </c>
      <c r="G543" s="32">
        <v>6</v>
      </c>
      <c r="H543" s="656">
        <v>9</v>
      </c>
      <c r="I543" s="656">
        <v>9.4350000000000005</v>
      </c>
      <c r="J543" s="32">
        <v>64</v>
      </c>
      <c r="K543" s="32" t="s">
        <v>93</v>
      </c>
      <c r="L543" s="32"/>
      <c r="M543" s="33" t="s">
        <v>129</v>
      </c>
      <c r="N543" s="33"/>
      <c r="O543" s="32">
        <v>40</v>
      </c>
      <c r="P543" s="777" t="s">
        <v>902</v>
      </c>
      <c r="Q543" s="667"/>
      <c r="R543" s="667"/>
      <c r="S543" s="667"/>
      <c r="T543" s="668"/>
      <c r="U543" s="34"/>
      <c r="V543" s="34"/>
      <c r="W543" s="35" t="s">
        <v>69</v>
      </c>
      <c r="X543" s="657">
        <v>0</v>
      </c>
      <c r="Y543" s="658">
        <f t="shared" si="93"/>
        <v>0</v>
      </c>
      <c r="Z543" s="36" t="str">
        <f t="shared" si="94"/>
        <v/>
      </c>
      <c r="AA543" s="56"/>
      <c r="AB543" s="57"/>
      <c r="AC543" s="635" t="s">
        <v>903</v>
      </c>
      <c r="AG543" s="64"/>
      <c r="AJ543" s="68"/>
      <c r="AK543" s="68">
        <v>0</v>
      </c>
      <c r="BB543" s="636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900</v>
      </c>
      <c r="B544" s="54" t="s">
        <v>904</v>
      </c>
      <c r="C544" s="31">
        <v>4301060355</v>
      </c>
      <c r="D544" s="672">
        <v>4640242180137</v>
      </c>
      <c r="E544" s="673"/>
      <c r="F544" s="656">
        <v>1.3</v>
      </c>
      <c r="G544" s="32">
        <v>6</v>
      </c>
      <c r="H544" s="656">
        <v>7.8</v>
      </c>
      <c r="I544" s="656">
        <v>8.2349999999999994</v>
      </c>
      <c r="J544" s="32">
        <v>64</v>
      </c>
      <c r="K544" s="32" t="s">
        <v>93</v>
      </c>
      <c r="L544" s="32"/>
      <c r="M544" s="33" t="s">
        <v>68</v>
      </c>
      <c r="N544" s="33"/>
      <c r="O544" s="32">
        <v>40</v>
      </c>
      <c r="P544" s="826" t="s">
        <v>905</v>
      </c>
      <c r="Q544" s="667"/>
      <c r="R544" s="667"/>
      <c r="S544" s="667"/>
      <c r="T544" s="668"/>
      <c r="U544" s="34"/>
      <c r="V544" s="34"/>
      <c r="W544" s="35" t="s">
        <v>69</v>
      </c>
      <c r="X544" s="657">
        <v>0</v>
      </c>
      <c r="Y544" s="658">
        <f t="shared" si="93"/>
        <v>0</v>
      </c>
      <c r="Z544" s="36" t="str">
        <f t="shared" si="94"/>
        <v/>
      </c>
      <c r="AA544" s="56"/>
      <c r="AB544" s="57"/>
      <c r="AC544" s="637" t="s">
        <v>903</v>
      </c>
      <c r="AG544" s="64"/>
      <c r="AJ544" s="68"/>
      <c r="AK544" s="68">
        <v>0</v>
      </c>
      <c r="BB544" s="638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900</v>
      </c>
      <c r="B545" s="54" t="s">
        <v>906</v>
      </c>
      <c r="C545" s="31">
        <v>4301060486</v>
      </c>
      <c r="D545" s="672">
        <v>4640242180137</v>
      </c>
      <c r="E545" s="673"/>
      <c r="F545" s="656">
        <v>1.3</v>
      </c>
      <c r="G545" s="32">
        <v>6</v>
      </c>
      <c r="H545" s="656">
        <v>7.8</v>
      </c>
      <c r="I545" s="656">
        <v>8.2349999999999994</v>
      </c>
      <c r="J545" s="32">
        <v>64</v>
      </c>
      <c r="K545" s="32" t="s">
        <v>93</v>
      </c>
      <c r="L545" s="32"/>
      <c r="M545" s="33" t="s">
        <v>103</v>
      </c>
      <c r="N545" s="33"/>
      <c r="O545" s="32">
        <v>40</v>
      </c>
      <c r="P545" s="855" t="s">
        <v>907</v>
      </c>
      <c r="Q545" s="667"/>
      <c r="R545" s="667"/>
      <c r="S545" s="667"/>
      <c r="T545" s="668"/>
      <c r="U545" s="34"/>
      <c r="V545" s="34"/>
      <c r="W545" s="35" t="s">
        <v>69</v>
      </c>
      <c r="X545" s="657">
        <v>0</v>
      </c>
      <c r="Y545" s="658">
        <f t="shared" si="93"/>
        <v>0</v>
      </c>
      <c r="Z545" s="36" t="str">
        <f t="shared" si="94"/>
        <v/>
      </c>
      <c r="AA545" s="56"/>
      <c r="AB545" s="57"/>
      <c r="AC545" s="639" t="s">
        <v>903</v>
      </c>
      <c r="AG545" s="64"/>
      <c r="AJ545" s="68"/>
      <c r="AK545" s="68">
        <v>0</v>
      </c>
      <c r="BB545" s="640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x14ac:dyDescent="0.2">
      <c r="A546" s="679"/>
      <c r="B546" s="680"/>
      <c r="C546" s="680"/>
      <c r="D546" s="680"/>
      <c r="E546" s="680"/>
      <c r="F546" s="680"/>
      <c r="G546" s="680"/>
      <c r="H546" s="680"/>
      <c r="I546" s="680"/>
      <c r="J546" s="680"/>
      <c r="K546" s="680"/>
      <c r="L546" s="680"/>
      <c r="M546" s="680"/>
      <c r="N546" s="680"/>
      <c r="O546" s="681"/>
      <c r="P546" s="663" t="s">
        <v>80</v>
      </c>
      <c r="Q546" s="664"/>
      <c r="R546" s="664"/>
      <c r="S546" s="664"/>
      <c r="T546" s="664"/>
      <c r="U546" s="664"/>
      <c r="V546" s="665"/>
      <c r="W546" s="37" t="s">
        <v>81</v>
      </c>
      <c r="X546" s="659">
        <f>IFERROR(X540/H540,"0")+IFERROR(X541/H541,"0")+IFERROR(X542/H542,"0")+IFERROR(X543/H543,"0")+IFERROR(X544/H544,"0")+IFERROR(X545/H545,"0")</f>
        <v>6.4102564102564106</v>
      </c>
      <c r="Y546" s="659">
        <f>IFERROR(Y540/H540,"0")+IFERROR(Y541/H541,"0")+IFERROR(Y542/H542,"0")+IFERROR(Y543/H543,"0")+IFERROR(Y544/H544,"0")+IFERROR(Y545/H545,"0")</f>
        <v>7</v>
      </c>
      <c r="Z546" s="659">
        <f>IFERROR(IF(Z540="",0,Z540),"0")+IFERROR(IF(Z541="",0,Z541),"0")+IFERROR(IF(Z542="",0,Z542),"0")+IFERROR(IF(Z543="",0,Z543),"0")+IFERROR(IF(Z544="",0,Z544),"0")+IFERROR(IF(Z545="",0,Z545),"0")</f>
        <v>0.13286000000000001</v>
      </c>
      <c r="AA546" s="660"/>
      <c r="AB546" s="660"/>
      <c r="AC546" s="660"/>
    </row>
    <row r="547" spans="1:68" x14ac:dyDescent="0.2">
      <c r="A547" s="680"/>
      <c r="B547" s="680"/>
      <c r="C547" s="680"/>
      <c r="D547" s="680"/>
      <c r="E547" s="680"/>
      <c r="F547" s="680"/>
      <c r="G547" s="680"/>
      <c r="H547" s="680"/>
      <c r="I547" s="680"/>
      <c r="J547" s="680"/>
      <c r="K547" s="680"/>
      <c r="L547" s="680"/>
      <c r="M547" s="680"/>
      <c r="N547" s="680"/>
      <c r="O547" s="681"/>
      <c r="P547" s="663" t="s">
        <v>80</v>
      </c>
      <c r="Q547" s="664"/>
      <c r="R547" s="664"/>
      <c r="S547" s="664"/>
      <c r="T547" s="664"/>
      <c r="U547" s="664"/>
      <c r="V547" s="665"/>
      <c r="W547" s="37" t="s">
        <v>69</v>
      </c>
      <c r="X547" s="659">
        <f>IFERROR(SUM(X540:X545),"0")</f>
        <v>50</v>
      </c>
      <c r="Y547" s="659">
        <f>IFERROR(SUM(Y540:Y545),"0")</f>
        <v>54.6</v>
      </c>
      <c r="Z547" s="37"/>
      <c r="AA547" s="660"/>
      <c r="AB547" s="660"/>
      <c r="AC547" s="660"/>
    </row>
    <row r="548" spans="1:68" ht="16.5" hidden="1" customHeight="1" x14ac:dyDescent="0.25">
      <c r="A548" s="688" t="s">
        <v>908</v>
      </c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0"/>
      <c r="P548" s="680"/>
      <c r="Q548" s="680"/>
      <c r="R548" s="680"/>
      <c r="S548" s="680"/>
      <c r="T548" s="680"/>
      <c r="U548" s="680"/>
      <c r="V548" s="680"/>
      <c r="W548" s="680"/>
      <c r="X548" s="680"/>
      <c r="Y548" s="680"/>
      <c r="Z548" s="680"/>
      <c r="AA548" s="652"/>
      <c r="AB548" s="652"/>
      <c r="AC548" s="652"/>
    </row>
    <row r="549" spans="1:68" ht="14.25" hidden="1" customHeight="1" x14ac:dyDescent="0.25">
      <c r="A549" s="682" t="s">
        <v>90</v>
      </c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0"/>
      <c r="P549" s="680"/>
      <c r="Q549" s="680"/>
      <c r="R549" s="680"/>
      <c r="S549" s="680"/>
      <c r="T549" s="680"/>
      <c r="U549" s="680"/>
      <c r="V549" s="680"/>
      <c r="W549" s="680"/>
      <c r="X549" s="680"/>
      <c r="Y549" s="680"/>
      <c r="Z549" s="680"/>
      <c r="AA549" s="653"/>
      <c r="AB549" s="653"/>
      <c r="AC549" s="653"/>
    </row>
    <row r="550" spans="1:68" ht="27" hidden="1" customHeight="1" x14ac:dyDescent="0.25">
      <c r="A550" s="54" t="s">
        <v>909</v>
      </c>
      <c r="B550" s="54" t="s">
        <v>910</v>
      </c>
      <c r="C550" s="31">
        <v>4301011951</v>
      </c>
      <c r="D550" s="672">
        <v>4640242180045</v>
      </c>
      <c r="E550" s="673"/>
      <c r="F550" s="656">
        <v>1.5</v>
      </c>
      <c r="G550" s="32">
        <v>8</v>
      </c>
      <c r="H550" s="656">
        <v>12</v>
      </c>
      <c r="I550" s="656">
        <v>12.435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55</v>
      </c>
      <c r="P550" s="723" t="s">
        <v>911</v>
      </c>
      <c r="Q550" s="667"/>
      <c r="R550" s="667"/>
      <c r="S550" s="667"/>
      <c r="T550" s="668"/>
      <c r="U550" s="34"/>
      <c r="V550" s="34"/>
      <c r="W550" s="35" t="s">
        <v>69</v>
      </c>
      <c r="X550" s="657">
        <v>0</v>
      </c>
      <c r="Y550" s="65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41" t="s">
        <v>912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913</v>
      </c>
      <c r="B551" s="54" t="s">
        <v>914</v>
      </c>
      <c r="C551" s="31">
        <v>4301011950</v>
      </c>
      <c r="D551" s="672">
        <v>4640242180601</v>
      </c>
      <c r="E551" s="673"/>
      <c r="F551" s="656">
        <v>1.5</v>
      </c>
      <c r="G551" s="32">
        <v>8</v>
      </c>
      <c r="H551" s="656">
        <v>12</v>
      </c>
      <c r="I551" s="656">
        <v>12.435</v>
      </c>
      <c r="J551" s="32">
        <v>64</v>
      </c>
      <c r="K551" s="32" t="s">
        <v>93</v>
      </c>
      <c r="L551" s="32"/>
      <c r="M551" s="33" t="s">
        <v>94</v>
      </c>
      <c r="N551" s="33"/>
      <c r="O551" s="32">
        <v>55</v>
      </c>
      <c r="P551" s="908" t="s">
        <v>915</v>
      </c>
      <c r="Q551" s="667"/>
      <c r="R551" s="667"/>
      <c r="S551" s="667"/>
      <c r="T551" s="668"/>
      <c r="U551" s="34"/>
      <c r="V551" s="34"/>
      <c r="W551" s="35" t="s">
        <v>69</v>
      </c>
      <c r="X551" s="657">
        <v>0</v>
      </c>
      <c r="Y551" s="658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43" t="s">
        <v>916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679"/>
      <c r="B552" s="680"/>
      <c r="C552" s="680"/>
      <c r="D552" s="680"/>
      <c r="E552" s="680"/>
      <c r="F552" s="680"/>
      <c r="G552" s="680"/>
      <c r="H552" s="680"/>
      <c r="I552" s="680"/>
      <c r="J552" s="680"/>
      <c r="K552" s="680"/>
      <c r="L552" s="680"/>
      <c r="M552" s="680"/>
      <c r="N552" s="680"/>
      <c r="O552" s="681"/>
      <c r="P552" s="663" t="s">
        <v>80</v>
      </c>
      <c r="Q552" s="664"/>
      <c r="R552" s="664"/>
      <c r="S552" s="664"/>
      <c r="T552" s="664"/>
      <c r="U552" s="664"/>
      <c r="V552" s="665"/>
      <c r="W552" s="37" t="s">
        <v>81</v>
      </c>
      <c r="X552" s="659">
        <f>IFERROR(X550/H550,"0")+IFERROR(X551/H551,"0")</f>
        <v>0</v>
      </c>
      <c r="Y552" s="659">
        <f>IFERROR(Y550/H550,"0")+IFERROR(Y551/H551,"0")</f>
        <v>0</v>
      </c>
      <c r="Z552" s="659">
        <f>IFERROR(IF(Z550="",0,Z550),"0")+IFERROR(IF(Z551="",0,Z551),"0")</f>
        <v>0</v>
      </c>
      <c r="AA552" s="660"/>
      <c r="AB552" s="660"/>
      <c r="AC552" s="660"/>
    </row>
    <row r="553" spans="1:68" hidden="1" x14ac:dyDescent="0.2">
      <c r="A553" s="680"/>
      <c r="B553" s="680"/>
      <c r="C553" s="680"/>
      <c r="D553" s="680"/>
      <c r="E553" s="680"/>
      <c r="F553" s="680"/>
      <c r="G553" s="680"/>
      <c r="H553" s="680"/>
      <c r="I553" s="680"/>
      <c r="J553" s="680"/>
      <c r="K553" s="680"/>
      <c r="L553" s="680"/>
      <c r="M553" s="680"/>
      <c r="N553" s="680"/>
      <c r="O553" s="681"/>
      <c r="P553" s="663" t="s">
        <v>80</v>
      </c>
      <c r="Q553" s="664"/>
      <c r="R553" s="664"/>
      <c r="S553" s="664"/>
      <c r="T553" s="664"/>
      <c r="U553" s="664"/>
      <c r="V553" s="665"/>
      <c r="W553" s="37" t="s">
        <v>69</v>
      </c>
      <c r="X553" s="659">
        <f>IFERROR(SUM(X550:X551),"0")</f>
        <v>0</v>
      </c>
      <c r="Y553" s="659">
        <f>IFERROR(SUM(Y550:Y551),"0")</f>
        <v>0</v>
      </c>
      <c r="Z553" s="37"/>
      <c r="AA553" s="660"/>
      <c r="AB553" s="660"/>
      <c r="AC553" s="660"/>
    </row>
    <row r="554" spans="1:68" ht="14.25" hidden="1" customHeight="1" x14ac:dyDescent="0.25">
      <c r="A554" s="682" t="s">
        <v>133</v>
      </c>
      <c r="B554" s="680"/>
      <c r="C554" s="680"/>
      <c r="D554" s="680"/>
      <c r="E554" s="680"/>
      <c r="F554" s="680"/>
      <c r="G554" s="680"/>
      <c r="H554" s="680"/>
      <c r="I554" s="680"/>
      <c r="J554" s="680"/>
      <c r="K554" s="680"/>
      <c r="L554" s="680"/>
      <c r="M554" s="680"/>
      <c r="N554" s="680"/>
      <c r="O554" s="680"/>
      <c r="P554" s="680"/>
      <c r="Q554" s="680"/>
      <c r="R554" s="680"/>
      <c r="S554" s="680"/>
      <c r="T554" s="680"/>
      <c r="U554" s="680"/>
      <c r="V554" s="680"/>
      <c r="W554" s="680"/>
      <c r="X554" s="680"/>
      <c r="Y554" s="680"/>
      <c r="Z554" s="680"/>
      <c r="AA554" s="653"/>
      <c r="AB554" s="653"/>
      <c r="AC554" s="653"/>
    </row>
    <row r="555" spans="1:68" ht="27" hidden="1" customHeight="1" x14ac:dyDescent="0.25">
      <c r="A555" s="54" t="s">
        <v>917</v>
      </c>
      <c r="B555" s="54" t="s">
        <v>918</v>
      </c>
      <c r="C555" s="31">
        <v>4301020314</v>
      </c>
      <c r="D555" s="672">
        <v>4640242180090</v>
      </c>
      <c r="E555" s="673"/>
      <c r="F555" s="656">
        <v>1.5</v>
      </c>
      <c r="G555" s="32">
        <v>8</v>
      </c>
      <c r="H555" s="656">
        <v>12</v>
      </c>
      <c r="I555" s="656">
        <v>12.435</v>
      </c>
      <c r="J555" s="32">
        <v>64</v>
      </c>
      <c r="K555" s="32" t="s">
        <v>93</v>
      </c>
      <c r="L555" s="32"/>
      <c r="M555" s="33" t="s">
        <v>94</v>
      </c>
      <c r="N555" s="33"/>
      <c r="O555" s="32">
        <v>50</v>
      </c>
      <c r="P555" s="1041" t="s">
        <v>919</v>
      </c>
      <c r="Q555" s="667"/>
      <c r="R555" s="667"/>
      <c r="S555" s="667"/>
      <c r="T555" s="668"/>
      <c r="U555" s="34"/>
      <c r="V555" s="34"/>
      <c r="W555" s="35" t="s">
        <v>69</v>
      </c>
      <c r="X555" s="657">
        <v>0</v>
      </c>
      <c r="Y555" s="658">
        <f>IFERROR(IF(X555="",0,CEILING((X555/$H555),1)*$H555),"")</f>
        <v>0</v>
      </c>
      <c r="Z555" s="36" t="str">
        <f>IFERROR(IF(Y555=0,"",ROUNDUP(Y555/H555,0)*0.01898),"")</f>
        <v/>
      </c>
      <c r="AA555" s="56"/>
      <c r="AB555" s="57"/>
      <c r="AC555" s="645" t="s">
        <v>920</v>
      </c>
      <c r="AG555" s="64"/>
      <c r="AJ555" s="68"/>
      <c r="AK555" s="68">
        <v>0</v>
      </c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679"/>
      <c r="B556" s="680"/>
      <c r="C556" s="680"/>
      <c r="D556" s="680"/>
      <c r="E556" s="680"/>
      <c r="F556" s="680"/>
      <c r="G556" s="680"/>
      <c r="H556" s="680"/>
      <c r="I556" s="680"/>
      <c r="J556" s="680"/>
      <c r="K556" s="680"/>
      <c r="L556" s="680"/>
      <c r="M556" s="680"/>
      <c r="N556" s="680"/>
      <c r="O556" s="681"/>
      <c r="P556" s="663" t="s">
        <v>80</v>
      </c>
      <c r="Q556" s="664"/>
      <c r="R556" s="664"/>
      <c r="S556" s="664"/>
      <c r="T556" s="664"/>
      <c r="U556" s="664"/>
      <c r="V556" s="665"/>
      <c r="W556" s="37" t="s">
        <v>81</v>
      </c>
      <c r="X556" s="659">
        <f>IFERROR(X555/H555,"0")</f>
        <v>0</v>
      </c>
      <c r="Y556" s="659">
        <f>IFERROR(Y555/H555,"0")</f>
        <v>0</v>
      </c>
      <c r="Z556" s="659">
        <f>IFERROR(IF(Z555="",0,Z555),"0")</f>
        <v>0</v>
      </c>
      <c r="AA556" s="660"/>
      <c r="AB556" s="660"/>
      <c r="AC556" s="660"/>
    </row>
    <row r="557" spans="1:68" hidden="1" x14ac:dyDescent="0.2">
      <c r="A557" s="680"/>
      <c r="B557" s="680"/>
      <c r="C557" s="680"/>
      <c r="D557" s="680"/>
      <c r="E557" s="680"/>
      <c r="F557" s="680"/>
      <c r="G557" s="680"/>
      <c r="H557" s="680"/>
      <c r="I557" s="680"/>
      <c r="J557" s="680"/>
      <c r="K557" s="680"/>
      <c r="L557" s="680"/>
      <c r="M557" s="680"/>
      <c r="N557" s="680"/>
      <c r="O557" s="681"/>
      <c r="P557" s="663" t="s">
        <v>80</v>
      </c>
      <c r="Q557" s="664"/>
      <c r="R557" s="664"/>
      <c r="S557" s="664"/>
      <c r="T557" s="664"/>
      <c r="U557" s="664"/>
      <c r="V557" s="665"/>
      <c r="W557" s="37" t="s">
        <v>69</v>
      </c>
      <c r="X557" s="659">
        <f>IFERROR(SUM(X555:X555),"0")</f>
        <v>0</v>
      </c>
      <c r="Y557" s="659">
        <f>IFERROR(SUM(Y555:Y555),"0")</f>
        <v>0</v>
      </c>
      <c r="Z557" s="37"/>
      <c r="AA557" s="660"/>
      <c r="AB557" s="660"/>
      <c r="AC557" s="660"/>
    </row>
    <row r="558" spans="1:68" ht="14.25" hidden="1" customHeight="1" x14ac:dyDescent="0.25">
      <c r="A558" s="682" t="s">
        <v>146</v>
      </c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0"/>
      <c r="P558" s="680"/>
      <c r="Q558" s="680"/>
      <c r="R558" s="680"/>
      <c r="S558" s="680"/>
      <c r="T558" s="680"/>
      <c r="U558" s="680"/>
      <c r="V558" s="680"/>
      <c r="W558" s="680"/>
      <c r="X558" s="680"/>
      <c r="Y558" s="680"/>
      <c r="Z558" s="680"/>
      <c r="AA558" s="653"/>
      <c r="AB558" s="653"/>
      <c r="AC558" s="653"/>
    </row>
    <row r="559" spans="1:68" ht="27" hidden="1" customHeight="1" x14ac:dyDescent="0.25">
      <c r="A559" s="54" t="s">
        <v>921</v>
      </c>
      <c r="B559" s="54" t="s">
        <v>922</v>
      </c>
      <c r="C559" s="31">
        <v>4301031321</v>
      </c>
      <c r="D559" s="672">
        <v>4640242180076</v>
      </c>
      <c r="E559" s="673"/>
      <c r="F559" s="656">
        <v>0.7</v>
      </c>
      <c r="G559" s="32">
        <v>6</v>
      </c>
      <c r="H559" s="656">
        <v>4.2</v>
      </c>
      <c r="I559" s="65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40</v>
      </c>
      <c r="P559" s="891" t="s">
        <v>923</v>
      </c>
      <c r="Q559" s="667"/>
      <c r="R559" s="667"/>
      <c r="S559" s="667"/>
      <c r="T559" s="668"/>
      <c r="U559" s="34"/>
      <c r="V559" s="34"/>
      <c r="W559" s="35" t="s">
        <v>69</v>
      </c>
      <c r="X559" s="657">
        <v>0</v>
      </c>
      <c r="Y559" s="6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924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679"/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1"/>
      <c r="P560" s="663" t="s">
        <v>80</v>
      </c>
      <c r="Q560" s="664"/>
      <c r="R560" s="664"/>
      <c r="S560" s="664"/>
      <c r="T560" s="664"/>
      <c r="U560" s="664"/>
      <c r="V560" s="665"/>
      <c r="W560" s="37" t="s">
        <v>81</v>
      </c>
      <c r="X560" s="659">
        <f>IFERROR(X559/H559,"0")</f>
        <v>0</v>
      </c>
      <c r="Y560" s="659">
        <f>IFERROR(Y559/H559,"0")</f>
        <v>0</v>
      </c>
      <c r="Z560" s="659">
        <f>IFERROR(IF(Z559="",0,Z559),"0")</f>
        <v>0</v>
      </c>
      <c r="AA560" s="660"/>
      <c r="AB560" s="660"/>
      <c r="AC560" s="660"/>
    </row>
    <row r="561" spans="1:32" hidden="1" x14ac:dyDescent="0.2">
      <c r="A561" s="680"/>
      <c r="B561" s="680"/>
      <c r="C561" s="680"/>
      <c r="D561" s="680"/>
      <c r="E561" s="680"/>
      <c r="F561" s="680"/>
      <c r="G561" s="680"/>
      <c r="H561" s="680"/>
      <c r="I561" s="680"/>
      <c r="J561" s="680"/>
      <c r="K561" s="680"/>
      <c r="L561" s="680"/>
      <c r="M561" s="680"/>
      <c r="N561" s="680"/>
      <c r="O561" s="681"/>
      <c r="P561" s="663" t="s">
        <v>80</v>
      </c>
      <c r="Q561" s="664"/>
      <c r="R561" s="664"/>
      <c r="S561" s="664"/>
      <c r="T561" s="664"/>
      <c r="U561" s="664"/>
      <c r="V561" s="665"/>
      <c r="W561" s="37" t="s">
        <v>69</v>
      </c>
      <c r="X561" s="659">
        <f>IFERROR(SUM(X559:X559),"0")</f>
        <v>0</v>
      </c>
      <c r="Y561" s="659">
        <f>IFERROR(SUM(Y559:Y559),"0")</f>
        <v>0</v>
      </c>
      <c r="Z561" s="37"/>
      <c r="AA561" s="660"/>
      <c r="AB561" s="660"/>
      <c r="AC561" s="660"/>
    </row>
    <row r="562" spans="1:32" ht="15" customHeight="1" x14ac:dyDescent="0.2">
      <c r="A562" s="867"/>
      <c r="B562" s="680"/>
      <c r="C562" s="680"/>
      <c r="D562" s="680"/>
      <c r="E562" s="680"/>
      <c r="F562" s="680"/>
      <c r="G562" s="680"/>
      <c r="H562" s="680"/>
      <c r="I562" s="680"/>
      <c r="J562" s="680"/>
      <c r="K562" s="680"/>
      <c r="L562" s="680"/>
      <c r="M562" s="680"/>
      <c r="N562" s="680"/>
      <c r="O562" s="841"/>
      <c r="P562" s="703" t="s">
        <v>925</v>
      </c>
      <c r="Q562" s="704"/>
      <c r="R562" s="704"/>
      <c r="S562" s="704"/>
      <c r="T562" s="704"/>
      <c r="U562" s="704"/>
      <c r="V562" s="705"/>
      <c r="W562" s="37" t="s">
        <v>69</v>
      </c>
      <c r="X562" s="659">
        <f>IFERROR(X27+X31+X41+X45+X56+X63+X69+X78+X84+X91+X103+X111+X117+X129+X134+X139+X146+X151+X157+X169+X175+X180+X191+X203+X208+X220+X225+X235+X240+X247+X256+X261+X265+X269+X275+X280+X285+X296+X303+X311+X317+X324+X330+X335+X341+X356+X361+X366+X370+X380+X385+X393+X397+X414+X419+X425+X432+X438+X443+X447+X467+X474+X489+X495+X500+X511+X519+X529+X538+X547+X553+X557+X561,"0")</f>
        <v>16817.900000000001</v>
      </c>
      <c r="Y562" s="659">
        <f>IFERROR(Y27+Y31+Y41+Y45+Y56+Y63+Y69+Y78+Y84+Y91+Y103+Y111+Y117+Y129+Y134+Y139+Y146+Y151+Y157+Y169+Y175+Y180+Y191+Y203+Y208+Y220+Y225+Y235+Y240+Y247+Y256+Y261+Y265+Y269+Y275+Y280+Y285+Y296+Y303+Y311+Y317+Y324+Y330+Y335+Y341+Y356+Y361+Y366+Y370+Y380+Y385+Y393+Y397+Y414+Y419+Y425+Y432+Y438+Y443+Y447+Y467+Y474+Y489+Y495+Y500+Y511+Y519+Y529+Y538+Y547+Y553+Y557+Y561,"0")</f>
        <v>17017.539999999997</v>
      </c>
      <c r="Z562" s="37"/>
      <c r="AA562" s="660"/>
      <c r="AB562" s="660"/>
      <c r="AC562" s="660"/>
    </row>
    <row r="563" spans="1:32" x14ac:dyDescent="0.2">
      <c r="A563" s="680"/>
      <c r="B563" s="680"/>
      <c r="C563" s="680"/>
      <c r="D563" s="680"/>
      <c r="E563" s="680"/>
      <c r="F563" s="680"/>
      <c r="G563" s="680"/>
      <c r="H563" s="680"/>
      <c r="I563" s="680"/>
      <c r="J563" s="680"/>
      <c r="K563" s="680"/>
      <c r="L563" s="680"/>
      <c r="M563" s="680"/>
      <c r="N563" s="680"/>
      <c r="O563" s="841"/>
      <c r="P563" s="703" t="s">
        <v>926</v>
      </c>
      <c r="Q563" s="704"/>
      <c r="R563" s="704"/>
      <c r="S563" s="704"/>
      <c r="T563" s="704"/>
      <c r="U563" s="704"/>
      <c r="V563" s="705"/>
      <c r="W563" s="37" t="s">
        <v>69</v>
      </c>
      <c r="X563" s="659">
        <f>IFERROR(SUM(BM22:BM559),"0")</f>
        <v>17902.109572056295</v>
      </c>
      <c r="Y563" s="659">
        <f>IFERROR(SUM(BN22:BN559),"0")</f>
        <v>18114.532999999999</v>
      </c>
      <c r="Z563" s="37"/>
      <c r="AA563" s="660"/>
      <c r="AB563" s="660"/>
      <c r="AC563" s="660"/>
    </row>
    <row r="564" spans="1:32" x14ac:dyDescent="0.2">
      <c r="A564" s="680"/>
      <c r="B564" s="680"/>
      <c r="C564" s="680"/>
      <c r="D564" s="680"/>
      <c r="E564" s="680"/>
      <c r="F564" s="680"/>
      <c r="G564" s="680"/>
      <c r="H564" s="680"/>
      <c r="I564" s="680"/>
      <c r="J564" s="680"/>
      <c r="K564" s="680"/>
      <c r="L564" s="680"/>
      <c r="M564" s="680"/>
      <c r="N564" s="680"/>
      <c r="O564" s="841"/>
      <c r="P564" s="703" t="s">
        <v>927</v>
      </c>
      <c r="Q564" s="704"/>
      <c r="R564" s="704"/>
      <c r="S564" s="704"/>
      <c r="T564" s="704"/>
      <c r="U564" s="704"/>
      <c r="V564" s="705"/>
      <c r="W564" s="37" t="s">
        <v>928</v>
      </c>
      <c r="X564" s="38">
        <f>ROUNDUP(SUM(BO22:BO559),0)</f>
        <v>31</v>
      </c>
      <c r="Y564" s="38">
        <f>ROUNDUP(SUM(BP22:BP559),0)</f>
        <v>32</v>
      </c>
      <c r="Z564" s="37"/>
      <c r="AA564" s="660"/>
      <c r="AB564" s="660"/>
      <c r="AC564" s="660"/>
    </row>
    <row r="565" spans="1:32" x14ac:dyDescent="0.2">
      <c r="A565" s="680"/>
      <c r="B565" s="680"/>
      <c r="C565" s="680"/>
      <c r="D565" s="680"/>
      <c r="E565" s="680"/>
      <c r="F565" s="680"/>
      <c r="G565" s="680"/>
      <c r="H565" s="680"/>
      <c r="I565" s="680"/>
      <c r="J565" s="680"/>
      <c r="K565" s="680"/>
      <c r="L565" s="680"/>
      <c r="M565" s="680"/>
      <c r="N565" s="680"/>
      <c r="O565" s="841"/>
      <c r="P565" s="703" t="s">
        <v>929</v>
      </c>
      <c r="Q565" s="704"/>
      <c r="R565" s="704"/>
      <c r="S565" s="704"/>
      <c r="T565" s="704"/>
      <c r="U565" s="704"/>
      <c r="V565" s="705"/>
      <c r="W565" s="37" t="s">
        <v>69</v>
      </c>
      <c r="X565" s="659">
        <f>GrossWeightTotal+PalletQtyTotal*25</f>
        <v>18677.109572056295</v>
      </c>
      <c r="Y565" s="659">
        <f>GrossWeightTotalR+PalletQtyTotalR*25</f>
        <v>18914.532999999999</v>
      </c>
      <c r="Z565" s="37"/>
      <c r="AA565" s="660"/>
      <c r="AB565" s="660"/>
      <c r="AC565" s="660"/>
    </row>
    <row r="566" spans="1:32" x14ac:dyDescent="0.2">
      <c r="A566" s="680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841"/>
      <c r="P566" s="703" t="s">
        <v>930</v>
      </c>
      <c r="Q566" s="704"/>
      <c r="R566" s="704"/>
      <c r="S566" s="704"/>
      <c r="T566" s="704"/>
      <c r="U566" s="704"/>
      <c r="V566" s="705"/>
      <c r="W566" s="37" t="s">
        <v>928</v>
      </c>
      <c r="X566" s="659">
        <f>IFERROR(X26+X30+X40+X44+X55+X62+X68+X77+X83+X90+X102+X110+X116+X128+X133+X138+X145+X150+X156+X168+X174+X179+X190+X202+X207+X219+X224+X234+X239+X246+X255+X260+X264+X268+X274+X279+X284+X295+X302+X310+X316+X323+X329+X334+X340+X355+X360+X365+X369+X379+X384+X392+X396+X413+X418+X424+X431+X437+X442+X446+X466+X473+X488+X494+X499+X510+X518+X528+X537+X546+X552+X556+X560,"0")</f>
        <v>3715.2522397781017</v>
      </c>
      <c r="Y566" s="659">
        <f>IFERROR(Y26+Y30+Y40+Y44+Y55+Y62+Y68+Y77+Y83+Y90+Y102+Y110+Y116+Y128+Y133+Y138+Y145+Y150+Y156+Y168+Y174+Y179+Y190+Y202+Y207+Y219+Y224+Y234+Y239+Y246+Y255+Y260+Y264+Y268+Y274+Y279+Y284+Y295+Y302+Y310+Y316+Y323+Y329+Y334+Y340+Y355+Y360+Y365+Y369+Y379+Y384+Y392+Y396+Y413+Y418+Y424+Y431+Y437+Y442+Y446+Y466+Y473+Y488+Y494+Y499+Y510+Y518+Y528+Y537+Y546+Y552+Y556+Y560,"0")</f>
        <v>3749</v>
      </c>
      <c r="Z566" s="37"/>
      <c r="AA566" s="660"/>
      <c r="AB566" s="660"/>
      <c r="AC566" s="660"/>
    </row>
    <row r="567" spans="1:32" ht="14.25" hidden="1" customHeight="1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841"/>
      <c r="P567" s="703" t="s">
        <v>931</v>
      </c>
      <c r="Q567" s="704"/>
      <c r="R567" s="704"/>
      <c r="S567" s="704"/>
      <c r="T567" s="704"/>
      <c r="U567" s="704"/>
      <c r="V567" s="705"/>
      <c r="W567" s="39" t="s">
        <v>932</v>
      </c>
      <c r="X567" s="37"/>
      <c r="Y567" s="37"/>
      <c r="Z567" s="37">
        <f>IFERROR(Z26+Z30+Z40+Z44+Z55+Z62+Z68+Z77+Z83+Z90+Z102+Z110+Z116+Z128+Z133+Z138+Z145+Z150+Z156+Z168+Z174+Z179+Z190+Z202+Z207+Z219+Z224+Z234+Z239+Z246+Z255+Z260+Z264+Z268+Z274+Z279+Z284+Z295+Z302+Z310+Z316+Z323+Z329+Z334+Z340+Z355+Z360+Z365+Z369+Z379+Z384+Z392+Z396+Z413+Z418+Z424+Z431+Z437+Z442+Z446+Z466+Z473+Z488+Z494+Z499+Z510+Z518+Z528+Z537+Z546+Z552+Z556+Z560,"0")</f>
        <v>36.39555</v>
      </c>
      <c r="AA567" s="660"/>
      <c r="AB567" s="660"/>
      <c r="AC567" s="660"/>
    </row>
    <row r="568" spans="1:32" ht="13.5" customHeight="1" thickBot="1" x14ac:dyDescent="0.25"/>
    <row r="569" spans="1:32" ht="27" customHeight="1" thickTop="1" thickBot="1" x14ac:dyDescent="0.25">
      <c r="A569" s="40" t="s">
        <v>933</v>
      </c>
      <c r="B569" s="654" t="s">
        <v>63</v>
      </c>
      <c r="C569" s="696" t="s">
        <v>88</v>
      </c>
      <c r="D569" s="955"/>
      <c r="E569" s="955"/>
      <c r="F569" s="955"/>
      <c r="G569" s="956"/>
      <c r="H569" s="696" t="s">
        <v>276</v>
      </c>
      <c r="I569" s="955"/>
      <c r="J569" s="955"/>
      <c r="K569" s="955"/>
      <c r="L569" s="955"/>
      <c r="M569" s="955"/>
      <c r="N569" s="955"/>
      <c r="O569" s="955"/>
      <c r="P569" s="955"/>
      <c r="Q569" s="955"/>
      <c r="R569" s="955"/>
      <c r="S569" s="955"/>
      <c r="T569" s="956"/>
      <c r="U569" s="696" t="s">
        <v>553</v>
      </c>
      <c r="V569" s="956"/>
      <c r="W569" s="696" t="s">
        <v>634</v>
      </c>
      <c r="X569" s="955"/>
      <c r="Y569" s="955"/>
      <c r="Z569" s="956"/>
      <c r="AA569" s="654" t="s">
        <v>709</v>
      </c>
      <c r="AB569" s="696" t="s">
        <v>809</v>
      </c>
      <c r="AC569" s="956"/>
      <c r="AF569" s="655"/>
    </row>
    <row r="570" spans="1:32" ht="14.25" customHeight="1" thickTop="1" x14ac:dyDescent="0.2">
      <c r="A570" s="887" t="s">
        <v>934</v>
      </c>
      <c r="B570" s="696" t="s">
        <v>63</v>
      </c>
      <c r="C570" s="696" t="s">
        <v>89</v>
      </c>
      <c r="D570" s="696" t="s">
        <v>112</v>
      </c>
      <c r="E570" s="696" t="s">
        <v>180</v>
      </c>
      <c r="F570" s="696" t="s">
        <v>211</v>
      </c>
      <c r="G570" s="696" t="s">
        <v>88</v>
      </c>
      <c r="H570" s="696" t="s">
        <v>277</v>
      </c>
      <c r="I570" s="696" t="s">
        <v>305</v>
      </c>
      <c r="J570" s="696" t="s">
        <v>366</v>
      </c>
      <c r="K570" s="696" t="s">
        <v>391</v>
      </c>
      <c r="L570" s="696" t="s">
        <v>409</v>
      </c>
      <c r="M570" s="696" t="s">
        <v>413</v>
      </c>
      <c r="N570" s="655"/>
      <c r="O570" s="696" t="s">
        <v>422</v>
      </c>
      <c r="P570" s="696" t="s">
        <v>438</v>
      </c>
      <c r="Q570" s="696" t="s">
        <v>448</v>
      </c>
      <c r="R570" s="696" t="s">
        <v>455</v>
      </c>
      <c r="S570" s="696" t="s">
        <v>463</v>
      </c>
      <c r="T570" s="696" t="s">
        <v>540</v>
      </c>
      <c r="U570" s="696" t="s">
        <v>554</v>
      </c>
      <c r="V570" s="696" t="s">
        <v>595</v>
      </c>
      <c r="W570" s="696" t="s">
        <v>635</v>
      </c>
      <c r="X570" s="696" t="s">
        <v>674</v>
      </c>
      <c r="Y570" s="696" t="s">
        <v>694</v>
      </c>
      <c r="Z570" s="696" t="s">
        <v>702</v>
      </c>
      <c r="AA570" s="696" t="s">
        <v>709</v>
      </c>
      <c r="AB570" s="696" t="s">
        <v>809</v>
      </c>
      <c r="AC570" s="696" t="s">
        <v>908</v>
      </c>
      <c r="AF570" s="655"/>
    </row>
    <row r="571" spans="1:32" ht="13.5" customHeight="1" thickBot="1" x14ac:dyDescent="0.25">
      <c r="A571" s="888"/>
      <c r="B571" s="697"/>
      <c r="C571" s="697"/>
      <c r="D571" s="697"/>
      <c r="E571" s="697"/>
      <c r="F571" s="697"/>
      <c r="G571" s="697"/>
      <c r="H571" s="697"/>
      <c r="I571" s="697"/>
      <c r="J571" s="697"/>
      <c r="K571" s="697"/>
      <c r="L571" s="697"/>
      <c r="M571" s="697"/>
      <c r="N571" s="655"/>
      <c r="O571" s="697"/>
      <c r="P571" s="697"/>
      <c r="Q571" s="697"/>
      <c r="R571" s="697"/>
      <c r="S571" s="697"/>
      <c r="T571" s="697"/>
      <c r="U571" s="697"/>
      <c r="V571" s="697"/>
      <c r="W571" s="697"/>
      <c r="X571" s="697"/>
      <c r="Y571" s="697"/>
      <c r="Z571" s="697"/>
      <c r="AA571" s="697"/>
      <c r="AB571" s="697"/>
      <c r="AC571" s="697"/>
      <c r="AF571" s="655"/>
    </row>
    <row r="572" spans="1:32" ht="18" customHeight="1" thickTop="1" thickBot="1" x14ac:dyDescent="0.25">
      <c r="A572" s="40" t="s">
        <v>935</v>
      </c>
      <c r="B572" s="46">
        <f>IFERROR(Y22*1,"0")+IFERROR(Y23*1,"0")+IFERROR(Y24*1,"0")+IFERROR(Y25*1,"0")+IFERROR(Y29*1,"0")</f>
        <v>61.2</v>
      </c>
      <c r="C572" s="46">
        <f>IFERROR(Y35*1,"0")+IFERROR(Y36*1,"0")+IFERROR(Y37*1,"0")+IFERROR(Y38*1,"0")+IFERROR(Y39*1,"0")+IFERROR(Y43*1,"0")</f>
        <v>468</v>
      </c>
      <c r="D572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779.4</v>
      </c>
      <c r="E572" s="46">
        <f>IFERROR(Y87*1,"0")+IFERROR(Y88*1,"0")+IFERROR(Y89*1,"0")+IFERROR(Y93*1,"0")+IFERROR(Y94*1,"0")+IFERROR(Y95*1,"0")+IFERROR(Y96*1,"0")+IFERROR(Y97*1,"0")+IFERROR(Y98*1,"0")+IFERROR(Y99*1,"0")+IFERROR(Y100*1,"0")+IFERROR(Y101*1,"0")</f>
        <v>1506.3000000000002</v>
      </c>
      <c r="F572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2221.56</v>
      </c>
      <c r="G572" s="46">
        <f>IFERROR(Y137*1,"0")+IFERROR(Y141*1,"0")+IFERROR(Y142*1,"0")+IFERROR(Y143*1,"0")+IFERROR(Y144*1,"0")+IFERROR(Y148*1,"0")+IFERROR(Y149*1,"0")</f>
        <v>0</v>
      </c>
      <c r="H572" s="46">
        <f>IFERROR(Y155*1,"0")+IFERROR(Y159*1,"0")+IFERROR(Y160*1,"0")+IFERROR(Y161*1,"0")+IFERROR(Y162*1,"0")+IFERROR(Y163*1,"0")+IFERROR(Y164*1,"0")+IFERROR(Y165*1,"0")+IFERROR(Y166*1,"0")+IFERROR(Y167*1,"0")</f>
        <v>543.9</v>
      </c>
      <c r="I572" s="46">
        <f>IFERROR(Y172*1,"0")+IFERROR(Y173*1,"0")+IFERROR(Y177*1,"0")+IFERROR(Y178*1,"0")+IFERROR(Y182*1,"0")+IFERROR(Y183*1,"0")+IFERROR(Y184*1,"0")+IFERROR(Y185*1,"0")+IFERROR(Y186*1,"0")+IFERROR(Y187*1,"0")+IFERROR(Y188*1,"0")+IFERROR(Y189*1,"0")+IFERROR(Y193*1,"0")+IFERROR(Y194*1,"0")+IFERROR(Y195*1,"0")+IFERROR(Y196*1,"0")+IFERROR(Y197*1,"0")+IFERROR(Y198*1,"0")+IFERROR(Y199*1,"0")+IFERROR(Y200*1,"0")+IFERROR(Y201*1,"0")+IFERROR(Y205*1,"0")+IFERROR(Y206*1,"0")</f>
        <v>2056.5</v>
      </c>
      <c r="J572" s="46">
        <f>IFERROR(Y211*1,"0")+IFERROR(Y212*1,"0")+IFERROR(Y213*1,"0")+IFERROR(Y214*1,"0")+IFERROR(Y215*1,"0")+IFERROR(Y216*1,"0")+IFERROR(Y217*1,"0")+IFERROR(Y218*1,"0")+IFERROR(Y222*1,"0")+IFERROR(Y223*1,"0")</f>
        <v>150</v>
      </c>
      <c r="K572" s="46">
        <f>IFERROR(Y228*1,"0")+IFERROR(Y229*1,"0")+IFERROR(Y230*1,"0")+IFERROR(Y231*1,"0")+IFERROR(Y232*1,"0")+IFERROR(Y233*1,"0")</f>
        <v>0</v>
      </c>
      <c r="L572" s="46">
        <f>IFERROR(Y238*1,"0")</f>
        <v>0</v>
      </c>
      <c r="M572" s="46">
        <f>IFERROR(Y243*1,"0")+IFERROR(Y244*1,"0")+IFERROR(Y245*1,"0")</f>
        <v>0</v>
      </c>
      <c r="N572" s="655"/>
      <c r="O572" s="46">
        <f>IFERROR(Y250*1,"0")+IFERROR(Y251*1,"0")+IFERROR(Y252*1,"0")+IFERROR(Y253*1,"0")+IFERROR(Y254*1,"0")</f>
        <v>400.8</v>
      </c>
      <c r="P572" s="46">
        <f>IFERROR(Y259*1,"0")+IFERROR(Y263*1,"0")+IFERROR(Y267*1,"0")</f>
        <v>0</v>
      </c>
      <c r="Q572" s="46">
        <f>IFERROR(Y272*1,"0")+IFERROR(Y273*1,"0")</f>
        <v>0</v>
      </c>
      <c r="R572" s="46">
        <f>IFERROR(Y278*1,"0")+IFERROR(Y282*1,"0")+IFERROR(Y283*1,"0")</f>
        <v>210</v>
      </c>
      <c r="S572" s="46">
        <f>IFERROR(Y288*1,"0")+IFERROR(Y289*1,"0")+IFERROR(Y290*1,"0")+IFERROR(Y291*1,"0")+IFERROR(Y292*1,"0")+IFERROR(Y293*1,"0")+IFERROR(Y294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409.5</v>
      </c>
      <c r="T572" s="46">
        <f>IFERROR(Y333*1,"0")+IFERROR(Y337*1,"0")+IFERROR(Y338*1,"0")+IFERROR(Y339*1,"0")</f>
        <v>1232.4000000000001</v>
      </c>
      <c r="U572" s="46">
        <f>IFERROR(Y345*1,"0")+IFERROR(Y346*1,"0")+IFERROR(Y347*1,"0")+IFERROR(Y348*1,"0")+IFERROR(Y349*1,"0")+IFERROR(Y350*1,"0")+IFERROR(Y351*1,"0")+IFERROR(Y352*1,"0")+IFERROR(Y353*1,"0")+IFERROR(Y354*1,"0")+IFERROR(Y358*1,"0")+IFERROR(Y359*1,"0")+IFERROR(Y363*1,"0")+IFERROR(Y364*1,"0")+IFERROR(Y368*1,"0")</f>
        <v>4162</v>
      </c>
      <c r="V572" s="46">
        <f>IFERROR(Y373*1,"0")+IFERROR(Y374*1,"0")+IFERROR(Y375*1,"0")+IFERROR(Y376*1,"0")+IFERROR(Y377*1,"0")+IFERROR(Y378*1,"0")+IFERROR(Y382*1,"0")+IFERROR(Y383*1,"0")+IFERROR(Y387*1,"0")+IFERROR(Y388*1,"0")+IFERROR(Y389*1,"0")+IFERROR(Y390*1,"0")+IFERROR(Y391*1,"0")+IFERROR(Y395*1,"0")</f>
        <v>87</v>
      </c>
      <c r="W572" s="46">
        <f>IFERROR(Y401*1,"0")+IFERROR(Y402*1,"0")+IFERROR(Y403*1,"0")+IFERROR(Y404*1,"0")+IFERROR(Y405*1,"0")+IFERROR(Y406*1,"0")+IFERROR(Y407*1,"0")+IFERROR(Y408*1,"0")+IFERROR(Y409*1,"0")+IFERROR(Y410*1,"0")+IFERROR(Y411*1,"0")+IFERROR(Y412*1,"0")+IFERROR(Y416*1,"0")+IFERROR(Y417*1,"0")</f>
        <v>130.80000000000001</v>
      </c>
      <c r="X572" s="46">
        <f>IFERROR(Y422*1,"0")+IFERROR(Y423*1,"0")+IFERROR(Y427*1,"0")+IFERROR(Y428*1,"0")+IFERROR(Y429*1,"0")+IFERROR(Y430*1,"0")</f>
        <v>25.5</v>
      </c>
      <c r="Y572" s="46">
        <f>IFERROR(Y435*1,"0")+IFERROR(Y436*1,"0")</f>
        <v>10.799999999999999</v>
      </c>
      <c r="Z572" s="46">
        <f>IFERROR(Y441*1,"0")+IFERROR(Y445*1,"0")</f>
        <v>0</v>
      </c>
      <c r="AA572" s="46">
        <f>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465*1,"0")+IFERROR(Y469*1,"0")+IFERROR(Y470*1,"0")+IFERROR(Y471*1,"0")+IFERROR(Y472*1,"0")+IFERROR(Y476*1,"0")+IFERROR(Y477*1,"0")+IFERROR(Y478*1,"0")+IFERROR(Y479*1,"0")+IFERROR(Y480*1,"0")+IFERROR(Y481*1,"0")+IFERROR(Y482*1,"0")+IFERROR(Y483*1,"0")+IFERROR(Y484*1,"0")+IFERROR(Y485*1,"0")+IFERROR(Y486*1,"0")+IFERROR(Y487*1,"0")+IFERROR(Y491*1,"0")+IFERROR(Y492*1,"0")+IFERROR(Y493*1,"0")+IFERROR(Y497*1,"0")+IFERROR(Y498*1,"0")</f>
        <v>840.48</v>
      </c>
      <c r="AB572" s="46">
        <f>IFERROR(Y504*1,"0")+IFERROR(Y505*1,"0")+IFERROR(Y506*1,"0")+IFERROR(Y507*1,"0")+IFERROR(Y508*1,"0")+IFERROR(Y509*1,"0")+IFERROR(Y513*1,"0")+IFERROR(Y514*1,"0")+IFERROR(Y515*1,"0")+IFERROR(Y516*1,"0")+IFERROR(Y517*1,"0")+IFERROR(Y521*1,"0")+IFERROR(Y522*1,"0")+IFERROR(Y523*1,"0")+IFERROR(Y524*1,"0")+IFERROR(Y525*1,"0")+IFERROR(Y526*1,"0")+IFERROR(Y527*1,"0")+IFERROR(Y531*1,"0")+IFERROR(Y532*1,"0")+IFERROR(Y533*1,"0")+IFERROR(Y534*1,"0")+IFERROR(Y535*1,"0")+IFERROR(Y536*1,"0")+IFERROR(Y540*1,"0")+IFERROR(Y541*1,"0")+IFERROR(Y542*1,"0")+IFERROR(Y543*1,"0")+IFERROR(Y544*1,"0")+IFERROR(Y545*1,"0")</f>
        <v>1721.3999999999999</v>
      </c>
      <c r="AC572" s="46">
        <f>IFERROR(Y550*1,"0")+IFERROR(Y551*1,"0")+IFERROR(Y555*1,"0")+IFERROR(Y559*1,"0")</f>
        <v>0</v>
      </c>
      <c r="AF572" s="655"/>
    </row>
  </sheetData>
  <sheetProtection algorithmName="SHA-512" hashValue="3amRxKmtNHaq1LXqKyiLMk4AOpZ/j46oGaCaleJ7MmL46HOjKkOD4MSVu172luKjd+aDOFL0SjGMdJHGKfeEGg==" saltValue="aqs7Z8l2SjWqPWtT0qLCVg==" spinCount="100000" sheet="1" objects="1" scenarios="1" sort="0" autoFilter="0" pivotTables="0"/>
  <autoFilter ref="A18:AF5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0,00"/>
        <filter val="1 190,00"/>
        <filter val="1 264,00"/>
        <filter val="1 500,00"/>
        <filter val="1 600,00"/>
        <filter val="1,19"/>
        <filter val="10,00"/>
        <filter val="100,00"/>
        <filter val="102,00"/>
        <filter val="104,47"/>
        <filter val="105,00"/>
        <filter val="120,00"/>
        <filter val="125,00"/>
        <filter val="127,78"/>
        <filter val="13,33"/>
        <filter val="132,00"/>
        <filter val="135,00"/>
        <filter val="14,00"/>
        <filter val="142,00"/>
        <filter val="150,00"/>
        <filter val="16 817,90"/>
        <filter val="160,00"/>
        <filter val="166,67"/>
        <filter val="17 902,11"/>
        <filter val="17,50"/>
        <filter val="170,00"/>
        <filter val="175,00"/>
        <filter val="18 677,11"/>
        <filter val="18,00"/>
        <filter val="18,94"/>
        <filter val="188,33"/>
        <filter val="195,00"/>
        <filter val="2,22"/>
        <filter val="20,00"/>
        <filter val="200,00"/>
        <filter val="202,38"/>
        <filter val="205,13"/>
        <filter val="208,67"/>
        <filter val="21,67"/>
        <filter val="210,00"/>
        <filter val="220,00"/>
        <filter val="235,71"/>
        <filter val="24,00"/>
        <filter val="240,00"/>
        <filter val="250,00"/>
        <filter val="258,89"/>
        <filter val="262,00"/>
        <filter val="27,31"/>
        <filter val="270,00"/>
        <filter val="280,00"/>
        <filter val="296,67"/>
        <filter val="3 110,00"/>
        <filter val="3 715,25"/>
        <filter val="3,57"/>
        <filter val="30,00"/>
        <filter val="300,00"/>
        <filter val="31"/>
        <filter val="32,00"/>
        <filter val="33,33"/>
        <filter val="34,00"/>
        <filter val="35,00"/>
        <filter val="360,00"/>
        <filter val="372,99"/>
        <filter val="38,33"/>
        <filter val="39,00"/>
        <filter val="4,17"/>
        <filter val="40,00"/>
        <filter val="400,00"/>
        <filter val="42,00"/>
        <filter val="42,90"/>
        <filter val="45,00"/>
        <filter val="45,33"/>
        <filter val="450,00"/>
        <filter val="460,00"/>
        <filter val="462,00"/>
        <filter val="5,00"/>
        <filter val="50,00"/>
        <filter val="520,00"/>
        <filter val="53,70"/>
        <filter val="535,00"/>
        <filter val="540,00"/>
        <filter val="55,56"/>
        <filter val="566,67"/>
        <filter val="585,00"/>
        <filter val="6,41"/>
        <filter val="60,00"/>
        <filter val="61,02"/>
        <filter val="66,00"/>
        <filter val="66,67"/>
        <filter val="68,00"/>
        <filter val="70,00"/>
        <filter val="700,00"/>
        <filter val="745,00"/>
        <filter val="750,00"/>
        <filter val="8,33"/>
        <filter val="8,52"/>
        <filter val="810,00"/>
        <filter val="83,15"/>
        <filter val="90,00"/>
        <filter val="900,00"/>
        <filter val="906,00"/>
        <filter val="910,00"/>
        <filter val="92,00"/>
        <filter val="99,26"/>
      </filters>
    </filterColumn>
    <filterColumn colId="29" showButton="0"/>
    <filterColumn colId="30" showButton="0"/>
  </autoFilter>
  <mergeCells count="1012">
    <mergeCell ref="AB569:AC569"/>
    <mergeCell ref="D17:E18"/>
    <mergeCell ref="D515:E515"/>
    <mergeCell ref="P363:T363"/>
    <mergeCell ref="P338:T338"/>
    <mergeCell ref="D471:E471"/>
    <mergeCell ref="A181:Z181"/>
    <mergeCell ref="D542:E542"/>
    <mergeCell ref="D173:E173"/>
    <mergeCell ref="P313:T313"/>
    <mergeCell ref="P71:T71"/>
    <mergeCell ref="P373:T373"/>
    <mergeCell ref="P307:T307"/>
    <mergeCell ref="D123:E123"/>
    <mergeCell ref="D50:E50"/>
    <mergeCell ref="P58:T58"/>
    <mergeCell ref="X17:X18"/>
    <mergeCell ref="P536:T536"/>
    <mergeCell ref="P443:V443"/>
    <mergeCell ref="A262:Z262"/>
    <mergeCell ref="P36:T36"/>
    <mergeCell ref="P478:T478"/>
    <mergeCell ref="P107:T107"/>
    <mergeCell ref="A227:Z227"/>
    <mergeCell ref="P409:T409"/>
    <mergeCell ref="D461:E461"/>
    <mergeCell ref="P61:T61"/>
    <mergeCell ref="D200:E200"/>
    <mergeCell ref="P555:T555"/>
    <mergeCell ref="A444:Z444"/>
    <mergeCell ref="P359:T359"/>
    <mergeCell ref="D436:E436"/>
    <mergeCell ref="A8:C8"/>
    <mergeCell ref="A260:O261"/>
    <mergeCell ref="P124:T124"/>
    <mergeCell ref="W569:Z569"/>
    <mergeCell ref="D293:E293"/>
    <mergeCell ref="A153:Z153"/>
    <mergeCell ref="P138:V138"/>
    <mergeCell ref="D97:E97"/>
    <mergeCell ref="D395:E395"/>
    <mergeCell ref="A268:O269"/>
    <mergeCell ref="A426:Z426"/>
    <mergeCell ref="A10:C10"/>
    <mergeCell ref="P126:T126"/>
    <mergeCell ref="P361:V361"/>
    <mergeCell ref="P218:T218"/>
    <mergeCell ref="P69:V69"/>
    <mergeCell ref="P311:V311"/>
    <mergeCell ref="A136:Z136"/>
    <mergeCell ref="A192:Z192"/>
    <mergeCell ref="P438:V438"/>
    <mergeCell ref="A21:Z21"/>
    <mergeCell ref="D184:E184"/>
    <mergeCell ref="P505:T505"/>
    <mergeCell ref="A57:Z57"/>
    <mergeCell ref="P425:V425"/>
    <mergeCell ref="A355:O356"/>
    <mergeCell ref="A415:Z415"/>
    <mergeCell ref="D121:E121"/>
    <mergeCell ref="P296:V296"/>
    <mergeCell ref="P507:T507"/>
    <mergeCell ref="P356:V356"/>
    <mergeCell ref="P534:T534"/>
    <mergeCell ref="V12:W12"/>
    <mergeCell ref="P319:T319"/>
    <mergeCell ref="D458:E458"/>
    <mergeCell ref="P368:T368"/>
    <mergeCell ref="A362:Z362"/>
    <mergeCell ref="P285:V285"/>
    <mergeCell ref="P25:T25"/>
    <mergeCell ref="A44:O45"/>
    <mergeCell ref="P383:T383"/>
    <mergeCell ref="D522:E522"/>
    <mergeCell ref="A202:O203"/>
    <mergeCell ref="A329:O330"/>
    <mergeCell ref="D291:E291"/>
    <mergeCell ref="P60:T60"/>
    <mergeCell ref="P397:V397"/>
    <mergeCell ref="A279:O280"/>
    <mergeCell ref="P149:T149"/>
    <mergeCell ref="D95:E95"/>
    <mergeCell ref="U17:V17"/>
    <mergeCell ref="P410:T410"/>
    <mergeCell ref="Y17:Y18"/>
    <mergeCell ref="P310:V310"/>
    <mergeCell ref="A33:Z33"/>
    <mergeCell ref="D196:E196"/>
    <mergeCell ref="D25:E25"/>
    <mergeCell ref="A440:Z440"/>
    <mergeCell ref="A55:O56"/>
    <mergeCell ref="A424:O425"/>
    <mergeCell ref="P419:V419"/>
    <mergeCell ref="P294:T294"/>
    <mergeCell ref="P219:V219"/>
    <mergeCell ref="P145:V145"/>
    <mergeCell ref="T570:T571"/>
    <mergeCell ref="D54:E54"/>
    <mergeCell ref="D483:E483"/>
    <mergeCell ref="P519:V519"/>
    <mergeCell ref="A28:Z28"/>
    <mergeCell ref="Q570:Q571"/>
    <mergeCell ref="A64:Z64"/>
    <mergeCell ref="A549:Z549"/>
    <mergeCell ref="A83:O84"/>
    <mergeCell ref="P303:V303"/>
    <mergeCell ref="P72:T72"/>
    <mergeCell ref="D49:E49"/>
    <mergeCell ref="N17:N18"/>
    <mergeCell ref="P199:T199"/>
    <mergeCell ref="D120:E120"/>
    <mergeCell ref="F17:F18"/>
    <mergeCell ref="P497:T497"/>
    <mergeCell ref="I570:I571"/>
    <mergeCell ref="D550:E550"/>
    <mergeCell ref="A554:Z554"/>
    <mergeCell ref="P529:V529"/>
    <mergeCell ref="R570:R571"/>
    <mergeCell ref="P495:V495"/>
    <mergeCell ref="A494:O495"/>
    <mergeCell ref="A539:Z539"/>
    <mergeCell ref="P432:V432"/>
    <mergeCell ref="A257:Z257"/>
    <mergeCell ref="A552:O553"/>
    <mergeCell ref="A360:O361"/>
    <mergeCell ref="P379:V379"/>
    <mergeCell ref="A204:Z204"/>
    <mergeCell ref="P208:V208"/>
    <mergeCell ref="Q5:R5"/>
    <mergeCell ref="D478:E478"/>
    <mergeCell ref="P435:T435"/>
    <mergeCell ref="P291:T291"/>
    <mergeCell ref="D278:E278"/>
    <mergeCell ref="P484:T484"/>
    <mergeCell ref="D405:E405"/>
    <mergeCell ref="P288:T288"/>
    <mergeCell ref="D163:E163"/>
    <mergeCell ref="D107:E107"/>
    <mergeCell ref="P65:T65"/>
    <mergeCell ref="P263:T263"/>
    <mergeCell ref="D244:E244"/>
    <mergeCell ref="P228:T228"/>
    <mergeCell ref="P293:T293"/>
    <mergeCell ref="D407:E407"/>
    <mergeCell ref="Q6:R6"/>
    <mergeCell ref="P200:T200"/>
    <mergeCell ref="P243:T243"/>
    <mergeCell ref="P436:T436"/>
    <mergeCell ref="P292:T292"/>
    <mergeCell ref="D452:E452"/>
    <mergeCell ref="P431:V431"/>
    <mergeCell ref="A318:Z318"/>
    <mergeCell ref="D252:E252"/>
    <mergeCell ref="P123:T123"/>
    <mergeCell ref="A112:Z112"/>
    <mergeCell ref="P408:T408"/>
    <mergeCell ref="D218:E218"/>
    <mergeCell ref="A249:Z249"/>
    <mergeCell ref="A176:Z176"/>
    <mergeCell ref="P239:V239"/>
    <mergeCell ref="AD17:AF18"/>
    <mergeCell ref="A310:O311"/>
    <mergeCell ref="D101:E101"/>
    <mergeCell ref="A399:Z399"/>
    <mergeCell ref="J570:J571"/>
    <mergeCell ref="P117:V117"/>
    <mergeCell ref="D76:E76"/>
    <mergeCell ref="P55:V55"/>
    <mergeCell ref="P365:V365"/>
    <mergeCell ref="F5:G5"/>
    <mergeCell ref="P169:V169"/>
    <mergeCell ref="A221:Z221"/>
    <mergeCell ref="P467:V467"/>
    <mergeCell ref="P442:V442"/>
    <mergeCell ref="D455:E455"/>
    <mergeCell ref="P509:T509"/>
    <mergeCell ref="D430:E430"/>
    <mergeCell ref="P67:T67"/>
    <mergeCell ref="P186:T186"/>
    <mergeCell ref="A236:Z236"/>
    <mergeCell ref="A334:O335"/>
    <mergeCell ref="P253:T253"/>
    <mergeCell ref="A394:Z394"/>
    <mergeCell ref="P82:T82"/>
    <mergeCell ref="V11:W11"/>
    <mergeCell ref="D457:E457"/>
    <mergeCell ref="D165:E165"/>
    <mergeCell ref="P486:T486"/>
    <mergeCell ref="P75:T75"/>
    <mergeCell ref="D223:E223"/>
    <mergeCell ref="D521:E521"/>
    <mergeCell ref="P121:T121"/>
    <mergeCell ref="P2:W3"/>
    <mergeCell ref="P298:T298"/>
    <mergeCell ref="P127:T127"/>
    <mergeCell ref="P198:T198"/>
    <mergeCell ref="D508:E508"/>
    <mergeCell ref="C569:G569"/>
    <mergeCell ref="P347:T347"/>
    <mergeCell ref="A170:Z170"/>
    <mergeCell ref="P54:T54"/>
    <mergeCell ref="D228:E228"/>
    <mergeCell ref="P412:T412"/>
    <mergeCell ref="D333:E333"/>
    <mergeCell ref="D526:E526"/>
    <mergeCell ref="D404:E404"/>
    <mergeCell ref="D35:E35"/>
    <mergeCell ref="D10:E10"/>
    <mergeCell ref="F10:G10"/>
    <mergeCell ref="D305:E305"/>
    <mergeCell ref="D544:E544"/>
    <mergeCell ref="D243:E243"/>
    <mergeCell ref="P349:T349"/>
    <mergeCell ref="D99:E99"/>
    <mergeCell ref="P78:V78"/>
    <mergeCell ref="A130:Z130"/>
    <mergeCell ref="P364:T364"/>
    <mergeCell ref="A499:O500"/>
    <mergeCell ref="D29:E29"/>
    <mergeCell ref="D23:E23"/>
    <mergeCell ref="P515:T515"/>
    <mergeCell ref="D216:E216"/>
    <mergeCell ref="A20:Z20"/>
    <mergeCell ref="P68:V68"/>
    <mergeCell ref="U569:V569"/>
    <mergeCell ref="A168:O169"/>
    <mergeCell ref="M17:M18"/>
    <mergeCell ref="O17:O18"/>
    <mergeCell ref="P556:V556"/>
    <mergeCell ref="A248:Z248"/>
    <mergeCell ref="P494:V494"/>
    <mergeCell ref="P430:T430"/>
    <mergeCell ref="P174:V174"/>
    <mergeCell ref="A297:Z297"/>
    <mergeCell ref="A104:Z104"/>
    <mergeCell ref="P417:T417"/>
    <mergeCell ref="D531:E531"/>
    <mergeCell ref="A26:O27"/>
    <mergeCell ref="P196:T196"/>
    <mergeCell ref="A312:Z312"/>
    <mergeCell ref="D177:E177"/>
    <mergeCell ref="P414:V414"/>
    <mergeCell ref="A271:Z271"/>
    <mergeCell ref="P240:V240"/>
    <mergeCell ref="P282:T282"/>
    <mergeCell ref="A9:C9"/>
    <mergeCell ref="D373:E373"/>
    <mergeCell ref="A413:O414"/>
    <mergeCell ref="D58:E58"/>
    <mergeCell ref="D294:E294"/>
    <mergeCell ref="P348:T348"/>
    <mergeCell ref="AC570:AC571"/>
    <mergeCell ref="D231:E231"/>
    <mergeCell ref="D358:E358"/>
    <mergeCell ref="P537:V537"/>
    <mergeCell ref="D408:E408"/>
    <mergeCell ref="A219:O220"/>
    <mergeCell ref="P116:V116"/>
    <mergeCell ref="P474:V474"/>
    <mergeCell ref="P103:V103"/>
    <mergeCell ref="P134:V134"/>
    <mergeCell ref="P268:V268"/>
    <mergeCell ref="Q13:R13"/>
    <mergeCell ref="P201:T201"/>
    <mergeCell ref="D389:E389"/>
    <mergeCell ref="P114:T114"/>
    <mergeCell ref="H569:T569"/>
    <mergeCell ref="P483:T483"/>
    <mergeCell ref="D155:E155"/>
    <mergeCell ref="A62:O63"/>
    <mergeCell ref="D320:E320"/>
    <mergeCell ref="D149:E149"/>
    <mergeCell ref="P470:T470"/>
    <mergeCell ref="D22:E22"/>
    <mergeCell ref="A520:Z520"/>
    <mergeCell ref="P301:T301"/>
    <mergeCell ref="P255:V255"/>
    <mergeCell ref="K570:K571"/>
    <mergeCell ref="D525:E525"/>
    <mergeCell ref="P321:T321"/>
    <mergeCell ref="P125:T125"/>
    <mergeCell ref="P178:T178"/>
    <mergeCell ref="A102:O103"/>
    <mergeCell ref="P214:T214"/>
    <mergeCell ref="P463:T463"/>
    <mergeCell ref="D213:E213"/>
    <mergeCell ref="P49:T49"/>
    <mergeCell ref="P284:V284"/>
    <mergeCell ref="A110:O111"/>
    <mergeCell ref="P354:T354"/>
    <mergeCell ref="P183:T183"/>
    <mergeCell ref="D164:E164"/>
    <mergeCell ref="D462:E462"/>
    <mergeCell ref="D465:E465"/>
    <mergeCell ref="P217:T217"/>
    <mergeCell ref="A207:O208"/>
    <mergeCell ref="D198:E198"/>
    <mergeCell ref="P161:T161"/>
    <mergeCell ref="P275:V275"/>
    <mergeCell ref="P513:T513"/>
    <mergeCell ref="D52:E52"/>
    <mergeCell ref="D350:E350"/>
    <mergeCell ref="P110:V110"/>
    <mergeCell ref="E570:E571"/>
    <mergeCell ref="G570:G571"/>
    <mergeCell ref="H570:H571"/>
    <mergeCell ref="D321:E321"/>
    <mergeCell ref="P278:T278"/>
    <mergeCell ref="P129:V129"/>
    <mergeCell ref="H5:M5"/>
    <mergeCell ref="P31:V31"/>
    <mergeCell ref="P473:V473"/>
    <mergeCell ref="P329:V329"/>
    <mergeCell ref="A154:Z154"/>
    <mergeCell ref="P98:T98"/>
    <mergeCell ref="D212:E212"/>
    <mergeCell ref="P565:V565"/>
    <mergeCell ref="B570:B571"/>
    <mergeCell ref="A512:Z512"/>
    <mergeCell ref="D6:M6"/>
    <mergeCell ref="P461:T461"/>
    <mergeCell ref="D540:E540"/>
    <mergeCell ref="P162:T162"/>
    <mergeCell ref="A85:Z85"/>
    <mergeCell ref="D143:E143"/>
    <mergeCell ref="P460:T460"/>
    <mergeCell ref="A528:O529"/>
    <mergeCell ref="D441:E441"/>
    <mergeCell ref="A384:O385"/>
    <mergeCell ref="D319:E319"/>
    <mergeCell ref="P525:T525"/>
    <mergeCell ref="D368:E368"/>
    <mergeCell ref="D506:E506"/>
    <mergeCell ref="P106:T106"/>
    <mergeCell ref="P177:T177"/>
    <mergeCell ref="D481:E481"/>
    <mergeCell ref="P93:T93"/>
    <mergeCell ref="P164:T164"/>
    <mergeCell ref="A150:O151"/>
    <mergeCell ref="P462:T462"/>
    <mergeCell ref="D383:E383"/>
    <mergeCell ref="V6:W9"/>
    <mergeCell ref="D199:E199"/>
    <mergeCell ref="P38:T38"/>
    <mergeCell ref="P109:T109"/>
    <mergeCell ref="D497:E497"/>
    <mergeCell ref="D364:E364"/>
    <mergeCell ref="D435:E435"/>
    <mergeCell ref="P234:V234"/>
    <mergeCell ref="P541:T541"/>
    <mergeCell ref="P345:T345"/>
    <mergeCell ref="D484:E484"/>
    <mergeCell ref="D217:E217"/>
    <mergeCell ref="D186:E186"/>
    <mergeCell ref="P222:T222"/>
    <mergeCell ref="P193:T193"/>
    <mergeCell ref="D65:E65"/>
    <mergeCell ref="P22:T22"/>
    <mergeCell ref="P320:T320"/>
    <mergeCell ref="P314:T314"/>
    <mergeCell ref="A437:O438"/>
    <mergeCell ref="D428:E428"/>
    <mergeCell ref="P334:V334"/>
    <mergeCell ref="P80:T80"/>
    <mergeCell ref="D194:E194"/>
    <mergeCell ref="P265:V265"/>
    <mergeCell ref="A448:Z448"/>
    <mergeCell ref="A277:Z277"/>
    <mergeCell ref="P44:V44"/>
    <mergeCell ref="D299:E299"/>
    <mergeCell ref="D541:E541"/>
    <mergeCell ref="D222:E222"/>
    <mergeCell ref="P35:T35"/>
    <mergeCell ref="H10:M10"/>
    <mergeCell ref="A439:Z439"/>
    <mergeCell ref="P552:V552"/>
    <mergeCell ref="P212:T212"/>
    <mergeCell ref="A433:Z433"/>
    <mergeCell ref="P485:T485"/>
    <mergeCell ref="A135:Z135"/>
    <mergeCell ref="AA17:AA18"/>
    <mergeCell ref="AC17:AC18"/>
    <mergeCell ref="P108:T108"/>
    <mergeCell ref="A420:Z420"/>
    <mergeCell ref="P472:T472"/>
    <mergeCell ref="D89:E89"/>
    <mergeCell ref="P254:T254"/>
    <mergeCell ref="P251:T251"/>
    <mergeCell ref="P487:T487"/>
    <mergeCell ref="Z17:Z18"/>
    <mergeCell ref="AB17:AB18"/>
    <mergeCell ref="G17:G18"/>
    <mergeCell ref="P333:T333"/>
    <mergeCell ref="P526:T526"/>
    <mergeCell ref="A323:O324"/>
    <mergeCell ref="D314:E314"/>
    <mergeCell ref="P413:V413"/>
    <mergeCell ref="D159:E159"/>
    <mergeCell ref="A530:Z530"/>
    <mergeCell ref="D80:E80"/>
    <mergeCell ref="P188:T188"/>
    <mergeCell ref="P551:T551"/>
    <mergeCell ref="P48:T48"/>
    <mergeCell ref="D292:E292"/>
    <mergeCell ref="P346:T346"/>
    <mergeCell ref="X570:X571"/>
    <mergeCell ref="D427:E427"/>
    <mergeCell ref="A284:O285"/>
    <mergeCell ref="D75:E75"/>
    <mergeCell ref="P560:V560"/>
    <mergeCell ref="P247:V247"/>
    <mergeCell ref="P390:T390"/>
    <mergeCell ref="D206:E206"/>
    <mergeCell ref="D504:E504"/>
    <mergeCell ref="P41:V41"/>
    <mergeCell ref="D298:E298"/>
    <mergeCell ref="A158:Z158"/>
    <mergeCell ref="D273:E273"/>
    <mergeCell ref="P327:T327"/>
    <mergeCell ref="P56:V56"/>
    <mergeCell ref="P366:V366"/>
    <mergeCell ref="P341:V341"/>
    <mergeCell ref="A570:A571"/>
    <mergeCell ref="C570:C571"/>
    <mergeCell ref="P563:V563"/>
    <mergeCell ref="U570:U571"/>
    <mergeCell ref="W570:W571"/>
    <mergeCell ref="P553:V553"/>
    <mergeCell ref="D459:E459"/>
    <mergeCell ref="D288:E288"/>
    <mergeCell ref="P59:T59"/>
    <mergeCell ref="P570:P571"/>
    <mergeCell ref="P491:T491"/>
    <mergeCell ref="P559:T559"/>
    <mergeCell ref="A558:Z558"/>
    <mergeCell ref="D251:E251"/>
    <mergeCell ref="P499:V499"/>
    <mergeCell ref="J9:M9"/>
    <mergeCell ref="D283:E283"/>
    <mergeCell ref="A90:O91"/>
    <mergeCell ref="D348:E348"/>
    <mergeCell ref="P141:T141"/>
    <mergeCell ref="D193:E193"/>
    <mergeCell ref="P377:T377"/>
    <mergeCell ref="P206:T206"/>
    <mergeCell ref="D491:E491"/>
    <mergeCell ref="P504:T504"/>
    <mergeCell ref="D347:E347"/>
    <mergeCell ref="P233:T233"/>
    <mergeCell ref="D127:E127"/>
    <mergeCell ref="D114:E114"/>
    <mergeCell ref="P37:T37"/>
    <mergeCell ref="P540:T540"/>
    <mergeCell ref="D412:E412"/>
    <mergeCell ref="P220:V220"/>
    <mergeCell ref="P518:V518"/>
    <mergeCell ref="P143:T143"/>
    <mergeCell ref="P441:T441"/>
    <mergeCell ref="A365:O366"/>
    <mergeCell ref="D51:E51"/>
    <mergeCell ref="P506:T506"/>
    <mergeCell ref="P533:T533"/>
    <mergeCell ref="P477:T477"/>
    <mergeCell ref="D476:E476"/>
    <mergeCell ref="P384:V384"/>
    <mergeCell ref="D349:E349"/>
    <mergeCell ref="P306:T306"/>
    <mergeCell ref="A209:Z209"/>
    <mergeCell ref="P157:V157"/>
    <mergeCell ref="A13:M13"/>
    <mergeCell ref="A548:Z548"/>
    <mergeCell ref="P437:V437"/>
    <mergeCell ref="A367:Z367"/>
    <mergeCell ref="P115:T115"/>
    <mergeCell ref="D254:E254"/>
    <mergeCell ref="D61:E61"/>
    <mergeCell ref="P302:V302"/>
    <mergeCell ref="P238:T238"/>
    <mergeCell ref="D48:E48"/>
    <mergeCell ref="A15:M15"/>
    <mergeCell ref="D346:E346"/>
    <mergeCell ref="P229:T229"/>
    <mergeCell ref="D477:E477"/>
    <mergeCell ref="V570:V571"/>
    <mergeCell ref="P375:T375"/>
    <mergeCell ref="D125:E125"/>
    <mergeCell ref="P562:V562"/>
    <mergeCell ref="A562:O567"/>
    <mergeCell ref="A147:Z147"/>
    <mergeCell ref="A302:O303"/>
    <mergeCell ref="A372:Z372"/>
    <mergeCell ref="P299:T299"/>
    <mergeCell ref="P150:V150"/>
    <mergeCell ref="P392:V392"/>
    <mergeCell ref="D374:E374"/>
    <mergeCell ref="A510:O511"/>
    <mergeCell ref="A431:O432"/>
    <mergeCell ref="P232:T232"/>
    <mergeCell ref="P30:V30"/>
    <mergeCell ref="P159:T159"/>
    <mergeCell ref="P517:T517"/>
    <mergeCell ref="P545:T545"/>
    <mergeCell ref="D178:E178"/>
    <mergeCell ref="P225:V225"/>
    <mergeCell ref="D172:E172"/>
    <mergeCell ref="A156:O157"/>
    <mergeCell ref="P88:T88"/>
    <mergeCell ref="P51:T51"/>
    <mergeCell ref="D463:E463"/>
    <mergeCell ref="D555:E555"/>
    <mergeCell ref="A92:Z92"/>
    <mergeCell ref="D36:E36"/>
    <mergeCell ref="P202:V202"/>
    <mergeCell ref="P500:V500"/>
    <mergeCell ref="A496:Z496"/>
    <mergeCell ref="A325:Z325"/>
    <mergeCell ref="P395:T395"/>
    <mergeCell ref="D509:E509"/>
    <mergeCell ref="D267:E267"/>
    <mergeCell ref="D359:E359"/>
    <mergeCell ref="P96:T96"/>
    <mergeCell ref="P532:T532"/>
    <mergeCell ref="A518:O519"/>
    <mergeCell ref="A42:Z42"/>
    <mergeCell ref="P43:T43"/>
    <mergeCell ref="D328:E328"/>
    <mergeCell ref="D39:E39"/>
    <mergeCell ref="P535:T535"/>
    <mergeCell ref="P316:V316"/>
    <mergeCell ref="D534:E534"/>
    <mergeCell ref="A128:O129"/>
    <mergeCell ref="P465:T465"/>
    <mergeCell ref="D215:E215"/>
    <mergeCell ref="T5:U5"/>
    <mergeCell ref="D119:E119"/>
    <mergeCell ref="P76:T76"/>
    <mergeCell ref="V5:W5"/>
    <mergeCell ref="P374:T374"/>
    <mergeCell ref="A490:Z490"/>
    <mergeCell ref="A224:O225"/>
    <mergeCell ref="A466:O467"/>
    <mergeCell ref="D338:E338"/>
    <mergeCell ref="A295:O296"/>
    <mergeCell ref="D409:E409"/>
    <mergeCell ref="D282:E282"/>
    <mergeCell ref="P510:V510"/>
    <mergeCell ref="D469:E469"/>
    <mergeCell ref="D233:E233"/>
    <mergeCell ref="Q8:R8"/>
    <mergeCell ref="D183:E183"/>
    <mergeCell ref="P267:T267"/>
    <mergeCell ref="P83:V83"/>
    <mergeCell ref="A79:Z79"/>
    <mergeCell ref="T6:U9"/>
    <mergeCell ref="A30:O31"/>
    <mergeCell ref="Q10:R10"/>
    <mergeCell ref="D185:E185"/>
    <mergeCell ref="P256:V256"/>
    <mergeCell ref="P84:V84"/>
    <mergeCell ref="D43:E43"/>
    <mergeCell ref="D485:E485"/>
    <mergeCell ref="P447:V447"/>
    <mergeCell ref="P387:T387"/>
    <mergeCell ref="P385:V385"/>
    <mergeCell ref="A381:Z381"/>
    <mergeCell ref="A12:M12"/>
    <mergeCell ref="P355:V355"/>
    <mergeCell ref="D487:E487"/>
    <mergeCell ref="L570:L571"/>
    <mergeCell ref="P74:T74"/>
    <mergeCell ref="A19:Z19"/>
    <mergeCell ref="D182:E182"/>
    <mergeCell ref="D480:E480"/>
    <mergeCell ref="D109:E109"/>
    <mergeCell ref="D551:E551"/>
    <mergeCell ref="P528:V528"/>
    <mergeCell ref="P163:T163"/>
    <mergeCell ref="A14:M14"/>
    <mergeCell ref="D345:E345"/>
    <mergeCell ref="D533:E533"/>
    <mergeCell ref="P514:T514"/>
    <mergeCell ref="P216:T216"/>
    <mergeCell ref="A210:Z210"/>
    <mergeCell ref="D137:E137"/>
    <mergeCell ref="D422:E422"/>
    <mergeCell ref="P360:V360"/>
    <mergeCell ref="D74:E74"/>
    <mergeCell ref="P151:V151"/>
    <mergeCell ref="P87:T87"/>
    <mergeCell ref="P451:T451"/>
    <mergeCell ref="D201:E201"/>
    <mergeCell ref="O570:O571"/>
    <mergeCell ref="D492:E492"/>
    <mergeCell ref="P305:T305"/>
    <mergeCell ref="A421:Z421"/>
    <mergeCell ref="A304:Z304"/>
    <mergeCell ref="D96:E96"/>
    <mergeCell ref="D454:E454"/>
    <mergeCell ref="P308:T308"/>
    <mergeCell ref="P185:T185"/>
    <mergeCell ref="P544:T544"/>
    <mergeCell ref="P427:T427"/>
    <mergeCell ref="D416:E416"/>
    <mergeCell ref="P283:T283"/>
    <mergeCell ref="D106:E106"/>
    <mergeCell ref="D93:E93"/>
    <mergeCell ref="A133:O134"/>
    <mergeCell ref="D72:E72"/>
    <mergeCell ref="P498:T498"/>
    <mergeCell ref="P295:V295"/>
    <mergeCell ref="D160:E160"/>
    <mergeCell ref="P481:T481"/>
    <mergeCell ref="P139:V139"/>
    <mergeCell ref="I17:I18"/>
    <mergeCell ref="D141:E141"/>
    <mergeCell ref="D306:E306"/>
    <mergeCell ref="P189:T189"/>
    <mergeCell ref="P24:T24"/>
    <mergeCell ref="P322:T322"/>
    <mergeCell ref="P211:T211"/>
    <mergeCell ref="D132:E132"/>
    <mergeCell ref="P89:T89"/>
    <mergeCell ref="P309:T309"/>
    <mergeCell ref="D59:E59"/>
    <mergeCell ref="A255:O256"/>
    <mergeCell ref="D513:E513"/>
    <mergeCell ref="P101:T101"/>
    <mergeCell ref="P63:V63"/>
    <mergeCell ref="A5:C5"/>
    <mergeCell ref="P418:V418"/>
    <mergeCell ref="A237:Z237"/>
    <mergeCell ref="P406:T406"/>
    <mergeCell ref="P191:V191"/>
    <mergeCell ref="D337:E337"/>
    <mergeCell ref="D166:E166"/>
    <mergeCell ref="D464:E464"/>
    <mergeCell ref="D402:E402"/>
    <mergeCell ref="P128:V128"/>
    <mergeCell ref="A442:O443"/>
    <mergeCell ref="P195:T195"/>
    <mergeCell ref="P300:T300"/>
    <mergeCell ref="A118:Z118"/>
    <mergeCell ref="P493:T493"/>
    <mergeCell ref="A17:A18"/>
    <mergeCell ref="C17:C18"/>
    <mergeCell ref="K17:K18"/>
    <mergeCell ref="D37:E37"/>
    <mergeCell ref="A488:O489"/>
    <mergeCell ref="D401:E401"/>
    <mergeCell ref="P358:T358"/>
    <mergeCell ref="P380:V380"/>
    <mergeCell ref="D339:E339"/>
    <mergeCell ref="D230:E230"/>
    <mergeCell ref="P66:T66"/>
    <mergeCell ref="P137:T137"/>
    <mergeCell ref="D9:E9"/>
    <mergeCell ref="P197:T197"/>
    <mergeCell ref="F9:G9"/>
    <mergeCell ref="P53:T53"/>
    <mergeCell ref="D167:E167"/>
    <mergeCell ref="A6:C6"/>
    <mergeCell ref="D309:E309"/>
    <mergeCell ref="D113:E113"/>
    <mergeCell ref="D545:E545"/>
    <mergeCell ref="P416:T416"/>
    <mergeCell ref="P167:T167"/>
    <mergeCell ref="P142:T142"/>
    <mergeCell ref="A332:Z332"/>
    <mergeCell ref="D148:E148"/>
    <mergeCell ref="D88:E88"/>
    <mergeCell ref="P403:T403"/>
    <mergeCell ref="P378:T378"/>
    <mergeCell ref="D517:E517"/>
    <mergeCell ref="D115:E115"/>
    <mergeCell ref="P182:T182"/>
    <mergeCell ref="P102:V102"/>
    <mergeCell ref="P480:T480"/>
    <mergeCell ref="Q12:R12"/>
    <mergeCell ref="A274:O275"/>
    <mergeCell ref="P411:T411"/>
    <mergeCell ref="D388:E388"/>
    <mergeCell ref="A68:O69"/>
    <mergeCell ref="P489:V489"/>
    <mergeCell ref="P119:T119"/>
    <mergeCell ref="P62:V62"/>
    <mergeCell ref="P133:V133"/>
    <mergeCell ref="P469:T469"/>
    <mergeCell ref="D390:E390"/>
    <mergeCell ref="P369:V369"/>
    <mergeCell ref="P351:T351"/>
    <mergeCell ref="A47:Z47"/>
    <mergeCell ref="P422:T422"/>
    <mergeCell ref="P547:V547"/>
    <mergeCell ref="Q9:R9"/>
    <mergeCell ref="D451:E451"/>
    <mergeCell ref="A331:Z331"/>
    <mergeCell ref="A556:O557"/>
    <mergeCell ref="A32:Z32"/>
    <mergeCell ref="D24:E24"/>
    <mergeCell ref="D322:E322"/>
    <mergeCell ref="P376:T376"/>
    <mergeCell ref="P205:T205"/>
    <mergeCell ref="Q11:R11"/>
    <mergeCell ref="D453:E453"/>
    <mergeCell ref="D570:D571"/>
    <mergeCell ref="M570:M571"/>
    <mergeCell ref="P289:T289"/>
    <mergeCell ref="D403:E403"/>
    <mergeCell ref="D232:E232"/>
    <mergeCell ref="D161:E161"/>
    <mergeCell ref="A418:O419"/>
    <mergeCell ref="D38:E38"/>
    <mergeCell ref="P524:T524"/>
    <mergeCell ref="P353:T353"/>
    <mergeCell ref="D532:E532"/>
    <mergeCell ref="P132:T132"/>
    <mergeCell ref="P538:V538"/>
    <mergeCell ref="D507:E507"/>
    <mergeCell ref="A357:Z357"/>
    <mergeCell ref="P423:T423"/>
    <mergeCell ref="P223:T223"/>
    <mergeCell ref="A546:O547"/>
    <mergeCell ref="P52:T52"/>
    <mergeCell ref="P350:T350"/>
    <mergeCell ref="P523:T523"/>
    <mergeCell ref="P352:T352"/>
    <mergeCell ref="P203:V203"/>
    <mergeCell ref="P317:V317"/>
    <mergeCell ref="P146:V146"/>
    <mergeCell ref="D391:E391"/>
    <mergeCell ref="P370:V370"/>
    <mergeCell ref="A369:O370"/>
    <mergeCell ref="P122:T122"/>
    <mergeCell ref="P245:T245"/>
    <mergeCell ref="P516:T516"/>
    <mergeCell ref="D188:E188"/>
    <mergeCell ref="P543:T543"/>
    <mergeCell ref="D375:E375"/>
    <mergeCell ref="P429:T429"/>
    <mergeCell ref="P269:V269"/>
    <mergeCell ref="P279:V279"/>
    <mergeCell ref="A226:Z226"/>
    <mergeCell ref="P522:T522"/>
    <mergeCell ref="D406:E406"/>
    <mergeCell ref="P180:V180"/>
    <mergeCell ref="A446:O447"/>
    <mergeCell ref="A241:Z241"/>
    <mergeCell ref="A138:O139"/>
    <mergeCell ref="A398:Z398"/>
    <mergeCell ref="D456:E456"/>
    <mergeCell ref="D352:E352"/>
    <mergeCell ref="D162:E162"/>
    <mergeCell ref="P272:T272"/>
    <mergeCell ref="D460:E460"/>
    <mergeCell ref="A340:O341"/>
    <mergeCell ref="D327:E327"/>
    <mergeCell ref="D1:F1"/>
    <mergeCell ref="P111:V111"/>
    <mergeCell ref="J17:J18"/>
    <mergeCell ref="D82:E82"/>
    <mergeCell ref="L17:L18"/>
    <mergeCell ref="A371:Z371"/>
    <mergeCell ref="A342:Z342"/>
    <mergeCell ref="Z570:Z571"/>
    <mergeCell ref="A171:Z171"/>
    <mergeCell ref="A336:Z336"/>
    <mergeCell ref="AB570:AB571"/>
    <mergeCell ref="P557:V557"/>
    <mergeCell ref="A116:O117"/>
    <mergeCell ref="P428:T428"/>
    <mergeCell ref="D100:E100"/>
    <mergeCell ref="P113:T113"/>
    <mergeCell ref="A344:Z344"/>
    <mergeCell ref="A400:Z400"/>
    <mergeCell ref="P17:T18"/>
    <mergeCell ref="P323:V323"/>
    <mergeCell ref="D523:E523"/>
    <mergeCell ref="P194:T194"/>
    <mergeCell ref="P250:T250"/>
    <mergeCell ref="P50:T50"/>
    <mergeCell ref="P492:T492"/>
    <mergeCell ref="P479:T479"/>
    <mergeCell ref="D229:E229"/>
    <mergeCell ref="P131:T131"/>
    <mergeCell ref="P187:T187"/>
    <mergeCell ref="P456:T456"/>
    <mergeCell ref="P424:V424"/>
    <mergeCell ref="D377:E377"/>
    <mergeCell ref="AA570:AA571"/>
    <mergeCell ref="P273:T273"/>
    <mergeCell ref="D387:E387"/>
    <mergeCell ref="D272:E272"/>
    <mergeCell ref="D514:E514"/>
    <mergeCell ref="D308:E308"/>
    <mergeCell ref="P39:T39"/>
    <mergeCell ref="A46:Z46"/>
    <mergeCell ref="P508:T508"/>
    <mergeCell ref="P337:T337"/>
    <mergeCell ref="P166:T166"/>
    <mergeCell ref="P464:T464"/>
    <mergeCell ref="D87:E87"/>
    <mergeCell ref="D445:E445"/>
    <mergeCell ref="P402:T402"/>
    <mergeCell ref="D516:E516"/>
    <mergeCell ref="D301:E301"/>
    <mergeCell ref="D245:E245"/>
    <mergeCell ref="D122:E122"/>
    <mergeCell ref="A105:Z105"/>
    <mergeCell ref="D250:E250"/>
    <mergeCell ref="A468:Z468"/>
    <mergeCell ref="P401:T401"/>
    <mergeCell ref="D382:E382"/>
    <mergeCell ref="P339:T339"/>
    <mergeCell ref="P230:T230"/>
    <mergeCell ref="D211:E211"/>
    <mergeCell ref="A242:Z242"/>
    <mergeCell ref="P488:V488"/>
    <mergeCell ref="P190:V190"/>
    <mergeCell ref="P388:T388"/>
    <mergeCell ref="P459:T459"/>
    <mergeCell ref="R1:T1"/>
    <mergeCell ref="P97:T97"/>
    <mergeCell ref="D559:E559"/>
    <mergeCell ref="P340:V340"/>
    <mergeCell ref="A239:O240"/>
    <mergeCell ref="A537:O538"/>
    <mergeCell ref="F570:F571"/>
    <mergeCell ref="D524:E524"/>
    <mergeCell ref="P407:T407"/>
    <mergeCell ref="D353:E353"/>
    <mergeCell ref="D67:E67"/>
    <mergeCell ref="A140:Z140"/>
    <mergeCell ref="D5:E5"/>
    <mergeCell ref="P382:T382"/>
    <mergeCell ref="P453:T453"/>
    <mergeCell ref="D290:E290"/>
    <mergeCell ref="D94:E94"/>
    <mergeCell ref="D417:E417"/>
    <mergeCell ref="P471:T471"/>
    <mergeCell ref="P567:V567"/>
    <mergeCell ref="P396:V396"/>
    <mergeCell ref="P259:T259"/>
    <mergeCell ref="P148:T148"/>
    <mergeCell ref="P175:V175"/>
    <mergeCell ref="D498:E498"/>
    <mergeCell ref="P482:T482"/>
    <mergeCell ref="A475:Z475"/>
    <mergeCell ref="D354:E354"/>
    <mergeCell ref="D527:E527"/>
    <mergeCell ref="P264:V264"/>
    <mergeCell ref="A396:O397"/>
    <mergeCell ref="P542:T542"/>
    <mergeCell ref="D543:E543"/>
    <mergeCell ref="P207:V207"/>
    <mergeCell ref="A70:Z70"/>
    <mergeCell ref="P45:V45"/>
    <mergeCell ref="P95:T95"/>
    <mergeCell ref="P527:T527"/>
    <mergeCell ref="D470:E470"/>
    <mergeCell ref="H1:Q1"/>
    <mergeCell ref="A501:Z501"/>
    <mergeCell ref="P280:V280"/>
    <mergeCell ref="P274:V274"/>
    <mergeCell ref="D214:E214"/>
    <mergeCell ref="A286:Z286"/>
    <mergeCell ref="P246:V246"/>
    <mergeCell ref="P120:T120"/>
    <mergeCell ref="D259:E259"/>
    <mergeCell ref="P40:V40"/>
    <mergeCell ref="A503:Z503"/>
    <mergeCell ref="P405:T405"/>
    <mergeCell ref="D326:E326"/>
    <mergeCell ref="P476:T476"/>
    <mergeCell ref="D313:E313"/>
    <mergeCell ref="P184:T184"/>
    <mergeCell ref="A174:O175"/>
    <mergeCell ref="A179:O180"/>
    <mergeCell ref="A287:Z287"/>
    <mergeCell ref="A343:Z343"/>
    <mergeCell ref="A434:Z434"/>
    <mergeCell ref="A264:O265"/>
    <mergeCell ref="W17:W18"/>
    <mergeCell ref="P261:V261"/>
    <mergeCell ref="P90:V90"/>
    <mergeCell ref="S570:S571"/>
    <mergeCell ref="P172:T172"/>
    <mergeCell ref="P546:V546"/>
    <mergeCell ref="A449:Z449"/>
    <mergeCell ref="P27:V27"/>
    <mergeCell ref="D142:E142"/>
    <mergeCell ref="P561:V561"/>
    <mergeCell ref="A386:Z386"/>
    <mergeCell ref="D378:E378"/>
    <mergeCell ref="D7:M7"/>
    <mergeCell ref="D536:E536"/>
    <mergeCell ref="P91:V91"/>
    <mergeCell ref="P156:V156"/>
    <mergeCell ref="A152:Z152"/>
    <mergeCell ref="A450:Z450"/>
    <mergeCell ref="D315:E315"/>
    <mergeCell ref="D144:E144"/>
    <mergeCell ref="P521:T521"/>
    <mergeCell ref="D429:E429"/>
    <mergeCell ref="P173:T173"/>
    <mergeCell ref="P29:T29"/>
    <mergeCell ref="P100:T100"/>
    <mergeCell ref="D81:E81"/>
    <mergeCell ref="P94:T94"/>
    <mergeCell ref="P458:T458"/>
    <mergeCell ref="D8:M8"/>
    <mergeCell ref="P550:T550"/>
    <mergeCell ref="D300:E300"/>
    <mergeCell ref="D131:E131"/>
    <mergeCell ref="P235:V235"/>
    <mergeCell ref="A502:Z502"/>
    <mergeCell ref="P404:T404"/>
    <mergeCell ref="P531:T531"/>
    <mergeCell ref="P452:T452"/>
    <mergeCell ref="A258:Z258"/>
    <mergeCell ref="A234:O235"/>
    <mergeCell ref="P168:V168"/>
    <mergeCell ref="P466:V466"/>
    <mergeCell ref="Y570:Y571"/>
    <mergeCell ref="P252:T252"/>
    <mergeCell ref="D195:E195"/>
    <mergeCell ref="D124:E124"/>
    <mergeCell ref="P81:T81"/>
    <mergeCell ref="D493:E493"/>
    <mergeCell ref="D189:E189"/>
    <mergeCell ref="V10:W10"/>
    <mergeCell ref="P99:T99"/>
    <mergeCell ref="P564:V564"/>
    <mergeCell ref="P393:V393"/>
    <mergeCell ref="D66:E66"/>
    <mergeCell ref="D126:E126"/>
    <mergeCell ref="D197:E197"/>
    <mergeCell ref="D253:E253"/>
    <mergeCell ref="D53:E53"/>
    <mergeCell ref="A560:O561"/>
    <mergeCell ref="D351:E351"/>
    <mergeCell ref="A473:O474"/>
    <mergeCell ref="D411:E411"/>
    <mergeCell ref="D482:E482"/>
    <mergeCell ref="P330:V330"/>
    <mergeCell ref="D289:E289"/>
    <mergeCell ref="P566:V566"/>
    <mergeCell ref="P160:T160"/>
    <mergeCell ref="P445:T445"/>
    <mergeCell ref="B17:B18"/>
    <mergeCell ref="A392:O393"/>
    <mergeCell ref="D479:E479"/>
    <mergeCell ref="A77:O78"/>
    <mergeCell ref="A266:Z266"/>
    <mergeCell ref="D535:E535"/>
    <mergeCell ref="D60:E60"/>
    <mergeCell ref="P244:T244"/>
    <mergeCell ref="P73:T73"/>
    <mergeCell ref="P315:T315"/>
    <mergeCell ref="D187:E187"/>
    <mergeCell ref="P144:T144"/>
    <mergeCell ref="A190:O191"/>
    <mergeCell ref="P231:T231"/>
    <mergeCell ref="D423:E423"/>
    <mergeCell ref="D472:E472"/>
    <mergeCell ref="A34:Z34"/>
    <mergeCell ref="D410:E410"/>
    <mergeCell ref="A276:Z276"/>
    <mergeCell ref="A270:Z270"/>
    <mergeCell ref="D71:E71"/>
    <mergeCell ref="P326:T326"/>
    <mergeCell ref="A316:O317"/>
    <mergeCell ref="D307:E307"/>
    <mergeCell ref="P457:T457"/>
    <mergeCell ref="P215:T215"/>
    <mergeCell ref="A145:O146"/>
    <mergeCell ref="P165:T165"/>
    <mergeCell ref="D98:E98"/>
    <mergeCell ref="D73:E73"/>
    <mergeCell ref="P77:V77"/>
    <mergeCell ref="P179:V179"/>
    <mergeCell ref="H9:I9"/>
    <mergeCell ref="P224:V224"/>
    <mergeCell ref="P260:V260"/>
    <mergeCell ref="P389:T389"/>
    <mergeCell ref="P454:T454"/>
    <mergeCell ref="P26:V26"/>
    <mergeCell ref="P155:T155"/>
    <mergeCell ref="P324:V324"/>
    <mergeCell ref="P391:T391"/>
    <mergeCell ref="P511:V511"/>
    <mergeCell ref="D505:E505"/>
    <mergeCell ref="D263:E263"/>
    <mergeCell ref="D238:E238"/>
    <mergeCell ref="D486:E486"/>
    <mergeCell ref="P328:T328"/>
    <mergeCell ref="P213:T213"/>
    <mergeCell ref="P455:T455"/>
    <mergeCell ref="P446:V446"/>
    <mergeCell ref="P290:T290"/>
    <mergeCell ref="D376:E376"/>
    <mergeCell ref="D205:E205"/>
    <mergeCell ref="A379:O380"/>
    <mergeCell ref="D363:E363"/>
    <mergeCell ref="A86:Z86"/>
    <mergeCell ref="P335:V335"/>
    <mergeCell ref="D108:E108"/>
    <mergeCell ref="A281:Z281"/>
    <mergeCell ref="H17:H18"/>
    <mergeCell ref="A246:O247"/>
    <mergeCell ref="A40:O41"/>
    <mergeCell ref="P15:T16"/>
    <mergeCell ref="P23:T2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89 X125 X253 X347 X358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 xr:uid="{00000000-0002-0000-0000-000012000000}">
      <formula1>IF(AK61&gt;0,OR(X61=0,AND(IF(X61-AK61&gt;=0,TRUE,FALSE),X61&gt;0,IF(X61/(H61*K61)=ROUND(X61/(H61*K61),0),TRUE,FALSE))),FALSE)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936</v>
      </c>
      <c r="H1" s="52"/>
    </row>
    <row r="3" spans="2:8" x14ac:dyDescent="0.2">
      <c r="B3" s="47" t="s">
        <v>937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938</v>
      </c>
      <c r="D6" s="47" t="s">
        <v>939</v>
      </c>
      <c r="E6" s="47"/>
    </row>
    <row r="8" spans="2:8" x14ac:dyDescent="0.2">
      <c r="B8" s="47" t="s">
        <v>19</v>
      </c>
      <c r="C8" s="47" t="s">
        <v>938</v>
      </c>
      <c r="D8" s="47"/>
      <c r="E8" s="47"/>
    </row>
    <row r="10" spans="2:8" x14ac:dyDescent="0.2">
      <c r="B10" s="47" t="s">
        <v>940</v>
      </c>
      <c r="C10" s="47"/>
      <c r="D10" s="47"/>
      <c r="E10" s="47"/>
    </row>
    <row r="11" spans="2:8" x14ac:dyDescent="0.2">
      <c r="B11" s="47" t="s">
        <v>941</v>
      </c>
      <c r="C11" s="47"/>
      <c r="D11" s="47"/>
      <c r="E11" s="47"/>
    </row>
    <row r="12" spans="2:8" x14ac:dyDescent="0.2">
      <c r="B12" s="47" t="s">
        <v>942</v>
      </c>
      <c r="C12" s="47"/>
      <c r="D12" s="47"/>
      <c r="E12" s="47"/>
    </row>
    <row r="13" spans="2:8" x14ac:dyDescent="0.2">
      <c r="B13" s="47" t="s">
        <v>943</v>
      </c>
      <c r="C13" s="47"/>
      <c r="D13" s="47"/>
      <c r="E13" s="47"/>
    </row>
    <row r="14" spans="2:8" x14ac:dyDescent="0.2">
      <c r="B14" s="47" t="s">
        <v>944</v>
      </c>
      <c r="C14" s="47"/>
      <c r="D14" s="47"/>
      <c r="E14" s="47"/>
    </row>
    <row r="15" spans="2:8" x14ac:dyDescent="0.2">
      <c r="B15" s="47" t="s">
        <v>945</v>
      </c>
      <c r="C15" s="47"/>
      <c r="D15" s="47"/>
      <c r="E15" s="47"/>
    </row>
    <row r="16" spans="2:8" x14ac:dyDescent="0.2">
      <c r="B16" s="47" t="s">
        <v>946</v>
      </c>
      <c r="C16" s="47"/>
      <c r="D16" s="47"/>
      <c r="E16" s="47"/>
    </row>
    <row r="17" spans="2:5" x14ac:dyDescent="0.2">
      <c r="B17" s="47" t="s">
        <v>947</v>
      </c>
      <c r="C17" s="47"/>
      <c r="D17" s="47"/>
      <c r="E17" s="47"/>
    </row>
    <row r="18" spans="2:5" x14ac:dyDescent="0.2">
      <c r="B18" s="47" t="s">
        <v>948</v>
      </c>
      <c r="C18" s="47"/>
      <c r="D18" s="47"/>
      <c r="E18" s="47"/>
    </row>
    <row r="19" spans="2:5" x14ac:dyDescent="0.2">
      <c r="B19" s="47" t="s">
        <v>949</v>
      </c>
      <c r="C19" s="47"/>
      <c r="D19" s="47"/>
      <c r="E19" s="47"/>
    </row>
    <row r="20" spans="2:5" x14ac:dyDescent="0.2">
      <c r="B20" s="47" t="s">
        <v>950</v>
      </c>
      <c r="C20" s="47"/>
      <c r="D20" s="47"/>
      <c r="E20" s="47"/>
    </row>
  </sheetData>
  <sheetProtection algorithmName="SHA-512" hashValue="54JKZXKOoMsqaacV0/0RyI/1csDOQQ/jqcOZmiCMHLL9BTtUwNZYoVYSFmjL50ulLIZ68E2mNfQsiJjGa5gs+w==" saltValue="Zrtx0eKajBM0oXGPxWtP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