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заказа'!$S$12</definedName>
    <definedName name="DeliveryConditionsList">Setting!$B$19:$B$29</definedName>
    <definedName name="DeliveryDate">'Бланк заказа'!$N$9</definedName>
    <definedName name="DeliveryMethodList">Setting!$B$3:$B$4</definedName>
    <definedName name="DeliveryNumAdressList">Setting!$D$6:$D$9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Setting!$B$18:$B$19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Setting!$D$18:$D$19</definedName>
    <definedName name="ProductId1">'Бланк заказа'!$B$22:$B$22</definedName>
    <definedName name="ProductId10">'Бланк заказа'!$B$40:$B$40</definedName>
    <definedName name="ProductId100">'Бланк заказа'!$B$181:$B$181</definedName>
    <definedName name="ProductId101">'Бланк заказа'!$B$185:$B$185</definedName>
    <definedName name="ProductId102">'Бланк заказа'!$B$186:$B$186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заказа'!$B$205:$B$205</definedName>
    <definedName name="ProductId118">'Бланк заказа'!$B$209:$B$209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заказа'!$B$225:$B$225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заказа'!$B$236:$B$236</definedName>
    <definedName name="ProductId134">'Бланк заказа'!$B$237:$B$237</definedName>
    <definedName name="ProductId135">'Бланк заказа'!$B$238:$B$238</definedName>
    <definedName name="ProductId136">'Бланк заказа'!$B$242:$B$242</definedName>
    <definedName name="ProductId137">'Бланк заказа'!$B$243:$B$243</definedName>
    <definedName name="ProductId138">'Бланк заказа'!$B$244:$B$244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заказа'!$B$255:$B$255</definedName>
    <definedName name="ProductId146">'Бланк заказа'!$B$259:$B$259</definedName>
    <definedName name="ProductId147">'Бланк заказа'!$B$260:$B$260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заказа'!$B$123:$B$123</definedName>
    <definedName name="ProductId65">'Бланк заказа'!$B$129:$B$129</definedName>
    <definedName name="ProductId66">'Бланк заказа'!$B$130:$B$130</definedName>
    <definedName name="ProductId67">'Бланк заказа'!$B$131:$B$131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заказа'!$B$143:$B$143</definedName>
    <definedName name="ProductId76">'Бланк заказа'!$B$148:$B$148</definedName>
    <definedName name="ProductId77">'Бланк заказа'!$B$149:$B$149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заказа'!$U$181:$U$181</definedName>
    <definedName name="SalesQty101">'Бланк заказа'!$U$185:$U$185</definedName>
    <definedName name="SalesQty102">'Бланк заказа'!$U$186:$U$186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заказа'!$U$205:$U$205</definedName>
    <definedName name="SalesQty118">'Бланк заказа'!$U$209:$U$209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заказа'!$U$216:$U$216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заказа'!$U$225:$U$225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заказа'!$U$236:$U$236</definedName>
    <definedName name="SalesQty134">'Бланк заказа'!$U$237:$U$237</definedName>
    <definedName name="SalesQty135">'Бланк заказа'!$U$238:$U$238</definedName>
    <definedName name="SalesQty136">'Бланк заказа'!$U$242:$U$242</definedName>
    <definedName name="SalesQty137">'Бланк заказа'!$U$243:$U$243</definedName>
    <definedName name="SalesQty138">'Бланк заказа'!$U$244:$U$244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заказа'!$U$255:$U$255</definedName>
    <definedName name="SalesQty146">'Бланк заказа'!$U$259:$U$259</definedName>
    <definedName name="SalesQty147">'Бланк заказа'!$U$260:$U$260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заказа'!$U$107:$U$107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заказа'!$U$115:$U$115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заказа'!$U$123:$U$123</definedName>
    <definedName name="SalesQty65">'Бланк заказа'!$U$129:$U$129</definedName>
    <definedName name="SalesQty66">'Бланк заказа'!$U$130:$U$130</definedName>
    <definedName name="SalesQty67">'Бланк заказа'!$U$131:$U$131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заказа'!$U$143:$U$143</definedName>
    <definedName name="SalesQty76">'Бланк заказа'!$U$148:$U$148</definedName>
    <definedName name="SalesQty77">'Бланк заказа'!$U$149:$U$149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заказа'!$V$181:$V$181</definedName>
    <definedName name="SalesRoundBox101">'Бланк заказа'!$V$185:$V$185</definedName>
    <definedName name="SalesRoundBox102">'Бланк заказа'!$V$186:$V$186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заказа'!$V$205:$V$205</definedName>
    <definedName name="SalesRoundBox118">'Бланк заказа'!$V$209:$V$209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заказа'!$V$216:$V$216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заказа'!$V$225:$V$225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заказа'!$V$236:$V$236</definedName>
    <definedName name="SalesRoundBox134">'Бланк заказа'!$V$237:$V$237</definedName>
    <definedName name="SalesRoundBox135">'Бланк заказа'!$V$238:$V$238</definedName>
    <definedName name="SalesRoundBox136">'Бланк заказа'!$V$242:$V$242</definedName>
    <definedName name="SalesRoundBox137">'Бланк заказа'!$V$243:$V$243</definedName>
    <definedName name="SalesRoundBox138">'Бланк заказа'!$V$244:$V$244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заказа'!$V$255:$V$255</definedName>
    <definedName name="SalesRoundBox146">'Бланк заказа'!$V$259:$V$259</definedName>
    <definedName name="SalesRoundBox147">'Бланк заказа'!$V$260:$V$260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заказа'!$V$107:$V$107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заказа'!$V$115:$V$115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заказа'!$V$123:$V$123</definedName>
    <definedName name="SalesRoundBox65">'Бланк заказа'!$V$129:$V$129</definedName>
    <definedName name="SalesRoundBox66">'Бланк заказа'!$V$130:$V$130</definedName>
    <definedName name="SalesRoundBox67">'Бланк заказа'!$V$131:$V$131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заказа'!$V$143:$V$143</definedName>
    <definedName name="SalesRoundBox76">'Бланк заказа'!$V$148:$V$148</definedName>
    <definedName name="SalesRoundBox77">'Бланк заказа'!$V$149:$V$149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заказа'!$T$181:$T$181</definedName>
    <definedName name="UnitOfMeasure101">'Бланк заказа'!$T$185:$T$185</definedName>
    <definedName name="UnitOfMeasure102">'Бланк заказа'!$T$186:$T$186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заказа'!$T$205:$T$205</definedName>
    <definedName name="UnitOfMeasure118">'Бланк заказа'!$T$209:$T$209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заказа'!$T$216:$T$216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заказа'!$T$225:$T$225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заказа'!$T$236:$T$236</definedName>
    <definedName name="UnitOfMeasure134">'Бланк заказа'!$T$237:$T$237</definedName>
    <definedName name="UnitOfMeasure135">'Бланк заказа'!$T$238:$T$238</definedName>
    <definedName name="UnitOfMeasure136">'Бланк заказа'!$T$242:$T$242</definedName>
    <definedName name="UnitOfMeasure137">'Бланк заказа'!$T$243:$T$243</definedName>
    <definedName name="UnitOfMeasure138">'Бланк заказа'!$T$244:$T$244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заказа'!$T$255:$T$255</definedName>
    <definedName name="UnitOfMeasure146">'Бланк заказа'!$T$259:$T$259</definedName>
    <definedName name="UnitOfMeasure147">'Бланк заказа'!$T$260:$T$260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заказа'!$T$107:$T$107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заказа'!$T$115:$T$115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заказа'!$T$123:$T$123</definedName>
    <definedName name="UnitOfMeasure65">'Бланк заказа'!$T$129:$T$129</definedName>
    <definedName name="UnitOfMeasure66">'Бланк заказа'!$T$130:$T$130</definedName>
    <definedName name="UnitOfMeasure67">'Бланк заказа'!$T$131:$T$131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заказа'!$T$143:$T$143</definedName>
    <definedName name="UnitOfMeasure76">'Бланк заказа'!$T$148:$T$148</definedName>
    <definedName name="UnitOfMeasure77">'Бланк заказа'!$T$149:$T$149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заказа'!$B$18:$W$465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1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25.09.2023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21.09.2023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45194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д. 43В, лит В, офис 4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9" t="inlineStr">
        <is>
          <t>Код единицы продаж</t>
        </is>
      </c>
      <c r="B17" s="569" t="inlineStr">
        <is>
          <t>Код продукта</t>
        </is>
      </c>
      <c r="C17" s="587" t="inlineStr">
        <is>
          <t>Номер варианта</t>
        </is>
      </c>
      <c r="D17" s="569" t="inlineStr">
        <is>
          <t xml:space="preserve">Штрих-код </t>
        </is>
      </c>
      <c r="E17" s="653" t="n"/>
      <c r="F17" s="569" t="inlineStr">
        <is>
          <t>Вес нетто штуки, кг</t>
        </is>
      </c>
      <c r="G17" s="569" t="inlineStr">
        <is>
          <t>Кол-во штук в коробе, шт</t>
        </is>
      </c>
      <c r="H17" s="569" t="inlineStr">
        <is>
          <t>Вес нетто короба, кг</t>
        </is>
      </c>
      <c r="I17" s="569" t="inlineStr">
        <is>
          <t>Вес брутто короба, кг</t>
        </is>
      </c>
      <c r="J17" s="569" t="inlineStr">
        <is>
          <t>Кол-во кор. на паллте, шт</t>
        </is>
      </c>
      <c r="K17" s="569" t="inlineStr">
        <is>
          <t>Завод</t>
        </is>
      </c>
      <c r="L17" s="569" t="inlineStr">
        <is>
          <t>Срок годности, сут.</t>
        </is>
      </c>
      <c r="M17" s="569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69" t="inlineStr">
        <is>
          <t>Ед. изм.</t>
        </is>
      </c>
      <c r="U17" s="569" t="inlineStr">
        <is>
          <t>Заказ</t>
        </is>
      </c>
      <c r="V17" s="570" t="inlineStr">
        <is>
          <t>Заказ с округлением до короба</t>
        </is>
      </c>
      <c r="W17" s="569" t="inlineStr">
        <is>
          <t>Объём заказа, м3</t>
        </is>
      </c>
      <c r="X17" s="572" t="inlineStr">
        <is>
          <t>Примечание по продуктку</t>
        </is>
      </c>
      <c r="Y17" s="572" t="inlineStr">
        <is>
          <t>Признак "НОВИНКА"</t>
        </is>
      </c>
      <c r="Z17" s="572" t="inlineStr">
        <is>
          <t>Для формул</t>
        </is>
      </c>
      <c r="AA17" s="655" t="n"/>
      <c r="AB17" s="656" t="n"/>
      <c r="AC17" s="579" t="n"/>
      <c r="AZ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  <c r="AZ18" s="1" t="n"/>
    </row>
    <row r="19" ht="27.75" customHeight="1">
      <c r="A19" s="336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0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0" t="n"/>
      <c r="Y20" s="330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3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3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3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3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27.75" customHeight="1">
      <c r="A43" s="336" t="inlineStr">
        <is>
          <t>Вязанка</t>
        </is>
      </c>
      <c r="B43" s="667" t="n"/>
      <c r="C43" s="667" t="n"/>
      <c r="D43" s="667" t="n"/>
      <c r="E43" s="667" t="n"/>
      <c r="F43" s="667" t="n"/>
      <c r="G43" s="667" t="n"/>
      <c r="H43" s="667" t="n"/>
      <c r="I43" s="667" t="n"/>
      <c r="J43" s="667" t="n"/>
      <c r="K43" s="667" t="n"/>
      <c r="L43" s="667" t="n"/>
      <c r="M43" s="667" t="n"/>
      <c r="N43" s="667" t="n"/>
      <c r="O43" s="667" t="n"/>
      <c r="P43" s="667" t="n"/>
      <c r="Q43" s="667" t="n"/>
      <c r="R43" s="667" t="n"/>
      <c r="S43" s="667" t="n"/>
      <c r="T43" s="667" t="n"/>
      <c r="U43" s="667" t="n"/>
      <c r="V43" s="667" t="n"/>
      <c r="W43" s="667" t="n"/>
      <c r="X43" s="55" t="n"/>
      <c r="Y43" s="55" t="n"/>
    </row>
    <row r="44" ht="16.5" customHeight="1">
      <c r="A44" s="330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30" t="n"/>
      <c r="Y44" s="330" t="n"/>
    </row>
    <row r="45" ht="14.25" customHeight="1">
      <c r="A45" s="331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1" t="n"/>
      <c r="Y45" s="331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5" t="n">
        <v>4680115881440</v>
      </c>
      <c r="E46" s="636" t="n"/>
      <c r="F46" s="668" t="n">
        <v>1.35</v>
      </c>
      <c r="G46" s="38" t="n">
        <v>8</v>
      </c>
      <c r="H46" s="668" t="n">
        <v>10.8</v>
      </c>
      <c r="I46" s="668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6">
        <f>HYPERLINK("https://abi.ru/products/Охлажденные/Вязанка/Столичная/Ветчины/P003234/","Ветчины «Филейская» Весовые Вектор ТМ «Вязанка»")</f>
        <v/>
      </c>
      <c r="N46" s="670" t="n"/>
      <c r="O46" s="670" t="n"/>
      <c r="P46" s="670" t="n"/>
      <c r="Q46" s="636" t="n"/>
      <c r="R46" s="40" t="inlineStr"/>
      <c r="S46" s="40" t="inlineStr"/>
      <c r="T46" s="41" t="inlineStr">
        <is>
          <t>кг</t>
        </is>
      </c>
      <c r="U46" s="671" t="n">
        <v>0</v>
      </c>
      <c r="V46" s="672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5" t="n">
        <v>4680115881433</v>
      </c>
      <c r="E47" s="636" t="n"/>
      <c r="F47" s="668" t="n">
        <v>0.45</v>
      </c>
      <c r="G47" s="38" t="n">
        <v>6</v>
      </c>
      <c r="H47" s="668" t="n">
        <v>2.7</v>
      </c>
      <c r="I47" s="668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7">
        <f>HYPERLINK("https://abi.ru/products/Охлажденные/Вязанка/Столичная/Ветчины/P003226/","Ветчины «Филейская» Фикс.вес 0,45 Вектор ТМ «Вязанка»")</f>
        <v/>
      </c>
      <c r="N47" s="670" t="n"/>
      <c r="O47" s="670" t="n"/>
      <c r="P47" s="670" t="n"/>
      <c r="Q47" s="636" t="n"/>
      <c r="R47" s="40" t="inlineStr"/>
      <c r="S47" s="40" t="inlineStr"/>
      <c r="T47" s="41" t="inlineStr">
        <is>
          <t>кг</t>
        </is>
      </c>
      <c r="U47" s="671" t="n">
        <v>0</v>
      </c>
      <c r="V47" s="672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3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3" t="n"/>
      <c r="M48" s="674" t="inlineStr">
        <is>
          <t>Итого</t>
        </is>
      </c>
      <c r="N48" s="644" t="n"/>
      <c r="O48" s="644" t="n"/>
      <c r="P48" s="644" t="n"/>
      <c r="Q48" s="644" t="n"/>
      <c r="R48" s="644" t="n"/>
      <c r="S48" s="645" t="n"/>
      <c r="T48" s="43" t="inlineStr">
        <is>
          <t>кор</t>
        </is>
      </c>
      <c r="U48" s="675">
        <f>IFERROR(U46/H46,"0")+IFERROR(U47/H47,"0")</f>
        <v/>
      </c>
      <c r="V48" s="675">
        <f>IFERROR(V46/H46,"0")+IFERROR(V47/H47,"0")</f>
        <v/>
      </c>
      <c r="W48" s="675">
        <f>IFERROR(IF(W46="",0,W46),"0")+IFERROR(IF(W47="",0,W47),"0")</f>
        <v/>
      </c>
      <c r="X48" s="676" t="n"/>
      <c r="Y48" s="676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3" t="n"/>
      <c r="M49" s="674" t="inlineStr">
        <is>
          <t>Итого</t>
        </is>
      </c>
      <c r="N49" s="644" t="n"/>
      <c r="O49" s="644" t="n"/>
      <c r="P49" s="644" t="n"/>
      <c r="Q49" s="644" t="n"/>
      <c r="R49" s="644" t="n"/>
      <c r="S49" s="645" t="n"/>
      <c r="T49" s="43" t="inlineStr">
        <is>
          <t>кг</t>
        </is>
      </c>
      <c r="U49" s="675">
        <f>IFERROR(SUM(U46:U47),"0")</f>
        <v/>
      </c>
      <c r="V49" s="675">
        <f>IFERROR(SUM(V46:V47),"0")</f>
        <v/>
      </c>
      <c r="W49" s="43" t="n"/>
      <c r="X49" s="676" t="n"/>
      <c r="Y49" s="676" t="n"/>
    </row>
    <row r="50" ht="16.5" customHeight="1">
      <c r="A50" s="330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30" t="n"/>
      <c r="Y50" s="330" t="n"/>
    </row>
    <row r="51" ht="14.25" customHeight="1">
      <c r="A51" s="331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1" t="n"/>
      <c r="Y51" s="331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5" t="n">
        <v>4680115881426</v>
      </c>
      <c r="E52" s="636" t="n"/>
      <c r="F52" s="668" t="n">
        <v>1.35</v>
      </c>
      <c r="G52" s="38" t="n">
        <v>8</v>
      </c>
      <c r="H52" s="668" t="n">
        <v>10.8</v>
      </c>
      <c r="I52" s="668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70" t="n"/>
      <c r="O52" s="670" t="n"/>
      <c r="P52" s="670" t="n"/>
      <c r="Q52" s="636" t="n"/>
      <c r="R52" s="40" t="inlineStr"/>
      <c r="S52" s="40" t="inlineStr"/>
      <c r="T52" s="41" t="inlineStr">
        <is>
          <t>кг</t>
        </is>
      </c>
      <c r="U52" s="671" t="n">
        <v>0</v>
      </c>
      <c r="V52" s="672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5" t="n">
        <v>4680115881419</v>
      </c>
      <c r="E53" s="636" t="n"/>
      <c r="F53" s="668" t="n">
        <v>0.45</v>
      </c>
      <c r="G53" s="38" t="n">
        <v>10</v>
      </c>
      <c r="H53" s="668" t="n">
        <v>4.5</v>
      </c>
      <c r="I53" s="668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70" t="n"/>
      <c r="O53" s="670" t="n"/>
      <c r="P53" s="670" t="n"/>
      <c r="Q53" s="636" t="n"/>
      <c r="R53" s="40" t="inlineStr"/>
      <c r="S53" s="40" t="inlineStr"/>
      <c r="T53" s="41" t="inlineStr">
        <is>
          <t>кг</t>
        </is>
      </c>
      <c r="U53" s="671" t="n">
        <v>0</v>
      </c>
      <c r="V53" s="672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5" t="n">
        <v>4680115881525</v>
      </c>
      <c r="E54" s="636" t="n"/>
      <c r="F54" s="668" t="n">
        <v>0.4</v>
      </c>
      <c r="G54" s="38" t="n">
        <v>10</v>
      </c>
      <c r="H54" s="668" t="n">
        <v>4</v>
      </c>
      <c r="I54" s="668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90" t="inlineStr">
        <is>
          <t>Колбаса вареная Филейская ТМ Вязанка ТС Классическая полиамид ф/в 0,4 кг</t>
        </is>
      </c>
      <c r="N54" s="670" t="n"/>
      <c r="O54" s="670" t="n"/>
      <c r="P54" s="670" t="n"/>
      <c r="Q54" s="636" t="n"/>
      <c r="R54" s="40" t="inlineStr"/>
      <c r="S54" s="40" t="inlineStr"/>
      <c r="T54" s="41" t="inlineStr">
        <is>
          <t>кг</t>
        </is>
      </c>
      <c r="U54" s="671" t="n">
        <v>0</v>
      </c>
      <c r="V54" s="672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3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3" t="n"/>
      <c r="M55" s="674" t="inlineStr">
        <is>
          <t>Итого</t>
        </is>
      </c>
      <c r="N55" s="644" t="n"/>
      <c r="O55" s="644" t="n"/>
      <c r="P55" s="644" t="n"/>
      <c r="Q55" s="644" t="n"/>
      <c r="R55" s="644" t="n"/>
      <c r="S55" s="645" t="n"/>
      <c r="T55" s="43" t="inlineStr">
        <is>
          <t>кор</t>
        </is>
      </c>
      <c r="U55" s="675">
        <f>IFERROR(U52/H52,"0")+IFERROR(U53/H53,"0")+IFERROR(U54/H54,"0")</f>
        <v/>
      </c>
      <c r="V55" s="675">
        <f>IFERROR(V52/H52,"0")+IFERROR(V53/H53,"0")+IFERROR(V54/H54,"0")</f>
        <v/>
      </c>
      <c r="W55" s="675">
        <f>IFERROR(IF(W52="",0,W52),"0")+IFERROR(IF(W53="",0,W53),"0")+IFERROR(IF(W54="",0,W54),"0")</f>
        <v/>
      </c>
      <c r="X55" s="676" t="n"/>
      <c r="Y55" s="676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3" t="n"/>
      <c r="M56" s="674" t="inlineStr">
        <is>
          <t>Итого</t>
        </is>
      </c>
      <c r="N56" s="644" t="n"/>
      <c r="O56" s="644" t="n"/>
      <c r="P56" s="644" t="n"/>
      <c r="Q56" s="644" t="n"/>
      <c r="R56" s="644" t="n"/>
      <c r="S56" s="645" t="n"/>
      <c r="T56" s="43" t="inlineStr">
        <is>
          <t>кг</t>
        </is>
      </c>
      <c r="U56" s="675">
        <f>IFERROR(SUM(U52:U54),"0")</f>
        <v/>
      </c>
      <c r="V56" s="675">
        <f>IFERROR(SUM(V52:V54),"0")</f>
        <v/>
      </c>
      <c r="W56" s="43" t="n"/>
      <c r="X56" s="676" t="n"/>
      <c r="Y56" s="676" t="n"/>
    </row>
    <row r="57" ht="16.5" customHeight="1">
      <c r="A57" s="330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30" t="n"/>
      <c r="Y57" s="330" t="n"/>
    </row>
    <row r="58" ht="14.25" customHeight="1">
      <c r="A58" s="331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1" t="n"/>
      <c r="Y58" s="331" t="n"/>
    </row>
    <row r="59" ht="27" customHeight="1">
      <c r="A59" s="64" t="inlineStr">
        <is>
          <t>SU002983</t>
        </is>
      </c>
      <c r="B59" s="64" t="inlineStr">
        <is>
          <t>P003437</t>
        </is>
      </c>
      <c r="C59" s="37" t="n">
        <v>4301011562</v>
      </c>
      <c r="D59" s="315" t="n">
        <v>4680115882577</v>
      </c>
      <c r="E59" s="636" t="n"/>
      <c r="F59" s="668" t="n">
        <v>0.4</v>
      </c>
      <c r="G59" s="38" t="n">
        <v>8</v>
      </c>
      <c r="H59" s="668" t="n">
        <v>3.2</v>
      </c>
      <c r="I59" s="668" t="n">
        <v>3.4</v>
      </c>
      <c r="J59" s="38" t="n">
        <v>156</v>
      </c>
      <c r="K59" s="39" t="inlineStr">
        <is>
          <t>АК</t>
        </is>
      </c>
      <c r="L59" s="38" t="n">
        <v>90</v>
      </c>
      <c r="M59" s="691" t="inlineStr">
        <is>
          <t>Колбаса вареная Мусульманская ТМ Вязанка Халяль вектор ф/в 0,4 кг Казахстан АК</t>
        </is>
      </c>
      <c r="N59" s="670" t="n"/>
      <c r="O59" s="670" t="n"/>
      <c r="P59" s="670" t="n"/>
      <c r="Q59" s="636" t="n"/>
      <c r="R59" s="40" t="inlineStr"/>
      <c r="S59" s="40" t="inlineStr"/>
      <c r="T59" s="41" t="inlineStr">
        <is>
          <t>кг</t>
        </is>
      </c>
      <c r="U59" s="671" t="n">
        <v>60</v>
      </c>
      <c r="V59" s="672">
        <f>IFERROR(IF(U59="",0,CEILING((U59/$H59),1)*$H59),"")</f>
        <v/>
      </c>
      <c r="W59" s="42">
        <f>IFERROR(IF(V59=0,"",ROUNDUP(V59/H59,0)*0.00753),"")</f>
        <v/>
      </c>
      <c r="X59" s="69" t="inlineStr"/>
      <c r="Y59" s="70" t="inlineStr">
        <is>
          <t>Новинка</t>
        </is>
      </c>
      <c r="AC59" s="71" t="n"/>
      <c r="AZ59" s="88" t="inlineStr">
        <is>
          <t>КИ</t>
        </is>
      </c>
    </row>
    <row r="60" ht="27" customHeight="1">
      <c r="A60" s="64" t="inlineStr">
        <is>
          <t>SU000124</t>
        </is>
      </c>
      <c r="B60" s="64" t="inlineStr">
        <is>
          <t>P003690</t>
        </is>
      </c>
      <c r="C60" s="37" t="n">
        <v>4301011623</v>
      </c>
      <c r="D60" s="315" t="n">
        <v>4607091382945</v>
      </c>
      <c r="E60" s="636" t="n"/>
      <c r="F60" s="668" t="n">
        <v>1.4</v>
      </c>
      <c r="G60" s="38" t="n">
        <v>8</v>
      </c>
      <c r="H60" s="668" t="n">
        <v>11.2</v>
      </c>
      <c r="I60" s="668" t="n">
        <v>11.68</v>
      </c>
      <c r="J60" s="38" t="n">
        <v>56</v>
      </c>
      <c r="K60" s="39" t="inlineStr">
        <is>
          <t>СК1</t>
        </is>
      </c>
      <c r="L60" s="38" t="n">
        <v>50</v>
      </c>
      <c r="M60" s="692" t="inlineStr">
        <is>
          <t>Вареные колбасы «Вязанка со шпиком» Весовые Вектор УВВ ТМ «Вязанка»</t>
        </is>
      </c>
      <c r="N60" s="670" t="n"/>
      <c r="O60" s="670" t="n"/>
      <c r="P60" s="670" t="n"/>
      <c r="Q60" s="636" t="n"/>
      <c r="R60" s="40" t="inlineStr"/>
      <c r="S60" s="40" t="inlineStr"/>
      <c r="T60" s="41" t="inlineStr">
        <is>
          <t>кг</t>
        </is>
      </c>
      <c r="U60" s="671" t="n">
        <v>0</v>
      </c>
      <c r="V60" s="672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SU000722</t>
        </is>
      </c>
      <c r="B61" s="64" t="inlineStr">
        <is>
          <t>P003011</t>
        </is>
      </c>
      <c r="C61" s="37" t="n">
        <v>4301011380</v>
      </c>
      <c r="D61" s="315" t="n">
        <v>4607091385670</v>
      </c>
      <c r="E61" s="636" t="n"/>
      <c r="F61" s="668" t="n">
        <v>1.35</v>
      </c>
      <c r="G61" s="38" t="n">
        <v>8</v>
      </c>
      <c r="H61" s="668" t="n">
        <v>10.8</v>
      </c>
      <c r="I61" s="668" t="n">
        <v>11.28</v>
      </c>
      <c r="J61" s="38" t="n">
        <v>56</v>
      </c>
      <c r="K61" s="39" t="inlineStr">
        <is>
          <t>СК1</t>
        </is>
      </c>
      <c r="L61" s="38" t="n">
        <v>50</v>
      </c>
      <c r="M61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1" s="670" t="n"/>
      <c r="O61" s="670" t="n"/>
      <c r="P61" s="670" t="n"/>
      <c r="Q61" s="636" t="n"/>
      <c r="R61" s="40" t="inlineStr"/>
      <c r="S61" s="40" t="inlineStr"/>
      <c r="T61" s="41" t="inlineStr">
        <is>
          <t>кг</t>
        </is>
      </c>
      <c r="U61" s="671" t="n">
        <v>0</v>
      </c>
      <c r="V61" s="672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27" customHeight="1">
      <c r="A62" s="64" t="inlineStr">
        <is>
          <t>SU002830</t>
        </is>
      </c>
      <c r="B62" s="64" t="inlineStr">
        <is>
          <t>P003239</t>
        </is>
      </c>
      <c r="C62" s="37" t="n">
        <v>4301011468</v>
      </c>
      <c r="D62" s="315" t="n">
        <v>4680115881327</v>
      </c>
      <c r="E62" s="636" t="n"/>
      <c r="F62" s="668" t="n">
        <v>1.35</v>
      </c>
      <c r="G62" s="38" t="n">
        <v>8</v>
      </c>
      <c r="H62" s="668" t="n">
        <v>10.8</v>
      </c>
      <c r="I62" s="668" t="n">
        <v>11.28</v>
      </c>
      <c r="J62" s="38" t="n">
        <v>56</v>
      </c>
      <c r="K62" s="39" t="inlineStr">
        <is>
          <t>СК4</t>
        </is>
      </c>
      <c r="L62" s="38" t="n">
        <v>50</v>
      </c>
      <c r="M62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2" s="670" t="n"/>
      <c r="O62" s="670" t="n"/>
      <c r="P62" s="670" t="n"/>
      <c r="Q62" s="636" t="n"/>
      <c r="R62" s="40" t="inlineStr"/>
      <c r="S62" s="40" t="inlineStr"/>
      <c r="T62" s="41" t="inlineStr">
        <is>
          <t>кг</t>
        </is>
      </c>
      <c r="U62" s="671" t="n">
        <v>0</v>
      </c>
      <c r="V62" s="672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5" t="n">
        <v>4680115882133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5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5" t="n">
        <v>4607091382952</v>
      </c>
      <c r="E64" s="636" t="n"/>
      <c r="F64" s="668" t="n">
        <v>0.5</v>
      </c>
      <c r="G64" s="38" t="n">
        <v>6</v>
      </c>
      <c r="H64" s="668" t="n">
        <v>3</v>
      </c>
      <c r="I64" s="668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0</v>
      </c>
      <c r="V64" s="672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5" t="n">
        <v>4680115882539</v>
      </c>
      <c r="E65" s="636" t="n"/>
      <c r="F65" s="668" t="n">
        <v>0.37</v>
      </c>
      <c r="G65" s="38" t="n">
        <v>10</v>
      </c>
      <c r="H65" s="668" t="n">
        <v>3.7</v>
      </c>
      <c r="I65" s="668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7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0</v>
      </c>
      <c r="V65" s="672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5" t="n">
        <v>4607091385687</v>
      </c>
      <c r="E66" s="636" t="n"/>
      <c r="F66" s="668" t="n">
        <v>0.4</v>
      </c>
      <c r="G66" s="38" t="n">
        <v>10</v>
      </c>
      <c r="H66" s="668" t="n">
        <v>4</v>
      </c>
      <c r="I66" s="668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10</v>
      </c>
      <c r="V66" s="672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5" t="n">
        <v>4607091384604</v>
      </c>
      <c r="E67" s="636" t="n"/>
      <c r="F67" s="668" t="n">
        <v>0.4</v>
      </c>
      <c r="G67" s="38" t="n">
        <v>10</v>
      </c>
      <c r="H67" s="668" t="n">
        <v>4</v>
      </c>
      <c r="I67" s="668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5" t="n">
        <v>4680115880283</v>
      </c>
      <c r="E68" s="636" t="n"/>
      <c r="F68" s="668" t="n">
        <v>0.6</v>
      </c>
      <c r="G68" s="38" t="n">
        <v>8</v>
      </c>
      <c r="H68" s="668" t="n">
        <v>4.8</v>
      </c>
      <c r="I68" s="668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70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5" t="n">
        <v>4680115881518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701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5" t="n">
        <v>4680115881303</v>
      </c>
      <c r="E70" s="636" t="n"/>
      <c r="F70" s="668" t="n">
        <v>0.45</v>
      </c>
      <c r="G70" s="38" t="n">
        <v>10</v>
      </c>
      <c r="H70" s="668" t="n">
        <v>4.5</v>
      </c>
      <c r="I70" s="668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2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SU002733</t>
        </is>
      </c>
      <c r="B71" s="64" t="inlineStr">
        <is>
          <t>P003102</t>
        </is>
      </c>
      <c r="C71" s="37" t="n">
        <v>4301011417</v>
      </c>
      <c r="D71" s="315" t="n">
        <v>4680115880269</v>
      </c>
      <c r="E71" s="636" t="n"/>
      <c r="F71" s="668" t="n">
        <v>0.375</v>
      </c>
      <c r="G71" s="38" t="n">
        <v>10</v>
      </c>
      <c r="H71" s="668" t="n">
        <v>3.75</v>
      </c>
      <c r="I71" s="668" t="n">
        <v>3.99</v>
      </c>
      <c r="J71" s="38" t="n">
        <v>120</v>
      </c>
      <c r="K71" s="39" t="inlineStr">
        <is>
          <t>СК3</t>
        </is>
      </c>
      <c r="L71" s="38" t="n">
        <v>50</v>
      </c>
      <c r="M71" s="703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71" t="n"/>
      <c r="AZ71" s="100" t="inlineStr">
        <is>
          <t>КИ</t>
        </is>
      </c>
    </row>
    <row r="72" ht="16.5" customHeight="1">
      <c r="A72" s="64" t="inlineStr">
        <is>
          <t>SU002734</t>
        </is>
      </c>
      <c r="B72" s="64" t="inlineStr">
        <is>
          <t>P003103</t>
        </is>
      </c>
      <c r="C72" s="37" t="n">
        <v>4301011415</v>
      </c>
      <c r="D72" s="315" t="n">
        <v>4680115880429</v>
      </c>
      <c r="E72" s="636" t="n"/>
      <c r="F72" s="668" t="n">
        <v>0.45</v>
      </c>
      <c r="G72" s="38" t="n">
        <v>10</v>
      </c>
      <c r="H72" s="668" t="n">
        <v>4.5</v>
      </c>
      <c r="I72" s="668" t="n">
        <v>4.74</v>
      </c>
      <c r="J72" s="38" t="n">
        <v>120</v>
      </c>
      <c r="K72" s="39" t="inlineStr">
        <is>
          <t>СК3</t>
        </is>
      </c>
      <c r="L72" s="38" t="n">
        <v>50</v>
      </c>
      <c r="M72" s="704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13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SU002827</t>
        </is>
      </c>
      <c r="B73" s="64" t="inlineStr">
        <is>
          <t>P003233</t>
        </is>
      </c>
      <c r="C73" s="37" t="n">
        <v>4301011462</v>
      </c>
      <c r="D73" s="315" t="n">
        <v>4680115881457</v>
      </c>
      <c r="E73" s="636" t="n"/>
      <c r="F73" s="668" t="n">
        <v>0.75</v>
      </c>
      <c r="G73" s="38" t="n">
        <v>6</v>
      </c>
      <c r="H73" s="668" t="n">
        <v>4.5</v>
      </c>
      <c r="I73" s="668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5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>
      <c r="A74" s="323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673" t="n"/>
      <c r="M74" s="674" t="inlineStr">
        <is>
          <t>Итого</t>
        </is>
      </c>
      <c r="N74" s="644" t="n"/>
      <c r="O74" s="644" t="n"/>
      <c r="P74" s="644" t="n"/>
      <c r="Q74" s="644" t="n"/>
      <c r="R74" s="644" t="n"/>
      <c r="S74" s="645" t="n"/>
      <c r="T74" s="43" t="inlineStr">
        <is>
          <t>кор</t>
        </is>
      </c>
      <c r="U74" s="675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</f>
        <v/>
      </c>
      <c r="V74" s="675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</f>
        <v/>
      </c>
      <c r="W74" s="675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</f>
        <v/>
      </c>
      <c r="X74" s="676" t="n"/>
      <c r="Y74" s="676" t="n"/>
    </row>
    <row r="75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3" t="n"/>
      <c r="M75" s="674" t="inlineStr">
        <is>
          <t>Итого</t>
        </is>
      </c>
      <c r="N75" s="644" t="n"/>
      <c r="O75" s="644" t="n"/>
      <c r="P75" s="644" t="n"/>
      <c r="Q75" s="644" t="n"/>
      <c r="R75" s="644" t="n"/>
      <c r="S75" s="645" t="n"/>
      <c r="T75" s="43" t="inlineStr">
        <is>
          <t>кг</t>
        </is>
      </c>
      <c r="U75" s="675">
        <f>IFERROR(SUM(U59:U73),"0")</f>
        <v/>
      </c>
      <c r="V75" s="675">
        <f>IFERROR(SUM(V59:V73),"0")</f>
        <v/>
      </c>
      <c r="W75" s="43" t="n"/>
      <c r="X75" s="676" t="n"/>
      <c r="Y75" s="676" t="n"/>
    </row>
    <row r="76" ht="14.25" customHeight="1">
      <c r="A76" s="331" t="inlineStr">
        <is>
          <t>Ветчины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331" t="n"/>
      <c r="Y76" s="331" t="n"/>
    </row>
    <row r="77" ht="27" customHeight="1">
      <c r="A77" s="64" t="inlineStr">
        <is>
          <t>SU002488</t>
        </is>
      </c>
      <c r="B77" s="64" t="inlineStr">
        <is>
          <t>P002800</t>
        </is>
      </c>
      <c r="C77" s="37" t="n">
        <v>4301020189</v>
      </c>
      <c r="D77" s="315" t="n">
        <v>4607091384789</v>
      </c>
      <c r="E77" s="636" t="n"/>
      <c r="F77" s="668" t="n">
        <v>1</v>
      </c>
      <c r="G77" s="38" t="n">
        <v>6</v>
      </c>
      <c r="H77" s="668" t="n">
        <v>6</v>
      </c>
      <c r="I77" s="668" t="n">
        <v>6.36</v>
      </c>
      <c r="J77" s="38" t="n">
        <v>104</v>
      </c>
      <c r="K77" s="39" t="inlineStr">
        <is>
          <t>СК1</t>
        </is>
      </c>
      <c r="L77" s="38" t="n">
        <v>45</v>
      </c>
      <c r="M77" s="706" t="inlineStr">
        <is>
          <t>Ветчины Запекуша с сочным окороком Вязанка Весовые П/а Вязанка</t>
        </is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IFERROR(IF(V77=0,"",ROUNDUP(V77/H77,0)*0.01196),"")</f>
        <v/>
      </c>
      <c r="X77" s="69" t="inlineStr"/>
      <c r="Y77" s="70" t="inlineStr"/>
      <c r="AC77" s="71" t="n"/>
      <c r="AZ77" s="103" t="inlineStr">
        <is>
          <t>КИ</t>
        </is>
      </c>
    </row>
    <row r="78" ht="16.5" customHeight="1">
      <c r="A78" s="64" t="inlineStr">
        <is>
          <t>SU002833</t>
        </is>
      </c>
      <c r="B78" s="64" t="inlineStr">
        <is>
          <t>P003236</t>
        </is>
      </c>
      <c r="C78" s="37" t="n">
        <v>4301020235</v>
      </c>
      <c r="D78" s="315" t="n">
        <v>4680115881488</v>
      </c>
      <c r="E78" s="636" t="n"/>
      <c r="F78" s="668" t="n">
        <v>1.35</v>
      </c>
      <c r="G78" s="38" t="n">
        <v>8</v>
      </c>
      <c r="H78" s="668" t="n">
        <v>10.8</v>
      </c>
      <c r="I78" s="668" t="n">
        <v>11.28</v>
      </c>
      <c r="J78" s="38" t="n">
        <v>48</v>
      </c>
      <c r="K78" s="39" t="inlineStr">
        <is>
          <t>СК1</t>
        </is>
      </c>
      <c r="L78" s="38" t="n">
        <v>50</v>
      </c>
      <c r="M78" s="707">
        <f>HYPERLINK("https://abi.ru/products/Охлажденные/Вязанка/Вязанка/Ветчины/P003236/","Ветчины Сливушка с индейкой Вязанка вес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IFERROR(IF(V78=0,"",ROUNDUP(V78/H78,0)*0.02175),"")</f>
        <v/>
      </c>
      <c r="X78" s="69" t="inlineStr"/>
      <c r="Y78" s="70" t="inlineStr"/>
      <c r="AC78" s="71" t="n"/>
      <c r="AZ78" s="104" t="inlineStr">
        <is>
          <t>КИ</t>
        </is>
      </c>
    </row>
    <row r="79" ht="27" customHeight="1">
      <c r="A79" s="64" t="inlineStr">
        <is>
          <t>SU002313</t>
        </is>
      </c>
      <c r="B79" s="64" t="inlineStr">
        <is>
          <t>P002583</t>
        </is>
      </c>
      <c r="C79" s="37" t="n">
        <v>4301020183</v>
      </c>
      <c r="D79" s="315" t="n">
        <v>4607091384765</v>
      </c>
      <c r="E79" s="636" t="n"/>
      <c r="F79" s="668" t="n">
        <v>0.42</v>
      </c>
      <c r="G79" s="38" t="n">
        <v>6</v>
      </c>
      <c r="H79" s="668" t="n">
        <v>2.52</v>
      </c>
      <c r="I79" s="668" t="n">
        <v>2.72</v>
      </c>
      <c r="J79" s="38" t="n">
        <v>156</v>
      </c>
      <c r="K79" s="39" t="inlineStr">
        <is>
          <t>СК1</t>
        </is>
      </c>
      <c r="L79" s="38" t="n">
        <v>45</v>
      </c>
      <c r="M79" s="708" t="inlineStr">
        <is>
          <t>Ветчины Запекуша с сочным окороком Вязанка Фикс.вес 0,42 п/а Вязанка</t>
        </is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IFERROR(IF(V79=0,"",ROUNDUP(V79/H79,0)*0.00753),"")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SU003037</t>
        </is>
      </c>
      <c r="B80" s="64" t="inlineStr">
        <is>
          <t>P003575</t>
        </is>
      </c>
      <c r="C80" s="37" t="n">
        <v>4301020258</v>
      </c>
      <c r="D80" s="315" t="n">
        <v>4680115882775</v>
      </c>
      <c r="E80" s="636" t="n"/>
      <c r="F80" s="668" t="n">
        <v>0.3</v>
      </c>
      <c r="G80" s="38" t="n">
        <v>8</v>
      </c>
      <c r="H80" s="668" t="n">
        <v>2.4</v>
      </c>
      <c r="I80" s="668" t="n">
        <v>2.5</v>
      </c>
      <c r="J80" s="38" t="n">
        <v>234</v>
      </c>
      <c r="K80" s="39" t="inlineStr">
        <is>
          <t>СК3</t>
        </is>
      </c>
      <c r="L80" s="38" t="n">
        <v>50</v>
      </c>
      <c r="M80" s="709" t="inlineStr">
        <is>
          <t>Ветчины «Сливушка с индейкой» Фикс.вес 0,3 П/а ТМ «Вязанка»</t>
        </is>
      </c>
      <c r="N80" s="670" t="n"/>
      <c r="O80" s="670" t="n"/>
      <c r="P80" s="670" t="n"/>
      <c r="Q80" s="636" t="n"/>
      <c r="R80" s="40" t="inlineStr"/>
      <c r="S80" s="40" t="inlineStr"/>
      <c r="T80" s="41" t="inlineStr">
        <is>
          <t>кг</t>
        </is>
      </c>
      <c r="U80" s="671" t="n">
        <v>0</v>
      </c>
      <c r="V80" s="672">
        <f>IFERROR(IF(U80="",0,CEILING((U80/$H80),1)*$H80),"")</f>
        <v/>
      </c>
      <c r="W80" s="42">
        <f>IFERROR(IF(V80=0,"",ROUNDUP(V80/H80,0)*0.00502),"")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SU002735</t>
        </is>
      </c>
      <c r="B81" s="64" t="inlineStr">
        <is>
          <t>P003107</t>
        </is>
      </c>
      <c r="C81" s="37" t="n">
        <v>4301020217</v>
      </c>
      <c r="D81" s="315" t="n">
        <v>4680115880658</v>
      </c>
      <c r="E81" s="636" t="n"/>
      <c r="F81" s="668" t="n">
        <v>0.4</v>
      </c>
      <c r="G81" s="38" t="n">
        <v>6</v>
      </c>
      <c r="H81" s="668" t="n">
        <v>2.4</v>
      </c>
      <c r="I81" s="668" t="n">
        <v>2.6</v>
      </c>
      <c r="J81" s="38" t="n">
        <v>156</v>
      </c>
      <c r="K81" s="39" t="inlineStr">
        <is>
          <t>СК1</t>
        </is>
      </c>
      <c r="L81" s="38" t="n">
        <v>50</v>
      </c>
      <c r="M81" s="710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1" s="670" t="n"/>
      <c r="O81" s="670" t="n"/>
      <c r="P81" s="670" t="n"/>
      <c r="Q81" s="636" t="n"/>
      <c r="R81" s="40" t="inlineStr"/>
      <c r="S81" s="40" t="inlineStr"/>
      <c r="T81" s="41" t="inlineStr">
        <is>
          <t>кг</t>
        </is>
      </c>
      <c r="U81" s="671" t="n">
        <v>0</v>
      </c>
      <c r="V81" s="672">
        <f>IFERROR(IF(U81="",0,CEILING((U81/$H81),1)*$H81),"")</f>
        <v/>
      </c>
      <c r="W81" s="42">
        <f>IFERROR(IF(V81=0,"",ROUNDUP(V81/H81,0)*0.00753),"")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SU000082</t>
        </is>
      </c>
      <c r="B82" s="64" t="inlineStr">
        <is>
          <t>P003164</t>
        </is>
      </c>
      <c r="C82" s="37" t="n">
        <v>4301020223</v>
      </c>
      <c r="D82" s="315" t="n">
        <v>4607091381962</v>
      </c>
      <c r="E82" s="636" t="n"/>
      <c r="F82" s="668" t="n">
        <v>0.5</v>
      </c>
      <c r="G82" s="38" t="n">
        <v>6</v>
      </c>
      <c r="H82" s="668" t="n">
        <v>3</v>
      </c>
      <c r="I82" s="668" t="n">
        <v>3.2</v>
      </c>
      <c r="J82" s="38" t="n">
        <v>156</v>
      </c>
      <c r="K82" s="39" t="inlineStr">
        <is>
          <t>СК1</t>
        </is>
      </c>
      <c r="L82" s="38" t="n">
        <v>50</v>
      </c>
      <c r="M82" s="711">
        <f>HYPERLINK("https://abi.ru/products/Охлажденные/Вязанка/Вязанка/Ветчины/P003164/","Ветчины Столичная Вязанка Фикс.вес 0,5 Вектор Вязанка")</f>
        <v/>
      </c>
      <c r="N82" s="670" t="n"/>
      <c r="O82" s="670" t="n"/>
      <c r="P82" s="670" t="n"/>
      <c r="Q82" s="636" t="n"/>
      <c r="R82" s="40" t="inlineStr"/>
      <c r="S82" s="40" t="inlineStr"/>
      <c r="T82" s="41" t="inlineStr">
        <is>
          <t>кг</t>
        </is>
      </c>
      <c r="U82" s="671" t="n">
        <v>0</v>
      </c>
      <c r="V82" s="672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>
      <c r="A83" s="323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673" t="n"/>
      <c r="M83" s="674" t="inlineStr">
        <is>
          <t>Итого</t>
        </is>
      </c>
      <c r="N83" s="644" t="n"/>
      <c r="O83" s="644" t="n"/>
      <c r="P83" s="644" t="n"/>
      <c r="Q83" s="644" t="n"/>
      <c r="R83" s="644" t="n"/>
      <c r="S83" s="645" t="n"/>
      <c r="T83" s="43" t="inlineStr">
        <is>
          <t>кор</t>
        </is>
      </c>
      <c r="U83" s="675">
        <f>IFERROR(U77/H77,"0")+IFERROR(U78/H78,"0")+IFERROR(U79/H79,"0")+IFERROR(U80/H80,"0")+IFERROR(U81/H81,"0")+IFERROR(U82/H82,"0")</f>
        <v/>
      </c>
      <c r="V83" s="675">
        <f>IFERROR(V77/H77,"0")+IFERROR(V78/H78,"0")+IFERROR(V79/H79,"0")+IFERROR(V80/H80,"0")+IFERROR(V81/H81,"0")+IFERROR(V82/H82,"0")</f>
        <v/>
      </c>
      <c r="W83" s="675">
        <f>IFERROR(IF(W77="",0,W77),"0")+IFERROR(IF(W78="",0,W78),"0")+IFERROR(IF(W79="",0,W79),"0")+IFERROR(IF(W80="",0,W80),"0")+IFERROR(IF(W81="",0,W81),"0")+IFERROR(IF(W82="",0,W82),"0")</f>
        <v/>
      </c>
      <c r="X83" s="676" t="n"/>
      <c r="Y83" s="676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3" t="n"/>
      <c r="M84" s="674" t="inlineStr">
        <is>
          <t>Итого</t>
        </is>
      </c>
      <c r="N84" s="644" t="n"/>
      <c r="O84" s="644" t="n"/>
      <c r="P84" s="644" t="n"/>
      <c r="Q84" s="644" t="n"/>
      <c r="R84" s="644" t="n"/>
      <c r="S84" s="645" t="n"/>
      <c r="T84" s="43" t="inlineStr">
        <is>
          <t>кг</t>
        </is>
      </c>
      <c r="U84" s="675">
        <f>IFERROR(SUM(U77:U82),"0")</f>
        <v/>
      </c>
      <c r="V84" s="675">
        <f>IFERROR(SUM(V77:V82),"0")</f>
        <v/>
      </c>
      <c r="W84" s="43" t="n"/>
      <c r="X84" s="676" t="n"/>
      <c r="Y84" s="676" t="n"/>
    </row>
    <row r="85" ht="14.25" customHeight="1">
      <c r="A85" s="331" t="inlineStr">
        <is>
          <t>Копченые колбасы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331" t="n"/>
      <c r="Y85" s="331" t="n"/>
    </row>
    <row r="86" ht="16.5" customHeight="1">
      <c r="A86" s="64" t="inlineStr">
        <is>
          <t>SU000064</t>
        </is>
      </c>
      <c r="B86" s="64" t="inlineStr">
        <is>
          <t>P001841</t>
        </is>
      </c>
      <c r="C86" s="37" t="n">
        <v>4301030895</v>
      </c>
      <c r="D86" s="315" t="n">
        <v>4607091387667</v>
      </c>
      <c r="E86" s="636" t="n"/>
      <c r="F86" s="668" t="n">
        <v>0.9</v>
      </c>
      <c r="G86" s="38" t="n">
        <v>10</v>
      </c>
      <c r="H86" s="668" t="n">
        <v>9</v>
      </c>
      <c r="I86" s="668" t="n">
        <v>9.630000000000001</v>
      </c>
      <c r="J86" s="38" t="n">
        <v>56</v>
      </c>
      <c r="K86" s="39" t="inlineStr">
        <is>
          <t>СК1</t>
        </is>
      </c>
      <c r="L86" s="38" t="n">
        <v>40</v>
      </c>
      <c r="M86" s="712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IFERROR(IF(V86=0,"",ROUNDUP(V86/H86,0)*0.02175),"")</f>
        <v/>
      </c>
      <c r="X86" s="69" t="inlineStr"/>
      <c r="Y86" s="70" t="inlineStr"/>
      <c r="AC86" s="71" t="n"/>
      <c r="AZ86" s="109" t="inlineStr">
        <is>
          <t>КИ</t>
        </is>
      </c>
    </row>
    <row r="87" ht="27" customHeight="1">
      <c r="A87" s="64" t="inlineStr">
        <is>
          <t>SU000664</t>
        </is>
      </c>
      <c r="B87" s="64" t="inlineStr">
        <is>
          <t>P002177</t>
        </is>
      </c>
      <c r="C87" s="37" t="n">
        <v>4301030961</v>
      </c>
      <c r="D87" s="315" t="n">
        <v>4607091387636</v>
      </c>
      <c r="E87" s="636" t="n"/>
      <c r="F87" s="668" t="n">
        <v>0.7</v>
      </c>
      <c r="G87" s="38" t="n">
        <v>6</v>
      </c>
      <c r="H87" s="668" t="n">
        <v>4.2</v>
      </c>
      <c r="I87" s="668" t="n">
        <v>4.5</v>
      </c>
      <c r="J87" s="38" t="n">
        <v>120</v>
      </c>
      <c r="K87" s="39" t="inlineStr">
        <is>
          <t>СК2</t>
        </is>
      </c>
      <c r="L87" s="38" t="n">
        <v>40</v>
      </c>
      <c r="M87" s="713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IFERROR(IF(V87=0,"",ROUNDUP(V87/H87,0)*0.00937),"")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SU002308</t>
        </is>
      </c>
      <c r="B88" s="64" t="inlineStr">
        <is>
          <t>P002572</t>
        </is>
      </c>
      <c r="C88" s="37" t="n">
        <v>4301031078</v>
      </c>
      <c r="D88" s="315" t="n">
        <v>4607091384727</v>
      </c>
      <c r="E88" s="636" t="n"/>
      <c r="F88" s="668" t="n">
        <v>0.8</v>
      </c>
      <c r="G88" s="38" t="n">
        <v>6</v>
      </c>
      <c r="H88" s="668" t="n">
        <v>4.8</v>
      </c>
      <c r="I88" s="668" t="n">
        <v>5.16</v>
      </c>
      <c r="J88" s="38" t="n">
        <v>104</v>
      </c>
      <c r="K88" s="39" t="inlineStr">
        <is>
          <t>СК2</t>
        </is>
      </c>
      <c r="L88" s="38" t="n">
        <v>45</v>
      </c>
      <c r="M88" s="714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IFERROR(IF(V88=0,"",ROUNDUP(V88/H88,0)*0.01196),"")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SU002310</t>
        </is>
      </c>
      <c r="B89" s="64" t="inlineStr">
        <is>
          <t>P002574</t>
        </is>
      </c>
      <c r="C89" s="37" t="n">
        <v>4301031080</v>
      </c>
      <c r="D89" s="315" t="n">
        <v>4607091386745</v>
      </c>
      <c r="E89" s="636" t="n"/>
      <c r="F89" s="668" t="n">
        <v>0.8</v>
      </c>
      <c r="G89" s="38" t="n">
        <v>6</v>
      </c>
      <c r="H89" s="668" t="n">
        <v>4.8</v>
      </c>
      <c r="I89" s="668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5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89" s="670" t="n"/>
      <c r="O89" s="670" t="n"/>
      <c r="P89" s="670" t="n"/>
      <c r="Q89" s="636" t="n"/>
      <c r="R89" s="40" t="inlineStr"/>
      <c r="S89" s="40" t="inlineStr"/>
      <c r="T89" s="41" t="inlineStr">
        <is>
          <t>кг</t>
        </is>
      </c>
      <c r="U89" s="671" t="n">
        <v>0</v>
      </c>
      <c r="V89" s="672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16.5" customHeight="1">
      <c r="A90" s="64" t="inlineStr">
        <is>
          <t>SU000097</t>
        </is>
      </c>
      <c r="B90" s="64" t="inlineStr">
        <is>
          <t>P002179</t>
        </is>
      </c>
      <c r="C90" s="37" t="n">
        <v>4301030963</v>
      </c>
      <c r="D90" s="315" t="n">
        <v>4607091382426</v>
      </c>
      <c r="E90" s="636" t="n"/>
      <c r="F90" s="668" t="n">
        <v>0.9</v>
      </c>
      <c r="G90" s="38" t="n">
        <v>10</v>
      </c>
      <c r="H90" s="668" t="n">
        <v>9</v>
      </c>
      <c r="I90" s="668" t="n">
        <v>9.630000000000001</v>
      </c>
      <c r="J90" s="38" t="n">
        <v>56</v>
      </c>
      <c r="K90" s="39" t="inlineStr">
        <is>
          <t>СК2</t>
        </is>
      </c>
      <c r="L90" s="38" t="n">
        <v>40</v>
      </c>
      <c r="M90" s="716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0" s="670" t="n"/>
      <c r="O90" s="670" t="n"/>
      <c r="P90" s="670" t="n"/>
      <c r="Q90" s="636" t="n"/>
      <c r="R90" s="40" t="inlineStr"/>
      <c r="S90" s="40" t="inlineStr"/>
      <c r="T90" s="41" t="inlineStr">
        <is>
          <t>кг</t>
        </is>
      </c>
      <c r="U90" s="671" t="n">
        <v>0</v>
      </c>
      <c r="V90" s="672">
        <f>IFERROR(IF(U90="",0,CEILING((U90/$H90),1)*$H90),"")</f>
        <v/>
      </c>
      <c r="W90" s="42">
        <f>IFERROR(IF(V90=0,"",ROUNDUP(V90/H90,0)*0.02175),"")</f>
        <v/>
      </c>
      <c r="X90" s="69" t="inlineStr"/>
      <c r="Y90" s="70" t="inlineStr"/>
      <c r="AC90" s="71" t="n"/>
      <c r="AZ90" s="113" t="inlineStr">
        <is>
          <t>КИ</t>
        </is>
      </c>
    </row>
    <row r="91" ht="27" customHeight="1">
      <c r="A91" s="64" t="inlineStr">
        <is>
          <t>SU000665</t>
        </is>
      </c>
      <c r="B91" s="64" t="inlineStr">
        <is>
          <t>P002178</t>
        </is>
      </c>
      <c r="C91" s="37" t="n">
        <v>4301030962</v>
      </c>
      <c r="D91" s="315" t="n">
        <v>4607091386547</v>
      </c>
      <c r="E91" s="636" t="n"/>
      <c r="F91" s="668" t="n">
        <v>0.35</v>
      </c>
      <c r="G91" s="38" t="n">
        <v>8</v>
      </c>
      <c r="H91" s="668" t="n">
        <v>2.8</v>
      </c>
      <c r="I91" s="668" t="n">
        <v>2.94</v>
      </c>
      <c r="J91" s="38" t="n">
        <v>234</v>
      </c>
      <c r="K91" s="39" t="inlineStr">
        <is>
          <t>СК2</t>
        </is>
      </c>
      <c r="L91" s="38" t="n">
        <v>40</v>
      </c>
      <c r="M91" s="71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1" s="670" t="n"/>
      <c r="O91" s="670" t="n"/>
      <c r="P91" s="670" t="n"/>
      <c r="Q91" s="636" t="n"/>
      <c r="R91" s="40" t="inlineStr"/>
      <c r="S91" s="40" t="inlineStr"/>
      <c r="T91" s="41" t="inlineStr">
        <is>
          <t>кг</t>
        </is>
      </c>
      <c r="U91" s="671" t="n">
        <v>0</v>
      </c>
      <c r="V91" s="672">
        <f>IFERROR(IF(U91="",0,CEILING((U91/$H91),1)*$H91),"")</f>
        <v/>
      </c>
      <c r="W91" s="42">
        <f>IFERROR(IF(V91=0,"",ROUNDUP(V91/H91,0)*0.00502),"")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SU002307</t>
        </is>
      </c>
      <c r="B92" s="64" t="inlineStr">
        <is>
          <t>P002571</t>
        </is>
      </c>
      <c r="C92" s="37" t="n">
        <v>4301031077</v>
      </c>
      <c r="D92" s="315" t="n">
        <v>4607091384703</v>
      </c>
      <c r="E92" s="636" t="n"/>
      <c r="F92" s="668" t="n">
        <v>0.35</v>
      </c>
      <c r="G92" s="38" t="n">
        <v>6</v>
      </c>
      <c r="H92" s="668" t="n">
        <v>2.1</v>
      </c>
      <c r="I92" s="668" t="n">
        <v>2.2</v>
      </c>
      <c r="J92" s="38" t="n">
        <v>234</v>
      </c>
      <c r="K92" s="39" t="inlineStr">
        <is>
          <t>СК2</t>
        </is>
      </c>
      <c r="L92" s="38" t="n">
        <v>45</v>
      </c>
      <c r="M92" s="718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SU002309</t>
        </is>
      </c>
      <c r="B93" s="64" t="inlineStr">
        <is>
          <t>P002573</t>
        </is>
      </c>
      <c r="C93" s="37" t="n">
        <v>4301031079</v>
      </c>
      <c r="D93" s="315" t="n">
        <v>4607091384734</v>
      </c>
      <c r="E93" s="636" t="n"/>
      <c r="F93" s="668" t="n">
        <v>0.35</v>
      </c>
      <c r="G93" s="38" t="n">
        <v>6</v>
      </c>
      <c r="H93" s="668" t="n">
        <v>2.1</v>
      </c>
      <c r="I93" s="668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9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SU001605</t>
        </is>
      </c>
      <c r="B94" s="64" t="inlineStr">
        <is>
          <t>P002180</t>
        </is>
      </c>
      <c r="C94" s="37" t="n">
        <v>4301030964</v>
      </c>
      <c r="D94" s="315" t="n">
        <v>4607091382464</v>
      </c>
      <c r="E94" s="636" t="n"/>
      <c r="F94" s="668" t="n">
        <v>0.35</v>
      </c>
      <c r="G94" s="38" t="n">
        <v>8</v>
      </c>
      <c r="H94" s="668" t="n">
        <v>2.8</v>
      </c>
      <c r="I94" s="668" t="n">
        <v>2.964</v>
      </c>
      <c r="J94" s="38" t="n">
        <v>234</v>
      </c>
      <c r="K94" s="39" t="inlineStr">
        <is>
          <t>СК2</t>
        </is>
      </c>
      <c r="L94" s="38" t="n">
        <v>40</v>
      </c>
      <c r="M94" s="720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>
      <c r="A95" s="323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673" t="n"/>
      <c r="M95" s="674" t="inlineStr">
        <is>
          <t>Итого</t>
        </is>
      </c>
      <c r="N95" s="644" t="n"/>
      <c r="O95" s="644" t="n"/>
      <c r="P95" s="644" t="n"/>
      <c r="Q95" s="644" t="n"/>
      <c r="R95" s="644" t="n"/>
      <c r="S95" s="645" t="n"/>
      <c r="T95" s="43" t="inlineStr">
        <is>
          <t>кор</t>
        </is>
      </c>
      <c r="U95" s="675">
        <f>IFERROR(U86/H86,"0")+IFERROR(U87/H87,"0")+IFERROR(U88/H88,"0")+IFERROR(U89/H89,"0")+IFERROR(U90/H90,"0")+IFERROR(U91/H91,"0")+IFERROR(U92/H92,"0")+IFERROR(U93/H93,"0")+IFERROR(U94/H94,"0")</f>
        <v/>
      </c>
      <c r="V95" s="675">
        <f>IFERROR(V86/H86,"0")+IFERROR(V87/H87,"0")+IFERROR(V88/H88,"0")+IFERROR(V89/H89,"0")+IFERROR(V90/H90,"0")+IFERROR(V91/H91,"0")+IFERROR(V92/H92,"0")+IFERROR(V93/H93,"0")+IFERROR(V94/H94,"0")</f>
        <v/>
      </c>
      <c r="W95" s="675">
        <f>IFERROR(IF(W86="",0,W86),"0")+IFERROR(IF(W87="",0,W87),"0")+IFERROR(IF(W88="",0,W88),"0")+IFERROR(IF(W89="",0,W89),"0")+IFERROR(IF(W90="",0,W90),"0")+IFERROR(IF(W91="",0,W91),"0")+IFERROR(IF(W92="",0,W92),"0")+IFERROR(IF(W93="",0,W93),"0")+IFERROR(IF(W94="",0,W94),"0")</f>
        <v/>
      </c>
      <c r="X95" s="676" t="n"/>
      <c r="Y95" s="676" t="n"/>
    </row>
    <row r="96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3" t="n"/>
      <c r="M96" s="674" t="inlineStr">
        <is>
          <t>Итого</t>
        </is>
      </c>
      <c r="N96" s="644" t="n"/>
      <c r="O96" s="644" t="n"/>
      <c r="P96" s="644" t="n"/>
      <c r="Q96" s="644" t="n"/>
      <c r="R96" s="644" t="n"/>
      <c r="S96" s="645" t="n"/>
      <c r="T96" s="43" t="inlineStr">
        <is>
          <t>кг</t>
        </is>
      </c>
      <c r="U96" s="675">
        <f>IFERROR(SUM(U86:U94),"0")</f>
        <v/>
      </c>
      <c r="V96" s="675">
        <f>IFERROR(SUM(V86:V94),"0")</f>
        <v/>
      </c>
      <c r="W96" s="43" t="n"/>
      <c r="X96" s="676" t="n"/>
      <c r="Y96" s="676" t="n"/>
    </row>
    <row r="97" ht="14.25" customHeight="1">
      <c r="A97" s="331" t="inlineStr">
        <is>
          <t>Сосиски</t>
        </is>
      </c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331" t="n"/>
      <c r="Y97" s="331" t="n"/>
    </row>
    <row r="98" ht="16.5" customHeight="1">
      <c r="A98" s="64" t="inlineStr">
        <is>
          <t>SU002984</t>
        </is>
      </c>
      <c r="B98" s="64" t="inlineStr">
        <is>
          <t>P003438</t>
        </is>
      </c>
      <c r="C98" s="37" t="n">
        <v>4301051476</v>
      </c>
      <c r="D98" s="315" t="n">
        <v>4680115882584</v>
      </c>
      <c r="E98" s="636" t="n"/>
      <c r="F98" s="668" t="n">
        <v>0.33</v>
      </c>
      <c r="G98" s="38" t="n">
        <v>8</v>
      </c>
      <c r="H98" s="668" t="n">
        <v>2.64</v>
      </c>
      <c r="I98" s="668" t="n">
        <v>2.928</v>
      </c>
      <c r="J98" s="38" t="n">
        <v>156</v>
      </c>
      <c r="K98" s="39" t="inlineStr">
        <is>
          <t>АК</t>
        </is>
      </c>
      <c r="L98" s="38" t="n">
        <v>60</v>
      </c>
      <c r="M98" s="721" t="inlineStr">
        <is>
          <t>Сосиски Восточные халяль ТМ Вязанка полиамид в/у ф/в 0,33 кг Казахстан АК</t>
        </is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50</v>
      </c>
      <c r="V98" s="672">
        <f>IFERROR(IF(U98="",0,CEILING((U98/$H98),1)*$H98),"")</f>
        <v/>
      </c>
      <c r="W98" s="42">
        <f>IFERROR(IF(V98=0,"",ROUNDUP(V98/H98,0)*0.00753),"")</f>
        <v/>
      </c>
      <c r="X98" s="69" t="inlineStr"/>
      <c r="Y98" s="70" t="inlineStr">
        <is>
          <t>Новинка</t>
        </is>
      </c>
      <c r="AC98" s="71" t="n"/>
      <c r="AZ98" s="118" t="inlineStr">
        <is>
          <t>КИ</t>
        </is>
      </c>
    </row>
    <row r="99" ht="27" customHeight="1">
      <c r="A99" s="64" t="inlineStr">
        <is>
          <t>SU001523</t>
        </is>
      </c>
      <c r="B99" s="64" t="inlineStr">
        <is>
          <t>P003328</t>
        </is>
      </c>
      <c r="C99" s="37" t="n">
        <v>4301051437</v>
      </c>
      <c r="D99" s="315" t="n">
        <v>4607091386967</v>
      </c>
      <c r="E99" s="636" t="n"/>
      <c r="F99" s="668" t="n">
        <v>1.35</v>
      </c>
      <c r="G99" s="38" t="n">
        <v>6</v>
      </c>
      <c r="H99" s="668" t="n">
        <v>8.1</v>
      </c>
      <c r="I99" s="668" t="n">
        <v>8.664</v>
      </c>
      <c r="J99" s="38" t="n">
        <v>56</v>
      </c>
      <c r="K99" s="39" t="inlineStr">
        <is>
          <t>СК3</t>
        </is>
      </c>
      <c r="L99" s="38" t="n">
        <v>45</v>
      </c>
      <c r="M99" s="722" t="inlineStr">
        <is>
          <t>Сосиски Молокуши (Вязанка Молочные) Вязанка Весовые П/а мгс Вязанка</t>
        </is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0</v>
      </c>
      <c r="V99" s="672">
        <f>IFERROR(IF(U99="",0,CEILING((U99/$H99),1)*$H99),"")</f>
        <v/>
      </c>
      <c r="W99" s="42">
        <f>IFERROR(IF(V99=0,"",ROUNDUP(V99/H99,0)*0.02175),"")</f>
        <v/>
      </c>
      <c r="X99" s="69" t="inlineStr"/>
      <c r="Y99" s="70" t="inlineStr"/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5" t="n">
        <v>4607091386967</v>
      </c>
      <c r="E100" s="636" t="n"/>
      <c r="F100" s="668" t="n">
        <v>1.4</v>
      </c>
      <c r="G100" s="38" t="n">
        <v>6</v>
      </c>
      <c r="H100" s="668" t="n">
        <v>8.4</v>
      </c>
      <c r="I100" s="668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3" t="inlineStr">
        <is>
          <t>Сосиски «Молокуши (Вязанка Молочные)» Весовые П/а мгс УВВ ТМ «Вязанка»</t>
        </is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239</v>
      </c>
      <c r="V100" s="672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5" t="n">
        <v>4607091385304</v>
      </c>
      <c r="E101" s="636" t="n"/>
      <c r="F101" s="668" t="n">
        <v>1.35</v>
      </c>
      <c r="G101" s="38" t="n">
        <v>6</v>
      </c>
      <c r="H101" s="668" t="n">
        <v>8.1</v>
      </c>
      <c r="I101" s="668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4">
        <f>HYPERLINK("https://abi.ru/products/Охлажденные/Вязанка/Вязанка/Сосиски/P003025/","Сосиски Рубленые Вязанка Весовые п/а мгс Вязанка")</f>
        <v/>
      </c>
      <c r="N101" s="670" t="n"/>
      <c r="O101" s="670" t="n"/>
      <c r="P101" s="670" t="n"/>
      <c r="Q101" s="636" t="n"/>
      <c r="R101" s="40" t="inlineStr"/>
      <c r="S101" s="40" t="inlineStr"/>
      <c r="T101" s="41" t="inlineStr">
        <is>
          <t>кг</t>
        </is>
      </c>
      <c r="U101" s="671" t="n">
        <v>0</v>
      </c>
      <c r="V101" s="672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5" t="n">
        <v>4607091386264</v>
      </c>
      <c r="E102" s="636" t="n"/>
      <c r="F102" s="668" t="n">
        <v>0.5</v>
      </c>
      <c r="G102" s="38" t="n">
        <v>6</v>
      </c>
      <c r="H102" s="668" t="n">
        <v>3</v>
      </c>
      <c r="I102" s="668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5">
        <f>HYPERLINK("https://abi.ru/products/Охлажденные/Вязанка/Вязанка/Сосиски/P002217/","Сосиски Венские Вязанка Фикс.вес 0,5 NDX мгс Вязанка")</f>
        <v/>
      </c>
      <c r="N102" s="670" t="n"/>
      <c r="O102" s="670" t="n"/>
      <c r="P102" s="670" t="n"/>
      <c r="Q102" s="636" t="n"/>
      <c r="R102" s="40" t="inlineStr"/>
      <c r="S102" s="40" t="inlineStr"/>
      <c r="T102" s="41" t="inlineStr">
        <is>
          <t>кг</t>
        </is>
      </c>
      <c r="U102" s="671" t="n">
        <v>0</v>
      </c>
      <c r="V102" s="672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5" t="n">
        <v>4607091385731</v>
      </c>
      <c r="E103" s="636" t="n"/>
      <c r="F103" s="668" t="n">
        <v>0.45</v>
      </c>
      <c r="G103" s="38" t="n">
        <v>6</v>
      </c>
      <c r="H103" s="668" t="n">
        <v>2.7</v>
      </c>
      <c r="I103" s="668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6" t="inlineStr">
        <is>
          <t>Сосиски Молокуши (Вязанка Молочные) Вязанка Фикс.вес 0,45 П/а мгс Вязанка</t>
        </is>
      </c>
      <c r="N103" s="670" t="n"/>
      <c r="O103" s="670" t="n"/>
      <c r="P103" s="670" t="n"/>
      <c r="Q103" s="636" t="n"/>
      <c r="R103" s="40" t="inlineStr"/>
      <c r="S103" s="40" t="inlineStr"/>
      <c r="T103" s="41" t="inlineStr">
        <is>
          <t>кг</t>
        </is>
      </c>
      <c r="U103" s="671" t="n">
        <v>0</v>
      </c>
      <c r="V103" s="672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5" t="n">
        <v>4680115880214</v>
      </c>
      <c r="E104" s="636" t="n"/>
      <c r="F104" s="668" t="n">
        <v>0.45</v>
      </c>
      <c r="G104" s="38" t="n">
        <v>6</v>
      </c>
      <c r="H104" s="668" t="n">
        <v>2.7</v>
      </c>
      <c r="I104" s="668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7" t="inlineStr">
        <is>
          <t>Сосиски Молокуши миникушай Вязанка Ф/в 0,45 амилюкс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0</v>
      </c>
      <c r="V104" s="672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5" t="n">
        <v>4680115880894</v>
      </c>
      <c r="E105" s="636" t="n"/>
      <c r="F105" s="668" t="n">
        <v>0.33</v>
      </c>
      <c r="G105" s="38" t="n">
        <v>6</v>
      </c>
      <c r="H105" s="668" t="n">
        <v>1.98</v>
      </c>
      <c r="I105" s="668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8" t="inlineStr">
        <is>
          <t>Сосиски Молокуши Миникушай Вязанка фикс.вес 0,33 п/а Вязанка</t>
        </is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0</v>
      </c>
      <c r="V105" s="672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5" t="n">
        <v>4607091385427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9">
        <f>HYPERLINK("https://abi.ru/products/Охлажденные/Вязанка/Вязанка/Сосиски/P003030/","Сосиски Рубленые Вязанка Фикс.вес 0,5 п/а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 ht="16.5" customHeight="1">
      <c r="A107" s="64" t="inlineStr">
        <is>
          <t>SU002996</t>
        </is>
      </c>
      <c r="B107" s="64" t="inlineStr">
        <is>
          <t>P003464</t>
        </is>
      </c>
      <c r="C107" s="37" t="n">
        <v>4301051480</v>
      </c>
      <c r="D107" s="315" t="n">
        <v>4680115882645</v>
      </c>
      <c r="E107" s="636" t="n"/>
      <c r="F107" s="668" t="n">
        <v>0.3</v>
      </c>
      <c r="G107" s="38" t="n">
        <v>6</v>
      </c>
      <c r="H107" s="668" t="n">
        <v>1.8</v>
      </c>
      <c r="I107" s="668" t="n">
        <v>2.66</v>
      </c>
      <c r="J107" s="38" t="n">
        <v>156</v>
      </c>
      <c r="K107" s="39" t="inlineStr">
        <is>
          <t>СК2</t>
        </is>
      </c>
      <c r="L107" s="38" t="n">
        <v>40</v>
      </c>
      <c r="M107" s="730" t="inlineStr">
        <is>
          <t>Сосиски «Сливушки с сыром» ф/в 0,3 п/а ТМ «Вязанка»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71" t="n"/>
      <c r="AZ107" s="127" t="inlineStr">
        <is>
          <t>КИ</t>
        </is>
      </c>
    </row>
    <row r="108">
      <c r="A108" s="323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3" t="n"/>
      <c r="M108" s="674" t="inlineStr">
        <is>
          <t>Итого</t>
        </is>
      </c>
      <c r="N108" s="644" t="n"/>
      <c r="O108" s="644" t="n"/>
      <c r="P108" s="644" t="n"/>
      <c r="Q108" s="644" t="n"/>
      <c r="R108" s="644" t="n"/>
      <c r="S108" s="645" t="n"/>
      <c r="T108" s="43" t="inlineStr">
        <is>
          <t>кор</t>
        </is>
      </c>
      <c r="U108" s="675">
        <f>IFERROR(U98/H98,"0")+IFERROR(U99/H99,"0")+IFERROR(U100/H100,"0")+IFERROR(U101/H101,"0")+IFERROR(U102/H102,"0")+IFERROR(U103/H103,"0")+IFERROR(U104/H104,"0")+IFERROR(U105/H105,"0")+IFERROR(U106/H106,"0")+IFERROR(U107/H107,"0")</f>
        <v/>
      </c>
      <c r="V108" s="675">
        <f>IFERROR(V98/H98,"0")+IFERROR(V99/H99,"0")+IFERROR(V100/H100,"0")+IFERROR(V101/H101,"0")+IFERROR(V102/H102,"0")+IFERROR(V103/H103,"0")+IFERROR(V104/H104,"0")+IFERROR(V105/H105,"0")+IFERROR(V106/H106,"0")+IFERROR(V107/H107,"0")</f>
        <v/>
      </c>
      <c r="W108" s="675">
        <f>IFERROR(IF(W98="",0,W98),"0")+IFERROR(IF(W99="",0,W99),"0")+IFERROR(IF(W100="",0,W100),"0")+IFERROR(IF(W101="",0,W101),"0")+IFERROR(IF(W102="",0,W102),"0")+IFERROR(IF(W103="",0,W103),"0")+IFERROR(IF(W104="",0,W104),"0")+IFERROR(IF(W105="",0,W105),"0")+IFERROR(IF(W106="",0,W106),"0")+IFERROR(IF(W107="",0,W107),"0")</f>
        <v/>
      </c>
      <c r="X108" s="676" t="n"/>
      <c r="Y108" s="676" t="n"/>
    </row>
    <row r="109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673" t="n"/>
      <c r="M109" s="674" t="inlineStr">
        <is>
          <t>Итого</t>
        </is>
      </c>
      <c r="N109" s="644" t="n"/>
      <c r="O109" s="644" t="n"/>
      <c r="P109" s="644" t="n"/>
      <c r="Q109" s="644" t="n"/>
      <c r="R109" s="644" t="n"/>
      <c r="S109" s="645" t="n"/>
      <c r="T109" s="43" t="inlineStr">
        <is>
          <t>кг</t>
        </is>
      </c>
      <c r="U109" s="675">
        <f>IFERROR(SUM(U98:U107),"0")</f>
        <v/>
      </c>
      <c r="V109" s="675">
        <f>IFERROR(SUM(V98:V107),"0")</f>
        <v/>
      </c>
      <c r="W109" s="43" t="n"/>
      <c r="X109" s="676" t="n"/>
      <c r="Y109" s="676" t="n"/>
    </row>
    <row r="110" ht="14.25" customHeight="1">
      <c r="A110" s="331" t="inlineStr">
        <is>
          <t>Сардельки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331" t="n"/>
      <c r="Y110" s="331" t="n"/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5" t="n">
        <v>4607091383065</v>
      </c>
      <c r="E111" s="636" t="n"/>
      <c r="F111" s="668" t="n">
        <v>0.83</v>
      </c>
      <c r="G111" s="38" t="n">
        <v>4</v>
      </c>
      <c r="H111" s="668" t="n">
        <v>3.32</v>
      </c>
      <c r="I111" s="668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70" t="n"/>
      <c r="O111" s="670" t="n"/>
      <c r="P111" s="670" t="n"/>
      <c r="Q111" s="636" t="n"/>
      <c r="R111" s="40" t="inlineStr"/>
      <c r="S111" s="40" t="inlineStr"/>
      <c r="T111" s="41" t="inlineStr">
        <is>
          <t>кг</t>
        </is>
      </c>
      <c r="U111" s="671" t="n">
        <v>0</v>
      </c>
      <c r="V111" s="672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5" t="n">
        <v>4680115881532</v>
      </c>
      <c r="E112" s="636" t="n"/>
      <c r="F112" s="668" t="n">
        <v>1.35</v>
      </c>
      <c r="G112" s="38" t="n">
        <v>6</v>
      </c>
      <c r="H112" s="668" t="n">
        <v>8.1</v>
      </c>
      <c r="I112" s="668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2">
        <f>HYPERLINK("https://abi.ru/products/Охлажденные/Вязанка/Вязанка/Сардельки/P003237/","Сардельки «Филейские» Весовые NDX мгс ТМ «Вязанка»")</f>
        <v/>
      </c>
      <c r="N112" s="670" t="n"/>
      <c r="O112" s="670" t="n"/>
      <c r="P112" s="670" t="n"/>
      <c r="Q112" s="636" t="n"/>
      <c r="R112" s="40" t="inlineStr"/>
      <c r="S112" s="40" t="inlineStr"/>
      <c r="T112" s="41" t="inlineStr">
        <is>
          <t>кг</t>
        </is>
      </c>
      <c r="U112" s="671" t="n">
        <v>0</v>
      </c>
      <c r="V112" s="672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27" customHeight="1">
      <c r="A113" s="64" t="inlineStr">
        <is>
          <t>SU002997</t>
        </is>
      </c>
      <c r="B113" s="64" t="inlineStr">
        <is>
          <t>P003465</t>
        </is>
      </c>
      <c r="C113" s="37" t="n">
        <v>4301060356</v>
      </c>
      <c r="D113" s="315" t="n">
        <v>4680115882652</v>
      </c>
      <c r="E113" s="636" t="n"/>
      <c r="F113" s="668" t="n">
        <v>0.33</v>
      </c>
      <c r="G113" s="38" t="n">
        <v>6</v>
      </c>
      <c r="H113" s="668" t="n">
        <v>1.98</v>
      </c>
      <c r="I113" s="668" t="n">
        <v>2.84</v>
      </c>
      <c r="J113" s="38" t="n">
        <v>156</v>
      </c>
      <c r="K113" s="39" t="inlineStr">
        <is>
          <t>СК2</t>
        </is>
      </c>
      <c r="L113" s="38" t="n">
        <v>40</v>
      </c>
      <c r="M113" s="733" t="inlineStr">
        <is>
          <t>Сардельки «Сливушки с сыром #минидельки» ф/в 0,33 айпил ТМ «Вязанка»</t>
        </is>
      </c>
      <c r="N113" s="670" t="n"/>
      <c r="O113" s="670" t="n"/>
      <c r="P113" s="670" t="n"/>
      <c r="Q113" s="636" t="n"/>
      <c r="R113" s="40" t="inlineStr"/>
      <c r="S113" s="40" t="inlineStr"/>
      <c r="T113" s="41" t="inlineStr">
        <is>
          <t>кг</t>
        </is>
      </c>
      <c r="U113" s="671" t="n">
        <v>0</v>
      </c>
      <c r="V113" s="672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16.5" customHeight="1">
      <c r="A114" s="64" t="inlineStr">
        <is>
          <t>SU002367</t>
        </is>
      </c>
      <c r="B114" s="64" t="inlineStr">
        <is>
          <t>P002644</t>
        </is>
      </c>
      <c r="C114" s="37" t="n">
        <v>4301060309</v>
      </c>
      <c r="D114" s="315" t="n">
        <v>4680115880238</v>
      </c>
      <c r="E114" s="636" t="n"/>
      <c r="F114" s="668" t="n">
        <v>0.33</v>
      </c>
      <c r="G114" s="38" t="n">
        <v>6</v>
      </c>
      <c r="H114" s="668" t="n">
        <v>1.98</v>
      </c>
      <c r="I114" s="668" t="n">
        <v>2.258</v>
      </c>
      <c r="J114" s="38" t="n">
        <v>156</v>
      </c>
      <c r="K114" s="39" t="inlineStr">
        <is>
          <t>СК2</t>
        </is>
      </c>
      <c r="L114" s="38" t="n">
        <v>40</v>
      </c>
      <c r="M114" s="734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 ht="27" customHeight="1">
      <c r="A115" s="64" t="inlineStr">
        <is>
          <t>SU002834</t>
        </is>
      </c>
      <c r="B115" s="64" t="inlineStr">
        <is>
          <t>P003238</t>
        </is>
      </c>
      <c r="C115" s="37" t="n">
        <v>4301060351</v>
      </c>
      <c r="D115" s="315" t="n">
        <v>4680115881464</v>
      </c>
      <c r="E115" s="636" t="n"/>
      <c r="F115" s="668" t="n">
        <v>0.4</v>
      </c>
      <c r="G115" s="38" t="n">
        <v>6</v>
      </c>
      <c r="H115" s="668" t="n">
        <v>2.4</v>
      </c>
      <c r="I115" s="668" t="n">
        <v>2.6</v>
      </c>
      <c r="J115" s="38" t="n">
        <v>156</v>
      </c>
      <c r="K115" s="39" t="inlineStr">
        <is>
          <t>СК3</t>
        </is>
      </c>
      <c r="L115" s="38" t="n">
        <v>30</v>
      </c>
      <c r="M115" s="735" t="inlineStr">
        <is>
          <t>Сардельки «Филейские» Фикс.вес 0,4 NDX мгс ТМ «Вязанка»</t>
        </is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0</v>
      </c>
      <c r="V115" s="672">
        <f>IFERROR(IF(U115="",0,CEILING((U115/$H115),1)*$H115),"")</f>
        <v/>
      </c>
      <c r="W115" s="42">
        <f>IFERROR(IF(V115=0,"",ROUNDUP(V115/H115,0)*0.00753),"")</f>
        <v/>
      </c>
      <c r="X115" s="69" t="inlineStr"/>
      <c r="Y115" s="70" t="inlineStr"/>
      <c r="AC115" s="71" t="n"/>
      <c r="AZ115" s="132" t="inlineStr">
        <is>
          <t>КИ</t>
        </is>
      </c>
    </row>
    <row r="116">
      <c r="A116" s="323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3" t="n"/>
      <c r="M116" s="674" t="inlineStr">
        <is>
          <t>Итого</t>
        </is>
      </c>
      <c r="N116" s="644" t="n"/>
      <c r="O116" s="644" t="n"/>
      <c r="P116" s="644" t="n"/>
      <c r="Q116" s="644" t="n"/>
      <c r="R116" s="644" t="n"/>
      <c r="S116" s="645" t="n"/>
      <c r="T116" s="43" t="inlineStr">
        <is>
          <t>кор</t>
        </is>
      </c>
      <c r="U116" s="675">
        <f>IFERROR(U111/H111,"0")+IFERROR(U112/H112,"0")+IFERROR(U113/H113,"0")+IFERROR(U114/H114,"0")+IFERROR(U115/H115,"0")</f>
        <v/>
      </c>
      <c r="V116" s="675">
        <f>IFERROR(V111/H111,"0")+IFERROR(V112/H112,"0")+IFERROR(V113/H113,"0")+IFERROR(V114/H114,"0")+IFERROR(V115/H115,"0")</f>
        <v/>
      </c>
      <c r="W116" s="675">
        <f>IFERROR(IF(W111="",0,W111),"0")+IFERROR(IF(W112="",0,W112),"0")+IFERROR(IF(W113="",0,W113),"0")+IFERROR(IF(W114="",0,W114),"0")+IFERROR(IF(W115="",0,W115),"0")</f>
        <v/>
      </c>
      <c r="X116" s="676" t="n"/>
      <c r="Y116" s="676" t="n"/>
    </row>
    <row r="117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673" t="n"/>
      <c r="M117" s="674" t="inlineStr">
        <is>
          <t>Итого</t>
        </is>
      </c>
      <c r="N117" s="644" t="n"/>
      <c r="O117" s="644" t="n"/>
      <c r="P117" s="644" t="n"/>
      <c r="Q117" s="644" t="n"/>
      <c r="R117" s="644" t="n"/>
      <c r="S117" s="645" t="n"/>
      <c r="T117" s="43" t="inlineStr">
        <is>
          <t>кг</t>
        </is>
      </c>
      <c r="U117" s="675">
        <f>IFERROR(SUM(U111:U115),"0")</f>
        <v/>
      </c>
      <c r="V117" s="675">
        <f>IFERROR(SUM(V111:V115),"0")</f>
        <v/>
      </c>
      <c r="W117" s="43" t="n"/>
      <c r="X117" s="676" t="n"/>
      <c r="Y117" s="676" t="n"/>
    </row>
    <row r="118" ht="16.5" customHeight="1">
      <c r="A118" s="330" t="inlineStr">
        <is>
          <t>Сливушки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14.25" customHeight="1">
      <c r="A119" s="331" t="inlineStr">
        <is>
          <t>Сосиски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331" t="n"/>
      <c r="Y119" s="331" t="n"/>
    </row>
    <row r="120" ht="27" customHeight="1">
      <c r="A120" s="64" t="inlineStr">
        <is>
          <t>SU001721</t>
        </is>
      </c>
      <c r="B120" s="64" t="inlineStr">
        <is>
          <t>P003161</t>
        </is>
      </c>
      <c r="C120" s="37" t="n">
        <v>4301051360</v>
      </c>
      <c r="D120" s="315" t="n">
        <v>4607091385168</v>
      </c>
      <c r="E120" s="636" t="n"/>
      <c r="F120" s="668" t="n">
        <v>1.35</v>
      </c>
      <c r="G120" s="38" t="n">
        <v>6</v>
      </c>
      <c r="H120" s="668" t="n">
        <v>8.1</v>
      </c>
      <c r="I120" s="668" t="n">
        <v>8.657999999999999</v>
      </c>
      <c r="J120" s="38" t="n">
        <v>56</v>
      </c>
      <c r="K120" s="39" t="inlineStr">
        <is>
          <t>СК3</t>
        </is>
      </c>
      <c r="L120" s="38" t="n">
        <v>45</v>
      </c>
      <c r="M120" s="736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0" s="670" t="n"/>
      <c r="O120" s="670" t="n"/>
      <c r="P120" s="670" t="n"/>
      <c r="Q120" s="636" t="n"/>
      <c r="R120" s="40" t="inlineStr"/>
      <c r="S120" s="40" t="inlineStr"/>
      <c r="T120" s="41" t="inlineStr">
        <is>
          <t>кг</t>
        </is>
      </c>
      <c r="U120" s="671" t="n">
        <v>0</v>
      </c>
      <c r="V120" s="672">
        <f>IFERROR(IF(U120="",0,CEILING((U120/$H120),1)*$H120),"")</f>
        <v/>
      </c>
      <c r="W120" s="42">
        <f>IFERROR(IF(V120=0,"",ROUNDUP(V120/H120,0)*0.02175),"")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SU002139</t>
        </is>
      </c>
      <c r="B121" s="64" t="inlineStr">
        <is>
          <t>P003162</t>
        </is>
      </c>
      <c r="C121" s="37" t="n">
        <v>4301051362</v>
      </c>
      <c r="D121" s="315" t="n">
        <v>4607091383256</v>
      </c>
      <c r="E121" s="636" t="n"/>
      <c r="F121" s="668" t="n">
        <v>0.33</v>
      </c>
      <c r="G121" s="38" t="n">
        <v>6</v>
      </c>
      <c r="H121" s="668" t="n">
        <v>1.98</v>
      </c>
      <c r="I121" s="668" t="n">
        <v>2.246</v>
      </c>
      <c r="J121" s="38" t="n">
        <v>156</v>
      </c>
      <c r="K121" s="39" t="inlineStr">
        <is>
          <t>СК3</t>
        </is>
      </c>
      <c r="L121" s="38" t="n">
        <v>45</v>
      </c>
      <c r="M121" s="737">
        <f>HYPERLINK("https://abi.ru/products/Охлажденные/Вязанка/Сливушки/Сосиски/P003162/","Сосиски Сливочные Сливушки Фикс.вес 0,33 П/а мгс Вязанка")</f>
        <v/>
      </c>
      <c r="N121" s="670" t="n"/>
      <c r="O121" s="670" t="n"/>
      <c r="P121" s="670" t="n"/>
      <c r="Q121" s="636" t="n"/>
      <c r="R121" s="40" t="inlineStr"/>
      <c r="S121" s="40" t="inlineStr"/>
      <c r="T121" s="41" t="inlineStr">
        <is>
          <t>кг</t>
        </is>
      </c>
      <c r="U121" s="671" t="n">
        <v>0</v>
      </c>
      <c r="V121" s="672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SU001720</t>
        </is>
      </c>
      <c r="B122" s="64" t="inlineStr">
        <is>
          <t>P003160</t>
        </is>
      </c>
      <c r="C122" s="37" t="n">
        <v>4301051358</v>
      </c>
      <c r="D122" s="315" t="n">
        <v>4607091385748</v>
      </c>
      <c r="E122" s="636" t="n"/>
      <c r="F122" s="668" t="n">
        <v>0.45</v>
      </c>
      <c r="G122" s="38" t="n">
        <v>6</v>
      </c>
      <c r="H122" s="668" t="n">
        <v>2.7</v>
      </c>
      <c r="I122" s="668" t="n">
        <v>2.972</v>
      </c>
      <c r="J122" s="38" t="n">
        <v>156</v>
      </c>
      <c r="K122" s="39" t="inlineStr">
        <is>
          <t>СК3</t>
        </is>
      </c>
      <c r="L122" s="38" t="n">
        <v>45</v>
      </c>
      <c r="M122" s="738">
        <f>HYPERLINK("https://abi.ru/products/Охлажденные/Вязанка/Сливушки/Сосиски/P003160/","Сосиски Сливочные Сливушки Фикс.вес 0,45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255</v>
      </c>
      <c r="V122" s="672">
        <f>IFERROR(IF(U122="",0,CEILING((U122/$H122),1)*$H122),"")</f>
        <v/>
      </c>
      <c r="W122" s="42">
        <f>IFERROR(IF(V122=0,"",ROUNDUP(V122/H122,0)*0.00753),"")</f>
        <v/>
      </c>
      <c r="X122" s="69" t="inlineStr"/>
      <c r="Y122" s="70" t="inlineStr"/>
      <c r="AC122" s="71" t="n"/>
      <c r="AZ122" s="135" t="inlineStr">
        <is>
          <t>КИ</t>
        </is>
      </c>
    </row>
    <row r="123" ht="16.5" customHeight="1">
      <c r="A123" s="64" t="inlineStr">
        <is>
          <t>SU002438</t>
        </is>
      </c>
      <c r="B123" s="64" t="inlineStr">
        <is>
          <t>P003163</t>
        </is>
      </c>
      <c r="C123" s="37" t="n">
        <v>4301051364</v>
      </c>
      <c r="D123" s="315" t="n">
        <v>4607091384581</v>
      </c>
      <c r="E123" s="636" t="n"/>
      <c r="F123" s="668" t="n">
        <v>0.67</v>
      </c>
      <c r="G123" s="38" t="n">
        <v>4</v>
      </c>
      <c r="H123" s="668" t="n">
        <v>2.68</v>
      </c>
      <c r="I123" s="668" t="n">
        <v>2.942</v>
      </c>
      <c r="J123" s="38" t="n">
        <v>120</v>
      </c>
      <c r="K123" s="39" t="inlineStr">
        <is>
          <t>СК3</t>
        </is>
      </c>
      <c r="L123" s="38" t="n">
        <v>45</v>
      </c>
      <c r="M123" s="739">
        <f>HYPERLINK("https://abi.ru/products/Охлажденные/Вязанка/Сливушки/Сосиски/P003163/","Сосиски Сливочные Сливушки Фикс.вес 0,67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IFERROR(IF(V123=0,"",ROUNDUP(V123/H123,0)*0.00937),"")</f>
        <v/>
      </c>
      <c r="X123" s="69" t="inlineStr"/>
      <c r="Y123" s="70" t="inlineStr"/>
      <c r="AC123" s="71" t="n"/>
      <c r="AZ123" s="136" t="inlineStr">
        <is>
          <t>КИ</t>
        </is>
      </c>
    </row>
    <row r="124">
      <c r="A124" s="323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3" t="n"/>
      <c r="M124" s="674" t="inlineStr">
        <is>
          <t>Итого</t>
        </is>
      </c>
      <c r="N124" s="644" t="n"/>
      <c r="O124" s="644" t="n"/>
      <c r="P124" s="644" t="n"/>
      <c r="Q124" s="644" t="n"/>
      <c r="R124" s="644" t="n"/>
      <c r="S124" s="645" t="n"/>
      <c r="T124" s="43" t="inlineStr">
        <is>
          <t>кор</t>
        </is>
      </c>
      <c r="U124" s="675">
        <f>IFERROR(U120/H120,"0")+IFERROR(U121/H121,"0")+IFERROR(U122/H122,"0")+IFERROR(U123/H123,"0")</f>
        <v/>
      </c>
      <c r="V124" s="675">
        <f>IFERROR(V120/H120,"0")+IFERROR(V121/H121,"0")+IFERROR(V122/H122,"0")+IFERROR(V123/H123,"0")</f>
        <v/>
      </c>
      <c r="W124" s="675">
        <f>IFERROR(IF(W120="",0,W120),"0")+IFERROR(IF(W121="",0,W121),"0")+IFERROR(IF(W122="",0,W122),"0")+IFERROR(IF(W123="",0,W123),"0")</f>
        <v/>
      </c>
      <c r="X124" s="676" t="n"/>
      <c r="Y124" s="676" t="n"/>
    </row>
    <row r="125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673" t="n"/>
      <c r="M125" s="674" t="inlineStr">
        <is>
          <t>Итого</t>
        </is>
      </c>
      <c r="N125" s="644" t="n"/>
      <c r="O125" s="644" t="n"/>
      <c r="P125" s="644" t="n"/>
      <c r="Q125" s="644" t="n"/>
      <c r="R125" s="644" t="n"/>
      <c r="S125" s="645" t="n"/>
      <c r="T125" s="43" t="inlineStr">
        <is>
          <t>кг</t>
        </is>
      </c>
      <c r="U125" s="675">
        <f>IFERROR(SUM(U120:U123),"0")</f>
        <v/>
      </c>
      <c r="V125" s="675">
        <f>IFERROR(SUM(V120:V123),"0")</f>
        <v/>
      </c>
      <c r="W125" s="43" t="n"/>
      <c r="X125" s="676" t="n"/>
      <c r="Y125" s="676" t="n"/>
    </row>
    <row r="126" ht="27.75" customHeight="1">
      <c r="A126" s="336" t="inlineStr">
        <is>
          <t>Стародворье</t>
        </is>
      </c>
      <c r="B126" s="667" t="n"/>
      <c r="C126" s="667" t="n"/>
      <c r="D126" s="667" t="n"/>
      <c r="E126" s="667" t="n"/>
      <c r="F126" s="667" t="n"/>
      <c r="G126" s="667" t="n"/>
      <c r="H126" s="667" t="n"/>
      <c r="I126" s="667" t="n"/>
      <c r="J126" s="667" t="n"/>
      <c r="K126" s="667" t="n"/>
      <c r="L126" s="667" t="n"/>
      <c r="M126" s="667" t="n"/>
      <c r="N126" s="667" t="n"/>
      <c r="O126" s="667" t="n"/>
      <c r="P126" s="667" t="n"/>
      <c r="Q126" s="667" t="n"/>
      <c r="R126" s="667" t="n"/>
      <c r="S126" s="667" t="n"/>
      <c r="T126" s="667" t="n"/>
      <c r="U126" s="667" t="n"/>
      <c r="V126" s="667" t="n"/>
      <c r="W126" s="667" t="n"/>
      <c r="X126" s="55" t="n"/>
      <c r="Y126" s="55" t="n"/>
    </row>
    <row r="127" ht="16.5" customHeight="1">
      <c r="A127" s="330" t="inlineStr">
        <is>
          <t>Золоченная в печи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14.25" customHeight="1">
      <c r="A128" s="331" t="inlineStr">
        <is>
          <t>Вареные колбасы</t>
        </is>
      </c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331" t="n"/>
      <c r="Y128" s="331" t="n"/>
    </row>
    <row r="129" ht="27" customHeight="1">
      <c r="A129" s="64" t="inlineStr">
        <is>
          <t>SU002201</t>
        </is>
      </c>
      <c r="B129" s="64" t="inlineStr">
        <is>
          <t>P002567</t>
        </is>
      </c>
      <c r="C129" s="37" t="n">
        <v>4301011223</v>
      </c>
      <c r="D129" s="315" t="n">
        <v>4607091383423</v>
      </c>
      <c r="E129" s="636" t="n"/>
      <c r="F129" s="668" t="n">
        <v>1.35</v>
      </c>
      <c r="G129" s="38" t="n">
        <v>8</v>
      </c>
      <c r="H129" s="668" t="n">
        <v>10.8</v>
      </c>
      <c r="I129" s="668" t="n">
        <v>11.376</v>
      </c>
      <c r="J129" s="38" t="n">
        <v>56</v>
      </c>
      <c r="K129" s="39" t="inlineStr">
        <is>
          <t>СК3</t>
        </is>
      </c>
      <c r="L129" s="38" t="n">
        <v>35</v>
      </c>
      <c r="M129" s="74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9" s="670" t="n"/>
      <c r="O129" s="670" t="n"/>
      <c r="P129" s="670" t="n"/>
      <c r="Q129" s="636" t="n"/>
      <c r="R129" s="40" t="inlineStr"/>
      <c r="S129" s="40" t="inlineStr"/>
      <c r="T129" s="41" t="inlineStr">
        <is>
          <t>кг</t>
        </is>
      </c>
      <c r="U129" s="671" t="n">
        <v>0</v>
      </c>
      <c r="V129" s="672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SU002203</t>
        </is>
      </c>
      <c r="B130" s="64" t="inlineStr">
        <is>
          <t>P002568</t>
        </is>
      </c>
      <c r="C130" s="37" t="n">
        <v>4301011338</v>
      </c>
      <c r="D130" s="315" t="n">
        <v>4607091381405</v>
      </c>
      <c r="E130" s="636" t="n"/>
      <c r="F130" s="668" t="n">
        <v>1.35</v>
      </c>
      <c r="G130" s="38" t="n">
        <v>8</v>
      </c>
      <c r="H130" s="668" t="n">
        <v>10.8</v>
      </c>
      <c r="I130" s="668" t="n">
        <v>11.376</v>
      </c>
      <c r="J130" s="38" t="n">
        <v>56</v>
      </c>
      <c r="K130" s="39" t="inlineStr">
        <is>
          <t>СК2</t>
        </is>
      </c>
      <c r="L130" s="38" t="n">
        <v>35</v>
      </c>
      <c r="M130" s="74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0" s="670" t="n"/>
      <c r="O130" s="670" t="n"/>
      <c r="P130" s="670" t="n"/>
      <c r="Q130" s="636" t="n"/>
      <c r="R130" s="40" t="inlineStr"/>
      <c r="S130" s="40" t="inlineStr"/>
      <c r="T130" s="41" t="inlineStr">
        <is>
          <t>кг</t>
        </is>
      </c>
      <c r="U130" s="671" t="n">
        <v>0</v>
      </c>
      <c r="V130" s="672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 ht="27" customHeight="1">
      <c r="A131" s="64" t="inlineStr">
        <is>
          <t>SU002216</t>
        </is>
      </c>
      <c r="B131" s="64" t="inlineStr">
        <is>
          <t>P002400</t>
        </is>
      </c>
      <c r="C131" s="37" t="n">
        <v>4301011333</v>
      </c>
      <c r="D131" s="315" t="n">
        <v>4607091386516</v>
      </c>
      <c r="E131" s="636" t="n"/>
      <c r="F131" s="668" t="n">
        <v>1.4</v>
      </c>
      <c r="G131" s="38" t="n">
        <v>8</v>
      </c>
      <c r="H131" s="668" t="n">
        <v>11.2</v>
      </c>
      <c r="I131" s="668" t="n">
        <v>11.776</v>
      </c>
      <c r="J131" s="38" t="n">
        <v>56</v>
      </c>
      <c r="K131" s="39" t="inlineStr">
        <is>
          <t>СК2</t>
        </is>
      </c>
      <c r="L131" s="38" t="n">
        <v>30</v>
      </c>
      <c r="M131" s="74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71" t="n"/>
      <c r="AZ131" s="139" t="inlineStr">
        <is>
          <t>КИ</t>
        </is>
      </c>
    </row>
    <row r="132">
      <c r="A132" s="323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3" t="n"/>
      <c r="M132" s="674" t="inlineStr">
        <is>
          <t>Итого</t>
        </is>
      </c>
      <c r="N132" s="644" t="n"/>
      <c r="O132" s="644" t="n"/>
      <c r="P132" s="644" t="n"/>
      <c r="Q132" s="644" t="n"/>
      <c r="R132" s="644" t="n"/>
      <c r="S132" s="645" t="n"/>
      <c r="T132" s="43" t="inlineStr">
        <is>
          <t>кор</t>
        </is>
      </c>
      <c r="U132" s="675">
        <f>IFERROR(U129/H129,"0")+IFERROR(U130/H130,"0")+IFERROR(U131/H131,"0")</f>
        <v/>
      </c>
      <c r="V132" s="675">
        <f>IFERROR(V129/H129,"0")+IFERROR(V130/H130,"0")+IFERROR(V131/H131,"0")</f>
        <v/>
      </c>
      <c r="W132" s="675">
        <f>IFERROR(IF(W129="",0,W129),"0")+IFERROR(IF(W130="",0,W130),"0")+IFERROR(IF(W131="",0,W131),"0")</f>
        <v/>
      </c>
      <c r="X132" s="676" t="n"/>
      <c r="Y132" s="676" t="n"/>
    </row>
    <row r="133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673" t="n"/>
      <c r="M133" s="674" t="inlineStr">
        <is>
          <t>Итого</t>
        </is>
      </c>
      <c r="N133" s="644" t="n"/>
      <c r="O133" s="644" t="n"/>
      <c r="P133" s="644" t="n"/>
      <c r="Q133" s="644" t="n"/>
      <c r="R133" s="644" t="n"/>
      <c r="S133" s="645" t="n"/>
      <c r="T133" s="43" t="inlineStr">
        <is>
          <t>кг</t>
        </is>
      </c>
      <c r="U133" s="675">
        <f>IFERROR(SUM(U129:U131),"0")</f>
        <v/>
      </c>
      <c r="V133" s="675">
        <f>IFERROR(SUM(V129:V131),"0")</f>
        <v/>
      </c>
      <c r="W133" s="43" t="n"/>
      <c r="X133" s="676" t="n"/>
      <c r="Y133" s="676" t="n"/>
    </row>
    <row r="134" ht="16.5" customHeight="1">
      <c r="A134" s="330" t="inlineStr">
        <is>
          <t>Мясорубская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14.25" customHeight="1">
      <c r="A135" s="331" t="inlineStr">
        <is>
          <t>Копченые колбасы</t>
        </is>
      </c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331" t="n"/>
      <c r="Y135" s="331" t="n"/>
    </row>
    <row r="136" ht="27" customHeight="1">
      <c r="A136" s="64" t="inlineStr">
        <is>
          <t>SU002756</t>
        </is>
      </c>
      <c r="B136" s="64" t="inlineStr">
        <is>
          <t>P003179</t>
        </is>
      </c>
      <c r="C136" s="37" t="n">
        <v>4301031191</v>
      </c>
      <c r="D136" s="315" t="n">
        <v>4680115880993</v>
      </c>
      <c r="E136" s="636" t="n"/>
      <c r="F136" s="668" t="n">
        <v>0.7</v>
      </c>
      <c r="G136" s="38" t="n">
        <v>6</v>
      </c>
      <c r="H136" s="668" t="n">
        <v>4.2</v>
      </c>
      <c r="I136" s="668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6" s="670" t="n"/>
      <c r="O136" s="670" t="n"/>
      <c r="P136" s="670" t="n"/>
      <c r="Q136" s="636" t="n"/>
      <c r="R136" s="40" t="inlineStr"/>
      <c r="S136" s="40" t="inlineStr"/>
      <c r="T136" s="41" t="inlineStr">
        <is>
          <t>кг</t>
        </is>
      </c>
      <c r="U136" s="671" t="n">
        <v>0</v>
      </c>
      <c r="V136" s="672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SU002876</t>
        </is>
      </c>
      <c r="B137" s="64" t="inlineStr">
        <is>
          <t>P003276</t>
        </is>
      </c>
      <c r="C137" s="37" t="n">
        <v>4301031204</v>
      </c>
      <c r="D137" s="315" t="n">
        <v>4680115881761</v>
      </c>
      <c r="E137" s="636" t="n"/>
      <c r="F137" s="668" t="n">
        <v>0.7</v>
      </c>
      <c r="G137" s="38" t="n">
        <v>6</v>
      </c>
      <c r="H137" s="668" t="n">
        <v>4.2</v>
      </c>
      <c r="I137" s="668" t="n">
        <v>4.46</v>
      </c>
      <c r="J137" s="38" t="n">
        <v>156</v>
      </c>
      <c r="K137" s="39" t="inlineStr">
        <is>
          <t>СК2</t>
        </is>
      </c>
      <c r="L137" s="38" t="n">
        <v>40</v>
      </c>
      <c r="M137" s="74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7" s="670" t="n"/>
      <c r="O137" s="670" t="n"/>
      <c r="P137" s="670" t="n"/>
      <c r="Q137" s="636" t="n"/>
      <c r="R137" s="40" t="inlineStr"/>
      <c r="S137" s="40" t="inlineStr"/>
      <c r="T137" s="41" t="inlineStr">
        <is>
          <t>кг</t>
        </is>
      </c>
      <c r="U137" s="671" t="n">
        <v>0</v>
      </c>
      <c r="V137" s="672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SU002847</t>
        </is>
      </c>
      <c r="B138" s="64" t="inlineStr">
        <is>
          <t>P003259</t>
        </is>
      </c>
      <c r="C138" s="37" t="n">
        <v>4301031201</v>
      </c>
      <c r="D138" s="315" t="n">
        <v>4680115881563</v>
      </c>
      <c r="E138" s="636" t="n"/>
      <c r="F138" s="668" t="n">
        <v>0.7</v>
      </c>
      <c r="G138" s="38" t="n">
        <v>6</v>
      </c>
      <c r="H138" s="668" t="n">
        <v>4.2</v>
      </c>
      <c r="I138" s="668" t="n">
        <v>4.4</v>
      </c>
      <c r="J138" s="38" t="n">
        <v>156</v>
      </c>
      <c r="K138" s="39" t="inlineStr">
        <is>
          <t>СК2</t>
        </is>
      </c>
      <c r="L138" s="38" t="n">
        <v>40</v>
      </c>
      <c r="M138" s="74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IFERROR(IF(V138=0,"",ROUNDUP(V138/H138,0)*0.00753),"")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SU002660</t>
        </is>
      </c>
      <c r="B139" s="64" t="inlineStr">
        <is>
          <t>P003256</t>
        </is>
      </c>
      <c r="C139" s="37" t="n">
        <v>4301031199</v>
      </c>
      <c r="D139" s="315" t="n">
        <v>4680115880986</v>
      </c>
      <c r="E139" s="636" t="n"/>
      <c r="F139" s="668" t="n">
        <v>0.35</v>
      </c>
      <c r="G139" s="38" t="n">
        <v>6</v>
      </c>
      <c r="H139" s="668" t="n">
        <v>2.1</v>
      </c>
      <c r="I139" s="668" t="n">
        <v>2.23</v>
      </c>
      <c r="J139" s="38" t="n">
        <v>234</v>
      </c>
      <c r="K139" s="39" t="inlineStr">
        <is>
          <t>СК2</t>
        </is>
      </c>
      <c r="L139" s="38" t="n">
        <v>40</v>
      </c>
      <c r="M139" s="74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IFERROR(IF(V139=0,"",ROUNDUP(V139/H139,0)*0.00502),"")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SU002826</t>
        </is>
      </c>
      <c r="B140" s="64" t="inlineStr">
        <is>
          <t>P003178</t>
        </is>
      </c>
      <c r="C140" s="37" t="n">
        <v>4301031190</v>
      </c>
      <c r="D140" s="315" t="n">
        <v>4680115880207</v>
      </c>
      <c r="E140" s="636" t="n"/>
      <c r="F140" s="668" t="n">
        <v>0.4</v>
      </c>
      <c r="G140" s="38" t="n">
        <v>6</v>
      </c>
      <c r="H140" s="668" t="n">
        <v>2.4</v>
      </c>
      <c r="I140" s="668" t="n">
        <v>2.63</v>
      </c>
      <c r="J140" s="38" t="n">
        <v>156</v>
      </c>
      <c r="K140" s="39" t="inlineStr">
        <is>
          <t>СК2</t>
        </is>
      </c>
      <c r="L140" s="38" t="n">
        <v>40</v>
      </c>
      <c r="M140" s="74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IFERROR(IF(V140=0,"",ROUNDUP(V140/H140,0)*0.00753),"")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SU002877</t>
        </is>
      </c>
      <c r="B141" s="64" t="inlineStr">
        <is>
          <t>P003277</t>
        </is>
      </c>
      <c r="C141" s="37" t="n">
        <v>4301031205</v>
      </c>
      <c r="D141" s="315" t="n">
        <v>4680115881785</v>
      </c>
      <c r="E141" s="636" t="n"/>
      <c r="F141" s="668" t="n">
        <v>0.35</v>
      </c>
      <c r="G141" s="38" t="n">
        <v>6</v>
      </c>
      <c r="H141" s="668" t="n">
        <v>2.1</v>
      </c>
      <c r="I141" s="668" t="n">
        <v>2.23</v>
      </c>
      <c r="J141" s="38" t="n">
        <v>234</v>
      </c>
      <c r="K141" s="39" t="inlineStr">
        <is>
          <t>СК2</t>
        </is>
      </c>
      <c r="L141" s="38" t="n">
        <v>40</v>
      </c>
      <c r="M141" s="74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SU002848</t>
        </is>
      </c>
      <c r="B142" s="64" t="inlineStr">
        <is>
          <t>P003260</t>
        </is>
      </c>
      <c r="C142" s="37" t="n">
        <v>4301031202</v>
      </c>
      <c r="D142" s="315" t="n">
        <v>4680115881679</v>
      </c>
      <c r="E142" s="636" t="n"/>
      <c r="F142" s="668" t="n">
        <v>0.35</v>
      </c>
      <c r="G142" s="38" t="n">
        <v>6</v>
      </c>
      <c r="H142" s="668" t="n">
        <v>2.1</v>
      </c>
      <c r="I142" s="668" t="n">
        <v>2.2</v>
      </c>
      <c r="J142" s="38" t="n">
        <v>234</v>
      </c>
      <c r="K142" s="39" t="inlineStr">
        <is>
          <t>СК2</t>
        </is>
      </c>
      <c r="L142" s="38" t="n">
        <v>40</v>
      </c>
      <c r="M142" s="74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IFERROR(IF(V142=0,"",ROUNDUP(V142/H142,0)*0.00502),"")</f>
        <v/>
      </c>
      <c r="X142" s="69" t="inlineStr"/>
      <c r="Y142" s="70" t="inlineStr"/>
      <c r="AC142" s="71" t="n"/>
      <c r="AZ142" s="146" t="inlineStr">
        <is>
          <t>КИ</t>
        </is>
      </c>
    </row>
    <row r="143" ht="27" customHeight="1">
      <c r="A143" s="64" t="inlineStr">
        <is>
          <t>SU002659</t>
        </is>
      </c>
      <c r="B143" s="64" t="inlineStr">
        <is>
          <t>P003034</t>
        </is>
      </c>
      <c r="C143" s="37" t="n">
        <v>4301031158</v>
      </c>
      <c r="D143" s="315" t="n">
        <v>4680115880191</v>
      </c>
      <c r="E143" s="636" t="n"/>
      <c r="F143" s="668" t="n">
        <v>0.4</v>
      </c>
      <c r="G143" s="38" t="n">
        <v>6</v>
      </c>
      <c r="H143" s="668" t="n">
        <v>2.4</v>
      </c>
      <c r="I143" s="668" t="n">
        <v>2.6</v>
      </c>
      <c r="J143" s="38" t="n">
        <v>156</v>
      </c>
      <c r="K143" s="39" t="inlineStr">
        <is>
          <t>СК2</t>
        </is>
      </c>
      <c r="L143" s="38" t="n">
        <v>40</v>
      </c>
      <c r="M143" s="75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IFERROR(IF(V143=0,"",ROUNDUP(V143/H143,0)*0.00753),"")</f>
        <v/>
      </c>
      <c r="X143" s="69" t="inlineStr"/>
      <c r="Y143" s="70" t="inlineStr"/>
      <c r="AC143" s="71" t="n"/>
      <c r="AZ143" s="147" t="inlineStr">
        <is>
          <t>КИ</t>
        </is>
      </c>
    </row>
    <row r="144">
      <c r="A144" s="323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3" t="n"/>
      <c r="M144" s="674" t="inlineStr">
        <is>
          <t>Итого</t>
        </is>
      </c>
      <c r="N144" s="644" t="n"/>
      <c r="O144" s="644" t="n"/>
      <c r="P144" s="644" t="n"/>
      <c r="Q144" s="644" t="n"/>
      <c r="R144" s="644" t="n"/>
      <c r="S144" s="645" t="n"/>
      <c r="T144" s="43" t="inlineStr">
        <is>
          <t>кор</t>
        </is>
      </c>
      <c r="U144" s="675">
        <f>IFERROR(U136/H136,"0")+IFERROR(U137/H137,"0")+IFERROR(U138/H138,"0")+IFERROR(U139/H139,"0")+IFERROR(U140/H140,"0")+IFERROR(U141/H141,"0")+IFERROR(U142/H142,"0")+IFERROR(U143/H143,"0")</f>
        <v/>
      </c>
      <c r="V144" s="675">
        <f>IFERROR(V136/H136,"0")+IFERROR(V137/H137,"0")+IFERROR(V138/H138,"0")+IFERROR(V139/H139,"0")+IFERROR(V140/H140,"0")+IFERROR(V141/H141,"0")+IFERROR(V142/H142,"0")+IFERROR(V143/H143,"0")</f>
        <v/>
      </c>
      <c r="W144" s="675">
        <f>IFERROR(IF(W136="",0,W136),"0")+IFERROR(IF(W137="",0,W137),"0")+IFERROR(IF(W138="",0,W138),"0")+IFERROR(IF(W139="",0,W139),"0")+IFERROR(IF(W140="",0,W140),"0")+IFERROR(IF(W141="",0,W141),"0")+IFERROR(IF(W142="",0,W142),"0")+IFERROR(IF(W143="",0,W143),"0")</f>
        <v/>
      </c>
      <c r="X144" s="676" t="n"/>
      <c r="Y144" s="676" t="n"/>
    </row>
    <row r="145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673" t="n"/>
      <c r="M145" s="674" t="inlineStr">
        <is>
          <t>Итого</t>
        </is>
      </c>
      <c r="N145" s="644" t="n"/>
      <c r="O145" s="644" t="n"/>
      <c r="P145" s="644" t="n"/>
      <c r="Q145" s="644" t="n"/>
      <c r="R145" s="644" t="n"/>
      <c r="S145" s="645" t="n"/>
      <c r="T145" s="43" t="inlineStr">
        <is>
          <t>кг</t>
        </is>
      </c>
      <c r="U145" s="675">
        <f>IFERROR(SUM(U136:U143),"0")</f>
        <v/>
      </c>
      <c r="V145" s="675">
        <f>IFERROR(SUM(V136:V143),"0")</f>
        <v/>
      </c>
      <c r="W145" s="43" t="n"/>
      <c r="X145" s="676" t="n"/>
      <c r="Y145" s="676" t="n"/>
    </row>
    <row r="146" ht="16.5" customHeight="1">
      <c r="A146" s="330" t="inlineStr">
        <is>
          <t>Сочинка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4.25" customHeight="1">
      <c r="A147" s="331" t="inlineStr">
        <is>
          <t>Вареные колбасы</t>
        </is>
      </c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331" t="n"/>
      <c r="Y147" s="331" t="n"/>
    </row>
    <row r="148" ht="16.5" customHeight="1">
      <c r="A148" s="64" t="inlineStr">
        <is>
          <t>SU002824</t>
        </is>
      </c>
      <c r="B148" s="64" t="inlineStr">
        <is>
          <t>P003231</t>
        </is>
      </c>
      <c r="C148" s="37" t="n">
        <v>4301011450</v>
      </c>
      <c r="D148" s="315" t="n">
        <v>4680115881402</v>
      </c>
      <c r="E148" s="636" t="n"/>
      <c r="F148" s="668" t="n">
        <v>1.35</v>
      </c>
      <c r="G148" s="38" t="n">
        <v>8</v>
      </c>
      <c r="H148" s="668" t="n">
        <v>10.8</v>
      </c>
      <c r="I148" s="668" t="n">
        <v>11.28</v>
      </c>
      <c r="J148" s="38" t="n">
        <v>56</v>
      </c>
      <c r="K148" s="39" t="inlineStr">
        <is>
          <t>СК1</t>
        </is>
      </c>
      <c r="L148" s="38" t="n">
        <v>55</v>
      </c>
      <c r="M148" s="751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IFERROR(IF(V148=0,"",ROUNDUP(V148/H148,0)*0.02175),"")</f>
        <v/>
      </c>
      <c r="X148" s="69" t="inlineStr"/>
      <c r="Y148" s="70" t="inlineStr"/>
      <c r="AC148" s="71" t="n"/>
      <c r="AZ148" s="148" t="inlineStr">
        <is>
          <t>КИ</t>
        </is>
      </c>
    </row>
    <row r="149" ht="27" customHeight="1">
      <c r="A149" s="64" t="inlineStr">
        <is>
          <t>SU002823</t>
        </is>
      </c>
      <c r="B149" s="64" t="inlineStr">
        <is>
          <t>P003230</t>
        </is>
      </c>
      <c r="C149" s="37" t="n">
        <v>4301011454</v>
      </c>
      <c r="D149" s="315" t="n">
        <v>4680115881396</v>
      </c>
      <c r="E149" s="636" t="n"/>
      <c r="F149" s="668" t="n">
        <v>0.45</v>
      </c>
      <c r="G149" s="38" t="n">
        <v>6</v>
      </c>
      <c r="H149" s="668" t="n">
        <v>2.7</v>
      </c>
      <c r="I149" s="668" t="n">
        <v>2.9</v>
      </c>
      <c r="J149" s="38" t="n">
        <v>156</v>
      </c>
      <c r="K149" s="39" t="inlineStr">
        <is>
          <t>СК2</t>
        </is>
      </c>
      <c r="L149" s="38" t="n">
        <v>55</v>
      </c>
      <c r="M149" s="752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IFERROR(IF(V149=0,"",ROUNDUP(V149/H149,0)*0.00753),"")</f>
        <v/>
      </c>
      <c r="X149" s="69" t="inlineStr"/>
      <c r="Y149" s="70" t="inlineStr"/>
      <c r="AC149" s="71" t="n"/>
      <c r="AZ149" s="149" t="inlineStr">
        <is>
          <t>КИ</t>
        </is>
      </c>
    </row>
    <row r="150">
      <c r="A150" s="323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3" t="n"/>
      <c r="M150" s="674" t="inlineStr">
        <is>
          <t>Итого</t>
        </is>
      </c>
      <c r="N150" s="644" t="n"/>
      <c r="O150" s="644" t="n"/>
      <c r="P150" s="644" t="n"/>
      <c r="Q150" s="644" t="n"/>
      <c r="R150" s="644" t="n"/>
      <c r="S150" s="645" t="n"/>
      <c r="T150" s="43" t="inlineStr">
        <is>
          <t>кор</t>
        </is>
      </c>
      <c r="U150" s="675">
        <f>IFERROR(U148/H148,"0")+IFERROR(U149/H149,"0")</f>
        <v/>
      </c>
      <c r="V150" s="675">
        <f>IFERROR(V148/H148,"0")+IFERROR(V149/H149,"0")</f>
        <v/>
      </c>
      <c r="W150" s="675">
        <f>IFERROR(IF(W148="",0,W148),"0")+IFERROR(IF(W149="",0,W149),"0")</f>
        <v/>
      </c>
      <c r="X150" s="676" t="n"/>
      <c r="Y150" s="676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673" t="n"/>
      <c r="M151" s="674" t="inlineStr">
        <is>
          <t>Итого</t>
        </is>
      </c>
      <c r="N151" s="644" t="n"/>
      <c r="O151" s="644" t="n"/>
      <c r="P151" s="644" t="n"/>
      <c r="Q151" s="644" t="n"/>
      <c r="R151" s="644" t="n"/>
      <c r="S151" s="645" t="n"/>
      <c r="T151" s="43" t="inlineStr">
        <is>
          <t>кг</t>
        </is>
      </c>
      <c r="U151" s="675">
        <f>IFERROR(SUM(U148:U149),"0")</f>
        <v/>
      </c>
      <c r="V151" s="675">
        <f>IFERROR(SUM(V148:V149),"0")</f>
        <v/>
      </c>
      <c r="W151" s="43" t="n"/>
      <c r="X151" s="676" t="n"/>
      <c r="Y151" s="676" t="n"/>
    </row>
    <row r="152" ht="14.25" customHeight="1">
      <c r="A152" s="331" t="inlineStr">
        <is>
          <t>Ветчины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331" t="n"/>
      <c r="Y152" s="331" t="n"/>
    </row>
    <row r="153" ht="16.5" customHeight="1">
      <c r="A153" s="64" t="inlineStr">
        <is>
          <t>SU003068</t>
        </is>
      </c>
      <c r="B153" s="64" t="inlineStr">
        <is>
          <t>P003611</t>
        </is>
      </c>
      <c r="C153" s="37" t="n">
        <v>4301020262</v>
      </c>
      <c r="D153" s="315" t="n">
        <v>4680115882935</v>
      </c>
      <c r="E153" s="636" t="n"/>
      <c r="F153" s="668" t="n">
        <v>1.35</v>
      </c>
      <c r="G153" s="38" t="n">
        <v>8</v>
      </c>
      <c r="H153" s="668" t="n">
        <v>10.8</v>
      </c>
      <c r="I153" s="668" t="n">
        <v>11.28</v>
      </c>
      <c r="J153" s="38" t="n">
        <v>56</v>
      </c>
      <c r="K153" s="39" t="inlineStr">
        <is>
          <t>СК3</t>
        </is>
      </c>
      <c r="L153" s="38" t="n">
        <v>50</v>
      </c>
      <c r="M153" s="753" t="inlineStr">
        <is>
          <t>Ветчина «Сочинка с сочным окороком» Весовой п/а ТМ «Стародворье»</t>
        </is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IFERROR(IF(V153=0,"",ROUNDUP(V153/H153,0)*0.02175),"")</f>
        <v/>
      </c>
      <c r="X153" s="69" t="inlineStr"/>
      <c r="Y153" s="70" t="inlineStr"/>
      <c r="AC153" s="71" t="n"/>
      <c r="AZ153" s="150" t="inlineStr">
        <is>
          <t>КИ</t>
        </is>
      </c>
    </row>
    <row r="154" ht="16.5" customHeight="1">
      <c r="A154" s="64" t="inlineStr">
        <is>
          <t>SU002757</t>
        </is>
      </c>
      <c r="B154" s="64" t="inlineStr">
        <is>
          <t>P003128</t>
        </is>
      </c>
      <c r="C154" s="37" t="n">
        <v>4301020220</v>
      </c>
      <c r="D154" s="315" t="n">
        <v>4680115880764</v>
      </c>
      <c r="E154" s="636" t="n"/>
      <c r="F154" s="668" t="n">
        <v>0.35</v>
      </c>
      <c r="G154" s="38" t="n">
        <v>6</v>
      </c>
      <c r="H154" s="668" t="n">
        <v>2.1</v>
      </c>
      <c r="I154" s="668" t="n">
        <v>2.3</v>
      </c>
      <c r="J154" s="38" t="n">
        <v>156</v>
      </c>
      <c r="K154" s="39" t="inlineStr">
        <is>
          <t>СК1</t>
        </is>
      </c>
      <c r="L154" s="38" t="n">
        <v>50</v>
      </c>
      <c r="M154" s="754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IFERROR(IF(V154=0,"",ROUNDUP(V154/H154,0)*0.00753),"")</f>
        <v/>
      </c>
      <c r="X154" s="69" t="inlineStr"/>
      <c r="Y154" s="70" t="inlineStr"/>
      <c r="AC154" s="71" t="n"/>
      <c r="AZ154" s="151" t="inlineStr">
        <is>
          <t>КИ</t>
        </is>
      </c>
    </row>
    <row r="155">
      <c r="A155" s="323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IFERROR(U153/H153,"0")+IFERROR(U154/H154,"0")</f>
        <v/>
      </c>
      <c r="V155" s="675">
        <f>IFERROR(V153/H153,"0")+IFERROR(V154/H154,"0")</f>
        <v/>
      </c>
      <c r="W155" s="675">
        <f>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IFERROR(SUM(U153:U154),"0")</f>
        <v/>
      </c>
      <c r="V156" s="675">
        <f>IFERROR(SUM(V153:V154),"0")</f>
        <v/>
      </c>
      <c r="W156" s="43" t="n"/>
      <c r="X156" s="676" t="n"/>
      <c r="Y156" s="676" t="n"/>
    </row>
    <row r="157" ht="14.25" customHeight="1">
      <c r="A157" s="331" t="inlineStr">
        <is>
          <t>Копченые колбасы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27" customHeight="1">
      <c r="A158" s="64" t="inlineStr">
        <is>
          <t>SU002941</t>
        </is>
      </c>
      <c r="B158" s="64" t="inlineStr">
        <is>
          <t>P003387</t>
        </is>
      </c>
      <c r="C158" s="37" t="n">
        <v>4301031224</v>
      </c>
      <c r="D158" s="315" t="n">
        <v>4680115882683</v>
      </c>
      <c r="E158" s="636" t="n"/>
      <c r="F158" s="668" t="n">
        <v>0.9</v>
      </c>
      <c r="G158" s="38" t="n">
        <v>6</v>
      </c>
      <c r="H158" s="668" t="n">
        <v>5.4</v>
      </c>
      <c r="I158" s="668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5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63</v>
      </c>
      <c r="V158" s="672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SU002943</t>
        </is>
      </c>
      <c r="B159" s="64" t="inlineStr">
        <is>
          <t>P003401</t>
        </is>
      </c>
      <c r="C159" s="37" t="n">
        <v>4301031230</v>
      </c>
      <c r="D159" s="315" t="n">
        <v>4680115882690</v>
      </c>
      <c r="E159" s="636" t="n"/>
      <c r="F159" s="668" t="n">
        <v>0.9</v>
      </c>
      <c r="G159" s="38" t="n">
        <v>6</v>
      </c>
      <c r="H159" s="668" t="n">
        <v>5.4</v>
      </c>
      <c r="I159" s="668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6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SU002945</t>
        </is>
      </c>
      <c r="B160" s="64" t="inlineStr">
        <is>
          <t>P003383</t>
        </is>
      </c>
      <c r="C160" s="37" t="n">
        <v>4301031220</v>
      </c>
      <c r="D160" s="315" t="n">
        <v>4680115882669</v>
      </c>
      <c r="E160" s="636" t="n"/>
      <c r="F160" s="668" t="n">
        <v>0.9</v>
      </c>
      <c r="G160" s="38" t="n">
        <v>6</v>
      </c>
      <c r="H160" s="668" t="n">
        <v>5.4</v>
      </c>
      <c r="I160" s="668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7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 ht="27" customHeight="1">
      <c r="A161" s="64" t="inlineStr">
        <is>
          <t>SU002947</t>
        </is>
      </c>
      <c r="B161" s="64" t="inlineStr">
        <is>
          <t>P003384</t>
        </is>
      </c>
      <c r="C161" s="37" t="n">
        <v>4301031221</v>
      </c>
      <c r="D161" s="315" t="n">
        <v>4680115882676</v>
      </c>
      <c r="E161" s="636" t="n"/>
      <c r="F161" s="668" t="n">
        <v>0.9</v>
      </c>
      <c r="G161" s="38" t="n">
        <v>6</v>
      </c>
      <c r="H161" s="668" t="n">
        <v>5.4</v>
      </c>
      <c r="I161" s="668" t="n">
        <v>5.61</v>
      </c>
      <c r="J161" s="38" t="n">
        <v>120</v>
      </c>
      <c r="K161" s="39" t="inlineStr">
        <is>
          <t>СК2</t>
        </is>
      </c>
      <c r="L161" s="38" t="n">
        <v>40</v>
      </c>
      <c r="M161" s="758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1" s="670" t="n"/>
      <c r="O161" s="670" t="n"/>
      <c r="P161" s="670" t="n"/>
      <c r="Q161" s="636" t="n"/>
      <c r="R161" s="40" t="inlineStr"/>
      <c r="S161" s="40" t="inlineStr"/>
      <c r="T161" s="41" t="inlineStr">
        <is>
          <t>кг</t>
        </is>
      </c>
      <c r="U161" s="671" t="n">
        <v>0</v>
      </c>
      <c r="V161" s="672">
        <f>IFERROR(IF(U161="",0,CEILING((U161/$H161),1)*$H161),"")</f>
        <v/>
      </c>
      <c r="W161" s="42">
        <f>IFERROR(IF(V161=0,"",ROUNDUP(V161/H161,0)*0.00937),"")</f>
        <v/>
      </c>
      <c r="X161" s="69" t="inlineStr"/>
      <c r="Y161" s="70" t="inlineStr"/>
      <c r="AC161" s="71" t="n"/>
      <c r="AZ161" s="155" t="inlineStr">
        <is>
          <t>КИ</t>
        </is>
      </c>
    </row>
    <row r="162">
      <c r="A162" s="323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кор</t>
        </is>
      </c>
      <c r="U162" s="675">
        <f>IFERROR(U158/H158,"0")+IFERROR(U159/H159,"0")+IFERROR(U160/H160,"0")+IFERROR(U161/H161,"0")</f>
        <v/>
      </c>
      <c r="V162" s="675">
        <f>IFERROR(V158/H158,"0")+IFERROR(V159/H159,"0")+IFERROR(V160/H160,"0")+IFERROR(V161/H161,"0")</f>
        <v/>
      </c>
      <c r="W162" s="675">
        <f>IFERROR(IF(W158="",0,W158),"0")+IFERROR(IF(W159="",0,W159),"0")+IFERROR(IF(W160="",0,W160),"0")+IFERROR(IF(W161="",0,W161),"0")</f>
        <v/>
      </c>
      <c r="X162" s="676" t="n"/>
      <c r="Y162" s="676" t="n"/>
    </row>
    <row r="163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673" t="n"/>
      <c r="M163" s="674" t="inlineStr">
        <is>
          <t>Итого</t>
        </is>
      </c>
      <c r="N163" s="644" t="n"/>
      <c r="O163" s="644" t="n"/>
      <c r="P163" s="644" t="n"/>
      <c r="Q163" s="644" t="n"/>
      <c r="R163" s="644" t="n"/>
      <c r="S163" s="645" t="n"/>
      <c r="T163" s="43" t="inlineStr">
        <is>
          <t>кг</t>
        </is>
      </c>
      <c r="U163" s="675">
        <f>IFERROR(SUM(U158:U161),"0")</f>
        <v/>
      </c>
      <c r="V163" s="675">
        <f>IFERROR(SUM(V158:V161),"0")</f>
        <v/>
      </c>
      <c r="W163" s="43" t="n"/>
      <c r="X163" s="676" t="n"/>
      <c r="Y163" s="676" t="n"/>
    </row>
    <row r="164" ht="14.25" customHeight="1">
      <c r="A164" s="331" t="inlineStr">
        <is>
          <t>Сосиски</t>
        </is>
      </c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331" t="n"/>
      <c r="Y164" s="331" t="n"/>
    </row>
    <row r="165" ht="27" customHeight="1">
      <c r="A165" s="64" t="inlineStr">
        <is>
          <t>SU002857</t>
        </is>
      </c>
      <c r="B165" s="64" t="inlineStr">
        <is>
          <t>P003264</t>
        </is>
      </c>
      <c r="C165" s="37" t="n">
        <v>4301051409</v>
      </c>
      <c r="D165" s="315" t="n">
        <v>4680115881556</v>
      </c>
      <c r="E165" s="636" t="n"/>
      <c r="F165" s="668" t="n">
        <v>1</v>
      </c>
      <c r="G165" s="38" t="n">
        <v>4</v>
      </c>
      <c r="H165" s="668" t="n">
        <v>4</v>
      </c>
      <c r="I165" s="668" t="n">
        <v>4.408</v>
      </c>
      <c r="J165" s="38" t="n">
        <v>104</v>
      </c>
      <c r="K165" s="39" t="inlineStr">
        <is>
          <t>СК3</t>
        </is>
      </c>
      <c r="L165" s="38" t="n">
        <v>45</v>
      </c>
      <c r="M165" s="759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0</v>
      </c>
      <c r="V165" s="672">
        <f>IFERROR(IF(U165="",0,CEILING((U165/$H165),1)*$H165),"")</f>
        <v/>
      </c>
      <c r="W165" s="42">
        <f>IFERROR(IF(V165=0,"",ROUNDUP(V165/H165,0)*0.01196),"")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16.5" customHeight="1">
      <c r="A166" s="64" t="inlineStr">
        <is>
          <t>SU002725</t>
        </is>
      </c>
      <c r="B166" s="64" t="inlineStr">
        <is>
          <t>P003404</t>
        </is>
      </c>
      <c r="C166" s="37" t="n">
        <v>4301051470</v>
      </c>
      <c r="D166" s="315" t="n">
        <v>4680115880573</v>
      </c>
      <c r="E166" s="636" t="n"/>
      <c r="F166" s="668" t="n">
        <v>1.3</v>
      </c>
      <c r="G166" s="38" t="n">
        <v>6</v>
      </c>
      <c r="H166" s="668" t="n">
        <v>7.8</v>
      </c>
      <c r="I166" s="668" t="n">
        <v>8.364000000000001</v>
      </c>
      <c r="J166" s="38" t="n">
        <v>56</v>
      </c>
      <c r="K166" s="39" t="inlineStr">
        <is>
          <t>СК3</t>
        </is>
      </c>
      <c r="L166" s="38" t="n">
        <v>45</v>
      </c>
      <c r="M166" s="760">
        <f>HYPERLINK("https://abi.ru/products/Охлажденные/Стародворье/Сочинка/Сосиски/P003404/","Сосиски «Сочинки» Весовой п/а ТМ «Стародворье»")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0</v>
      </c>
      <c r="V166" s="672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16.5" customHeight="1">
      <c r="A167" s="64" t="inlineStr">
        <is>
          <t>SU002725</t>
        </is>
      </c>
      <c r="B167" s="64" t="inlineStr">
        <is>
          <t>P003672</t>
        </is>
      </c>
      <c r="C167" s="37" t="n">
        <v>4301051538</v>
      </c>
      <c r="D167" s="315" t="n">
        <v>4680115880573</v>
      </c>
      <c r="E167" s="636" t="n"/>
      <c r="F167" s="668" t="n">
        <v>1.45</v>
      </c>
      <c r="G167" s="38" t="n">
        <v>6</v>
      </c>
      <c r="H167" s="668" t="n">
        <v>8.699999999999999</v>
      </c>
      <c r="I167" s="668" t="n">
        <v>9.263999999999999</v>
      </c>
      <c r="J167" s="38" t="n">
        <v>56</v>
      </c>
      <c r="K167" s="39" t="inlineStr">
        <is>
          <t>СК2</t>
        </is>
      </c>
      <c r="L167" s="38" t="n">
        <v>45</v>
      </c>
      <c r="M167" s="761" t="inlineStr">
        <is>
          <t>Сосиски «Сочинки» Весовой п/а ТМ «Стародворье»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IFERROR(IF(V167=0,"",ROUNDUP(V167/H167,0)*0.02175),"")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27" customHeight="1">
      <c r="A168" s="64" t="inlineStr">
        <is>
          <t>SU002843</t>
        </is>
      </c>
      <c r="B168" s="64" t="inlineStr">
        <is>
          <t>P003263</t>
        </is>
      </c>
      <c r="C168" s="37" t="n">
        <v>4301051408</v>
      </c>
      <c r="D168" s="315" t="n">
        <v>4680115881594</v>
      </c>
      <c r="E168" s="636" t="n"/>
      <c r="F168" s="668" t="n">
        <v>1.35</v>
      </c>
      <c r="G168" s="38" t="n">
        <v>6</v>
      </c>
      <c r="H168" s="668" t="n">
        <v>8.1</v>
      </c>
      <c r="I168" s="668" t="n">
        <v>8.664</v>
      </c>
      <c r="J168" s="38" t="n">
        <v>56</v>
      </c>
      <c r="K168" s="39" t="inlineStr">
        <is>
          <t>СК3</t>
        </is>
      </c>
      <c r="L168" s="38" t="n">
        <v>40</v>
      </c>
      <c r="M168" s="76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0</v>
      </c>
      <c r="V168" s="672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SU002858</t>
        </is>
      </c>
      <c r="B169" s="64" t="inlineStr">
        <is>
          <t>P003322</t>
        </is>
      </c>
      <c r="C169" s="37" t="n">
        <v>4301051433</v>
      </c>
      <c r="D169" s="315" t="n">
        <v>4680115881587</v>
      </c>
      <c r="E169" s="636" t="n"/>
      <c r="F169" s="668" t="n">
        <v>1</v>
      </c>
      <c r="G169" s="38" t="n">
        <v>4</v>
      </c>
      <c r="H169" s="668" t="n">
        <v>4</v>
      </c>
      <c r="I169" s="668" t="n">
        <v>4.408</v>
      </c>
      <c r="J169" s="38" t="n">
        <v>104</v>
      </c>
      <c r="K169" s="39" t="inlineStr">
        <is>
          <t>СК2</t>
        </is>
      </c>
      <c r="L169" s="38" t="n">
        <v>35</v>
      </c>
      <c r="M169" s="763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IFERROR(IF(V169=0,"",ROUNDUP(V169/H169,0)*0.01196),"")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16.5" customHeight="1">
      <c r="A170" s="64" t="inlineStr">
        <is>
          <t>SU002795</t>
        </is>
      </c>
      <c r="B170" s="64" t="inlineStr">
        <is>
          <t>P003203</t>
        </is>
      </c>
      <c r="C170" s="37" t="n">
        <v>4301051380</v>
      </c>
      <c r="D170" s="315" t="n">
        <v>4680115880962</v>
      </c>
      <c r="E170" s="636" t="n"/>
      <c r="F170" s="668" t="n">
        <v>1.3</v>
      </c>
      <c r="G170" s="38" t="n">
        <v>6</v>
      </c>
      <c r="H170" s="668" t="n">
        <v>7.8</v>
      </c>
      <c r="I170" s="668" t="n">
        <v>8.364000000000001</v>
      </c>
      <c r="J170" s="38" t="n">
        <v>56</v>
      </c>
      <c r="K170" s="39" t="inlineStr">
        <is>
          <t>СК2</t>
        </is>
      </c>
      <c r="L170" s="38" t="n">
        <v>40</v>
      </c>
      <c r="M170" s="764">
        <f>HYPERLINK("https://abi.ru/products/Охлажденные/Стародворье/Сочинка/Сосиски/P003203/","Сосиски Сочинки с сыром Бордо Весовой п/а Стародворье")</f>
        <v/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IFERROR(IF(V170=0,"",ROUNDUP(V170/H170,0)*0.02175),"")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SU002845</t>
        </is>
      </c>
      <c r="B171" s="64" t="inlineStr">
        <is>
          <t>P003266</t>
        </is>
      </c>
      <c r="C171" s="37" t="n">
        <v>4301051411</v>
      </c>
      <c r="D171" s="315" t="n">
        <v>4680115881617</v>
      </c>
      <c r="E171" s="636" t="n"/>
      <c r="F171" s="668" t="n">
        <v>1.35</v>
      </c>
      <c r="G171" s="38" t="n">
        <v>6</v>
      </c>
      <c r="H171" s="668" t="n">
        <v>8.1</v>
      </c>
      <c r="I171" s="668" t="n">
        <v>8.646000000000001</v>
      </c>
      <c r="J171" s="38" t="n">
        <v>56</v>
      </c>
      <c r="K171" s="39" t="inlineStr">
        <is>
          <t>СК3</t>
        </is>
      </c>
      <c r="L171" s="38" t="n">
        <v>40</v>
      </c>
      <c r="M171" s="76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IFERROR(IF(V171=0,"",ROUNDUP(V171/H171,0)*0.02175),"")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SU002801</t>
        </is>
      </c>
      <c r="B172" s="64" t="inlineStr">
        <is>
          <t>P003200</t>
        </is>
      </c>
      <c r="C172" s="37" t="n">
        <v>4301051377</v>
      </c>
      <c r="D172" s="315" t="n">
        <v>4680115881228</v>
      </c>
      <c r="E172" s="636" t="n"/>
      <c r="F172" s="668" t="n">
        <v>0.4</v>
      </c>
      <c r="G172" s="38" t="n">
        <v>6</v>
      </c>
      <c r="H172" s="668" t="n">
        <v>2.4</v>
      </c>
      <c r="I172" s="668" t="n">
        <v>2.6</v>
      </c>
      <c r="J172" s="38" t="n">
        <v>156</v>
      </c>
      <c r="K172" s="39" t="inlineStr">
        <is>
          <t>СК2</t>
        </is>
      </c>
      <c r="L172" s="38" t="n">
        <v>35</v>
      </c>
      <c r="M172" s="766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36</v>
      </c>
      <c r="V172" s="672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SU002802</t>
        </is>
      </c>
      <c r="B173" s="64" t="inlineStr">
        <is>
          <t>P003321</t>
        </is>
      </c>
      <c r="C173" s="37" t="n">
        <v>4301051432</v>
      </c>
      <c r="D173" s="315" t="n">
        <v>4680115881037</v>
      </c>
      <c r="E173" s="636" t="n"/>
      <c r="F173" s="668" t="n">
        <v>0.84</v>
      </c>
      <c r="G173" s="38" t="n">
        <v>4</v>
      </c>
      <c r="H173" s="668" t="n">
        <v>3.36</v>
      </c>
      <c r="I173" s="668" t="n">
        <v>3.618</v>
      </c>
      <c r="J173" s="38" t="n">
        <v>120</v>
      </c>
      <c r="K173" s="39" t="inlineStr">
        <is>
          <t>СК2</t>
        </is>
      </c>
      <c r="L173" s="38" t="n">
        <v>35</v>
      </c>
      <c r="M173" s="767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SU002799</t>
        </is>
      </c>
      <c r="B174" s="64" t="inlineStr">
        <is>
          <t>P003217</t>
        </is>
      </c>
      <c r="C174" s="37" t="n">
        <v>4301051384</v>
      </c>
      <c r="D174" s="315" t="n">
        <v>4680115881211</v>
      </c>
      <c r="E174" s="636" t="n"/>
      <c r="F174" s="668" t="n">
        <v>0.4</v>
      </c>
      <c r="G174" s="38" t="n">
        <v>6</v>
      </c>
      <c r="H174" s="668" t="n">
        <v>2.4</v>
      </c>
      <c r="I174" s="668" t="n">
        <v>2.6</v>
      </c>
      <c r="J174" s="38" t="n">
        <v>156</v>
      </c>
      <c r="K174" s="39" t="inlineStr">
        <is>
          <t>СК2</t>
        </is>
      </c>
      <c r="L174" s="38" t="n">
        <v>45</v>
      </c>
      <c r="M174" s="76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397</v>
      </c>
      <c r="V174" s="672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SU002800</t>
        </is>
      </c>
      <c r="B175" s="64" t="inlineStr">
        <is>
          <t>P003201</t>
        </is>
      </c>
      <c r="C175" s="37" t="n">
        <v>4301051378</v>
      </c>
      <c r="D175" s="315" t="n">
        <v>4680115881020</v>
      </c>
      <c r="E175" s="636" t="n"/>
      <c r="F175" s="668" t="n">
        <v>0.84</v>
      </c>
      <c r="G175" s="38" t="n">
        <v>4</v>
      </c>
      <c r="H175" s="668" t="n">
        <v>3.36</v>
      </c>
      <c r="I175" s="668" t="n">
        <v>3.57</v>
      </c>
      <c r="J175" s="38" t="n">
        <v>120</v>
      </c>
      <c r="K175" s="39" t="inlineStr">
        <is>
          <t>СК2</t>
        </is>
      </c>
      <c r="L175" s="38" t="n">
        <v>45</v>
      </c>
      <c r="M175" s="76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IFERROR(IF(V175=0,"",ROUNDUP(V175/H175,0)*0.00937),"")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SU002842</t>
        </is>
      </c>
      <c r="B176" s="64" t="inlineStr">
        <is>
          <t>P003262</t>
        </is>
      </c>
      <c r="C176" s="37" t="n">
        <v>4301051407</v>
      </c>
      <c r="D176" s="315" t="n">
        <v>4680115882195</v>
      </c>
      <c r="E176" s="636" t="n"/>
      <c r="F176" s="668" t="n">
        <v>0.4</v>
      </c>
      <c r="G176" s="38" t="n">
        <v>6</v>
      </c>
      <c r="H176" s="668" t="n">
        <v>2.4</v>
      </c>
      <c r="I176" s="668" t="n">
        <v>2.69</v>
      </c>
      <c r="J176" s="38" t="n">
        <v>156</v>
      </c>
      <c r="K176" s="39" t="inlineStr">
        <is>
          <t>СК3</t>
        </is>
      </c>
      <c r="L176" s="38" t="n">
        <v>40</v>
      </c>
      <c r="M176" s="77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SU002618</t>
        </is>
      </c>
      <c r="B177" s="64" t="inlineStr">
        <is>
          <t>P003398</t>
        </is>
      </c>
      <c r="C177" s="37" t="n">
        <v>4301051468</v>
      </c>
      <c r="D177" s="315" t="n">
        <v>4680115880092</v>
      </c>
      <c r="E177" s="636" t="n"/>
      <c r="F177" s="668" t="n">
        <v>0.4</v>
      </c>
      <c r="G177" s="38" t="n">
        <v>6</v>
      </c>
      <c r="H177" s="668" t="n">
        <v>2.4</v>
      </c>
      <c r="I177" s="668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71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170</v>
      </c>
      <c r="V177" s="672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27" customHeight="1">
      <c r="A178" s="64" t="inlineStr">
        <is>
          <t>SU002621</t>
        </is>
      </c>
      <c r="B178" s="64" t="inlineStr">
        <is>
          <t>P003399</t>
        </is>
      </c>
      <c r="C178" s="37" t="n">
        <v>4301051469</v>
      </c>
      <c r="D178" s="315" t="n">
        <v>4680115880221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2.672</v>
      </c>
      <c r="J178" s="38" t="n">
        <v>156</v>
      </c>
      <c r="K178" s="39" t="inlineStr">
        <is>
          <t>СК3</t>
        </is>
      </c>
      <c r="L178" s="38" t="n">
        <v>45</v>
      </c>
      <c r="M178" s="772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SU003073</t>
        </is>
      </c>
      <c r="B179" s="64" t="inlineStr">
        <is>
          <t>P003613</t>
        </is>
      </c>
      <c r="C179" s="37" t="n">
        <v>4301051523</v>
      </c>
      <c r="D179" s="315" t="n">
        <v>4680115882942</v>
      </c>
      <c r="E179" s="636" t="n"/>
      <c r="F179" s="668" t="n">
        <v>0.3</v>
      </c>
      <c r="G179" s="38" t="n">
        <v>6</v>
      </c>
      <c r="H179" s="668" t="n">
        <v>1.8</v>
      </c>
      <c r="I179" s="668" t="n">
        <v>2.072</v>
      </c>
      <c r="J179" s="38" t="n">
        <v>156</v>
      </c>
      <c r="K179" s="39" t="inlineStr">
        <is>
          <t>СК2</t>
        </is>
      </c>
      <c r="L179" s="38" t="n">
        <v>40</v>
      </c>
      <c r="M179" s="773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0</v>
      </c>
      <c r="V179" s="672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16.5" customHeight="1">
      <c r="A180" s="64" t="inlineStr">
        <is>
          <t>SU002686</t>
        </is>
      </c>
      <c r="B180" s="64" t="inlineStr">
        <is>
          <t>P003071</t>
        </is>
      </c>
      <c r="C180" s="37" t="n">
        <v>4301051326</v>
      </c>
      <c r="D180" s="315" t="n">
        <v>4680115880504</v>
      </c>
      <c r="E180" s="636" t="n"/>
      <c r="F180" s="668" t="n">
        <v>0.4</v>
      </c>
      <c r="G180" s="38" t="n">
        <v>6</v>
      </c>
      <c r="H180" s="668" t="n">
        <v>2.4</v>
      </c>
      <c r="I180" s="668" t="n">
        <v>2.672</v>
      </c>
      <c r="J180" s="38" t="n">
        <v>156</v>
      </c>
      <c r="K180" s="39" t="inlineStr">
        <is>
          <t>СК2</t>
        </is>
      </c>
      <c r="L180" s="38" t="n">
        <v>40</v>
      </c>
      <c r="M180" s="774">
        <f>HYPERLINK("https://abi.ru/products/Охлажденные/Стародворье/Сочинка/Сосиски/P003071/","Сосиски Сочинки с сыром Бордо ф/в 0,4 кг п/а Стародворье")</f>
        <v/>
      </c>
      <c r="N180" s="670" t="n"/>
      <c r="O180" s="670" t="n"/>
      <c r="P180" s="670" t="n"/>
      <c r="Q180" s="636" t="n"/>
      <c r="R180" s="40" t="inlineStr"/>
      <c r="S180" s="40" t="inlineStr"/>
      <c r="T180" s="41" t="inlineStr">
        <is>
          <t>кг</t>
        </is>
      </c>
      <c r="U180" s="671" t="n">
        <v>0</v>
      </c>
      <c r="V180" s="672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 ht="27" customHeight="1">
      <c r="A181" s="64" t="inlineStr">
        <is>
          <t>SU002844</t>
        </is>
      </c>
      <c r="B181" s="64" t="inlineStr">
        <is>
          <t>P003265</t>
        </is>
      </c>
      <c r="C181" s="37" t="n">
        <v>4301051410</v>
      </c>
      <c r="D181" s="315" t="n">
        <v>4680115882164</v>
      </c>
      <c r="E181" s="636" t="n"/>
      <c r="F181" s="668" t="n">
        <v>0.4</v>
      </c>
      <c r="G181" s="38" t="n">
        <v>6</v>
      </c>
      <c r="H181" s="668" t="n">
        <v>2.4</v>
      </c>
      <c r="I181" s="668" t="n">
        <v>2.678</v>
      </c>
      <c r="J181" s="38" t="n">
        <v>156</v>
      </c>
      <c r="K181" s="39" t="inlineStr">
        <is>
          <t>СК3</t>
        </is>
      </c>
      <c r="L181" s="38" t="n">
        <v>40</v>
      </c>
      <c r="M181" s="775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1" s="670" t="n"/>
      <c r="O181" s="670" t="n"/>
      <c r="P181" s="670" t="n"/>
      <c r="Q181" s="636" t="n"/>
      <c r="R181" s="40" t="inlineStr"/>
      <c r="S181" s="40" t="inlineStr"/>
      <c r="T181" s="41" t="inlineStr">
        <is>
          <t>кг</t>
        </is>
      </c>
      <c r="U181" s="671" t="n">
        <v>0</v>
      </c>
      <c r="V181" s="672">
        <f>IFERROR(IF(U181="",0,CEILING((U181/$H181),1)*$H181),"")</f>
        <v/>
      </c>
      <c r="W181" s="42">
        <f>IFERROR(IF(V181=0,"",ROUNDUP(V181/H181,0)*0.00753),"")</f>
        <v/>
      </c>
      <c r="X181" s="69" t="inlineStr"/>
      <c r="Y181" s="70" t="inlineStr"/>
      <c r="AC181" s="71" t="n"/>
      <c r="AZ181" s="172" t="inlineStr">
        <is>
          <t>КИ</t>
        </is>
      </c>
    </row>
    <row r="182">
      <c r="A182" s="323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3" t="n"/>
      <c r="M182" s="674" t="inlineStr">
        <is>
          <t>Итого</t>
        </is>
      </c>
      <c r="N182" s="644" t="n"/>
      <c r="O182" s="644" t="n"/>
      <c r="P182" s="644" t="n"/>
      <c r="Q182" s="644" t="n"/>
      <c r="R182" s="644" t="n"/>
      <c r="S182" s="645" t="n"/>
      <c r="T182" s="43" t="inlineStr">
        <is>
          <t>кор</t>
        </is>
      </c>
      <c r="U182" s="675">
        <f>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</f>
        <v/>
      </c>
      <c r="V182" s="675">
        <f>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</f>
        <v/>
      </c>
      <c r="W182" s="675">
        <f>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</f>
        <v/>
      </c>
      <c r="X182" s="676" t="n"/>
      <c r="Y182" s="676" t="n"/>
    </row>
    <row r="183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673" t="n"/>
      <c r="M183" s="674" t="inlineStr">
        <is>
          <t>Итого</t>
        </is>
      </c>
      <c r="N183" s="644" t="n"/>
      <c r="O183" s="644" t="n"/>
      <c r="P183" s="644" t="n"/>
      <c r="Q183" s="644" t="n"/>
      <c r="R183" s="644" t="n"/>
      <c r="S183" s="645" t="n"/>
      <c r="T183" s="43" t="inlineStr">
        <is>
          <t>кг</t>
        </is>
      </c>
      <c r="U183" s="675">
        <f>IFERROR(SUM(U165:U181),"0")</f>
        <v/>
      </c>
      <c r="V183" s="675">
        <f>IFERROR(SUM(V165:V181),"0")</f>
        <v/>
      </c>
      <c r="W183" s="43" t="n"/>
      <c r="X183" s="676" t="n"/>
      <c r="Y183" s="676" t="n"/>
    </row>
    <row r="184" ht="14.25" customHeight="1">
      <c r="A184" s="331" t="inlineStr">
        <is>
          <t>Сардельки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331" t="n"/>
      <c r="Y184" s="331" t="n"/>
    </row>
    <row r="185" ht="16.5" customHeight="1">
      <c r="A185" s="64" t="inlineStr">
        <is>
          <t>SU002758</t>
        </is>
      </c>
      <c r="B185" s="64" t="inlineStr">
        <is>
          <t>P003129</t>
        </is>
      </c>
      <c r="C185" s="37" t="n">
        <v>4301060338</v>
      </c>
      <c r="D185" s="315" t="n">
        <v>4680115880801</v>
      </c>
      <c r="E185" s="636" t="n"/>
      <c r="F185" s="668" t="n">
        <v>0.4</v>
      </c>
      <c r="G185" s="38" t="n">
        <v>6</v>
      </c>
      <c r="H185" s="668" t="n">
        <v>2.4</v>
      </c>
      <c r="I185" s="668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6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 ht="27" customHeight="1">
      <c r="A186" s="64" t="inlineStr">
        <is>
          <t>SU002759</t>
        </is>
      </c>
      <c r="B186" s="64" t="inlineStr">
        <is>
          <t>P003130</t>
        </is>
      </c>
      <c r="C186" s="37" t="n">
        <v>4301060339</v>
      </c>
      <c r="D186" s="315" t="n">
        <v>4680115880818</v>
      </c>
      <c r="E186" s="636" t="n"/>
      <c r="F186" s="668" t="n">
        <v>0.4</v>
      </c>
      <c r="G186" s="38" t="n">
        <v>6</v>
      </c>
      <c r="H186" s="668" t="n">
        <v>2.4</v>
      </c>
      <c r="I186" s="668" t="n">
        <v>2.672</v>
      </c>
      <c r="J186" s="38" t="n">
        <v>156</v>
      </c>
      <c r="K186" s="39" t="inlineStr">
        <is>
          <t>СК2</t>
        </is>
      </c>
      <c r="L186" s="38" t="n">
        <v>40</v>
      </c>
      <c r="M186" s="777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IFERROR(IF(V186=0,"",ROUNDUP(V186/H186,0)*0.00753),"")</f>
        <v/>
      </c>
      <c r="X186" s="69" t="inlineStr"/>
      <c r="Y186" s="70" t="inlineStr"/>
      <c r="AC186" s="71" t="n"/>
      <c r="AZ186" s="174" t="inlineStr">
        <is>
          <t>КИ</t>
        </is>
      </c>
    </row>
    <row r="187">
      <c r="A187" s="323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3" t="n"/>
      <c r="M187" s="674" t="inlineStr">
        <is>
          <t>Итого</t>
        </is>
      </c>
      <c r="N187" s="644" t="n"/>
      <c r="O187" s="644" t="n"/>
      <c r="P187" s="644" t="n"/>
      <c r="Q187" s="644" t="n"/>
      <c r="R187" s="644" t="n"/>
      <c r="S187" s="645" t="n"/>
      <c r="T187" s="43" t="inlineStr">
        <is>
          <t>кор</t>
        </is>
      </c>
      <c r="U187" s="675">
        <f>IFERROR(U185/H185,"0")+IFERROR(U186/H186,"0")</f>
        <v/>
      </c>
      <c r="V187" s="675">
        <f>IFERROR(V185/H185,"0")+IFERROR(V186/H186,"0")</f>
        <v/>
      </c>
      <c r="W187" s="675">
        <f>IFERROR(IF(W185="",0,W185),"0")+IFERROR(IF(W186="",0,W186),"0")</f>
        <v/>
      </c>
      <c r="X187" s="676" t="n"/>
      <c r="Y187" s="676" t="n"/>
    </row>
    <row r="18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673" t="n"/>
      <c r="M188" s="674" t="inlineStr">
        <is>
          <t>Итого</t>
        </is>
      </c>
      <c r="N188" s="644" t="n"/>
      <c r="O188" s="644" t="n"/>
      <c r="P188" s="644" t="n"/>
      <c r="Q188" s="644" t="n"/>
      <c r="R188" s="644" t="n"/>
      <c r="S188" s="645" t="n"/>
      <c r="T188" s="43" t="inlineStr">
        <is>
          <t>кг</t>
        </is>
      </c>
      <c r="U188" s="675">
        <f>IFERROR(SUM(U185:U186),"0")</f>
        <v/>
      </c>
      <c r="V188" s="675">
        <f>IFERROR(SUM(V185:V186),"0")</f>
        <v/>
      </c>
      <c r="W188" s="43" t="n"/>
      <c r="X188" s="676" t="n"/>
      <c r="Y188" s="676" t="n"/>
    </row>
    <row r="189" ht="16.5" customHeight="1">
      <c r="A189" s="330" t="inlineStr">
        <is>
          <t>Бордо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14.25" customHeight="1">
      <c r="A190" s="331" t="inlineStr">
        <is>
          <t>Вареные колбасы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331" t="n"/>
      <c r="Y190" s="331" t="n"/>
    </row>
    <row r="191" ht="27" customHeight="1">
      <c r="A191" s="64" t="inlineStr">
        <is>
          <t>SU000057</t>
        </is>
      </c>
      <c r="B191" s="64" t="inlineStr">
        <is>
          <t>P002047</t>
        </is>
      </c>
      <c r="C191" s="37" t="n">
        <v>4301011346</v>
      </c>
      <c r="D191" s="315" t="n">
        <v>4607091387445</v>
      </c>
      <c r="E191" s="636" t="n"/>
      <c r="F191" s="668" t="n">
        <v>0.9</v>
      </c>
      <c r="G191" s="38" t="n">
        <v>10</v>
      </c>
      <c r="H191" s="668" t="n">
        <v>9</v>
      </c>
      <c r="I191" s="668" t="n">
        <v>9.630000000000001</v>
      </c>
      <c r="J191" s="38" t="n">
        <v>56</v>
      </c>
      <c r="K191" s="39" t="inlineStr">
        <is>
          <t>СК1</t>
        </is>
      </c>
      <c r="L191" s="38" t="n">
        <v>31</v>
      </c>
      <c r="M191" s="778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P002226</t>
        </is>
      </c>
      <c r="C192" s="37" t="n">
        <v>4301011362</v>
      </c>
      <c r="D192" s="315" t="n">
        <v>4607091386004</v>
      </c>
      <c r="E192" s="636" t="n"/>
      <c r="F192" s="668" t="n">
        <v>1.35</v>
      </c>
      <c r="G192" s="38" t="n">
        <v>8</v>
      </c>
      <c r="H192" s="668" t="n">
        <v>10.8</v>
      </c>
      <c r="I192" s="668" t="n">
        <v>11.28</v>
      </c>
      <c r="J192" s="38" t="n">
        <v>48</v>
      </c>
      <c r="K192" s="39" t="inlineStr">
        <is>
          <t>ВЗ</t>
        </is>
      </c>
      <c r="L192" s="38" t="n">
        <v>55</v>
      </c>
      <c r="M192" s="779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0</v>
      </c>
      <c r="V192" s="672">
        <f>IFERROR(IF(U192="",0,CEILING((U192/$H192),1)*$H192),"")</f>
        <v/>
      </c>
      <c r="W192" s="42">
        <f>IFERROR(IF(V192=0,"",ROUNDUP(V192/H192,0)*0.02039),"")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SU001777</t>
        </is>
      </c>
      <c r="B193" s="64" t="inlineStr">
        <is>
          <t>P001777</t>
        </is>
      </c>
      <c r="C193" s="37" t="n">
        <v>4301011308</v>
      </c>
      <c r="D193" s="315" t="n">
        <v>4607091386004</v>
      </c>
      <c r="E193" s="636" t="n"/>
      <c r="F193" s="668" t="n">
        <v>1.35</v>
      </c>
      <c r="G193" s="38" t="n">
        <v>8</v>
      </c>
      <c r="H193" s="668" t="n">
        <v>10.8</v>
      </c>
      <c r="I193" s="668" t="n">
        <v>11.28</v>
      </c>
      <c r="J193" s="38" t="n">
        <v>56</v>
      </c>
      <c r="K193" s="39" t="inlineStr">
        <is>
          <t>СК1</t>
        </is>
      </c>
      <c r="L193" s="38" t="n">
        <v>55</v>
      </c>
      <c r="M193" s="780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SU000058</t>
        </is>
      </c>
      <c r="B194" s="64" t="inlineStr">
        <is>
          <t>P002048</t>
        </is>
      </c>
      <c r="C194" s="37" t="n">
        <v>4301011347</v>
      </c>
      <c r="D194" s="315" t="n">
        <v>4607091386073</v>
      </c>
      <c r="E194" s="636" t="n"/>
      <c r="F194" s="668" t="n">
        <v>0.9</v>
      </c>
      <c r="G194" s="38" t="n">
        <v>10</v>
      </c>
      <c r="H194" s="668" t="n">
        <v>9</v>
      </c>
      <c r="I194" s="668" t="n">
        <v>9.630000000000001</v>
      </c>
      <c r="J194" s="38" t="n">
        <v>56</v>
      </c>
      <c r="K194" s="39" t="inlineStr">
        <is>
          <t>СК1</t>
        </is>
      </c>
      <c r="L194" s="38" t="n">
        <v>31</v>
      </c>
      <c r="M194" s="781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0</v>
      </c>
      <c r="V194" s="672">
        <f>IFERROR(IF(U194="",0,CEILING((U194/$H194),1)*$H194),"")</f>
        <v/>
      </c>
      <c r="W194" s="42">
        <f>IFERROR(IF(V194=0,"",ROUNDUP(V194/H194,0)*0.02175),"")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5" t="n">
        <v>4607091387322</v>
      </c>
      <c r="E195" s="636" t="n"/>
      <c r="F195" s="668" t="n">
        <v>1.35</v>
      </c>
      <c r="G195" s="38" t="n">
        <v>8</v>
      </c>
      <c r="H195" s="668" t="n">
        <v>10.8</v>
      </c>
      <c r="I195" s="668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2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SU001780</t>
        </is>
      </c>
      <c r="B196" s="64" t="inlineStr">
        <is>
          <t>P003075</t>
        </is>
      </c>
      <c r="C196" s="37" t="n">
        <v>4301011395</v>
      </c>
      <c r="D196" s="315" t="n">
        <v>4607091387322</v>
      </c>
      <c r="E196" s="636" t="n"/>
      <c r="F196" s="668" t="n">
        <v>1.35</v>
      </c>
      <c r="G196" s="38" t="n">
        <v>8</v>
      </c>
      <c r="H196" s="668" t="n">
        <v>10.8</v>
      </c>
      <c r="I196" s="668" t="n">
        <v>11.28</v>
      </c>
      <c r="J196" s="38" t="n">
        <v>48</v>
      </c>
      <c r="K196" s="39" t="inlineStr">
        <is>
          <t>ВЗ</t>
        </is>
      </c>
      <c r="L196" s="38" t="n">
        <v>55</v>
      </c>
      <c r="M196" s="783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IFERROR(IF(V196=0,"",ROUNDUP(V196/H196,0)*0.02039),"")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SU001778</t>
        </is>
      </c>
      <c r="B197" s="64" t="inlineStr">
        <is>
          <t>P001778</t>
        </is>
      </c>
      <c r="C197" s="37" t="n">
        <v>4301011311</v>
      </c>
      <c r="D197" s="315" t="n">
        <v>4607091387377</v>
      </c>
      <c r="E197" s="636" t="n"/>
      <c r="F197" s="668" t="n">
        <v>1.35</v>
      </c>
      <c r="G197" s="38" t="n">
        <v>8</v>
      </c>
      <c r="H197" s="668" t="n">
        <v>10.8</v>
      </c>
      <c r="I197" s="668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4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SU000043</t>
        </is>
      </c>
      <c r="B198" s="64" t="inlineStr">
        <is>
          <t>P001807</t>
        </is>
      </c>
      <c r="C198" s="37" t="n">
        <v>4301010945</v>
      </c>
      <c r="D198" s="315" t="n">
        <v>4607091387353</v>
      </c>
      <c r="E198" s="636" t="n"/>
      <c r="F198" s="668" t="n">
        <v>1.35</v>
      </c>
      <c r="G198" s="38" t="n">
        <v>8</v>
      </c>
      <c r="H198" s="668" t="n">
        <v>10.8</v>
      </c>
      <c r="I198" s="668" t="n">
        <v>11.28</v>
      </c>
      <c r="J198" s="38" t="n">
        <v>56</v>
      </c>
      <c r="K198" s="39" t="inlineStr">
        <is>
          <t>СК1</t>
        </is>
      </c>
      <c r="L198" s="38" t="n">
        <v>55</v>
      </c>
      <c r="M198" s="785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IFERROR(IF(V198=0,"",ROUNDUP(V198/H198,0)*0.02175),"")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SU001800</t>
        </is>
      </c>
      <c r="B199" s="64" t="inlineStr">
        <is>
          <t>P001800</t>
        </is>
      </c>
      <c r="C199" s="37" t="n">
        <v>4301011328</v>
      </c>
      <c r="D199" s="315" t="n">
        <v>4607091386011</v>
      </c>
      <c r="E199" s="636" t="n"/>
      <c r="F199" s="668" t="n">
        <v>0.5</v>
      </c>
      <c r="G199" s="38" t="n">
        <v>10</v>
      </c>
      <c r="H199" s="668" t="n">
        <v>5</v>
      </c>
      <c r="I199" s="668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6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SU001805</t>
        </is>
      </c>
      <c r="B200" s="64" t="inlineStr">
        <is>
          <t>P001805</t>
        </is>
      </c>
      <c r="C200" s="37" t="n">
        <v>4301011329</v>
      </c>
      <c r="D200" s="315" t="n">
        <v>4607091387308</v>
      </c>
      <c r="E200" s="636" t="n"/>
      <c r="F200" s="668" t="n">
        <v>0.5</v>
      </c>
      <c r="G200" s="38" t="n">
        <v>10</v>
      </c>
      <c r="H200" s="668" t="n">
        <v>5</v>
      </c>
      <c r="I200" s="668" t="n">
        <v>5.21</v>
      </c>
      <c r="J200" s="38" t="n">
        <v>120</v>
      </c>
      <c r="K200" s="39" t="inlineStr">
        <is>
          <t>СК2</t>
        </is>
      </c>
      <c r="L200" s="38" t="n">
        <v>55</v>
      </c>
      <c r="M200" s="78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SU001829</t>
        </is>
      </c>
      <c r="B201" s="64" t="inlineStr">
        <is>
          <t>P001829</t>
        </is>
      </c>
      <c r="C201" s="37" t="n">
        <v>4301011049</v>
      </c>
      <c r="D201" s="315" t="n">
        <v>4607091387339</v>
      </c>
      <c r="E201" s="636" t="n"/>
      <c r="F201" s="668" t="n">
        <v>0.5</v>
      </c>
      <c r="G201" s="38" t="n">
        <v>10</v>
      </c>
      <c r="H201" s="668" t="n">
        <v>5</v>
      </c>
      <c r="I201" s="668" t="n">
        <v>5.24</v>
      </c>
      <c r="J201" s="38" t="n">
        <v>120</v>
      </c>
      <c r="K201" s="39" t="inlineStr">
        <is>
          <t>СК1</t>
        </is>
      </c>
      <c r="L201" s="38" t="n">
        <v>55</v>
      </c>
      <c r="M201" s="788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SU002787</t>
        </is>
      </c>
      <c r="B202" s="64" t="inlineStr">
        <is>
          <t>P003189</t>
        </is>
      </c>
      <c r="C202" s="37" t="n">
        <v>4301011433</v>
      </c>
      <c r="D202" s="315" t="n">
        <v>4680115882638</v>
      </c>
      <c r="E202" s="636" t="n"/>
      <c r="F202" s="668" t="n">
        <v>0.4</v>
      </c>
      <c r="G202" s="38" t="n">
        <v>10</v>
      </c>
      <c r="H202" s="668" t="n">
        <v>4</v>
      </c>
      <c r="I202" s="668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9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SU002894</t>
        </is>
      </c>
      <c r="B203" s="64" t="inlineStr">
        <is>
          <t>P003314</t>
        </is>
      </c>
      <c r="C203" s="37" t="n">
        <v>4301011573</v>
      </c>
      <c r="D203" s="315" t="n">
        <v>4680115881938</v>
      </c>
      <c r="E203" s="636" t="n"/>
      <c r="F203" s="668" t="n">
        <v>0.4</v>
      </c>
      <c r="G203" s="38" t="n">
        <v>10</v>
      </c>
      <c r="H203" s="668" t="n">
        <v>4</v>
      </c>
      <c r="I203" s="668" t="n">
        <v>4.24</v>
      </c>
      <c r="J203" s="38" t="n">
        <v>120</v>
      </c>
      <c r="K203" s="39" t="inlineStr">
        <is>
          <t>СК1</t>
        </is>
      </c>
      <c r="L203" s="38" t="n">
        <v>90</v>
      </c>
      <c r="M203" s="790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SU000078</t>
        </is>
      </c>
      <c r="B204" s="64" t="inlineStr">
        <is>
          <t>P001806</t>
        </is>
      </c>
      <c r="C204" s="37" t="n">
        <v>4301010944</v>
      </c>
      <c r="D204" s="315" t="n">
        <v>4607091387346</v>
      </c>
      <c r="E204" s="636" t="n"/>
      <c r="F204" s="668" t="n">
        <v>0.4</v>
      </c>
      <c r="G204" s="38" t="n">
        <v>10</v>
      </c>
      <c r="H204" s="668" t="n">
        <v>4</v>
      </c>
      <c r="I204" s="668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91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 ht="27" customHeight="1">
      <c r="A205" s="64" t="inlineStr">
        <is>
          <t>SU002616</t>
        </is>
      </c>
      <c r="B205" s="64" t="inlineStr">
        <is>
          <t>P002950</t>
        </is>
      </c>
      <c r="C205" s="37" t="n">
        <v>4301011353</v>
      </c>
      <c r="D205" s="315" t="n">
        <v>4607091389807</v>
      </c>
      <c r="E205" s="636" t="n"/>
      <c r="F205" s="668" t="n">
        <v>0.4</v>
      </c>
      <c r="G205" s="38" t="n">
        <v>10</v>
      </c>
      <c r="H205" s="668" t="n">
        <v>4</v>
      </c>
      <c r="I205" s="668" t="n">
        <v>4.24</v>
      </c>
      <c r="J205" s="38" t="n">
        <v>120</v>
      </c>
      <c r="K205" s="39" t="inlineStr">
        <is>
          <t>СК1</t>
        </is>
      </c>
      <c r="L205" s="38" t="n">
        <v>55</v>
      </c>
      <c r="M205" s="792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IFERROR(IF(V205=0,"",ROUNDUP(V205/H205,0)*0.00937),"")</f>
        <v/>
      </c>
      <c r="X205" s="69" t="inlineStr"/>
      <c r="Y205" s="70" t="inlineStr"/>
      <c r="AC205" s="71" t="n"/>
      <c r="AZ205" s="189" t="inlineStr">
        <is>
          <t>КИ</t>
        </is>
      </c>
    </row>
    <row r="206">
      <c r="A206" s="323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IFERROR(SUM(U191:U205),"0")</f>
        <v/>
      </c>
      <c r="V207" s="675">
        <f>IFERROR(SUM(V191:V205),"0")</f>
        <v/>
      </c>
      <c r="W207" s="43" t="n"/>
      <c r="X207" s="676" t="n"/>
      <c r="Y207" s="676" t="n"/>
    </row>
    <row r="208" ht="14.25" customHeight="1">
      <c r="A208" s="331" t="inlineStr">
        <is>
          <t>Ветчины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27" customHeight="1">
      <c r="A209" s="64" t="inlineStr">
        <is>
          <t>SU002788</t>
        </is>
      </c>
      <c r="B209" s="64" t="inlineStr">
        <is>
          <t>P003190</t>
        </is>
      </c>
      <c r="C209" s="37" t="n">
        <v>4301020254</v>
      </c>
      <c r="D209" s="315" t="n">
        <v>4680115881914</v>
      </c>
      <c r="E209" s="636" t="n"/>
      <c r="F209" s="668" t="n">
        <v>0.4</v>
      </c>
      <c r="G209" s="38" t="n">
        <v>10</v>
      </c>
      <c r="H209" s="668" t="n">
        <v>4</v>
      </c>
      <c r="I209" s="668" t="n">
        <v>4.24</v>
      </c>
      <c r="J209" s="38" t="n">
        <v>120</v>
      </c>
      <c r="K209" s="39" t="inlineStr">
        <is>
          <t>СК1</t>
        </is>
      </c>
      <c r="L209" s="38" t="n">
        <v>90</v>
      </c>
      <c r="M209" s="793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0</v>
      </c>
      <c r="V209" s="672">
        <f>IFERROR(IF(U209="",0,CEILING((U209/$H209),1)*$H209),"")</f>
        <v/>
      </c>
      <c r="W209" s="42">
        <f>IFERROR(IF(V209=0,"",ROUNDUP(V209/H209,0)*0.00937),"")</f>
        <v/>
      </c>
      <c r="X209" s="69" t="inlineStr"/>
      <c r="Y209" s="70" t="inlineStr"/>
      <c r="AC209" s="71" t="n"/>
      <c r="AZ209" s="190" t="inlineStr">
        <is>
          <t>КИ</t>
        </is>
      </c>
    </row>
    <row r="210">
      <c r="A210" s="323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3" t="n"/>
      <c r="M210" s="674" t="inlineStr">
        <is>
          <t>Итого</t>
        </is>
      </c>
      <c r="N210" s="644" t="n"/>
      <c r="O210" s="644" t="n"/>
      <c r="P210" s="644" t="n"/>
      <c r="Q210" s="644" t="n"/>
      <c r="R210" s="644" t="n"/>
      <c r="S210" s="645" t="n"/>
      <c r="T210" s="43" t="inlineStr">
        <is>
          <t>кор</t>
        </is>
      </c>
      <c r="U210" s="675">
        <f>IFERROR(U209/H209,"0")</f>
        <v/>
      </c>
      <c r="V210" s="675">
        <f>IFERROR(V209/H209,"0")</f>
        <v/>
      </c>
      <c r="W210" s="675">
        <f>IFERROR(IF(W209="",0,W209),"0")</f>
        <v/>
      </c>
      <c r="X210" s="676" t="n"/>
      <c r="Y210" s="676" t="n"/>
    </row>
    <row r="211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673" t="n"/>
      <c r="M211" s="674" t="inlineStr">
        <is>
          <t>Итого</t>
        </is>
      </c>
      <c r="N211" s="644" t="n"/>
      <c r="O211" s="644" t="n"/>
      <c r="P211" s="644" t="n"/>
      <c r="Q211" s="644" t="n"/>
      <c r="R211" s="644" t="n"/>
      <c r="S211" s="645" t="n"/>
      <c r="T211" s="43" t="inlineStr">
        <is>
          <t>кг</t>
        </is>
      </c>
      <c r="U211" s="675">
        <f>IFERROR(SUM(U209:U209),"0")</f>
        <v/>
      </c>
      <c r="V211" s="675">
        <f>IFERROR(SUM(V209:V209),"0")</f>
        <v/>
      </c>
      <c r="W211" s="43" t="n"/>
      <c r="X211" s="676" t="n"/>
      <c r="Y211" s="676" t="n"/>
    </row>
    <row r="212" ht="14.25" customHeight="1">
      <c r="A212" s="331" t="inlineStr">
        <is>
          <t>Копченые колбасы</t>
        </is>
      </c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331" t="n"/>
      <c r="Y212" s="331" t="n"/>
    </row>
    <row r="213" ht="27" customHeight="1">
      <c r="A213" s="64" t="inlineStr">
        <is>
          <t>SU001820</t>
        </is>
      </c>
      <c r="B213" s="64" t="inlineStr">
        <is>
          <t>P001820</t>
        </is>
      </c>
      <c r="C213" s="37" t="n">
        <v>4301030878</v>
      </c>
      <c r="D213" s="315" t="n">
        <v>4607091387193</v>
      </c>
      <c r="E213" s="636" t="n"/>
      <c r="F213" s="668" t="n">
        <v>0.7</v>
      </c>
      <c r="G213" s="38" t="n">
        <v>6</v>
      </c>
      <c r="H213" s="668" t="n">
        <v>4.2</v>
      </c>
      <c r="I213" s="668" t="n">
        <v>4.46</v>
      </c>
      <c r="J213" s="38" t="n">
        <v>156</v>
      </c>
      <c r="K213" s="39" t="inlineStr">
        <is>
          <t>СК2</t>
        </is>
      </c>
      <c r="L213" s="38" t="n">
        <v>35</v>
      </c>
      <c r="M213" s="794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SU001822</t>
        </is>
      </c>
      <c r="B214" s="64" t="inlineStr">
        <is>
          <t>P003013</t>
        </is>
      </c>
      <c r="C214" s="37" t="n">
        <v>4301031153</v>
      </c>
      <c r="D214" s="315" t="n">
        <v>4607091387230</v>
      </c>
      <c r="E214" s="636" t="n"/>
      <c r="F214" s="668" t="n">
        <v>0.7</v>
      </c>
      <c r="G214" s="38" t="n">
        <v>6</v>
      </c>
      <c r="H214" s="668" t="n">
        <v>4.2</v>
      </c>
      <c r="I214" s="668" t="n">
        <v>4.46</v>
      </c>
      <c r="J214" s="38" t="n">
        <v>156</v>
      </c>
      <c r="K214" s="39" t="inlineStr">
        <is>
          <t>СК2</t>
        </is>
      </c>
      <c r="L214" s="38" t="n">
        <v>40</v>
      </c>
      <c r="M214" s="795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IFERROR(IF(V214=0,"",ROUNDUP(V214/H214,0)*0.00753),"")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SU002579</t>
        </is>
      </c>
      <c r="B215" s="64" t="inlineStr">
        <is>
          <t>P003012</t>
        </is>
      </c>
      <c r="C215" s="37" t="n">
        <v>4301031152</v>
      </c>
      <c r="D215" s="315" t="n">
        <v>4607091387285</v>
      </c>
      <c r="E215" s="636" t="n"/>
      <c r="F215" s="668" t="n">
        <v>0.35</v>
      </c>
      <c r="G215" s="38" t="n">
        <v>6</v>
      </c>
      <c r="H215" s="668" t="n">
        <v>2.1</v>
      </c>
      <c r="I215" s="668" t="n">
        <v>2.23</v>
      </c>
      <c r="J215" s="38" t="n">
        <v>234</v>
      </c>
      <c r="K215" s="39" t="inlineStr">
        <is>
          <t>СК2</t>
        </is>
      </c>
      <c r="L215" s="38" t="n">
        <v>40</v>
      </c>
      <c r="M215" s="796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5" s="670" t="n"/>
      <c r="O215" s="670" t="n"/>
      <c r="P215" s="670" t="n"/>
      <c r="Q215" s="636" t="n"/>
      <c r="R215" s="40" t="inlineStr"/>
      <c r="S215" s="40" t="inlineStr"/>
      <c r="T215" s="41" t="inlineStr">
        <is>
          <t>кг</t>
        </is>
      </c>
      <c r="U215" s="671" t="n">
        <v>0</v>
      </c>
      <c r="V215" s="672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 ht="27" customHeight="1">
      <c r="A216" s="64" t="inlineStr">
        <is>
          <t>SU002617</t>
        </is>
      </c>
      <c r="B216" s="64" t="inlineStr">
        <is>
          <t>P002951</t>
        </is>
      </c>
      <c r="C216" s="37" t="n">
        <v>4301031151</v>
      </c>
      <c r="D216" s="315" t="n">
        <v>4607091389845</v>
      </c>
      <c r="E216" s="636" t="n"/>
      <c r="F216" s="668" t="n">
        <v>0.35</v>
      </c>
      <c r="G216" s="38" t="n">
        <v>6</v>
      </c>
      <c r="H216" s="668" t="n">
        <v>2.1</v>
      </c>
      <c r="I216" s="668" t="n">
        <v>2.2</v>
      </c>
      <c r="J216" s="38" t="n">
        <v>234</v>
      </c>
      <c r="K216" s="39" t="inlineStr">
        <is>
          <t>СК2</t>
        </is>
      </c>
      <c r="L216" s="38" t="n">
        <v>40</v>
      </c>
      <c r="M216" s="7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6" s="670" t="n"/>
      <c r="O216" s="670" t="n"/>
      <c r="P216" s="670" t="n"/>
      <c r="Q216" s="636" t="n"/>
      <c r="R216" s="40" t="inlineStr"/>
      <c r="S216" s="40" t="inlineStr"/>
      <c r="T216" s="41" t="inlineStr">
        <is>
          <t>кг</t>
        </is>
      </c>
      <c r="U216" s="671" t="n">
        <v>4</v>
      </c>
      <c r="V216" s="672">
        <f>IFERROR(IF(U216="",0,CEILING((U216/$H216),1)*$H216),"")</f>
        <v/>
      </c>
      <c r="W216" s="42">
        <f>IFERROR(IF(V216=0,"",ROUNDUP(V216/H216,0)*0.00502),"")</f>
        <v/>
      </c>
      <c r="X216" s="69" t="inlineStr"/>
      <c r="Y216" s="70" t="inlineStr"/>
      <c r="AC216" s="71" t="n"/>
      <c r="AZ216" s="194" t="inlineStr">
        <is>
          <t>КИ</t>
        </is>
      </c>
    </row>
    <row r="217">
      <c r="A217" s="323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3" t="n"/>
      <c r="M217" s="674" t="inlineStr">
        <is>
          <t>Итого</t>
        </is>
      </c>
      <c r="N217" s="644" t="n"/>
      <c r="O217" s="644" t="n"/>
      <c r="P217" s="644" t="n"/>
      <c r="Q217" s="644" t="n"/>
      <c r="R217" s="644" t="n"/>
      <c r="S217" s="645" t="n"/>
      <c r="T217" s="43" t="inlineStr">
        <is>
          <t>кор</t>
        </is>
      </c>
      <c r="U217" s="675">
        <f>IFERROR(U213/H213,"0")+IFERROR(U214/H214,"0")+IFERROR(U215/H215,"0")+IFERROR(U216/H216,"0")</f>
        <v/>
      </c>
      <c r="V217" s="675">
        <f>IFERROR(V213/H213,"0")+IFERROR(V214/H214,"0")+IFERROR(V215/H215,"0")+IFERROR(V216/H216,"0")</f>
        <v/>
      </c>
      <c r="W217" s="675">
        <f>IFERROR(IF(W213="",0,W213),"0")+IFERROR(IF(W214="",0,W214),"0")+IFERROR(IF(W215="",0,W215),"0")+IFERROR(IF(W216="",0,W216),"0")</f>
        <v/>
      </c>
      <c r="X217" s="676" t="n"/>
      <c r="Y217" s="676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673" t="n"/>
      <c r="M218" s="674" t="inlineStr">
        <is>
          <t>Итого</t>
        </is>
      </c>
      <c r="N218" s="644" t="n"/>
      <c r="O218" s="644" t="n"/>
      <c r="P218" s="644" t="n"/>
      <c r="Q218" s="644" t="n"/>
      <c r="R218" s="644" t="n"/>
      <c r="S218" s="645" t="n"/>
      <c r="T218" s="43" t="inlineStr">
        <is>
          <t>кг</t>
        </is>
      </c>
      <c r="U218" s="675">
        <f>IFERROR(SUM(U213:U216),"0")</f>
        <v/>
      </c>
      <c r="V218" s="675">
        <f>IFERROR(SUM(V213:V216),"0")</f>
        <v/>
      </c>
      <c r="W218" s="43" t="n"/>
      <c r="X218" s="676" t="n"/>
      <c r="Y218" s="676" t="n"/>
    </row>
    <row r="219" ht="14.25" customHeight="1">
      <c r="A219" s="331" t="inlineStr">
        <is>
          <t>Сосиски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331" t="n"/>
      <c r="Y219" s="331" t="n"/>
    </row>
    <row r="220" ht="16.5" customHeight="1">
      <c r="A220" s="64" t="inlineStr">
        <is>
          <t>SU001340</t>
        </is>
      </c>
      <c r="B220" s="64" t="inlineStr">
        <is>
          <t>P002209</t>
        </is>
      </c>
      <c r="C220" s="37" t="n">
        <v>4301051100</v>
      </c>
      <c r="D220" s="315" t="n">
        <v>4607091387766</v>
      </c>
      <c r="E220" s="636" t="n"/>
      <c r="F220" s="668" t="n">
        <v>1.35</v>
      </c>
      <c r="G220" s="38" t="n">
        <v>6</v>
      </c>
      <c r="H220" s="668" t="n">
        <v>8.1</v>
      </c>
      <c r="I220" s="668" t="n">
        <v>8.657999999999999</v>
      </c>
      <c r="J220" s="38" t="n">
        <v>56</v>
      </c>
      <c r="K220" s="39" t="inlineStr">
        <is>
          <t>СК3</t>
        </is>
      </c>
      <c r="L220" s="38" t="n">
        <v>40</v>
      </c>
      <c r="M220" s="798">
        <f>HYPERLINK("https://abi.ru/products/Охлажденные/Стародворье/Бордо/Сосиски/P002209/","Сосиски Ганноверские Бордо Весовые П/а мгс Баварушка")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0</v>
      </c>
      <c r="V220" s="672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SU001727</t>
        </is>
      </c>
      <c r="B221" s="64" t="inlineStr">
        <is>
          <t>P002205</t>
        </is>
      </c>
      <c r="C221" s="37" t="n">
        <v>4301051116</v>
      </c>
      <c r="D221" s="315" t="n">
        <v>4607091387957</v>
      </c>
      <c r="E221" s="636" t="n"/>
      <c r="F221" s="668" t="n">
        <v>1.3</v>
      </c>
      <c r="G221" s="38" t="n">
        <v>6</v>
      </c>
      <c r="H221" s="668" t="n">
        <v>7.8</v>
      </c>
      <c r="I221" s="668" t="n">
        <v>8.364000000000001</v>
      </c>
      <c r="J221" s="38" t="n">
        <v>56</v>
      </c>
      <c r="K221" s="39" t="inlineStr">
        <is>
          <t>СК2</t>
        </is>
      </c>
      <c r="L221" s="38" t="n">
        <v>40</v>
      </c>
      <c r="M221" s="799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1" s="670" t="n"/>
      <c r="O221" s="670" t="n"/>
      <c r="P221" s="670" t="n"/>
      <c r="Q221" s="636" t="n"/>
      <c r="R221" s="40" t="inlineStr"/>
      <c r="S221" s="40" t="inlineStr"/>
      <c r="T221" s="41" t="inlineStr">
        <is>
          <t>кг</t>
        </is>
      </c>
      <c r="U221" s="671" t="n">
        <v>0</v>
      </c>
      <c r="V221" s="672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27" customHeight="1">
      <c r="A222" s="64" t="inlineStr">
        <is>
          <t>SU001728</t>
        </is>
      </c>
      <c r="B222" s="64" t="inlineStr">
        <is>
          <t>P002207</t>
        </is>
      </c>
      <c r="C222" s="37" t="n">
        <v>4301051115</v>
      </c>
      <c r="D222" s="315" t="n">
        <v>4607091387964</v>
      </c>
      <c r="E222" s="636" t="n"/>
      <c r="F222" s="668" t="n">
        <v>1.35</v>
      </c>
      <c r="G222" s="38" t="n">
        <v>6</v>
      </c>
      <c r="H222" s="668" t="n">
        <v>8.1</v>
      </c>
      <c r="I222" s="668" t="n">
        <v>8.646000000000001</v>
      </c>
      <c r="J222" s="38" t="n">
        <v>56</v>
      </c>
      <c r="K222" s="39" t="inlineStr">
        <is>
          <t>СК2</t>
        </is>
      </c>
      <c r="L222" s="38" t="n">
        <v>40</v>
      </c>
      <c r="M222" s="800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2" s="670" t="n"/>
      <c r="O222" s="670" t="n"/>
      <c r="P222" s="670" t="n"/>
      <c r="Q222" s="636" t="n"/>
      <c r="R222" s="40" t="inlineStr"/>
      <c r="S222" s="40" t="inlineStr"/>
      <c r="T222" s="41" t="inlineStr">
        <is>
          <t>кг</t>
        </is>
      </c>
      <c r="U222" s="671" t="n">
        <v>0</v>
      </c>
      <c r="V222" s="672">
        <f>IFERROR(IF(U222="",0,CEILING((U222/$H222),1)*$H222),"")</f>
        <v/>
      </c>
      <c r="W222" s="42">
        <f>IFERROR(IF(V222=0,"",ROUNDUP(V222/H222,0)*0.02175),"")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16.5" customHeight="1">
      <c r="A223" s="64" t="inlineStr">
        <is>
          <t>SU001341</t>
        </is>
      </c>
      <c r="B223" s="64" t="inlineStr">
        <is>
          <t>P002204</t>
        </is>
      </c>
      <c r="C223" s="37" t="n">
        <v>4301051134</v>
      </c>
      <c r="D223" s="315" t="n">
        <v>4607091381672</v>
      </c>
      <c r="E223" s="636" t="n"/>
      <c r="F223" s="668" t="n">
        <v>0.6</v>
      </c>
      <c r="G223" s="38" t="n">
        <v>6</v>
      </c>
      <c r="H223" s="668" t="n">
        <v>3.6</v>
      </c>
      <c r="I223" s="668" t="n">
        <v>3.876</v>
      </c>
      <c r="J223" s="38" t="n">
        <v>120</v>
      </c>
      <c r="K223" s="39" t="inlineStr">
        <is>
          <t>СК2</t>
        </is>
      </c>
      <c r="L223" s="38" t="n">
        <v>40</v>
      </c>
      <c r="M223" s="801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3" s="670" t="n"/>
      <c r="O223" s="670" t="n"/>
      <c r="P223" s="670" t="n"/>
      <c r="Q223" s="636" t="n"/>
      <c r="R223" s="40" t="inlineStr"/>
      <c r="S223" s="40" t="inlineStr"/>
      <c r="T223" s="41" t="inlineStr">
        <is>
          <t>кг</t>
        </is>
      </c>
      <c r="U223" s="671" t="n">
        <v>0</v>
      </c>
      <c r="V223" s="672">
        <f>IFERROR(IF(U223="",0,CEILING((U223/$H223),1)*$H223),"")</f>
        <v/>
      </c>
      <c r="W223" s="42">
        <f>IFERROR(IF(V223=0,"",ROUNDUP(V223/H223,0)*0.00937),"")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SU001763</t>
        </is>
      </c>
      <c r="B224" s="64" t="inlineStr">
        <is>
          <t>P002206</t>
        </is>
      </c>
      <c r="C224" s="37" t="n">
        <v>4301051130</v>
      </c>
      <c r="D224" s="315" t="n">
        <v>4607091387537</v>
      </c>
      <c r="E224" s="636" t="n"/>
      <c r="F224" s="668" t="n">
        <v>0.45</v>
      </c>
      <c r="G224" s="38" t="n">
        <v>6</v>
      </c>
      <c r="H224" s="668" t="n">
        <v>2.7</v>
      </c>
      <c r="I224" s="668" t="n">
        <v>2.99</v>
      </c>
      <c r="J224" s="38" t="n">
        <v>156</v>
      </c>
      <c r="K224" s="39" t="inlineStr">
        <is>
          <t>СК2</t>
        </is>
      </c>
      <c r="L224" s="38" t="n">
        <v>40</v>
      </c>
      <c r="M224" s="80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 ht="27" customHeight="1">
      <c r="A225" s="64" t="inlineStr">
        <is>
          <t>SU001762</t>
        </is>
      </c>
      <c r="B225" s="64" t="inlineStr">
        <is>
          <t>P002208</t>
        </is>
      </c>
      <c r="C225" s="37" t="n">
        <v>4301051132</v>
      </c>
      <c r="D225" s="315" t="n">
        <v>4607091387513</v>
      </c>
      <c r="E225" s="636" t="n"/>
      <c r="F225" s="668" t="n">
        <v>0.45</v>
      </c>
      <c r="G225" s="38" t="n">
        <v>6</v>
      </c>
      <c r="H225" s="668" t="n">
        <v>2.7</v>
      </c>
      <c r="I225" s="668" t="n">
        <v>2.978</v>
      </c>
      <c r="J225" s="38" t="n">
        <v>156</v>
      </c>
      <c r="K225" s="39" t="inlineStr">
        <is>
          <t>СК2</t>
        </is>
      </c>
      <c r="L225" s="38" t="n">
        <v>40</v>
      </c>
      <c r="M225" s="80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IFERROR(IF(V225=0,"",ROUNDUP(V225/H225,0)*0.00753),"")</f>
        <v/>
      </c>
      <c r="X225" s="69" t="inlineStr"/>
      <c r="Y225" s="70" t="inlineStr"/>
      <c r="AC225" s="71" t="n"/>
      <c r="AZ225" s="200" t="inlineStr">
        <is>
          <t>КИ</t>
        </is>
      </c>
    </row>
    <row r="226">
      <c r="A226" s="323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3" t="n"/>
      <c r="M226" s="674" t="inlineStr">
        <is>
          <t>Итого</t>
        </is>
      </c>
      <c r="N226" s="644" t="n"/>
      <c r="O226" s="644" t="n"/>
      <c r="P226" s="644" t="n"/>
      <c r="Q226" s="644" t="n"/>
      <c r="R226" s="644" t="n"/>
      <c r="S226" s="645" t="n"/>
      <c r="T226" s="43" t="inlineStr">
        <is>
          <t>кор</t>
        </is>
      </c>
      <c r="U226" s="675">
        <f>IFERROR(U220/H220,"0")+IFERROR(U221/H221,"0")+IFERROR(U222/H222,"0")+IFERROR(U223/H223,"0")+IFERROR(U224/H224,"0")+IFERROR(U225/H225,"0")</f>
        <v/>
      </c>
      <c r="V226" s="675">
        <f>IFERROR(V220/H220,"0")+IFERROR(V221/H221,"0")+IFERROR(V222/H222,"0")+IFERROR(V223/H223,"0")+IFERROR(V224/H224,"0")+IFERROR(V225/H225,"0")</f>
        <v/>
      </c>
      <c r="W226" s="675">
        <f>IFERROR(IF(W220="",0,W220),"0")+IFERROR(IF(W221="",0,W221),"0")+IFERROR(IF(W222="",0,W222),"0")+IFERROR(IF(W223="",0,W223),"0")+IFERROR(IF(W224="",0,W224),"0")+IFERROR(IF(W225="",0,W225),"0")</f>
        <v/>
      </c>
      <c r="X226" s="676" t="n"/>
      <c r="Y226" s="676" t="n"/>
    </row>
    <row r="227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673" t="n"/>
      <c r="M227" s="674" t="inlineStr">
        <is>
          <t>Итого</t>
        </is>
      </c>
      <c r="N227" s="644" t="n"/>
      <c r="O227" s="644" t="n"/>
      <c r="P227" s="644" t="n"/>
      <c r="Q227" s="644" t="n"/>
      <c r="R227" s="644" t="n"/>
      <c r="S227" s="645" t="n"/>
      <c r="T227" s="43" t="inlineStr">
        <is>
          <t>кг</t>
        </is>
      </c>
      <c r="U227" s="675">
        <f>IFERROR(SUM(U220:U225),"0")</f>
        <v/>
      </c>
      <c r="V227" s="675">
        <f>IFERROR(SUM(V220:V225),"0")</f>
        <v/>
      </c>
      <c r="W227" s="43" t="n"/>
      <c r="X227" s="676" t="n"/>
      <c r="Y227" s="676" t="n"/>
    </row>
    <row r="228" ht="14.25" customHeight="1">
      <c r="A228" s="331" t="inlineStr">
        <is>
          <t>Сардельки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331" t="n"/>
      <c r="Y228" s="331" t="n"/>
    </row>
    <row r="229" ht="16.5" customHeight="1">
      <c r="A229" s="64" t="inlineStr">
        <is>
          <t>SU001051</t>
        </is>
      </c>
      <c r="B229" s="64" t="inlineStr">
        <is>
          <t>P002061</t>
        </is>
      </c>
      <c r="C229" s="37" t="n">
        <v>4301060326</v>
      </c>
      <c r="D229" s="315" t="n">
        <v>4607091380880</v>
      </c>
      <c r="E229" s="636" t="n"/>
      <c r="F229" s="668" t="n">
        <v>1.4</v>
      </c>
      <c r="G229" s="38" t="n">
        <v>6</v>
      </c>
      <c r="H229" s="668" t="n">
        <v>8.4</v>
      </c>
      <c r="I229" s="668" t="n">
        <v>8.964</v>
      </c>
      <c r="J229" s="38" t="n">
        <v>56</v>
      </c>
      <c r="K229" s="39" t="inlineStr">
        <is>
          <t>СК2</t>
        </is>
      </c>
      <c r="L229" s="38" t="n">
        <v>30</v>
      </c>
      <c r="M229" s="804">
        <f>HYPERLINK("https://abi.ru/products/Охлажденные/Стародворье/Бордо/Сардельки/P002061/","Сардельки Нежные Бордо Весовые н/о мгс Стародворье")</f>
        <v/>
      </c>
      <c r="N229" s="670" t="n"/>
      <c r="O229" s="670" t="n"/>
      <c r="P229" s="670" t="n"/>
      <c r="Q229" s="636" t="n"/>
      <c r="R229" s="40" t="inlineStr"/>
      <c r="S229" s="40" t="inlineStr"/>
      <c r="T229" s="41" t="inlineStr">
        <is>
          <t>кг</t>
        </is>
      </c>
      <c r="U229" s="671" t="n">
        <v>0</v>
      </c>
      <c r="V229" s="672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27" customHeight="1">
      <c r="A230" s="64" t="inlineStr">
        <is>
          <t>SU000227</t>
        </is>
      </c>
      <c r="B230" s="64" t="inlineStr">
        <is>
          <t>P002536</t>
        </is>
      </c>
      <c r="C230" s="37" t="n">
        <v>4301060308</v>
      </c>
      <c r="D230" s="315" t="n">
        <v>4607091384482</v>
      </c>
      <c r="E230" s="636" t="n"/>
      <c r="F230" s="668" t="n">
        <v>1.3</v>
      </c>
      <c r="G230" s="38" t="n">
        <v>6</v>
      </c>
      <c r="H230" s="668" t="n">
        <v>7.8</v>
      </c>
      <c r="I230" s="668" t="n">
        <v>8.364000000000001</v>
      </c>
      <c r="J230" s="38" t="n">
        <v>56</v>
      </c>
      <c r="K230" s="39" t="inlineStr">
        <is>
          <t>СК2</t>
        </is>
      </c>
      <c r="L230" s="38" t="n">
        <v>30</v>
      </c>
      <c r="M230" s="805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30" s="670" t="n"/>
      <c r="O230" s="670" t="n"/>
      <c r="P230" s="670" t="n"/>
      <c r="Q230" s="636" t="n"/>
      <c r="R230" s="40" t="inlineStr"/>
      <c r="S230" s="40" t="inlineStr"/>
      <c r="T230" s="41" t="inlineStr">
        <is>
          <t>кг</t>
        </is>
      </c>
      <c r="U230" s="671" t="n">
        <v>400</v>
      </c>
      <c r="V230" s="672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SU001430</t>
        </is>
      </c>
      <c r="B231" s="64" t="inlineStr">
        <is>
          <t>P002036</t>
        </is>
      </c>
      <c r="C231" s="37" t="n">
        <v>4301060325</v>
      </c>
      <c r="D231" s="315" t="n">
        <v>4607091380897</v>
      </c>
      <c r="E231" s="636" t="n"/>
      <c r="F231" s="668" t="n">
        <v>1.4</v>
      </c>
      <c r="G231" s="38" t="n">
        <v>6</v>
      </c>
      <c r="H231" s="668" t="n">
        <v>8.4</v>
      </c>
      <c r="I231" s="668" t="n">
        <v>8.964</v>
      </c>
      <c r="J231" s="38" t="n">
        <v>56</v>
      </c>
      <c r="K231" s="39" t="inlineStr">
        <is>
          <t>СК2</t>
        </is>
      </c>
      <c r="L231" s="38" t="n">
        <v>30</v>
      </c>
      <c r="M231" s="806">
        <f>HYPERLINK("https://abi.ru/products/Охлажденные/Стародворье/Бордо/Сардельки/P002036/","Сардельки Шпикачки Бордо Весовые NDX мгс Стародворье")</f>
        <v/>
      </c>
      <c r="N231" s="670" t="n"/>
      <c r="O231" s="670" t="n"/>
      <c r="P231" s="670" t="n"/>
      <c r="Q231" s="636" t="n"/>
      <c r="R231" s="40" t="inlineStr"/>
      <c r="S231" s="40" t="inlineStr"/>
      <c r="T231" s="41" t="inlineStr">
        <is>
          <t>кг</t>
        </is>
      </c>
      <c r="U231" s="671" t="n">
        <v>0</v>
      </c>
      <c r="V231" s="672">
        <f>IFERROR(IF(U231="",0,CEILING((U231/$H231),1)*$H231),"")</f>
        <v/>
      </c>
      <c r="W231" s="42">
        <f>IFERROR(IF(V231=0,"",ROUNDUP(V231/H231,0)*0.02175),"")</f>
        <v/>
      </c>
      <c r="X231" s="69" t="inlineStr"/>
      <c r="Y231" s="70" t="inlineStr"/>
      <c r="AC231" s="71" t="n"/>
      <c r="AZ231" s="203" t="inlineStr">
        <is>
          <t>КИ</t>
        </is>
      </c>
    </row>
    <row r="232" ht="16.5" customHeight="1">
      <c r="A232" s="64" t="inlineStr">
        <is>
          <t>SU002691</t>
        </is>
      </c>
      <c r="B232" s="64" t="inlineStr">
        <is>
          <t>P003055</t>
        </is>
      </c>
      <c r="C232" s="37" t="n">
        <v>4301060337</v>
      </c>
      <c r="D232" s="315" t="n">
        <v>4680115880368</v>
      </c>
      <c r="E232" s="636" t="n"/>
      <c r="F232" s="668" t="n">
        <v>1</v>
      </c>
      <c r="G232" s="38" t="n">
        <v>4</v>
      </c>
      <c r="H232" s="668" t="n">
        <v>4</v>
      </c>
      <c r="I232" s="668" t="n">
        <v>4.36</v>
      </c>
      <c r="J232" s="38" t="n">
        <v>104</v>
      </c>
      <c r="K232" s="39" t="inlineStr">
        <is>
          <t>СК3</t>
        </is>
      </c>
      <c r="L232" s="38" t="n">
        <v>40</v>
      </c>
      <c r="M232" s="807">
        <f>HYPERLINK("https://abi.ru/products/Охлажденные/Стародворье/Бордо/Сардельки/P003055/","Сардельки Царедворские Бордо ф/в 1 кг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IFERROR(IF(V232=0,"",ROUNDUP(V232/H232,0)*0.01196),"")</f>
        <v/>
      </c>
      <c r="X232" s="69" t="inlineStr"/>
      <c r="Y232" s="70" t="inlineStr"/>
      <c r="AC232" s="71" t="n"/>
      <c r="AZ232" s="204" t="inlineStr">
        <is>
          <t>КИ</t>
        </is>
      </c>
    </row>
    <row r="233">
      <c r="A233" s="323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3" t="n"/>
      <c r="M233" s="674" t="inlineStr">
        <is>
          <t>Итого</t>
        </is>
      </c>
      <c r="N233" s="644" t="n"/>
      <c r="O233" s="644" t="n"/>
      <c r="P233" s="644" t="n"/>
      <c r="Q233" s="644" t="n"/>
      <c r="R233" s="644" t="n"/>
      <c r="S233" s="645" t="n"/>
      <c r="T233" s="43" t="inlineStr">
        <is>
          <t>кор</t>
        </is>
      </c>
      <c r="U233" s="675">
        <f>IFERROR(U229/H229,"0")+IFERROR(U230/H230,"0")+IFERROR(U231/H231,"0")+IFERROR(U232/H232,"0")</f>
        <v/>
      </c>
      <c r="V233" s="675">
        <f>IFERROR(V229/H229,"0")+IFERROR(V230/H230,"0")+IFERROR(V231/H231,"0")+IFERROR(V232/H232,"0")</f>
        <v/>
      </c>
      <c r="W233" s="675">
        <f>IFERROR(IF(W229="",0,W229),"0")+IFERROR(IF(W230="",0,W230),"0")+IFERROR(IF(W231="",0,W231),"0")+IFERROR(IF(W232="",0,W232),"0")</f>
        <v/>
      </c>
      <c r="X233" s="676" t="n"/>
      <c r="Y233" s="676" t="n"/>
    </row>
    <row r="234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673" t="n"/>
      <c r="M234" s="674" t="inlineStr">
        <is>
          <t>Итого</t>
        </is>
      </c>
      <c r="N234" s="644" t="n"/>
      <c r="O234" s="644" t="n"/>
      <c r="P234" s="644" t="n"/>
      <c r="Q234" s="644" t="n"/>
      <c r="R234" s="644" t="n"/>
      <c r="S234" s="645" t="n"/>
      <c r="T234" s="43" t="inlineStr">
        <is>
          <t>кг</t>
        </is>
      </c>
      <c r="U234" s="675">
        <f>IFERROR(SUM(U229:U232),"0")</f>
        <v/>
      </c>
      <c r="V234" s="675">
        <f>IFERROR(SUM(V229:V232),"0")</f>
        <v/>
      </c>
      <c r="W234" s="43" t="n"/>
      <c r="X234" s="676" t="n"/>
      <c r="Y234" s="676" t="n"/>
    </row>
    <row r="235" ht="14.25" customHeight="1">
      <c r="A235" s="331" t="inlineStr">
        <is>
          <t>Сырокопченые колбасы</t>
        </is>
      </c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331" t="n"/>
      <c r="Y235" s="331" t="n"/>
    </row>
    <row r="236" ht="16.5" customHeight="1">
      <c r="A236" s="64" t="inlineStr">
        <is>
          <t>SU001920</t>
        </is>
      </c>
      <c r="B236" s="64" t="inlineStr">
        <is>
          <t>P001900</t>
        </is>
      </c>
      <c r="C236" s="37" t="n">
        <v>4301030232</v>
      </c>
      <c r="D236" s="315" t="n">
        <v>4607091388374</v>
      </c>
      <c r="E236" s="636" t="n"/>
      <c r="F236" s="668" t="n">
        <v>0.38</v>
      </c>
      <c r="G236" s="38" t="n">
        <v>8</v>
      </c>
      <c r="H236" s="668" t="n">
        <v>3.04</v>
      </c>
      <c r="I236" s="668" t="n">
        <v>3.28</v>
      </c>
      <c r="J236" s="38" t="n">
        <v>156</v>
      </c>
      <c r="K236" s="39" t="inlineStr">
        <is>
          <t>АК</t>
        </is>
      </c>
      <c r="L236" s="38" t="n">
        <v>180</v>
      </c>
      <c r="M236" s="808" t="inlineStr">
        <is>
          <t>С/к колбасы Княжеская Бордо Весовые б/о терм/п Стародворье</t>
        </is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SU001921</t>
        </is>
      </c>
      <c r="B237" s="64" t="inlineStr">
        <is>
          <t>P001916</t>
        </is>
      </c>
      <c r="C237" s="37" t="n">
        <v>4301030235</v>
      </c>
      <c r="D237" s="315" t="n">
        <v>4607091388381</v>
      </c>
      <c r="E237" s="636" t="n"/>
      <c r="F237" s="668" t="n">
        <v>0.38</v>
      </c>
      <c r="G237" s="38" t="n">
        <v>8</v>
      </c>
      <c r="H237" s="668" t="n">
        <v>3.04</v>
      </c>
      <c r="I237" s="668" t="n">
        <v>3.32</v>
      </c>
      <c r="J237" s="38" t="n">
        <v>156</v>
      </c>
      <c r="K237" s="39" t="inlineStr">
        <is>
          <t>АК</t>
        </is>
      </c>
      <c r="L237" s="38" t="n">
        <v>180</v>
      </c>
      <c r="M237" s="809" t="inlineStr">
        <is>
          <t>С/к колбасы Салями Охотничья Бордо Весовые б/о терм/п 180 Стародворье</t>
        </is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 ht="27" customHeight="1">
      <c r="A238" s="64" t="inlineStr">
        <is>
          <t>SU001869</t>
        </is>
      </c>
      <c r="B238" s="64" t="inlineStr">
        <is>
          <t>P001909</t>
        </is>
      </c>
      <c r="C238" s="37" t="n">
        <v>4301030233</v>
      </c>
      <c r="D238" s="315" t="n">
        <v>4607091388404</v>
      </c>
      <c r="E238" s="636" t="n"/>
      <c r="F238" s="668" t="n">
        <v>0.17</v>
      </c>
      <c r="G238" s="38" t="n">
        <v>15</v>
      </c>
      <c r="H238" s="668" t="n">
        <v>2.55</v>
      </c>
      <c r="I238" s="668" t="n">
        <v>2.9</v>
      </c>
      <c r="J238" s="38" t="n">
        <v>156</v>
      </c>
      <c r="K238" s="39" t="inlineStr">
        <is>
          <t>АК</t>
        </is>
      </c>
      <c r="L238" s="38" t="n">
        <v>180</v>
      </c>
      <c r="M238" s="810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IFERROR(IF(V238=0,"",ROUNDUP(V238/H238,0)*0.00753),"")</f>
        <v/>
      </c>
      <c r="X238" s="69" t="inlineStr"/>
      <c r="Y238" s="70" t="inlineStr"/>
      <c r="AC238" s="71" t="n"/>
      <c r="AZ238" s="207" t="inlineStr">
        <is>
          <t>КИ</t>
        </is>
      </c>
    </row>
    <row r="239">
      <c r="A239" s="323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IFERROR(U236/H236,"0")+IFERROR(U237/H237,"0")+IFERROR(U238/H238,"0")</f>
        <v/>
      </c>
      <c r="V239" s="675">
        <f>IFERROR(V236/H236,"0")+IFERROR(V237/H237,"0")+IFERROR(V238/H238,"0")</f>
        <v/>
      </c>
      <c r="W239" s="675">
        <f>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IFERROR(SUM(U236:U238),"0")</f>
        <v/>
      </c>
      <c r="V240" s="675">
        <f>IFERROR(SUM(V236:V238),"0")</f>
        <v/>
      </c>
      <c r="W240" s="43" t="n"/>
      <c r="X240" s="676" t="n"/>
      <c r="Y240" s="676" t="n"/>
    </row>
    <row r="241" ht="14.25" customHeight="1">
      <c r="A241" s="331" t="inlineStr">
        <is>
          <t>Паштеты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16.5" customHeight="1">
      <c r="A242" s="64" t="inlineStr">
        <is>
          <t>SU002841</t>
        </is>
      </c>
      <c r="B242" s="64" t="inlineStr">
        <is>
          <t>P003253</t>
        </is>
      </c>
      <c r="C242" s="37" t="n">
        <v>4301180007</v>
      </c>
      <c r="D242" s="315" t="n">
        <v>4680115881808</v>
      </c>
      <c r="E242" s="636" t="n"/>
      <c r="F242" s="668" t="n">
        <v>0.1</v>
      </c>
      <c r="G242" s="38" t="n">
        <v>20</v>
      </c>
      <c r="H242" s="668" t="n">
        <v>2</v>
      </c>
      <c r="I242" s="668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11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SU002840</t>
        </is>
      </c>
      <c r="B243" s="64" t="inlineStr">
        <is>
          <t>P003252</t>
        </is>
      </c>
      <c r="C243" s="37" t="n">
        <v>4301180006</v>
      </c>
      <c r="D243" s="315" t="n">
        <v>4680115881822</v>
      </c>
      <c r="E243" s="636" t="n"/>
      <c r="F243" s="668" t="n">
        <v>0.1</v>
      </c>
      <c r="G243" s="38" t="n">
        <v>20</v>
      </c>
      <c r="H243" s="668" t="n">
        <v>2</v>
      </c>
      <c r="I243" s="668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2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 ht="27" customHeight="1">
      <c r="A244" s="64" t="inlineStr">
        <is>
          <t>SU002368</t>
        </is>
      </c>
      <c r="B244" s="64" t="inlineStr">
        <is>
          <t>P002648</t>
        </is>
      </c>
      <c r="C244" s="37" t="n">
        <v>4301180001</v>
      </c>
      <c r="D244" s="315" t="n">
        <v>4680115880016</v>
      </c>
      <c r="E244" s="636" t="n"/>
      <c r="F244" s="668" t="n">
        <v>0.1</v>
      </c>
      <c r="G244" s="38" t="n">
        <v>20</v>
      </c>
      <c r="H244" s="668" t="n">
        <v>2</v>
      </c>
      <c r="I244" s="668" t="n">
        <v>2.24</v>
      </c>
      <c r="J244" s="38" t="n">
        <v>238</v>
      </c>
      <c r="K244" s="39" t="inlineStr">
        <is>
          <t>РК</t>
        </is>
      </c>
      <c r="L244" s="38" t="n">
        <v>730</v>
      </c>
      <c r="M244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4" s="670" t="n"/>
      <c r="O244" s="670" t="n"/>
      <c r="P244" s="670" t="n"/>
      <c r="Q244" s="636" t="n"/>
      <c r="R244" s="40" t="inlineStr"/>
      <c r="S244" s="40" t="inlineStr"/>
      <c r="T244" s="41" t="inlineStr">
        <is>
          <t>кг</t>
        </is>
      </c>
      <c r="U244" s="671" t="n">
        <v>0</v>
      </c>
      <c r="V244" s="672">
        <f>IFERROR(IF(U244="",0,CEILING((U244/$H244),1)*$H244),"")</f>
        <v/>
      </c>
      <c r="W244" s="42">
        <f>IFERROR(IF(V244=0,"",ROUNDUP(V244/H244,0)*0.00474),"")</f>
        <v/>
      </c>
      <c r="X244" s="69" t="inlineStr"/>
      <c r="Y244" s="70" t="inlineStr"/>
      <c r="AC244" s="71" t="n"/>
      <c r="AZ244" s="210" t="inlineStr">
        <is>
          <t>КИ</t>
        </is>
      </c>
    </row>
    <row r="245">
      <c r="A245" s="323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кор</t>
        </is>
      </c>
      <c r="U245" s="675">
        <f>IFERROR(U242/H242,"0")+IFERROR(U243/H243,"0")+IFERROR(U244/H244,"0")</f>
        <v/>
      </c>
      <c r="V245" s="675">
        <f>IFERROR(V242/H242,"0")+IFERROR(V243/H243,"0")+IFERROR(V244/H244,"0")</f>
        <v/>
      </c>
      <c r="W245" s="675">
        <f>IFERROR(IF(W242="",0,W242),"0")+IFERROR(IF(W243="",0,W243),"0")+IFERROR(IF(W244="",0,W244),"0")</f>
        <v/>
      </c>
      <c r="X245" s="676" t="n"/>
      <c r="Y245" s="676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673" t="n"/>
      <c r="M246" s="674" t="inlineStr">
        <is>
          <t>Итого</t>
        </is>
      </c>
      <c r="N246" s="644" t="n"/>
      <c r="O246" s="644" t="n"/>
      <c r="P246" s="644" t="n"/>
      <c r="Q246" s="644" t="n"/>
      <c r="R246" s="644" t="n"/>
      <c r="S246" s="645" t="n"/>
      <c r="T246" s="43" t="inlineStr">
        <is>
          <t>кг</t>
        </is>
      </c>
      <c r="U246" s="675">
        <f>IFERROR(SUM(U242:U244),"0")</f>
        <v/>
      </c>
      <c r="V246" s="675">
        <f>IFERROR(SUM(V242:V244),"0")</f>
        <v/>
      </c>
      <c r="W246" s="43" t="n"/>
      <c r="X246" s="676" t="n"/>
      <c r="Y246" s="676" t="n"/>
    </row>
    <row r="247" ht="16.5" customHeight="1">
      <c r="A247" s="330" t="inlineStr">
        <is>
          <t>Фирменная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14.25" customHeight="1">
      <c r="A248" s="331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331" t="n"/>
      <c r="Y248" s="331" t="n"/>
    </row>
    <row r="249" ht="27" customHeight="1">
      <c r="A249" s="64" t="inlineStr">
        <is>
          <t>SU001793</t>
        </is>
      </c>
      <c r="B249" s="64" t="inlineStr">
        <is>
          <t>P001793</t>
        </is>
      </c>
      <c r="C249" s="37" t="n">
        <v>4301011315</v>
      </c>
      <c r="D249" s="315" t="n">
        <v>4607091387421</v>
      </c>
      <c r="E249" s="636" t="n"/>
      <c r="F249" s="668" t="n">
        <v>1.35</v>
      </c>
      <c r="G249" s="38" t="n">
        <v>8</v>
      </c>
      <c r="H249" s="668" t="n">
        <v>10.8</v>
      </c>
      <c r="I249" s="668" t="n">
        <v>11.28</v>
      </c>
      <c r="J249" s="38" t="n">
        <v>56</v>
      </c>
      <c r="K249" s="39" t="inlineStr">
        <is>
          <t>СК1</t>
        </is>
      </c>
      <c r="L249" s="38" t="n">
        <v>55</v>
      </c>
      <c r="M249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IFERROR(IF(V249=0,"",ROUNDUP(V249/H249,0)*0.02175),"")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SU001793</t>
        </is>
      </c>
      <c r="B250" s="64" t="inlineStr">
        <is>
          <t>P002227</t>
        </is>
      </c>
      <c r="C250" s="37" t="n">
        <v>4301011121</v>
      </c>
      <c r="D250" s="315" t="n">
        <v>4607091387421</v>
      </c>
      <c r="E250" s="636" t="n"/>
      <c r="F250" s="668" t="n">
        <v>1.35</v>
      </c>
      <c r="G250" s="38" t="n">
        <v>8</v>
      </c>
      <c r="H250" s="668" t="n">
        <v>10.8</v>
      </c>
      <c r="I250" s="668" t="n">
        <v>11.28</v>
      </c>
      <c r="J250" s="38" t="n">
        <v>48</v>
      </c>
      <c r="K250" s="39" t="inlineStr">
        <is>
          <t>ВЗ</t>
        </is>
      </c>
      <c r="L250" s="38" t="n">
        <v>55</v>
      </c>
      <c r="M250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50" s="670" t="n"/>
      <c r="O250" s="670" t="n"/>
      <c r="P250" s="670" t="n"/>
      <c r="Q250" s="636" t="n"/>
      <c r="R250" s="40" t="inlineStr"/>
      <c r="S250" s="40" t="inlineStr"/>
      <c r="T250" s="41" t="inlineStr">
        <is>
          <t>кг</t>
        </is>
      </c>
      <c r="U250" s="671" t="n">
        <v>0</v>
      </c>
      <c r="V250" s="672">
        <f>IFERROR(IF(U250="",0,CEILING((U250/$H250),1)*$H250),"")</f>
        <v/>
      </c>
      <c r="W250" s="42">
        <f>IFERROR(IF(V250=0,"",ROUNDUP(V250/H250,0)*0.02039),"")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P003673</t>
        </is>
      </c>
      <c r="C251" s="37" t="n">
        <v>4301011619</v>
      </c>
      <c r="D251" s="315" t="n">
        <v>4607091387452</v>
      </c>
      <c r="E251" s="636" t="n"/>
      <c r="F251" s="668" t="n">
        <v>1.45</v>
      </c>
      <c r="G251" s="38" t="n">
        <v>8</v>
      </c>
      <c r="H251" s="668" t="n">
        <v>11.6</v>
      </c>
      <c r="I251" s="668" t="n">
        <v>12.08</v>
      </c>
      <c r="J251" s="38" t="n">
        <v>56</v>
      </c>
      <c r="K251" s="39" t="inlineStr">
        <is>
          <t>СК1</t>
        </is>
      </c>
      <c r="L251" s="38" t="n">
        <v>55</v>
      </c>
      <c r="M251" s="816" t="inlineStr">
        <is>
          <t>Вареные колбасы Молочная По-стародворски Фирменная Весовые П/а Стародворье</t>
        </is>
      </c>
      <c r="N251" s="670" t="n"/>
      <c r="O251" s="670" t="n"/>
      <c r="P251" s="670" t="n"/>
      <c r="Q251" s="636" t="n"/>
      <c r="R251" s="40" t="inlineStr"/>
      <c r="S251" s="40" t="inlineStr"/>
      <c r="T251" s="41" t="inlineStr">
        <is>
          <t>кг</t>
        </is>
      </c>
      <c r="U251" s="671" t="n">
        <v>0</v>
      </c>
      <c r="V251" s="672">
        <f>IFERROR(IF(U251="",0,CEILING((U251/$H251),1)*$H251),"")</f>
        <v/>
      </c>
      <c r="W251" s="42">
        <f>IFERROR(IF(V251=0,"",ROUNDUP(V251/H251,0)*0.02175),"")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SU001799</t>
        </is>
      </c>
      <c r="B252" s="64" t="inlineStr">
        <is>
          <t>P003076</t>
        </is>
      </c>
      <c r="C252" s="37" t="n">
        <v>4301011396</v>
      </c>
      <c r="D252" s="315" t="n">
        <v>4607091387452</v>
      </c>
      <c r="E252" s="636" t="n"/>
      <c r="F252" s="668" t="n">
        <v>1.35</v>
      </c>
      <c r="G252" s="38" t="n">
        <v>8</v>
      </c>
      <c r="H252" s="668" t="n">
        <v>10.8</v>
      </c>
      <c r="I252" s="668" t="n">
        <v>11.28</v>
      </c>
      <c r="J252" s="38" t="n">
        <v>48</v>
      </c>
      <c r="K252" s="39" t="inlineStr">
        <is>
          <t>ВЗ</t>
        </is>
      </c>
      <c r="L252" s="38" t="n">
        <v>55</v>
      </c>
      <c r="M252" s="81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2" s="670" t="n"/>
      <c r="O252" s="670" t="n"/>
      <c r="P252" s="670" t="n"/>
      <c r="Q252" s="636" t="n"/>
      <c r="R252" s="40" t="inlineStr"/>
      <c r="S252" s="40" t="inlineStr"/>
      <c r="T252" s="41" t="inlineStr">
        <is>
          <t>кг</t>
        </is>
      </c>
      <c r="U252" s="671" t="n">
        <v>0</v>
      </c>
      <c r="V252" s="672">
        <f>IFERROR(IF(U252="",0,CEILING((U252/$H252),1)*$H252),"")</f>
        <v/>
      </c>
      <c r="W252" s="42">
        <f>IFERROR(IF(V252=0,"",ROUNDUP(V252/H252,0)*0.02039),"")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SU001792</t>
        </is>
      </c>
      <c r="B253" s="64" t="inlineStr">
        <is>
          <t>P001792</t>
        </is>
      </c>
      <c r="C253" s="37" t="n">
        <v>4301011313</v>
      </c>
      <c r="D253" s="315" t="n">
        <v>4607091385984</v>
      </c>
      <c r="E253" s="636" t="n"/>
      <c r="F253" s="668" t="n">
        <v>1.35</v>
      </c>
      <c r="G253" s="38" t="n">
        <v>8</v>
      </c>
      <c r="H253" s="668" t="n">
        <v>10.8</v>
      </c>
      <c r="I253" s="668" t="n">
        <v>11.28</v>
      </c>
      <c r="J253" s="38" t="n">
        <v>56</v>
      </c>
      <c r="K253" s="39" t="inlineStr">
        <is>
          <t>СК1</t>
        </is>
      </c>
      <c r="L253" s="38" t="n">
        <v>55</v>
      </c>
      <c r="M253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SU001794</t>
        </is>
      </c>
      <c r="B254" s="64" t="inlineStr">
        <is>
          <t>P001794</t>
        </is>
      </c>
      <c r="C254" s="37" t="n">
        <v>4301011316</v>
      </c>
      <c r="D254" s="315" t="n">
        <v>4607091387438</v>
      </c>
      <c r="E254" s="636" t="n"/>
      <c r="F254" s="668" t="n">
        <v>0.5</v>
      </c>
      <c r="G254" s="38" t="n">
        <v>10</v>
      </c>
      <c r="H254" s="668" t="n">
        <v>5</v>
      </c>
      <c r="I254" s="668" t="n">
        <v>5.24</v>
      </c>
      <c r="J254" s="38" t="n">
        <v>120</v>
      </c>
      <c r="K254" s="39" t="inlineStr">
        <is>
          <t>СК1</t>
        </is>
      </c>
      <c r="L254" s="38" t="n">
        <v>55</v>
      </c>
      <c r="M254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0</v>
      </c>
      <c r="V254" s="672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 ht="27" customHeight="1">
      <c r="A255" s="64" t="inlineStr">
        <is>
          <t>SU001795</t>
        </is>
      </c>
      <c r="B255" s="64" t="inlineStr">
        <is>
          <t>P001795</t>
        </is>
      </c>
      <c r="C255" s="37" t="n">
        <v>4301011318</v>
      </c>
      <c r="D255" s="315" t="n">
        <v>4607091387469</v>
      </c>
      <c r="E255" s="636" t="n"/>
      <c r="F255" s="668" t="n">
        <v>0.5</v>
      </c>
      <c r="G255" s="38" t="n">
        <v>10</v>
      </c>
      <c r="H255" s="668" t="n">
        <v>5</v>
      </c>
      <c r="I255" s="668" t="n">
        <v>5.21</v>
      </c>
      <c r="J255" s="38" t="n">
        <v>120</v>
      </c>
      <c r="K255" s="39" t="inlineStr">
        <is>
          <t>СК2</t>
        </is>
      </c>
      <c r="L255" s="38" t="n">
        <v>55</v>
      </c>
      <c r="M255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IFERROR(IF(V255=0,"",ROUNDUP(V255/H255,0)*0.00937),"")</f>
        <v/>
      </c>
      <c r="X255" s="69" t="inlineStr"/>
      <c r="Y255" s="70" t="inlineStr"/>
      <c r="AC255" s="71" t="n"/>
      <c r="AZ255" s="217" t="inlineStr">
        <is>
          <t>КИ</t>
        </is>
      </c>
    </row>
    <row r="256">
      <c r="A256" s="323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IFERROR(U249/H249,"0")+IFERROR(U250/H250,"0")+IFERROR(U251/H251,"0")+IFERROR(U252/H252,"0")+IFERROR(U253/H253,"0")+IFERROR(U254/H254,"0")+IFERROR(U255/H255,"0")</f>
        <v/>
      </c>
      <c r="V256" s="675">
        <f>IFERROR(V249/H249,"0")+IFERROR(V250/H250,"0")+IFERROR(V251/H251,"0")+IFERROR(V252/H252,"0")+IFERROR(V253/H253,"0")+IFERROR(V254/H254,"0")+IFERROR(V255/H255,"0")</f>
        <v/>
      </c>
      <c r="W256" s="675">
        <f>IFERROR(IF(W249="",0,W249),"0")+IFERROR(IF(W250="",0,W250),"0")+IFERROR(IF(W251="",0,W251),"0")+IFERROR(IF(W252="",0,W252),"0")+IFERROR(IF(W253="",0,W253),"0")+IFERROR(IF(W254="",0,W254),"0")+IFERROR(IF(W255="",0,W255),"0")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IFERROR(SUM(U249:U255),"0")</f>
        <v/>
      </c>
      <c r="V257" s="675">
        <f>IFERROR(SUM(V249:V255),"0")</f>
        <v/>
      </c>
      <c r="W257" s="43" t="n"/>
      <c r="X257" s="676" t="n"/>
      <c r="Y257" s="676" t="n"/>
    </row>
    <row r="258" ht="14.25" customHeight="1">
      <c r="A258" s="331" t="inlineStr">
        <is>
          <t>Копченые колбасы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SU001801</t>
        </is>
      </c>
      <c r="B259" s="64" t="inlineStr">
        <is>
          <t>P003014</t>
        </is>
      </c>
      <c r="C259" s="37" t="n">
        <v>4301031154</v>
      </c>
      <c r="D259" s="315" t="n">
        <v>4607091387292</v>
      </c>
      <c r="E259" s="636" t="n"/>
      <c r="F259" s="668" t="n">
        <v>0.73</v>
      </c>
      <c r="G259" s="38" t="n">
        <v>6</v>
      </c>
      <c r="H259" s="668" t="n">
        <v>4.38</v>
      </c>
      <c r="I259" s="668" t="n">
        <v>4.64</v>
      </c>
      <c r="J259" s="38" t="n">
        <v>156</v>
      </c>
      <c r="K259" s="39" t="inlineStr">
        <is>
          <t>СК2</t>
        </is>
      </c>
      <c r="L259" s="38" t="n">
        <v>45</v>
      </c>
      <c r="M259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 ht="27" customHeight="1">
      <c r="A260" s="64" t="inlineStr">
        <is>
          <t>SU000231</t>
        </is>
      </c>
      <c r="B260" s="64" t="inlineStr">
        <is>
          <t>P003015</t>
        </is>
      </c>
      <c r="C260" s="37" t="n">
        <v>4301031155</v>
      </c>
      <c r="D260" s="315" t="n">
        <v>4607091387315</v>
      </c>
      <c r="E260" s="636" t="n"/>
      <c r="F260" s="668" t="n">
        <v>0.7</v>
      </c>
      <c r="G260" s="38" t="n">
        <v>4</v>
      </c>
      <c r="H260" s="668" t="n">
        <v>2.8</v>
      </c>
      <c r="I260" s="668" t="n">
        <v>3.048</v>
      </c>
      <c r="J260" s="38" t="n">
        <v>156</v>
      </c>
      <c r="K260" s="39" t="inlineStr">
        <is>
          <t>СК2</t>
        </is>
      </c>
      <c r="L260" s="38" t="n">
        <v>45</v>
      </c>
      <c r="M260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60" s="670" t="n"/>
      <c r="O260" s="670" t="n"/>
      <c r="P260" s="670" t="n"/>
      <c r="Q260" s="636" t="n"/>
      <c r="R260" s="40" t="inlineStr"/>
      <c r="S260" s="40" t="inlineStr"/>
      <c r="T260" s="41" t="inlineStr">
        <is>
          <t>кг</t>
        </is>
      </c>
      <c r="U260" s="671" t="n">
        <v>0</v>
      </c>
      <c r="V260" s="672">
        <f>IFERROR(IF(U260="",0,CEILING((U260/$H260),1)*$H260),"")</f>
        <v/>
      </c>
      <c r="W260" s="42">
        <f>IFERROR(IF(V260=0,"",ROUNDUP(V260/H260,0)*0.00753),"")</f>
        <v/>
      </c>
      <c r="X260" s="69" t="inlineStr"/>
      <c r="Y260" s="70" t="inlineStr"/>
      <c r="AC260" s="71" t="n"/>
      <c r="AZ260" s="219" t="inlineStr">
        <is>
          <t>КИ</t>
        </is>
      </c>
    </row>
    <row r="261">
      <c r="A261" s="323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кор</t>
        </is>
      </c>
      <c r="U261" s="675">
        <f>IFERROR(U259/H259,"0")+IFERROR(U260/H260,"0")</f>
        <v/>
      </c>
      <c r="V261" s="675">
        <f>IFERROR(V259/H259,"0")+IFERROR(V260/H260,"0")</f>
        <v/>
      </c>
      <c r="W261" s="675">
        <f>IFERROR(IF(W259="",0,W259),"0")+IFERROR(IF(W260="",0,W260),"0")</f>
        <v/>
      </c>
      <c r="X261" s="676" t="n"/>
      <c r="Y261" s="676" t="n"/>
    </row>
    <row r="262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673" t="n"/>
      <c r="M262" s="674" t="inlineStr">
        <is>
          <t>Итого</t>
        </is>
      </c>
      <c r="N262" s="644" t="n"/>
      <c r="O262" s="644" t="n"/>
      <c r="P262" s="644" t="n"/>
      <c r="Q262" s="644" t="n"/>
      <c r="R262" s="644" t="n"/>
      <c r="S262" s="645" t="n"/>
      <c r="T262" s="43" t="inlineStr">
        <is>
          <t>кг</t>
        </is>
      </c>
      <c r="U262" s="675">
        <f>IFERROR(SUM(U259:U260),"0")</f>
        <v/>
      </c>
      <c r="V262" s="675">
        <f>IFERROR(SUM(V259:V260),"0")</f>
        <v/>
      </c>
      <c r="W262" s="43" t="n"/>
      <c r="X262" s="676" t="n"/>
      <c r="Y262" s="676" t="n"/>
    </row>
    <row r="263" ht="16.5" customHeight="1">
      <c r="A263" s="330" t="inlineStr">
        <is>
          <t>Бавария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14.25" customHeight="1">
      <c r="A264" s="331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331" t="n"/>
      <c r="Y264" s="331" t="n"/>
    </row>
    <row r="265" ht="27" customHeight="1">
      <c r="A265" s="64" t="inlineStr">
        <is>
          <t>SU002252</t>
        </is>
      </c>
      <c r="B265" s="64" t="inlineStr">
        <is>
          <t>P002461</t>
        </is>
      </c>
      <c r="C265" s="37" t="n">
        <v>4301031066</v>
      </c>
      <c r="D265" s="315" t="n">
        <v>4607091383836</v>
      </c>
      <c r="E265" s="636" t="n"/>
      <c r="F265" s="668" t="n">
        <v>0.3</v>
      </c>
      <c r="G265" s="38" t="n">
        <v>6</v>
      </c>
      <c r="H265" s="668" t="n">
        <v>1.8</v>
      </c>
      <c r="I265" s="668" t="n">
        <v>2.048</v>
      </c>
      <c r="J265" s="38" t="n">
        <v>156</v>
      </c>
      <c r="K265" s="39" t="inlineStr">
        <is>
          <t>СК2</t>
        </is>
      </c>
      <c r="L265" s="38" t="n">
        <v>40</v>
      </c>
      <c r="M265" s="823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5" s="670" t="n"/>
      <c r="O265" s="670" t="n"/>
      <c r="P265" s="670" t="n"/>
      <c r="Q265" s="636" t="n"/>
      <c r="R265" s="40" t="inlineStr"/>
      <c r="S265" s="40" t="inlineStr"/>
      <c r="T265" s="41" t="inlineStr">
        <is>
          <t>кг</t>
        </is>
      </c>
      <c r="U265" s="671" t="n">
        <v>6</v>
      </c>
      <c r="V265" s="672">
        <f>IFERROR(IF(U265="",0,CEILING((U265/$H265),1)*$H265),"")</f>
        <v/>
      </c>
      <c r="W265" s="42">
        <f>IFERROR(IF(V265=0,"",ROUNDUP(V265/H265,0)*0.00753),"")</f>
        <v/>
      </c>
      <c r="X265" s="69" t="inlineStr"/>
      <c r="Y265" s="70" t="inlineStr"/>
      <c r="AC265" s="71" t="n"/>
      <c r="AZ265" s="220" t="inlineStr">
        <is>
          <t>КИ</t>
        </is>
      </c>
    </row>
    <row r="266">
      <c r="A266" s="323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3" t="n"/>
      <c r="M266" s="674" t="inlineStr">
        <is>
          <t>Итого</t>
        </is>
      </c>
      <c r="N266" s="644" t="n"/>
      <c r="O266" s="644" t="n"/>
      <c r="P266" s="644" t="n"/>
      <c r="Q266" s="644" t="n"/>
      <c r="R266" s="644" t="n"/>
      <c r="S266" s="645" t="n"/>
      <c r="T266" s="43" t="inlineStr">
        <is>
          <t>кор</t>
        </is>
      </c>
      <c r="U266" s="675">
        <f>IFERROR(U265/H265,"0")</f>
        <v/>
      </c>
      <c r="V266" s="675">
        <f>IFERROR(V265/H265,"0")</f>
        <v/>
      </c>
      <c r="W266" s="675">
        <f>IFERROR(IF(W265="",0,W265),"0")</f>
        <v/>
      </c>
      <c r="X266" s="676" t="n"/>
      <c r="Y266" s="67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673" t="n"/>
      <c r="M267" s="674" t="inlineStr">
        <is>
          <t>Итого</t>
        </is>
      </c>
      <c r="N267" s="644" t="n"/>
      <c r="O267" s="644" t="n"/>
      <c r="P267" s="644" t="n"/>
      <c r="Q267" s="644" t="n"/>
      <c r="R267" s="644" t="n"/>
      <c r="S267" s="645" t="n"/>
      <c r="T267" s="43" t="inlineStr">
        <is>
          <t>кг</t>
        </is>
      </c>
      <c r="U267" s="675">
        <f>IFERROR(SUM(U265:U265),"0")</f>
        <v/>
      </c>
      <c r="V267" s="675">
        <f>IFERROR(SUM(V265:V265),"0")</f>
        <v/>
      </c>
      <c r="W267" s="43" t="n"/>
      <c r="X267" s="676" t="n"/>
      <c r="Y267" s="676" t="n"/>
    </row>
    <row r="268" ht="14.25" customHeight="1">
      <c r="A268" s="331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SU001835</t>
        </is>
      </c>
      <c r="B269" s="64" t="inlineStr">
        <is>
          <t>P002202</t>
        </is>
      </c>
      <c r="C269" s="37" t="n">
        <v>4301051142</v>
      </c>
      <c r="D269" s="315" t="n">
        <v>4607091387919</v>
      </c>
      <c r="E269" s="636" t="n"/>
      <c r="F269" s="668" t="n">
        <v>1.35</v>
      </c>
      <c r="G269" s="38" t="n">
        <v>6</v>
      </c>
      <c r="H269" s="668" t="n">
        <v>8.1</v>
      </c>
      <c r="I269" s="668" t="n">
        <v>8.664</v>
      </c>
      <c r="J269" s="38" t="n">
        <v>56</v>
      </c>
      <c r="K269" s="39" t="inlineStr">
        <is>
          <t>СК2</t>
        </is>
      </c>
      <c r="L269" s="38" t="n">
        <v>45</v>
      </c>
      <c r="M269" s="824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IFERROR(IF(V269=0,"",ROUNDUP(V269/H269,0)*0.02175),"")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SU001836</t>
        </is>
      </c>
      <c r="B270" s="64" t="inlineStr">
        <is>
          <t>P002201</t>
        </is>
      </c>
      <c r="C270" s="37" t="n">
        <v>4301051109</v>
      </c>
      <c r="D270" s="315" t="n">
        <v>4607091383942</v>
      </c>
      <c r="E270" s="636" t="n"/>
      <c r="F270" s="668" t="n">
        <v>0.42</v>
      </c>
      <c r="G270" s="38" t="n">
        <v>6</v>
      </c>
      <c r="H270" s="668" t="n">
        <v>2.52</v>
      </c>
      <c r="I270" s="668" t="n">
        <v>2.792</v>
      </c>
      <c r="J270" s="38" t="n">
        <v>156</v>
      </c>
      <c r="K270" s="39" t="inlineStr">
        <is>
          <t>СК3</t>
        </is>
      </c>
      <c r="L270" s="38" t="n">
        <v>45</v>
      </c>
      <c r="M270" s="825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 ht="27" customHeight="1">
      <c r="A271" s="64" t="inlineStr">
        <is>
          <t>SU001970</t>
        </is>
      </c>
      <c r="B271" s="64" t="inlineStr">
        <is>
          <t>P001837</t>
        </is>
      </c>
      <c r="C271" s="37" t="n">
        <v>4301051300</v>
      </c>
      <c r="D271" s="315" t="n">
        <v>4607091383959</v>
      </c>
      <c r="E271" s="636" t="n"/>
      <c r="F271" s="668" t="n">
        <v>0.42</v>
      </c>
      <c r="G271" s="38" t="n">
        <v>6</v>
      </c>
      <c r="H271" s="668" t="n">
        <v>2.52</v>
      </c>
      <c r="I271" s="668" t="n">
        <v>2.78</v>
      </c>
      <c r="J271" s="38" t="n">
        <v>156</v>
      </c>
      <c r="K271" s="39" t="inlineStr">
        <is>
          <t>СК2</t>
        </is>
      </c>
      <c r="L271" s="38" t="n">
        <v>35</v>
      </c>
      <c r="M271" s="826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28</v>
      </c>
      <c r="V271" s="672">
        <f>IFERROR(IF(U271="",0,CEILING((U271/$H271),1)*$H271),"")</f>
        <v/>
      </c>
      <c r="W271" s="42">
        <f>IFERROR(IF(V271=0,"",ROUNDUP(V271/H271,0)*0.00753),"")</f>
        <v/>
      </c>
      <c r="X271" s="69" t="inlineStr"/>
      <c r="Y271" s="70" t="inlineStr"/>
      <c r="AC271" s="71" t="n"/>
      <c r="AZ271" s="223" t="inlineStr">
        <is>
          <t>КИ</t>
        </is>
      </c>
    </row>
    <row r="272">
      <c r="A272" s="323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3" t="n"/>
      <c r="M272" s="674" t="inlineStr">
        <is>
          <t>Итого</t>
        </is>
      </c>
      <c r="N272" s="644" t="n"/>
      <c r="O272" s="644" t="n"/>
      <c r="P272" s="644" t="n"/>
      <c r="Q272" s="644" t="n"/>
      <c r="R272" s="644" t="n"/>
      <c r="S272" s="645" t="n"/>
      <c r="T272" s="43" t="inlineStr">
        <is>
          <t>кор</t>
        </is>
      </c>
      <c r="U272" s="675">
        <f>IFERROR(U269/H269,"0")+IFERROR(U270/H270,"0")+IFERROR(U271/H271,"0")</f>
        <v/>
      </c>
      <c r="V272" s="675">
        <f>IFERROR(V269/H269,"0")+IFERROR(V270/H270,"0")+IFERROR(V271/H271,"0")</f>
        <v/>
      </c>
      <c r="W272" s="675">
        <f>IFERROR(IF(W269="",0,W269),"0")+IFERROR(IF(W270="",0,W270),"0")+IFERROR(IF(W271="",0,W271),"0")</f>
        <v/>
      </c>
      <c r="X272" s="676" t="n"/>
      <c r="Y272" s="676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673" t="n"/>
      <c r="M273" s="674" t="inlineStr">
        <is>
          <t>Итого</t>
        </is>
      </c>
      <c r="N273" s="644" t="n"/>
      <c r="O273" s="644" t="n"/>
      <c r="P273" s="644" t="n"/>
      <c r="Q273" s="644" t="n"/>
      <c r="R273" s="644" t="n"/>
      <c r="S273" s="645" t="n"/>
      <c r="T273" s="43" t="inlineStr">
        <is>
          <t>кг</t>
        </is>
      </c>
      <c r="U273" s="675">
        <f>IFERROR(SUM(U269:U271),"0")</f>
        <v/>
      </c>
      <c r="V273" s="675">
        <f>IFERROR(SUM(V269:V271),"0")</f>
        <v/>
      </c>
      <c r="W273" s="43" t="n"/>
      <c r="X273" s="676" t="n"/>
      <c r="Y273" s="676" t="n"/>
    </row>
    <row r="274" ht="14.25" customHeight="1">
      <c r="A274" s="331" t="inlineStr">
        <is>
          <t>Сардельки</t>
        </is>
      </c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331" t="n"/>
      <c r="Y274" s="331" t="n"/>
    </row>
    <row r="275" ht="27" customHeight="1">
      <c r="A275" s="64" t="inlineStr">
        <is>
          <t>SU002173</t>
        </is>
      </c>
      <c r="B275" s="64" t="inlineStr">
        <is>
          <t>P002361</t>
        </is>
      </c>
      <c r="C275" s="37" t="n">
        <v>4301060324</v>
      </c>
      <c r="D275" s="315" t="n">
        <v>4607091388831</v>
      </c>
      <c r="E275" s="636" t="n"/>
      <c r="F275" s="668" t="n">
        <v>0.38</v>
      </c>
      <c r="G275" s="38" t="n">
        <v>6</v>
      </c>
      <c r="H275" s="668" t="n">
        <v>2.28</v>
      </c>
      <c r="I275" s="668" t="n">
        <v>2.552</v>
      </c>
      <c r="J275" s="38" t="n">
        <v>156</v>
      </c>
      <c r="K275" s="39" t="inlineStr">
        <is>
          <t>СК2</t>
        </is>
      </c>
      <c r="L275" s="38" t="n">
        <v>40</v>
      </c>
      <c r="M275" s="82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IFERROR(IF(V275=0,"",ROUNDUP(V275/H275,0)*0.00753),"")</f>
        <v/>
      </c>
      <c r="X275" s="69" t="inlineStr"/>
      <c r="Y275" s="70" t="inlineStr"/>
      <c r="AC275" s="71" t="n"/>
      <c r="AZ275" s="224" t="inlineStr">
        <is>
          <t>КИ</t>
        </is>
      </c>
    </row>
    <row r="276">
      <c r="A276" s="323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3" t="n"/>
      <c r="M276" s="674" t="inlineStr">
        <is>
          <t>Итого</t>
        </is>
      </c>
      <c r="N276" s="644" t="n"/>
      <c r="O276" s="644" t="n"/>
      <c r="P276" s="644" t="n"/>
      <c r="Q276" s="644" t="n"/>
      <c r="R276" s="644" t="n"/>
      <c r="S276" s="645" t="n"/>
      <c r="T276" s="43" t="inlineStr">
        <is>
          <t>кор</t>
        </is>
      </c>
      <c r="U276" s="675">
        <f>IFERROR(U275/H275,"0")</f>
        <v/>
      </c>
      <c r="V276" s="675">
        <f>IFERROR(V275/H275,"0")</f>
        <v/>
      </c>
      <c r="W276" s="675">
        <f>IFERROR(IF(W275="",0,W275),"0")</f>
        <v/>
      </c>
      <c r="X276" s="676" t="n"/>
      <c r="Y276" s="676" t="n"/>
    </row>
    <row r="277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кг</t>
        </is>
      </c>
      <c r="U277" s="675">
        <f>IFERROR(SUM(U275:U275),"0")</f>
        <v/>
      </c>
      <c r="V277" s="675">
        <f>IFERROR(SUM(V275:V275),"0")</f>
        <v/>
      </c>
      <c r="W277" s="43" t="n"/>
      <c r="X277" s="676" t="n"/>
      <c r="Y277" s="676" t="n"/>
    </row>
    <row r="278" ht="14.25" customHeight="1">
      <c r="A278" s="331" t="inlineStr">
        <is>
          <t>Сырокопченые колбасы</t>
        </is>
      </c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331" t="n"/>
      <c r="Y278" s="331" t="n"/>
    </row>
    <row r="279" ht="27" customHeight="1">
      <c r="A279" s="64" t="inlineStr">
        <is>
          <t>SU002092</t>
        </is>
      </c>
      <c r="B279" s="64" t="inlineStr">
        <is>
          <t>P002290</t>
        </is>
      </c>
      <c r="C279" s="37" t="n">
        <v>4301032015</v>
      </c>
      <c r="D279" s="315" t="n">
        <v>4607091383102</v>
      </c>
      <c r="E279" s="636" t="n"/>
      <c r="F279" s="668" t="n">
        <v>0.17</v>
      </c>
      <c r="G279" s="38" t="n">
        <v>15</v>
      </c>
      <c r="H279" s="668" t="n">
        <v>2.55</v>
      </c>
      <c r="I279" s="668" t="n">
        <v>2.975</v>
      </c>
      <c r="J279" s="38" t="n">
        <v>156</v>
      </c>
      <c r="K279" s="39" t="inlineStr">
        <is>
          <t>АК</t>
        </is>
      </c>
      <c r="L279" s="38" t="n">
        <v>180</v>
      </c>
      <c r="M279" s="828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9" s="670" t="n"/>
      <c r="O279" s="670" t="n"/>
      <c r="P279" s="670" t="n"/>
      <c r="Q279" s="636" t="n"/>
      <c r="R279" s="40" t="inlineStr"/>
      <c r="S279" s="40" t="inlineStr"/>
      <c r="T279" s="41" t="inlineStr">
        <is>
          <t>кг</t>
        </is>
      </c>
      <c r="U279" s="671" t="n">
        <v>0</v>
      </c>
      <c r="V279" s="672">
        <f>IFERROR(IF(U279="",0,CEILING((U279/$H279),1)*$H279),"")</f>
        <v/>
      </c>
      <c r="W279" s="42">
        <f>IFERROR(IF(V279=0,"",ROUNDUP(V279/H279,0)*0.00753),"")</f>
        <v/>
      </c>
      <c r="X279" s="69" t="inlineStr"/>
      <c r="Y279" s="70" t="inlineStr"/>
      <c r="AC279" s="71" t="n"/>
      <c r="AZ279" s="225" t="inlineStr">
        <is>
          <t>КИ</t>
        </is>
      </c>
    </row>
    <row r="280">
      <c r="A280" s="323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3" t="n"/>
      <c r="M280" s="674" t="inlineStr">
        <is>
          <t>Итого</t>
        </is>
      </c>
      <c r="N280" s="644" t="n"/>
      <c r="O280" s="644" t="n"/>
      <c r="P280" s="644" t="n"/>
      <c r="Q280" s="644" t="n"/>
      <c r="R280" s="644" t="n"/>
      <c r="S280" s="645" t="n"/>
      <c r="T280" s="43" t="inlineStr">
        <is>
          <t>кор</t>
        </is>
      </c>
      <c r="U280" s="675">
        <f>IFERROR(U279/H279,"0")</f>
        <v/>
      </c>
      <c r="V280" s="675">
        <f>IFERROR(V279/H279,"0")</f>
        <v/>
      </c>
      <c r="W280" s="675">
        <f>IFERROR(IF(W279="",0,W279),"0")</f>
        <v/>
      </c>
      <c r="X280" s="676" t="n"/>
      <c r="Y280" s="676" t="n"/>
    </row>
    <row r="281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673" t="n"/>
      <c r="M281" s="674" t="inlineStr">
        <is>
          <t>Итого</t>
        </is>
      </c>
      <c r="N281" s="644" t="n"/>
      <c r="O281" s="644" t="n"/>
      <c r="P281" s="644" t="n"/>
      <c r="Q281" s="644" t="n"/>
      <c r="R281" s="644" t="n"/>
      <c r="S281" s="645" t="n"/>
      <c r="T281" s="43" t="inlineStr">
        <is>
          <t>кг</t>
        </is>
      </c>
      <c r="U281" s="675">
        <f>IFERROR(SUM(U279:U279),"0")</f>
        <v/>
      </c>
      <c r="V281" s="675">
        <f>IFERROR(SUM(V279:V279),"0")</f>
        <v/>
      </c>
      <c r="W281" s="43" t="n"/>
      <c r="X281" s="676" t="n"/>
      <c r="Y281" s="676" t="n"/>
    </row>
    <row r="282" ht="27.75" customHeight="1">
      <c r="A282" s="336" t="inlineStr">
        <is>
          <t>Особый рецепт</t>
        </is>
      </c>
      <c r="B282" s="667" t="n"/>
      <c r="C282" s="667" t="n"/>
      <c r="D282" s="667" t="n"/>
      <c r="E282" s="667" t="n"/>
      <c r="F282" s="667" t="n"/>
      <c r="G282" s="667" t="n"/>
      <c r="H282" s="667" t="n"/>
      <c r="I282" s="667" t="n"/>
      <c r="J282" s="667" t="n"/>
      <c r="K282" s="667" t="n"/>
      <c r="L282" s="667" t="n"/>
      <c r="M282" s="667" t="n"/>
      <c r="N282" s="667" t="n"/>
      <c r="O282" s="667" t="n"/>
      <c r="P282" s="667" t="n"/>
      <c r="Q282" s="667" t="n"/>
      <c r="R282" s="667" t="n"/>
      <c r="S282" s="667" t="n"/>
      <c r="T282" s="667" t="n"/>
      <c r="U282" s="667" t="n"/>
      <c r="V282" s="667" t="n"/>
      <c r="W282" s="667" t="n"/>
      <c r="X282" s="55" t="n"/>
      <c r="Y282" s="55" t="n"/>
    </row>
    <row r="283" ht="16.5" customHeight="1">
      <c r="A283" s="330" t="inlineStr">
        <is>
          <t>Особая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14.25" customHeight="1">
      <c r="A284" s="331" t="inlineStr">
        <is>
          <t>Вареные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5" t="n">
        <v>4607091383997</v>
      </c>
      <c r="E285" s="636" t="n"/>
      <c r="F285" s="668" t="n">
        <v>2.5</v>
      </c>
      <c r="G285" s="38" t="n">
        <v>6</v>
      </c>
      <c r="H285" s="668" t="n">
        <v>15</v>
      </c>
      <c r="I285" s="668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SU000251</t>
        </is>
      </c>
      <c r="B286" s="64" t="inlineStr">
        <is>
          <t>P002581</t>
        </is>
      </c>
      <c r="C286" s="37" t="n">
        <v>4301011239</v>
      </c>
      <c r="D286" s="315" t="n">
        <v>4607091383997</v>
      </c>
      <c r="E286" s="636" t="n"/>
      <c r="F286" s="668" t="n">
        <v>2.5</v>
      </c>
      <c r="G286" s="38" t="n">
        <v>6</v>
      </c>
      <c r="H286" s="668" t="n">
        <v>15</v>
      </c>
      <c r="I286" s="668" t="n">
        <v>15.48</v>
      </c>
      <c r="J286" s="38" t="n">
        <v>48</v>
      </c>
      <c r="K286" s="39" t="inlineStr">
        <is>
          <t>ВЗ</t>
        </is>
      </c>
      <c r="L286" s="38" t="n">
        <v>60</v>
      </c>
      <c r="M286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6" s="670" t="n"/>
      <c r="O286" s="670" t="n"/>
      <c r="P286" s="670" t="n"/>
      <c r="Q286" s="636" t="n"/>
      <c r="R286" s="40" t="inlineStr"/>
      <c r="S286" s="40" t="inlineStr"/>
      <c r="T286" s="41" t="inlineStr">
        <is>
          <t>кг</t>
        </is>
      </c>
      <c r="U286" s="671" t="n">
        <v>0</v>
      </c>
      <c r="V286" s="672">
        <f>IFERROR(IF(U286="",0,CEILING((U286/$H286),1)*$H286),"")</f>
        <v/>
      </c>
      <c r="W286" s="42">
        <f>IFERROR(IF(V286=0,"",ROUNDUP(V286/H286,0)*0.02039),"")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P002562</t>
        </is>
      </c>
      <c r="C287" s="37" t="n">
        <v>4301011326</v>
      </c>
      <c r="D287" s="315" t="n">
        <v>4607091384130</v>
      </c>
      <c r="E287" s="636" t="n"/>
      <c r="F287" s="668" t="n">
        <v>2.5</v>
      </c>
      <c r="G287" s="38" t="n">
        <v>6</v>
      </c>
      <c r="H287" s="668" t="n">
        <v>15</v>
      </c>
      <c r="I287" s="668" t="n">
        <v>15.48</v>
      </c>
      <c r="J287" s="38" t="n">
        <v>48</v>
      </c>
      <c r="K287" s="39" t="inlineStr">
        <is>
          <t>СК2</t>
        </is>
      </c>
      <c r="L287" s="38" t="n">
        <v>60</v>
      </c>
      <c r="M287" s="831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7" s="670" t="n"/>
      <c r="O287" s="670" t="n"/>
      <c r="P287" s="670" t="n"/>
      <c r="Q287" s="636" t="n"/>
      <c r="R287" s="40" t="inlineStr"/>
      <c r="S287" s="40" t="inlineStr"/>
      <c r="T287" s="41" t="inlineStr">
        <is>
          <t>кг</t>
        </is>
      </c>
      <c r="U287" s="671" t="n">
        <v>5000</v>
      </c>
      <c r="V287" s="672">
        <f>IFERROR(IF(U287="",0,CEILING((U287/$H287),1)*$H287),"")</f>
        <v/>
      </c>
      <c r="W287" s="42">
        <f>IFERROR(IF(V287=0,"",ROUNDUP(V287/H287,0)*0.02175),"")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27" customHeight="1">
      <c r="A288" s="64" t="inlineStr">
        <is>
          <t>SU001578</t>
        </is>
      </c>
      <c r="B288" s="64" t="inlineStr">
        <is>
          <t>P002582</t>
        </is>
      </c>
      <c r="C288" s="37" t="n">
        <v>4301011240</v>
      </c>
      <c r="D288" s="315" t="n">
        <v>4607091384130</v>
      </c>
      <c r="E288" s="636" t="n"/>
      <c r="F288" s="668" t="n">
        <v>2.5</v>
      </c>
      <c r="G288" s="38" t="n">
        <v>6</v>
      </c>
      <c r="H288" s="668" t="n">
        <v>15</v>
      </c>
      <c r="I288" s="668" t="n">
        <v>15.48</v>
      </c>
      <c r="J288" s="38" t="n">
        <v>48</v>
      </c>
      <c r="K288" s="39" t="inlineStr">
        <is>
          <t>ВЗ</t>
        </is>
      </c>
      <c r="L288" s="38" t="n">
        <v>60</v>
      </c>
      <c r="M288" s="832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8" s="670" t="n"/>
      <c r="O288" s="670" t="n"/>
      <c r="P288" s="670" t="n"/>
      <c r="Q288" s="636" t="n"/>
      <c r="R288" s="40" t="inlineStr"/>
      <c r="S288" s="40" t="inlineStr"/>
      <c r="T288" s="41" t="inlineStr">
        <is>
          <t>кг</t>
        </is>
      </c>
      <c r="U288" s="671" t="n">
        <v>0</v>
      </c>
      <c r="V288" s="672">
        <f>IFERROR(IF(U288="",0,CEILING((U288/$H288),1)*$H288),"")</f>
        <v/>
      </c>
      <c r="W288" s="42">
        <f>IFERROR(IF(V288=0,"",ROUNDUP(V288/H288,0)*0.02039),"")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P002564</t>
        </is>
      </c>
      <c r="C289" s="37" t="n">
        <v>4301011330</v>
      </c>
      <c r="D289" s="315" t="n">
        <v>4607091384147</v>
      </c>
      <c r="E289" s="636" t="n"/>
      <c r="F289" s="668" t="n">
        <v>2.5</v>
      </c>
      <c r="G289" s="38" t="n">
        <v>6</v>
      </c>
      <c r="H289" s="668" t="n">
        <v>15</v>
      </c>
      <c r="I289" s="668" t="n">
        <v>15.48</v>
      </c>
      <c r="J289" s="38" t="n">
        <v>48</v>
      </c>
      <c r="K289" s="39" t="inlineStr">
        <is>
          <t>СК2</t>
        </is>
      </c>
      <c r="L289" s="38" t="n">
        <v>60</v>
      </c>
      <c r="M289" s="833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16.5" customHeight="1">
      <c r="A290" s="64" t="inlineStr">
        <is>
          <t>SU000102</t>
        </is>
      </c>
      <c r="B290" s="64" t="inlineStr">
        <is>
          <t>P002580</t>
        </is>
      </c>
      <c r="C290" s="37" t="n">
        <v>4301011238</v>
      </c>
      <c r="D290" s="315" t="n">
        <v>4607091384147</v>
      </c>
      <c r="E290" s="636" t="n"/>
      <c r="F290" s="668" t="n">
        <v>2.5</v>
      </c>
      <c r="G290" s="38" t="n">
        <v>6</v>
      </c>
      <c r="H290" s="668" t="n">
        <v>15</v>
      </c>
      <c r="I290" s="668" t="n">
        <v>15.48</v>
      </c>
      <c r="J290" s="38" t="n">
        <v>48</v>
      </c>
      <c r="K290" s="39" t="inlineStr">
        <is>
          <t>ВЗ</t>
        </is>
      </c>
      <c r="L290" s="38" t="n">
        <v>60</v>
      </c>
      <c r="M290" s="834" t="inlineStr">
        <is>
          <t>Вареные колбасы Особая Особая Весовые П/а Особый рецепт</t>
        </is>
      </c>
      <c r="N290" s="670" t="n"/>
      <c r="O290" s="670" t="n"/>
      <c r="P290" s="670" t="n"/>
      <c r="Q290" s="636" t="n"/>
      <c r="R290" s="40" t="inlineStr"/>
      <c r="S290" s="40" t="inlineStr"/>
      <c r="T290" s="41" t="inlineStr">
        <is>
          <t>кг</t>
        </is>
      </c>
      <c r="U290" s="671" t="n">
        <v>0</v>
      </c>
      <c r="V290" s="672">
        <f>IFERROR(IF(U290="",0,CEILING((U290/$H290),1)*$H290),"")</f>
        <v/>
      </c>
      <c r="W290" s="42">
        <f>IFERROR(IF(V290=0,"",ROUNDUP(V290/H290,0)*0.02039),"")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SU001989</t>
        </is>
      </c>
      <c r="B291" s="64" t="inlineStr">
        <is>
          <t>P002560</t>
        </is>
      </c>
      <c r="C291" s="37" t="n">
        <v>4301011327</v>
      </c>
      <c r="D291" s="315" t="n">
        <v>4607091384154</v>
      </c>
      <c r="E291" s="636" t="n"/>
      <c r="F291" s="668" t="n">
        <v>0.5</v>
      </c>
      <c r="G291" s="38" t="n">
        <v>10</v>
      </c>
      <c r="H291" s="668" t="n">
        <v>5</v>
      </c>
      <c r="I291" s="668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5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1" s="670" t="n"/>
      <c r="O291" s="670" t="n"/>
      <c r="P291" s="670" t="n"/>
      <c r="Q291" s="636" t="n"/>
      <c r="R291" s="40" t="inlineStr"/>
      <c r="S291" s="40" t="inlineStr"/>
      <c r="T291" s="41" t="inlineStr">
        <is>
          <t>кг</t>
        </is>
      </c>
      <c r="U291" s="671" t="n">
        <v>0</v>
      </c>
      <c r="V291" s="672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 ht="27" customHeight="1">
      <c r="A292" s="64" t="inlineStr">
        <is>
          <t>SU000256</t>
        </is>
      </c>
      <c r="B292" s="64" t="inlineStr">
        <is>
          <t>P002565</t>
        </is>
      </c>
      <c r="C292" s="37" t="n">
        <v>4301011332</v>
      </c>
      <c r="D292" s="315" t="n">
        <v>4607091384161</v>
      </c>
      <c r="E292" s="636" t="n"/>
      <c r="F292" s="668" t="n">
        <v>0.5</v>
      </c>
      <c r="G292" s="38" t="n">
        <v>10</v>
      </c>
      <c r="H292" s="668" t="n">
        <v>5</v>
      </c>
      <c r="I292" s="668" t="n">
        <v>5.21</v>
      </c>
      <c r="J292" s="38" t="n">
        <v>120</v>
      </c>
      <c r="K292" s="39" t="inlineStr">
        <is>
          <t>СК2</t>
        </is>
      </c>
      <c r="L292" s="38" t="n">
        <v>60</v>
      </c>
      <c r="M292" s="836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2" s="670" t="n"/>
      <c r="O292" s="670" t="n"/>
      <c r="P292" s="670" t="n"/>
      <c r="Q292" s="636" t="n"/>
      <c r="R292" s="40" t="inlineStr"/>
      <c r="S292" s="40" t="inlineStr"/>
      <c r="T292" s="41" t="inlineStr">
        <is>
          <t>кг</t>
        </is>
      </c>
      <c r="U292" s="671" t="n">
        <v>0</v>
      </c>
      <c r="V292" s="672">
        <f>IFERROR(IF(U292="",0,CEILING((U292/$H292),1)*$H292),"")</f>
        <v/>
      </c>
      <c r="W292" s="42">
        <f>IFERROR(IF(V292=0,"",ROUNDUP(V292/H292,0)*0.00937),"")</f>
        <v/>
      </c>
      <c r="X292" s="69" t="inlineStr"/>
      <c r="Y292" s="70" t="inlineStr"/>
      <c r="AC292" s="71" t="n"/>
      <c r="AZ292" s="233" t="inlineStr">
        <is>
          <t>КИ</t>
        </is>
      </c>
    </row>
    <row r="293">
      <c r="A293" s="323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3" t="n"/>
      <c r="M293" s="674" t="inlineStr">
        <is>
          <t>Итого</t>
        </is>
      </c>
      <c r="N293" s="644" t="n"/>
      <c r="O293" s="644" t="n"/>
      <c r="P293" s="644" t="n"/>
      <c r="Q293" s="644" t="n"/>
      <c r="R293" s="644" t="n"/>
      <c r="S293" s="645" t="n"/>
      <c r="T293" s="43" t="inlineStr">
        <is>
          <t>кор</t>
        </is>
      </c>
      <c r="U293" s="675">
        <f>IFERROR(U285/H285,"0")+IFERROR(U286/H286,"0")+IFERROR(U287/H287,"0")+IFERROR(U288/H288,"0")+IFERROR(U289/H289,"0")+IFERROR(U290/H290,"0")+IFERROR(U291/H291,"0")+IFERROR(U292/H292,"0")</f>
        <v/>
      </c>
      <c r="V293" s="675">
        <f>IFERROR(V285/H285,"0")+IFERROR(V286/H286,"0")+IFERROR(V287/H287,"0")+IFERROR(V288/H288,"0")+IFERROR(V289/H289,"0")+IFERROR(V290/H290,"0")+IFERROR(V291/H291,"0")+IFERROR(V292/H292,"0")</f>
        <v/>
      </c>
      <c r="W293" s="675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/>
      </c>
      <c r="X293" s="676" t="n"/>
      <c r="Y293" s="676" t="n"/>
    </row>
    <row r="294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кг</t>
        </is>
      </c>
      <c r="U294" s="675">
        <f>IFERROR(SUM(U285:U292),"0")</f>
        <v/>
      </c>
      <c r="V294" s="675">
        <f>IFERROR(SUM(V285:V292),"0")</f>
        <v/>
      </c>
      <c r="W294" s="43" t="n"/>
      <c r="X294" s="676" t="n"/>
      <c r="Y294" s="676" t="n"/>
    </row>
    <row r="295" ht="14.25" customHeight="1">
      <c r="A295" s="331" t="inlineStr">
        <is>
          <t>Ветчины</t>
        </is>
      </c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331" t="n"/>
      <c r="Y295" s="331" t="n"/>
    </row>
    <row r="296" ht="27" customHeight="1">
      <c r="A296" s="64" t="inlineStr">
        <is>
          <t>SU000126</t>
        </is>
      </c>
      <c r="B296" s="64" t="inlineStr">
        <is>
          <t>P002555</t>
        </is>
      </c>
      <c r="C296" s="37" t="n">
        <v>4301020178</v>
      </c>
      <c r="D296" s="315" t="n">
        <v>4607091383980</v>
      </c>
      <c r="E296" s="636" t="n"/>
      <c r="F296" s="668" t="n">
        <v>2.5</v>
      </c>
      <c r="G296" s="38" t="n">
        <v>6</v>
      </c>
      <c r="H296" s="668" t="n">
        <v>15</v>
      </c>
      <c r="I296" s="668" t="n">
        <v>15.48</v>
      </c>
      <c r="J296" s="38" t="n">
        <v>48</v>
      </c>
      <c r="K296" s="39" t="inlineStr">
        <is>
          <t>СК1</t>
        </is>
      </c>
      <c r="L296" s="38" t="n">
        <v>50</v>
      </c>
      <c r="M296" s="83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6" s="670" t="n"/>
      <c r="O296" s="670" t="n"/>
      <c r="P296" s="670" t="n"/>
      <c r="Q296" s="636" t="n"/>
      <c r="R296" s="40" t="inlineStr"/>
      <c r="S296" s="40" t="inlineStr"/>
      <c r="T296" s="41" t="inlineStr">
        <is>
          <t>кг</t>
        </is>
      </c>
      <c r="U296" s="671" t="n">
        <v>0</v>
      </c>
      <c r="V296" s="672">
        <f>IFERROR(IF(U296="",0,CEILING((U296/$H296),1)*$H296),"")</f>
        <v/>
      </c>
      <c r="W296" s="42">
        <f>IFERROR(IF(V296=0,"",ROUNDUP(V296/H296,0)*0.02175),"")</f>
        <v/>
      </c>
      <c r="X296" s="69" t="inlineStr"/>
      <c r="Y296" s="70" t="inlineStr"/>
      <c r="AC296" s="71" t="n"/>
      <c r="AZ296" s="234" t="inlineStr">
        <is>
          <t>КИ</t>
        </is>
      </c>
    </row>
    <row r="297" ht="27" customHeight="1">
      <c r="A297" s="64" t="inlineStr">
        <is>
          <t>SU002027</t>
        </is>
      </c>
      <c r="B297" s="64" t="inlineStr">
        <is>
          <t>P002556</t>
        </is>
      </c>
      <c r="C297" s="37" t="n">
        <v>4301020179</v>
      </c>
      <c r="D297" s="315" t="n">
        <v>4607091384178</v>
      </c>
      <c r="E297" s="636" t="n"/>
      <c r="F297" s="668" t="n">
        <v>0.4</v>
      </c>
      <c r="G297" s="38" t="n">
        <v>10</v>
      </c>
      <c r="H297" s="668" t="n">
        <v>4</v>
      </c>
      <c r="I297" s="668" t="n">
        <v>4.24</v>
      </c>
      <c r="J297" s="38" t="n">
        <v>120</v>
      </c>
      <c r="K297" s="39" t="inlineStr">
        <is>
          <t>СК1</t>
        </is>
      </c>
      <c r="L297" s="38" t="n">
        <v>50</v>
      </c>
      <c r="M297" s="838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7" s="670" t="n"/>
      <c r="O297" s="670" t="n"/>
      <c r="P297" s="670" t="n"/>
      <c r="Q297" s="636" t="n"/>
      <c r="R297" s="40" t="inlineStr"/>
      <c r="S297" s="40" t="inlineStr"/>
      <c r="T297" s="41" t="inlineStr">
        <is>
          <t>кг</t>
        </is>
      </c>
      <c r="U297" s="671" t="n">
        <v>0</v>
      </c>
      <c r="V297" s="672">
        <f>IFERROR(IF(U297="",0,CEILING((U297/$H297),1)*$H297),"")</f>
        <v/>
      </c>
      <c r="W297" s="42">
        <f>IFERROR(IF(V297=0,"",ROUNDUP(V297/H297,0)*0.00937),"")</f>
        <v/>
      </c>
      <c r="X297" s="69" t="inlineStr"/>
      <c r="Y297" s="70" t="inlineStr"/>
      <c r="AC297" s="71" t="n"/>
      <c r="AZ297" s="235" t="inlineStr">
        <is>
          <t>КИ</t>
        </is>
      </c>
    </row>
    <row r="298">
      <c r="A298" s="323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3" t="n"/>
      <c r="M298" s="674" t="inlineStr">
        <is>
          <t>Итого</t>
        </is>
      </c>
      <c r="N298" s="644" t="n"/>
      <c r="O298" s="644" t="n"/>
      <c r="P298" s="644" t="n"/>
      <c r="Q298" s="644" t="n"/>
      <c r="R298" s="644" t="n"/>
      <c r="S298" s="645" t="n"/>
      <c r="T298" s="43" t="inlineStr">
        <is>
          <t>кор</t>
        </is>
      </c>
      <c r="U298" s="675">
        <f>IFERROR(U296/H296,"0")+IFERROR(U297/H297,"0")</f>
        <v/>
      </c>
      <c r="V298" s="675">
        <f>IFERROR(V296/H296,"0")+IFERROR(V297/H297,"0")</f>
        <v/>
      </c>
      <c r="W298" s="675">
        <f>IFERROR(IF(W296="",0,W296),"0")+IFERROR(IF(W297="",0,W297),"0")</f>
        <v/>
      </c>
      <c r="X298" s="676" t="n"/>
      <c r="Y298" s="67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673" t="n"/>
      <c r="M299" s="674" t="inlineStr">
        <is>
          <t>Итого</t>
        </is>
      </c>
      <c r="N299" s="644" t="n"/>
      <c r="O299" s="644" t="n"/>
      <c r="P299" s="644" t="n"/>
      <c r="Q299" s="644" t="n"/>
      <c r="R299" s="644" t="n"/>
      <c r="S299" s="645" t="n"/>
      <c r="T299" s="43" t="inlineStr">
        <is>
          <t>кг</t>
        </is>
      </c>
      <c r="U299" s="675">
        <f>IFERROR(SUM(U296:U297),"0")</f>
        <v/>
      </c>
      <c r="V299" s="675">
        <f>IFERROR(SUM(V296:V297),"0")</f>
        <v/>
      </c>
      <c r="W299" s="43" t="n"/>
      <c r="X299" s="676" t="n"/>
      <c r="Y299" s="676" t="n"/>
    </row>
    <row r="300" ht="14.25" customHeight="1">
      <c r="A300" s="331" t="inlineStr">
        <is>
          <t>Сосиски</t>
        </is>
      </c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331" t="n"/>
      <c r="Y300" s="331" t="n"/>
    </row>
    <row r="301" ht="27" customHeight="1">
      <c r="A301" s="64" t="inlineStr">
        <is>
          <t>SU000246</t>
        </is>
      </c>
      <c r="B301" s="64" t="inlineStr">
        <is>
          <t>P002690</t>
        </is>
      </c>
      <c r="C301" s="37" t="n">
        <v>4301051298</v>
      </c>
      <c r="D301" s="315" t="n">
        <v>4607091384260</v>
      </c>
      <c r="E301" s="636" t="n"/>
      <c r="F301" s="668" t="n">
        <v>1.3</v>
      </c>
      <c r="G301" s="38" t="n">
        <v>6</v>
      </c>
      <c r="H301" s="668" t="n">
        <v>7.8</v>
      </c>
      <c r="I301" s="668" t="n">
        <v>8.364000000000001</v>
      </c>
      <c r="J301" s="38" t="n">
        <v>56</v>
      </c>
      <c r="K301" s="39" t="inlineStr">
        <is>
          <t>СК2</t>
        </is>
      </c>
      <c r="L301" s="38" t="n">
        <v>35</v>
      </c>
      <c r="M301" s="839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IFERROR(IF(V301=0,"",ROUNDUP(V301/H301,0)*0.02175),"")</f>
        <v/>
      </c>
      <c r="X301" s="69" t="inlineStr"/>
      <c r="Y301" s="70" t="inlineStr"/>
      <c r="AC301" s="71" t="n"/>
      <c r="AZ301" s="236" t="inlineStr">
        <is>
          <t>КИ</t>
        </is>
      </c>
    </row>
    <row r="302">
      <c r="A302" s="323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IFERROR(U301/H301,"0")</f>
        <v/>
      </c>
      <c r="V302" s="675">
        <f>IFERROR(V301/H301,"0")</f>
        <v/>
      </c>
      <c r="W302" s="675">
        <f>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IFERROR(SUM(U301:U301),"0")</f>
        <v/>
      </c>
      <c r="V303" s="675">
        <f>IFERROR(SUM(V301:V301),"0")</f>
        <v/>
      </c>
      <c r="W303" s="43" t="n"/>
      <c r="X303" s="676" t="n"/>
      <c r="Y303" s="676" t="n"/>
    </row>
    <row r="304" ht="14.25" customHeight="1">
      <c r="A304" s="331" t="inlineStr">
        <is>
          <t>Сардельки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16.5" customHeight="1">
      <c r="A305" s="64" t="inlineStr">
        <is>
          <t>SU002287</t>
        </is>
      </c>
      <c r="B305" s="64" t="inlineStr">
        <is>
          <t>P002490</t>
        </is>
      </c>
      <c r="C305" s="37" t="n">
        <v>4301060314</v>
      </c>
      <c r="D305" s="315" t="n">
        <v>4607091384673</v>
      </c>
      <c r="E305" s="636" t="n"/>
      <c r="F305" s="668" t="n">
        <v>1.3</v>
      </c>
      <c r="G305" s="38" t="n">
        <v>6</v>
      </c>
      <c r="H305" s="668" t="n">
        <v>7.8</v>
      </c>
      <c r="I305" s="668" t="n">
        <v>8.364000000000001</v>
      </c>
      <c r="J305" s="38" t="n">
        <v>56</v>
      </c>
      <c r="K305" s="39" t="inlineStr">
        <is>
          <t>СК2</t>
        </is>
      </c>
      <c r="L305" s="38" t="n">
        <v>30</v>
      </c>
      <c r="M305" s="840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IFERROR(IF(V305=0,"",ROUNDUP(V305/H305,0)*0.02175),"")</f>
        <v/>
      </c>
      <c r="X305" s="69" t="inlineStr"/>
      <c r="Y305" s="70" t="inlineStr"/>
      <c r="AC305" s="71" t="n"/>
      <c r="AZ305" s="237" t="inlineStr">
        <is>
          <t>КИ</t>
        </is>
      </c>
    </row>
    <row r="306">
      <c r="A306" s="323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3" t="n"/>
      <c r="M306" s="674" t="inlineStr">
        <is>
          <t>Итого</t>
        </is>
      </c>
      <c r="N306" s="644" t="n"/>
      <c r="O306" s="644" t="n"/>
      <c r="P306" s="644" t="n"/>
      <c r="Q306" s="644" t="n"/>
      <c r="R306" s="644" t="n"/>
      <c r="S306" s="645" t="n"/>
      <c r="T306" s="43" t="inlineStr">
        <is>
          <t>кор</t>
        </is>
      </c>
      <c r="U306" s="675">
        <f>IFERROR(U305/H305,"0")</f>
        <v/>
      </c>
      <c r="V306" s="675">
        <f>IFERROR(V305/H305,"0")</f>
        <v/>
      </c>
      <c r="W306" s="675">
        <f>IFERROR(IF(W305="",0,W305),"0")</f>
        <v/>
      </c>
      <c r="X306" s="676" t="n"/>
      <c r="Y306" s="676" t="n"/>
    </row>
    <row r="307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кг</t>
        </is>
      </c>
      <c r="U307" s="675">
        <f>IFERROR(SUM(U305:U305),"0")</f>
        <v/>
      </c>
      <c r="V307" s="675">
        <f>IFERROR(SUM(V305:V305),"0")</f>
        <v/>
      </c>
      <c r="W307" s="43" t="n"/>
      <c r="X307" s="676" t="n"/>
      <c r="Y307" s="676" t="n"/>
    </row>
    <row r="308" ht="16.5" customHeight="1">
      <c r="A308" s="330" t="inlineStr">
        <is>
          <t>Особая Без свинины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14.25" customHeight="1">
      <c r="A309" s="331" t="inlineStr">
        <is>
          <t>Вареные колбасы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SU002073</t>
        </is>
      </c>
      <c r="B310" s="64" t="inlineStr">
        <is>
          <t>P002563</t>
        </is>
      </c>
      <c r="C310" s="37" t="n">
        <v>4301011324</v>
      </c>
      <c r="D310" s="315" t="n">
        <v>4607091384185</v>
      </c>
      <c r="E310" s="636" t="n"/>
      <c r="F310" s="668" t="n">
        <v>0.8</v>
      </c>
      <c r="G310" s="38" t="n">
        <v>15</v>
      </c>
      <c r="H310" s="668" t="n">
        <v>12</v>
      </c>
      <c r="I310" s="668" t="n">
        <v>12.48</v>
      </c>
      <c r="J310" s="38" t="n">
        <v>56</v>
      </c>
      <c r="K310" s="39" t="inlineStr">
        <is>
          <t>СК2</t>
        </is>
      </c>
      <c r="L310" s="38" t="n">
        <v>60</v>
      </c>
      <c r="M310" s="841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SU002187</t>
        </is>
      </c>
      <c r="B311" s="64" t="inlineStr">
        <is>
          <t>P002559</t>
        </is>
      </c>
      <c r="C311" s="37" t="n">
        <v>4301011312</v>
      </c>
      <c r="D311" s="315" t="n">
        <v>4607091384192</v>
      </c>
      <c r="E311" s="636" t="n"/>
      <c r="F311" s="668" t="n">
        <v>1.8</v>
      </c>
      <c r="G311" s="38" t="n">
        <v>6</v>
      </c>
      <c r="H311" s="668" t="n">
        <v>10.8</v>
      </c>
      <c r="I311" s="668" t="n">
        <v>11.28</v>
      </c>
      <c r="J311" s="38" t="n">
        <v>56</v>
      </c>
      <c r="K311" s="39" t="inlineStr">
        <is>
          <t>СК1</t>
        </is>
      </c>
      <c r="L311" s="38" t="n">
        <v>60</v>
      </c>
      <c r="M311" s="842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SU002899</t>
        </is>
      </c>
      <c r="B312" s="64" t="inlineStr">
        <is>
          <t>P003323</t>
        </is>
      </c>
      <c r="C312" s="37" t="n">
        <v>4301011483</v>
      </c>
      <c r="D312" s="315" t="n">
        <v>4680115881907</v>
      </c>
      <c r="E312" s="636" t="n"/>
      <c r="F312" s="668" t="n">
        <v>1.8</v>
      </c>
      <c r="G312" s="38" t="n">
        <v>6</v>
      </c>
      <c r="H312" s="668" t="n">
        <v>10.8</v>
      </c>
      <c r="I312" s="668" t="n">
        <v>11.28</v>
      </c>
      <c r="J312" s="38" t="n">
        <v>56</v>
      </c>
      <c r="K312" s="39" t="inlineStr">
        <is>
          <t>СК2</t>
        </is>
      </c>
      <c r="L312" s="38" t="n">
        <v>60</v>
      </c>
      <c r="M312" s="843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IFERROR(IF(V312=0,"",ROUNDUP(V312/H312,0)*0.02175),"")</f>
        <v/>
      </c>
      <c r="X312" s="69" t="inlineStr"/>
      <c r="Y312" s="70" t="inlineStr"/>
      <c r="AC312" s="71" t="n"/>
      <c r="AZ312" s="240" t="inlineStr">
        <is>
          <t>КИ</t>
        </is>
      </c>
    </row>
    <row r="313" ht="27" customHeight="1">
      <c r="A313" s="64" t="inlineStr">
        <is>
          <t>SU002462</t>
        </is>
      </c>
      <c r="B313" s="64" t="inlineStr">
        <is>
          <t>P002768</t>
        </is>
      </c>
      <c r="C313" s="37" t="n">
        <v>4301011303</v>
      </c>
      <c r="D313" s="315" t="n">
        <v>4607091384680</v>
      </c>
      <c r="E313" s="636" t="n"/>
      <c r="F313" s="668" t="n">
        <v>0.4</v>
      </c>
      <c r="G313" s="38" t="n">
        <v>10</v>
      </c>
      <c r="H313" s="668" t="n">
        <v>4</v>
      </c>
      <c r="I313" s="668" t="n">
        <v>4.21</v>
      </c>
      <c r="J313" s="38" t="n">
        <v>120</v>
      </c>
      <c r="K313" s="39" t="inlineStr">
        <is>
          <t>СК2</t>
        </is>
      </c>
      <c r="L313" s="38" t="n">
        <v>60</v>
      </c>
      <c r="M313" s="844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IFERROR(IF(V313=0,"",ROUNDUP(V313/H313,0)*0.00937),"")</f>
        <v/>
      </c>
      <c r="X313" s="69" t="inlineStr"/>
      <c r="Y313" s="70" t="inlineStr"/>
      <c r="AC313" s="71" t="n"/>
      <c r="AZ313" s="241" t="inlineStr">
        <is>
          <t>КИ</t>
        </is>
      </c>
    </row>
    <row r="314">
      <c r="A314" s="323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Копченые колбасы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SU002360</t>
        </is>
      </c>
      <c r="B317" s="64" t="inlineStr">
        <is>
          <t>P002629</t>
        </is>
      </c>
      <c r="C317" s="37" t="n">
        <v>4301031139</v>
      </c>
      <c r="D317" s="315" t="n">
        <v>4607091384802</v>
      </c>
      <c r="E317" s="636" t="n"/>
      <c r="F317" s="668" t="n">
        <v>0.73</v>
      </c>
      <c r="G317" s="38" t="n">
        <v>6</v>
      </c>
      <c r="H317" s="668" t="n">
        <v>4.38</v>
      </c>
      <c r="I317" s="668" t="n">
        <v>4.58</v>
      </c>
      <c r="J317" s="38" t="n">
        <v>156</v>
      </c>
      <c r="K317" s="39" t="inlineStr">
        <is>
          <t>СК2</t>
        </is>
      </c>
      <c r="L317" s="38" t="n">
        <v>35</v>
      </c>
      <c r="M317" s="845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IFERROR(IF(V317=0,"",ROUNDUP(V317/H317,0)*0.00753),"")</f>
        <v/>
      </c>
      <c r="X317" s="69" t="inlineStr"/>
      <c r="Y317" s="70" t="inlineStr"/>
      <c r="AC317" s="71" t="n"/>
      <c r="AZ317" s="242" t="inlineStr">
        <is>
          <t>КИ</t>
        </is>
      </c>
    </row>
    <row r="318" ht="27" customHeight="1">
      <c r="A318" s="64" t="inlineStr">
        <is>
          <t>SU002361</t>
        </is>
      </c>
      <c r="B318" s="64" t="inlineStr">
        <is>
          <t>P002630</t>
        </is>
      </c>
      <c r="C318" s="37" t="n">
        <v>4301031140</v>
      </c>
      <c r="D318" s="315" t="n">
        <v>4607091384826</v>
      </c>
      <c r="E318" s="636" t="n"/>
      <c r="F318" s="668" t="n">
        <v>0.35</v>
      </c>
      <c r="G318" s="38" t="n">
        <v>8</v>
      </c>
      <c r="H318" s="668" t="n">
        <v>2.8</v>
      </c>
      <c r="I318" s="668" t="n">
        <v>2.9</v>
      </c>
      <c r="J318" s="38" t="n">
        <v>234</v>
      </c>
      <c r="K318" s="39" t="inlineStr">
        <is>
          <t>СК2</t>
        </is>
      </c>
      <c r="L318" s="38" t="n">
        <v>35</v>
      </c>
      <c r="M318" s="846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8" s="670" t="n"/>
      <c r="O318" s="670" t="n"/>
      <c r="P318" s="670" t="n"/>
      <c r="Q318" s="636" t="n"/>
      <c r="R318" s="40" t="inlineStr"/>
      <c r="S318" s="40" t="inlineStr"/>
      <c r="T318" s="41" t="inlineStr">
        <is>
          <t>кг</t>
        </is>
      </c>
      <c r="U318" s="671" t="n">
        <v>0</v>
      </c>
      <c r="V318" s="672">
        <f>IFERROR(IF(U318="",0,CEILING((U318/$H318),1)*$H318),"")</f>
        <v/>
      </c>
      <c r="W318" s="42">
        <f>IFERROR(IF(V318=0,"",ROUNDUP(V318/H318,0)*0.00502),"")</f>
        <v/>
      </c>
      <c r="X318" s="69" t="inlineStr"/>
      <c r="Y318" s="70" t="inlineStr"/>
      <c r="AC318" s="71" t="n"/>
      <c r="AZ318" s="243" t="inlineStr">
        <is>
          <t>КИ</t>
        </is>
      </c>
    </row>
    <row r="319">
      <c r="A319" s="323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кор</t>
        </is>
      </c>
      <c r="U319" s="675">
        <f>IFERROR(U317/H317,"0")+IFERROR(U318/H318,"0")</f>
        <v/>
      </c>
      <c r="V319" s="675">
        <f>IFERROR(V317/H317,"0")+IFERROR(V318/H318,"0")</f>
        <v/>
      </c>
      <c r="W319" s="675">
        <f>IFERROR(IF(W317="",0,W317),"0")+IFERROR(IF(W318="",0,W318),"0")</f>
        <v/>
      </c>
      <c r="X319" s="676" t="n"/>
      <c r="Y319" s="676" t="n"/>
    </row>
    <row r="320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673" t="n"/>
      <c r="M320" s="674" t="inlineStr">
        <is>
          <t>Итого</t>
        </is>
      </c>
      <c r="N320" s="644" t="n"/>
      <c r="O320" s="644" t="n"/>
      <c r="P320" s="644" t="n"/>
      <c r="Q320" s="644" t="n"/>
      <c r="R320" s="644" t="n"/>
      <c r="S320" s="645" t="n"/>
      <c r="T320" s="43" t="inlineStr">
        <is>
          <t>кг</t>
        </is>
      </c>
      <c r="U320" s="675">
        <f>IFERROR(SUM(U317:U318),"0")</f>
        <v/>
      </c>
      <c r="V320" s="675">
        <f>IFERROR(SUM(V317:V318),"0")</f>
        <v/>
      </c>
      <c r="W320" s="43" t="n"/>
      <c r="X320" s="676" t="n"/>
      <c r="Y320" s="676" t="n"/>
    </row>
    <row r="321" ht="14.25" customHeight="1">
      <c r="A321" s="331" t="inlineStr">
        <is>
          <t>Сосиски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1" t="n"/>
      <c r="Y321" s="331" t="n"/>
    </row>
    <row r="322" ht="27" customHeight="1">
      <c r="A322" s="64" t="inlineStr">
        <is>
          <t>SU002074</t>
        </is>
      </c>
      <c r="B322" s="64" t="inlineStr">
        <is>
          <t>P002693</t>
        </is>
      </c>
      <c r="C322" s="37" t="n">
        <v>4301051303</v>
      </c>
      <c r="D322" s="315" t="n">
        <v>4607091384246</v>
      </c>
      <c r="E322" s="636" t="n"/>
      <c r="F322" s="668" t="n">
        <v>1.3</v>
      </c>
      <c r="G322" s="38" t="n">
        <v>6</v>
      </c>
      <c r="H322" s="668" t="n">
        <v>7.8</v>
      </c>
      <c r="I322" s="668" t="n">
        <v>8.364000000000001</v>
      </c>
      <c r="J322" s="38" t="n">
        <v>56</v>
      </c>
      <c r="K322" s="39" t="inlineStr">
        <is>
          <t>СК2</t>
        </is>
      </c>
      <c r="L322" s="38" t="n">
        <v>40</v>
      </c>
      <c r="M322" s="84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2" s="670" t="n"/>
      <c r="O322" s="670" t="n"/>
      <c r="P322" s="670" t="n"/>
      <c r="Q322" s="636" t="n"/>
      <c r="R322" s="40" t="inlineStr"/>
      <c r="S322" s="40" t="inlineStr"/>
      <c r="T322" s="41" t="inlineStr">
        <is>
          <t>кг</t>
        </is>
      </c>
      <c r="U322" s="671" t="n">
        <v>1000</v>
      </c>
      <c r="V322" s="672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SU002896</t>
        </is>
      </c>
      <c r="B323" s="64" t="inlineStr">
        <is>
          <t>P003330</t>
        </is>
      </c>
      <c r="C323" s="37" t="n">
        <v>4301051445</v>
      </c>
      <c r="D323" s="315" t="n">
        <v>4680115881976</v>
      </c>
      <c r="E323" s="636" t="n"/>
      <c r="F323" s="668" t="n">
        <v>1.3</v>
      </c>
      <c r="G323" s="38" t="n">
        <v>6</v>
      </c>
      <c r="H323" s="668" t="n">
        <v>7.8</v>
      </c>
      <c r="I323" s="668" t="n">
        <v>8.279999999999999</v>
      </c>
      <c r="J323" s="38" t="n">
        <v>56</v>
      </c>
      <c r="K323" s="39" t="inlineStr">
        <is>
          <t>СК2</t>
        </is>
      </c>
      <c r="L323" s="38" t="n">
        <v>40</v>
      </c>
      <c r="M323" s="848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IFERROR(IF(V323=0,"",ROUNDUP(V323/H323,0)*0.02175),"")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SU002205</t>
        </is>
      </c>
      <c r="B324" s="64" t="inlineStr">
        <is>
          <t>P002694</t>
        </is>
      </c>
      <c r="C324" s="37" t="n">
        <v>4301051297</v>
      </c>
      <c r="D324" s="315" t="n">
        <v>4607091384253</v>
      </c>
      <c r="E324" s="636" t="n"/>
      <c r="F324" s="668" t="n">
        <v>0.4</v>
      </c>
      <c r="G324" s="38" t="n">
        <v>6</v>
      </c>
      <c r="H324" s="668" t="n">
        <v>2.4</v>
      </c>
      <c r="I324" s="668" t="n">
        <v>2.684</v>
      </c>
      <c r="J324" s="38" t="n">
        <v>156</v>
      </c>
      <c r="K324" s="39" t="inlineStr">
        <is>
          <t>СК2</t>
        </is>
      </c>
      <c r="L324" s="38" t="n">
        <v>40</v>
      </c>
      <c r="M324" s="849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 ht="27" customHeight="1">
      <c r="A325" s="64" t="inlineStr">
        <is>
          <t>SU002895</t>
        </is>
      </c>
      <c r="B325" s="64" t="inlineStr">
        <is>
          <t>P003329</t>
        </is>
      </c>
      <c r="C325" s="37" t="n">
        <v>4301051444</v>
      </c>
      <c r="D325" s="315" t="n">
        <v>4680115881969</v>
      </c>
      <c r="E325" s="636" t="n"/>
      <c r="F325" s="668" t="n">
        <v>0.4</v>
      </c>
      <c r="G325" s="38" t="n">
        <v>6</v>
      </c>
      <c r="H325" s="668" t="n">
        <v>2.4</v>
      </c>
      <c r="I325" s="668" t="n">
        <v>2.6</v>
      </c>
      <c r="J325" s="38" t="n">
        <v>156</v>
      </c>
      <c r="K325" s="39" t="inlineStr">
        <is>
          <t>СК2</t>
        </is>
      </c>
      <c r="L325" s="38" t="n">
        <v>40</v>
      </c>
      <c r="M325" s="850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5" s="670" t="n"/>
      <c r="O325" s="670" t="n"/>
      <c r="P325" s="670" t="n"/>
      <c r="Q325" s="636" t="n"/>
      <c r="R325" s="40" t="inlineStr"/>
      <c r="S325" s="40" t="inlineStr"/>
      <c r="T325" s="41" t="inlineStr">
        <is>
          <t>кг</t>
        </is>
      </c>
      <c r="U325" s="671" t="n">
        <v>0</v>
      </c>
      <c r="V325" s="672">
        <f>IFERROR(IF(U325="",0,CEILING((U325/$H325),1)*$H325),"")</f>
        <v/>
      </c>
      <c r="W325" s="42">
        <f>IFERROR(IF(V325=0,"",ROUNDUP(V325/H325,0)*0.00753),"")</f>
        <v/>
      </c>
      <c r="X325" s="69" t="inlineStr"/>
      <c r="Y325" s="70" t="inlineStr"/>
      <c r="AC325" s="71" t="n"/>
      <c r="AZ325" s="247" t="inlineStr">
        <is>
          <t>КИ</t>
        </is>
      </c>
    </row>
    <row r="326">
      <c r="A326" s="323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кор</t>
        </is>
      </c>
      <c r="U326" s="675">
        <f>IFERROR(U322/H322,"0")+IFERROR(U323/H323,"0")+IFERROR(U324/H324,"0")+IFERROR(U325/H325,"0")</f>
        <v/>
      </c>
      <c r="V326" s="675">
        <f>IFERROR(V322/H322,"0")+IFERROR(V323/H323,"0")+IFERROR(V324/H324,"0")+IFERROR(V325/H325,"0")</f>
        <v/>
      </c>
      <c r="W326" s="675">
        <f>IFERROR(IF(W322="",0,W322),"0")+IFERROR(IF(W323="",0,W323),"0")+IFERROR(IF(W324="",0,W324),"0")+IFERROR(IF(W325="",0,W325),"0")</f>
        <v/>
      </c>
      <c r="X326" s="676" t="n"/>
      <c r="Y326" s="676" t="n"/>
    </row>
    <row r="327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673" t="n"/>
      <c r="M327" s="674" t="inlineStr">
        <is>
          <t>Итого</t>
        </is>
      </c>
      <c r="N327" s="644" t="n"/>
      <c r="O327" s="644" t="n"/>
      <c r="P327" s="644" t="n"/>
      <c r="Q327" s="644" t="n"/>
      <c r="R327" s="644" t="n"/>
      <c r="S327" s="645" t="n"/>
      <c r="T327" s="43" t="inlineStr">
        <is>
          <t>кг</t>
        </is>
      </c>
      <c r="U327" s="675">
        <f>IFERROR(SUM(U322:U325),"0")</f>
        <v/>
      </c>
      <c r="V327" s="675">
        <f>IFERROR(SUM(V322:V325),"0")</f>
        <v/>
      </c>
      <c r="W327" s="43" t="n"/>
      <c r="X327" s="676" t="n"/>
      <c r="Y327" s="676" t="n"/>
    </row>
    <row r="328" ht="14.25" customHeight="1">
      <c r="A328" s="331" t="inlineStr">
        <is>
          <t>Сардельки</t>
        </is>
      </c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331" t="n"/>
      <c r="Y328" s="331" t="n"/>
    </row>
    <row r="329" ht="27" customHeight="1">
      <c r="A329" s="64" t="inlineStr">
        <is>
          <t>SU002472</t>
        </is>
      </c>
      <c r="B329" s="64" t="inlineStr">
        <is>
          <t>P002973</t>
        </is>
      </c>
      <c r="C329" s="37" t="n">
        <v>4301060322</v>
      </c>
      <c r="D329" s="315" t="n">
        <v>4607091389357</v>
      </c>
      <c r="E329" s="636" t="n"/>
      <c r="F329" s="668" t="n">
        <v>1.3</v>
      </c>
      <c r="G329" s="38" t="n">
        <v>6</v>
      </c>
      <c r="H329" s="668" t="n">
        <v>7.8</v>
      </c>
      <c r="I329" s="668" t="n">
        <v>8.279999999999999</v>
      </c>
      <c r="J329" s="38" t="n">
        <v>56</v>
      </c>
      <c r="K329" s="39" t="inlineStr">
        <is>
          <t>СК2</t>
        </is>
      </c>
      <c r="L329" s="38" t="n">
        <v>40</v>
      </c>
      <c r="M329" s="851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0</v>
      </c>
      <c r="V329" s="672">
        <f>IFERROR(IF(U329="",0,CEILING((U329/$H329),1)*$H329),"")</f>
        <v/>
      </c>
      <c r="W329" s="42">
        <f>IFERROR(IF(V329=0,"",ROUNDUP(V329/H329,0)*0.02175),"")</f>
        <v/>
      </c>
      <c r="X329" s="69" t="inlineStr"/>
      <c r="Y329" s="70" t="inlineStr"/>
      <c r="AC329" s="71" t="n"/>
      <c r="AZ329" s="248" t="inlineStr">
        <is>
          <t>КИ</t>
        </is>
      </c>
    </row>
    <row r="330">
      <c r="A330" s="323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3" t="n"/>
      <c r="M330" s="674" t="inlineStr">
        <is>
          <t>Итого</t>
        </is>
      </c>
      <c r="N330" s="644" t="n"/>
      <c r="O330" s="644" t="n"/>
      <c r="P330" s="644" t="n"/>
      <c r="Q330" s="644" t="n"/>
      <c r="R330" s="644" t="n"/>
      <c r="S330" s="645" t="n"/>
      <c r="T330" s="43" t="inlineStr">
        <is>
          <t>кор</t>
        </is>
      </c>
      <c r="U330" s="675">
        <f>IFERROR(U329/H329,"0")</f>
        <v/>
      </c>
      <c r="V330" s="675">
        <f>IFERROR(V329/H329,"0")</f>
        <v/>
      </c>
      <c r="W330" s="675">
        <f>IFERROR(IF(W329="",0,W329),"0")</f>
        <v/>
      </c>
      <c r="X330" s="676" t="n"/>
      <c r="Y330" s="676" t="n"/>
    </row>
    <row r="331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673" t="n"/>
      <c r="M331" s="674" t="inlineStr">
        <is>
          <t>Итого</t>
        </is>
      </c>
      <c r="N331" s="644" t="n"/>
      <c r="O331" s="644" t="n"/>
      <c r="P331" s="644" t="n"/>
      <c r="Q331" s="644" t="n"/>
      <c r="R331" s="644" t="n"/>
      <c r="S331" s="645" t="n"/>
      <c r="T331" s="43" t="inlineStr">
        <is>
          <t>кг</t>
        </is>
      </c>
      <c r="U331" s="675">
        <f>IFERROR(SUM(U329:U329),"0")</f>
        <v/>
      </c>
      <c r="V331" s="675">
        <f>IFERROR(SUM(V329:V329),"0")</f>
        <v/>
      </c>
      <c r="W331" s="43" t="n"/>
      <c r="X331" s="676" t="n"/>
      <c r="Y331" s="676" t="n"/>
    </row>
    <row r="332" ht="27.75" customHeight="1">
      <c r="A332" s="336" t="inlineStr">
        <is>
          <t>Баварушка</t>
        </is>
      </c>
      <c r="B332" s="667" t="n"/>
      <c r="C332" s="667" t="n"/>
      <c r="D332" s="667" t="n"/>
      <c r="E332" s="667" t="n"/>
      <c r="F332" s="667" t="n"/>
      <c r="G332" s="667" t="n"/>
      <c r="H332" s="667" t="n"/>
      <c r="I332" s="667" t="n"/>
      <c r="J332" s="667" t="n"/>
      <c r="K332" s="667" t="n"/>
      <c r="L332" s="667" t="n"/>
      <c r="M332" s="667" t="n"/>
      <c r="N332" s="667" t="n"/>
      <c r="O332" s="667" t="n"/>
      <c r="P332" s="667" t="n"/>
      <c r="Q332" s="667" t="n"/>
      <c r="R332" s="667" t="n"/>
      <c r="S332" s="667" t="n"/>
      <c r="T332" s="667" t="n"/>
      <c r="U332" s="667" t="n"/>
      <c r="V332" s="667" t="n"/>
      <c r="W332" s="667" t="n"/>
      <c r="X332" s="55" t="n"/>
      <c r="Y332" s="55" t="n"/>
    </row>
    <row r="333" ht="16.5" customHeight="1">
      <c r="A333" s="330" t="inlineStr">
        <is>
          <t>Филейбургская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14.25" customHeight="1">
      <c r="A334" s="331" t="inlineStr">
        <is>
          <t>Вареные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331" t="n"/>
      <c r="Y334" s="331" t="n"/>
    </row>
    <row r="335" ht="27" customHeight="1">
      <c r="A335" s="64" t="inlineStr">
        <is>
          <t>SU002477</t>
        </is>
      </c>
      <c r="B335" s="64" t="inlineStr">
        <is>
          <t>P003148</t>
        </is>
      </c>
      <c r="C335" s="37" t="n">
        <v>4301011428</v>
      </c>
      <c r="D335" s="315" t="n">
        <v>4607091389708</v>
      </c>
      <c r="E335" s="636" t="n"/>
      <c r="F335" s="668" t="n">
        <v>0.45</v>
      </c>
      <c r="G335" s="38" t="n">
        <v>6</v>
      </c>
      <c r="H335" s="668" t="n">
        <v>2.7</v>
      </c>
      <c r="I335" s="668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2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 ht="27" customHeight="1">
      <c r="A336" s="64" t="inlineStr">
        <is>
          <t>SU002476</t>
        </is>
      </c>
      <c r="B336" s="64" t="inlineStr">
        <is>
          <t>P003147</t>
        </is>
      </c>
      <c r="C336" s="37" t="n">
        <v>4301011427</v>
      </c>
      <c r="D336" s="315" t="n">
        <v>4607091389692</v>
      </c>
      <c r="E336" s="636" t="n"/>
      <c r="F336" s="668" t="n">
        <v>0.45</v>
      </c>
      <c r="G336" s="38" t="n">
        <v>6</v>
      </c>
      <c r="H336" s="668" t="n">
        <v>2.7</v>
      </c>
      <c r="I336" s="668" t="n">
        <v>2.9</v>
      </c>
      <c r="J336" s="38" t="n">
        <v>156</v>
      </c>
      <c r="K336" s="39" t="inlineStr">
        <is>
          <t>СК1</t>
        </is>
      </c>
      <c r="L336" s="38" t="n">
        <v>50</v>
      </c>
      <c r="M336" s="853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71" t="n"/>
      <c r="AZ336" s="250" t="inlineStr">
        <is>
          <t>КИ</t>
        </is>
      </c>
    </row>
    <row r="337">
      <c r="A337" s="323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3" t="n"/>
      <c r="M337" s="674" t="inlineStr">
        <is>
          <t>Итого</t>
        </is>
      </c>
      <c r="N337" s="644" t="n"/>
      <c r="O337" s="644" t="n"/>
      <c r="P337" s="644" t="n"/>
      <c r="Q337" s="644" t="n"/>
      <c r="R337" s="644" t="n"/>
      <c r="S337" s="645" t="n"/>
      <c r="T337" s="43" t="inlineStr">
        <is>
          <t>кор</t>
        </is>
      </c>
      <c r="U337" s="675">
        <f>IFERROR(U335/H335,"0")+IFERROR(U336/H336,"0")</f>
        <v/>
      </c>
      <c r="V337" s="675">
        <f>IFERROR(V335/H335,"0")+IFERROR(V336/H336,"0")</f>
        <v/>
      </c>
      <c r="W337" s="675">
        <f>IFERROR(IF(W335="",0,W335),"0")+IFERROR(IF(W336="",0,W336),"0")</f>
        <v/>
      </c>
      <c r="X337" s="676" t="n"/>
      <c r="Y337" s="676" t="n"/>
    </row>
    <row r="33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673" t="n"/>
      <c r="M338" s="674" t="inlineStr">
        <is>
          <t>Итого</t>
        </is>
      </c>
      <c r="N338" s="644" t="n"/>
      <c r="O338" s="644" t="n"/>
      <c r="P338" s="644" t="n"/>
      <c r="Q338" s="644" t="n"/>
      <c r="R338" s="644" t="n"/>
      <c r="S338" s="645" t="n"/>
      <c r="T338" s="43" t="inlineStr">
        <is>
          <t>кг</t>
        </is>
      </c>
      <c r="U338" s="675">
        <f>IFERROR(SUM(U335:U336),"0")</f>
        <v/>
      </c>
      <c r="V338" s="675">
        <f>IFERROR(SUM(V335:V336),"0")</f>
        <v/>
      </c>
      <c r="W338" s="43" t="n"/>
      <c r="X338" s="676" t="n"/>
      <c r="Y338" s="676" t="n"/>
    </row>
    <row r="339" ht="14.25" customHeight="1">
      <c r="A339" s="331" t="inlineStr">
        <is>
          <t>Копченые колбасы</t>
        </is>
      </c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331" t="n"/>
      <c r="Y339" s="331" t="n"/>
    </row>
    <row r="340" ht="27" customHeight="1">
      <c r="A340" s="64" t="inlineStr">
        <is>
          <t>SU002614</t>
        </is>
      </c>
      <c r="B340" s="64" t="inlineStr">
        <is>
          <t>P003138</t>
        </is>
      </c>
      <c r="C340" s="37" t="n">
        <v>4301031177</v>
      </c>
      <c r="D340" s="315" t="n">
        <v>4607091389753</v>
      </c>
      <c r="E340" s="636" t="n"/>
      <c r="F340" s="668" t="n">
        <v>0.7</v>
      </c>
      <c r="G340" s="38" t="n">
        <v>6</v>
      </c>
      <c r="H340" s="668" t="n">
        <v>4.2</v>
      </c>
      <c r="I340" s="668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4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SU002615</t>
        </is>
      </c>
      <c r="B341" s="64" t="inlineStr">
        <is>
          <t>P003136</t>
        </is>
      </c>
      <c r="C341" s="37" t="n">
        <v>4301031174</v>
      </c>
      <c r="D341" s="315" t="n">
        <v>4607091389760</v>
      </c>
      <c r="E341" s="636" t="n"/>
      <c r="F341" s="668" t="n">
        <v>0.7</v>
      </c>
      <c r="G341" s="38" t="n">
        <v>6</v>
      </c>
      <c r="H341" s="668" t="n">
        <v>4.2</v>
      </c>
      <c r="I341" s="668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5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1" s="670" t="n"/>
      <c r="O341" s="670" t="n"/>
      <c r="P341" s="670" t="n"/>
      <c r="Q341" s="636" t="n"/>
      <c r="R341" s="40" t="inlineStr"/>
      <c r="S341" s="40" t="inlineStr"/>
      <c r="T341" s="41" t="inlineStr">
        <is>
          <t>кг</t>
        </is>
      </c>
      <c r="U341" s="671" t="n">
        <v>0</v>
      </c>
      <c r="V341" s="672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27" customHeight="1">
      <c r="A342" s="64" t="inlineStr">
        <is>
          <t>SU002613</t>
        </is>
      </c>
      <c r="B342" s="64" t="inlineStr">
        <is>
          <t>P003133</t>
        </is>
      </c>
      <c r="C342" s="37" t="n">
        <v>4301031175</v>
      </c>
      <c r="D342" s="315" t="n">
        <v>4607091389746</v>
      </c>
      <c r="E342" s="636" t="n"/>
      <c r="F342" s="668" t="n">
        <v>0.7</v>
      </c>
      <c r="G342" s="38" t="n">
        <v>6</v>
      </c>
      <c r="H342" s="668" t="n">
        <v>4.2</v>
      </c>
      <c r="I342" s="668" t="n">
        <v>4.43</v>
      </c>
      <c r="J342" s="38" t="n">
        <v>156</v>
      </c>
      <c r="K342" s="39" t="inlineStr">
        <is>
          <t>СК2</t>
        </is>
      </c>
      <c r="L342" s="38" t="n">
        <v>45</v>
      </c>
      <c r="M342" s="856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2" s="670" t="n"/>
      <c r="O342" s="670" t="n"/>
      <c r="P342" s="670" t="n"/>
      <c r="Q342" s="636" t="n"/>
      <c r="R342" s="40" t="inlineStr"/>
      <c r="S342" s="40" t="inlineStr"/>
      <c r="T342" s="41" t="inlineStr">
        <is>
          <t>кг</t>
        </is>
      </c>
      <c r="U342" s="671" t="n">
        <v>23</v>
      </c>
      <c r="V342" s="672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37.5" customHeight="1">
      <c r="A343" s="64" t="inlineStr">
        <is>
          <t>SU003035</t>
        </is>
      </c>
      <c r="B343" s="64" t="inlineStr">
        <is>
          <t>P003496</t>
        </is>
      </c>
      <c r="C343" s="37" t="n">
        <v>4301031236</v>
      </c>
      <c r="D343" s="315" t="n">
        <v>4680115882928</v>
      </c>
      <c r="E343" s="636" t="n"/>
      <c r="F343" s="668" t="n">
        <v>0.28</v>
      </c>
      <c r="G343" s="38" t="n">
        <v>6</v>
      </c>
      <c r="H343" s="668" t="n">
        <v>1.68</v>
      </c>
      <c r="I343" s="668" t="n">
        <v>2.6</v>
      </c>
      <c r="J343" s="38" t="n">
        <v>156</v>
      </c>
      <c r="K343" s="39" t="inlineStr">
        <is>
          <t>СК2</t>
        </is>
      </c>
      <c r="L343" s="38" t="n">
        <v>35</v>
      </c>
      <c r="M343" s="857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3" s="670" t="n"/>
      <c r="O343" s="670" t="n"/>
      <c r="P343" s="670" t="n"/>
      <c r="Q343" s="636" t="n"/>
      <c r="R343" s="40" t="inlineStr"/>
      <c r="S343" s="40" t="inlineStr"/>
      <c r="T343" s="41" t="inlineStr">
        <is>
          <t>кг</t>
        </is>
      </c>
      <c r="U343" s="671" t="n">
        <v>0</v>
      </c>
      <c r="V343" s="672">
        <f>IFERROR(IF(U343="",0,CEILING((U343/$H343),1)*$H343),"")</f>
        <v/>
      </c>
      <c r="W343" s="42">
        <f>IFERROR(IF(V343=0,"",ROUNDUP(V343/H343,0)*0.00753),"")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SU003083</t>
        </is>
      </c>
      <c r="B344" s="64" t="inlineStr">
        <is>
          <t>P003646</t>
        </is>
      </c>
      <c r="C344" s="37" t="n">
        <v>4301031257</v>
      </c>
      <c r="D344" s="315" t="n">
        <v>4680115883147</v>
      </c>
      <c r="E344" s="636" t="n"/>
      <c r="F344" s="668" t="n">
        <v>0.28</v>
      </c>
      <c r="G344" s="38" t="n">
        <v>6</v>
      </c>
      <c r="H344" s="668" t="n">
        <v>1.68</v>
      </c>
      <c r="I344" s="668" t="n">
        <v>1.81</v>
      </c>
      <c r="J344" s="38" t="n">
        <v>234</v>
      </c>
      <c r="K344" s="39" t="inlineStr">
        <is>
          <t>СК2</t>
        </is>
      </c>
      <c r="L344" s="38" t="n">
        <v>45</v>
      </c>
      <c r="M344" s="858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27" customHeight="1">
      <c r="A345" s="64" t="inlineStr">
        <is>
          <t>SU002538</t>
        </is>
      </c>
      <c r="B345" s="64" t="inlineStr">
        <is>
          <t>P003139</t>
        </is>
      </c>
      <c r="C345" s="37" t="n">
        <v>4301031178</v>
      </c>
      <c r="D345" s="315" t="n">
        <v>4607091384338</v>
      </c>
      <c r="E345" s="636" t="n"/>
      <c r="F345" s="668" t="n">
        <v>0.35</v>
      </c>
      <c r="G345" s="38" t="n">
        <v>6</v>
      </c>
      <c r="H345" s="668" t="n">
        <v>2.1</v>
      </c>
      <c r="I345" s="668" t="n">
        <v>2.23</v>
      </c>
      <c r="J345" s="38" t="n">
        <v>234</v>
      </c>
      <c r="K345" s="39" t="inlineStr">
        <is>
          <t>СК2</t>
        </is>
      </c>
      <c r="L345" s="38" t="n">
        <v>45</v>
      </c>
      <c r="M345" s="859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SU003079</t>
        </is>
      </c>
      <c r="B346" s="64" t="inlineStr">
        <is>
          <t>P003643</t>
        </is>
      </c>
      <c r="C346" s="37" t="n">
        <v>4301031254</v>
      </c>
      <c r="D346" s="315" t="n">
        <v>4680115883154</v>
      </c>
      <c r="E346" s="636" t="n"/>
      <c r="F346" s="668" t="n">
        <v>0.28</v>
      </c>
      <c r="G346" s="38" t="n">
        <v>6</v>
      </c>
      <c r="H346" s="668" t="n">
        <v>1.68</v>
      </c>
      <c r="I346" s="668" t="n">
        <v>1.81</v>
      </c>
      <c r="J346" s="38" t="n">
        <v>234</v>
      </c>
      <c r="K346" s="39" t="inlineStr">
        <is>
          <t>СК2</t>
        </is>
      </c>
      <c r="L346" s="38" t="n">
        <v>45</v>
      </c>
      <c r="M346" s="860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37.5" customHeight="1">
      <c r="A347" s="64" t="inlineStr">
        <is>
          <t>SU002602</t>
        </is>
      </c>
      <c r="B347" s="64" t="inlineStr">
        <is>
          <t>P003132</t>
        </is>
      </c>
      <c r="C347" s="37" t="n">
        <v>4301031171</v>
      </c>
      <c r="D347" s="315" t="n">
        <v>4607091389524</v>
      </c>
      <c r="E347" s="636" t="n"/>
      <c r="F347" s="668" t="n">
        <v>0.35</v>
      </c>
      <c r="G347" s="38" t="n">
        <v>6</v>
      </c>
      <c r="H347" s="668" t="n">
        <v>2.1</v>
      </c>
      <c r="I347" s="668" t="n">
        <v>2.23</v>
      </c>
      <c r="J347" s="38" t="n">
        <v>234</v>
      </c>
      <c r="K347" s="39" t="inlineStr">
        <is>
          <t>СК2</t>
        </is>
      </c>
      <c r="L347" s="38" t="n">
        <v>45</v>
      </c>
      <c r="M347" s="861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SU003080</t>
        </is>
      </c>
      <c r="B348" s="64" t="inlineStr">
        <is>
          <t>P003647</t>
        </is>
      </c>
      <c r="C348" s="37" t="n">
        <v>4301031258</v>
      </c>
      <c r="D348" s="315" t="n">
        <v>4680115883161</v>
      </c>
      <c r="E348" s="636" t="n"/>
      <c r="F348" s="668" t="n">
        <v>0.28</v>
      </c>
      <c r="G348" s="38" t="n">
        <v>6</v>
      </c>
      <c r="H348" s="668" t="n">
        <v>1.68</v>
      </c>
      <c r="I348" s="668" t="n">
        <v>1.81</v>
      </c>
      <c r="J348" s="38" t="n">
        <v>234</v>
      </c>
      <c r="K348" s="39" t="inlineStr">
        <is>
          <t>СК2</t>
        </is>
      </c>
      <c r="L348" s="38" t="n">
        <v>45</v>
      </c>
      <c r="M348" s="862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8" s="670" t="n"/>
      <c r="O348" s="670" t="n"/>
      <c r="P348" s="670" t="n"/>
      <c r="Q348" s="636" t="n"/>
      <c r="R348" s="40" t="inlineStr"/>
      <c r="S348" s="40" t="inlineStr"/>
      <c r="T348" s="41" t="inlineStr">
        <is>
          <t>кг</t>
        </is>
      </c>
      <c r="U348" s="671" t="n">
        <v>0</v>
      </c>
      <c r="V348" s="672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SU002603</t>
        </is>
      </c>
      <c r="B349" s="64" t="inlineStr">
        <is>
          <t>P003131</t>
        </is>
      </c>
      <c r="C349" s="37" t="n">
        <v>4301031170</v>
      </c>
      <c r="D349" s="315" t="n">
        <v>4607091384345</v>
      </c>
      <c r="E349" s="636" t="n"/>
      <c r="F349" s="668" t="n">
        <v>0.35</v>
      </c>
      <c r="G349" s="38" t="n">
        <v>6</v>
      </c>
      <c r="H349" s="668" t="n">
        <v>2.1</v>
      </c>
      <c r="I349" s="668" t="n">
        <v>2.23</v>
      </c>
      <c r="J349" s="38" t="n">
        <v>234</v>
      </c>
      <c r="K349" s="39" t="inlineStr">
        <is>
          <t>СК2</t>
        </is>
      </c>
      <c r="L349" s="38" t="n">
        <v>45</v>
      </c>
      <c r="M349" s="863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9" s="670" t="n"/>
      <c r="O349" s="670" t="n"/>
      <c r="P349" s="670" t="n"/>
      <c r="Q349" s="636" t="n"/>
      <c r="R349" s="40" t="inlineStr"/>
      <c r="S349" s="40" t="inlineStr"/>
      <c r="T349" s="41" t="inlineStr">
        <is>
          <t>кг</t>
        </is>
      </c>
      <c r="U349" s="671" t="n">
        <v>0</v>
      </c>
      <c r="V349" s="672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SU003081</t>
        </is>
      </c>
      <c r="B350" s="64" t="inlineStr">
        <is>
          <t>P003645</t>
        </is>
      </c>
      <c r="C350" s="37" t="n">
        <v>4301031256</v>
      </c>
      <c r="D350" s="315" t="n">
        <v>4680115883178</v>
      </c>
      <c r="E350" s="636" t="n"/>
      <c r="F350" s="668" t="n">
        <v>0.28</v>
      </c>
      <c r="G350" s="38" t="n">
        <v>6</v>
      </c>
      <c r="H350" s="668" t="n">
        <v>1.68</v>
      </c>
      <c r="I350" s="668" t="n">
        <v>1.81</v>
      </c>
      <c r="J350" s="38" t="n">
        <v>234</v>
      </c>
      <c r="K350" s="39" t="inlineStr">
        <is>
          <t>СК2</t>
        </is>
      </c>
      <c r="L350" s="38" t="n">
        <v>45</v>
      </c>
      <c r="M350" s="864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50" s="670" t="n"/>
      <c r="O350" s="670" t="n"/>
      <c r="P350" s="670" t="n"/>
      <c r="Q350" s="636" t="n"/>
      <c r="R350" s="40" t="inlineStr"/>
      <c r="S350" s="40" t="inlineStr"/>
      <c r="T350" s="41" t="inlineStr">
        <is>
          <t>кг</t>
        </is>
      </c>
      <c r="U350" s="671" t="n">
        <v>0</v>
      </c>
      <c r="V350" s="672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SU002606</t>
        </is>
      </c>
      <c r="B351" s="64" t="inlineStr">
        <is>
          <t>P003134</t>
        </is>
      </c>
      <c r="C351" s="37" t="n">
        <v>4301031172</v>
      </c>
      <c r="D351" s="315" t="n">
        <v>4607091389531</v>
      </c>
      <c r="E351" s="636" t="n"/>
      <c r="F351" s="668" t="n">
        <v>0.35</v>
      </c>
      <c r="G351" s="38" t="n">
        <v>6</v>
      </c>
      <c r="H351" s="668" t="n">
        <v>2.1</v>
      </c>
      <c r="I351" s="668" t="n">
        <v>2.23</v>
      </c>
      <c r="J351" s="38" t="n">
        <v>234</v>
      </c>
      <c r="K351" s="39" t="inlineStr">
        <is>
          <t>СК2</t>
        </is>
      </c>
      <c r="L351" s="38" t="n">
        <v>45</v>
      </c>
      <c r="M351" s="865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 ht="27" customHeight="1">
      <c r="A352" s="64" t="inlineStr">
        <is>
          <t>SU003082</t>
        </is>
      </c>
      <c r="B352" s="64" t="inlineStr">
        <is>
          <t>P003644</t>
        </is>
      </c>
      <c r="C352" s="37" t="n">
        <v>4301031255</v>
      </c>
      <c r="D352" s="315" t="n">
        <v>4680115883185</v>
      </c>
      <c r="E352" s="636" t="n"/>
      <c r="F352" s="668" t="n">
        <v>0.28</v>
      </c>
      <c r="G352" s="38" t="n">
        <v>6</v>
      </c>
      <c r="H352" s="668" t="n">
        <v>1.68</v>
      </c>
      <c r="I352" s="668" t="n">
        <v>1.81</v>
      </c>
      <c r="J352" s="38" t="n">
        <v>234</v>
      </c>
      <c r="K352" s="39" t="inlineStr">
        <is>
          <t>СК2</t>
        </is>
      </c>
      <c r="L352" s="38" t="n">
        <v>45</v>
      </c>
      <c r="M352" s="866" t="inlineStr">
        <is>
          <t>В/к колбасы «Филейбургская с душистым чесноком» срез Фикс.вес 0,28 фиброуз в/у Баварушка</t>
        </is>
      </c>
      <c r="N352" s="670" t="n"/>
      <c r="O352" s="670" t="n"/>
      <c r="P352" s="670" t="n"/>
      <c r="Q352" s="636" t="n"/>
      <c r="R352" s="40" t="inlineStr"/>
      <c r="S352" s="40" t="inlineStr"/>
      <c r="T352" s="41" t="inlineStr">
        <is>
          <t>кг</t>
        </is>
      </c>
      <c r="U352" s="671" t="n">
        <v>0</v>
      </c>
      <c r="V352" s="672">
        <f>IFERROR(IF(U352="",0,CEILING((U352/$H352),1)*$H352),"")</f>
        <v/>
      </c>
      <c r="W352" s="42">
        <f>IFERROR(IF(V352=0,"",ROUNDUP(V352/H352,0)*0.00502),"")</f>
        <v/>
      </c>
      <c r="X352" s="69" t="inlineStr"/>
      <c r="Y352" s="70" t="inlineStr"/>
      <c r="AC352" s="71" t="n"/>
      <c r="AZ352" s="263" t="inlineStr">
        <is>
          <t>КИ</t>
        </is>
      </c>
    </row>
    <row r="353">
      <c r="A353" s="323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кор</t>
        </is>
      </c>
      <c r="U353" s="675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/>
      </c>
      <c r="V353" s="675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/>
      </c>
      <c r="W353" s="675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/>
      </c>
      <c r="X353" s="676" t="n"/>
      <c r="Y353" s="676" t="n"/>
    </row>
    <row r="354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673" t="n"/>
      <c r="M354" s="674" t="inlineStr">
        <is>
          <t>Итого</t>
        </is>
      </c>
      <c r="N354" s="644" t="n"/>
      <c r="O354" s="644" t="n"/>
      <c r="P354" s="644" t="n"/>
      <c r="Q354" s="644" t="n"/>
      <c r="R354" s="644" t="n"/>
      <c r="S354" s="645" t="n"/>
      <c r="T354" s="43" t="inlineStr">
        <is>
          <t>кг</t>
        </is>
      </c>
      <c r="U354" s="675">
        <f>IFERROR(SUM(U340:U352),"0")</f>
        <v/>
      </c>
      <c r="V354" s="675">
        <f>IFERROR(SUM(V340:V352),"0")</f>
        <v/>
      </c>
      <c r="W354" s="43" t="n"/>
      <c r="X354" s="676" t="n"/>
      <c r="Y354" s="676" t="n"/>
    </row>
    <row r="355" ht="14.25" customHeight="1">
      <c r="A355" s="331" t="inlineStr">
        <is>
          <t>Сосиски</t>
        </is>
      </c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331" t="n"/>
      <c r="Y355" s="331" t="n"/>
    </row>
    <row r="356" ht="27" customHeight="1">
      <c r="A356" s="64" t="inlineStr">
        <is>
          <t>SU002448</t>
        </is>
      </c>
      <c r="B356" s="64" t="inlineStr">
        <is>
          <t>P002914</t>
        </is>
      </c>
      <c r="C356" s="37" t="n">
        <v>4301051258</v>
      </c>
      <c r="D356" s="315" t="n">
        <v>4607091389685</v>
      </c>
      <c r="E356" s="636" t="n"/>
      <c r="F356" s="668" t="n">
        <v>1.3</v>
      </c>
      <c r="G356" s="38" t="n">
        <v>6</v>
      </c>
      <c r="H356" s="668" t="n">
        <v>7.8</v>
      </c>
      <c r="I356" s="668" t="n">
        <v>8.346</v>
      </c>
      <c r="J356" s="38" t="n">
        <v>56</v>
      </c>
      <c r="K356" s="39" t="inlineStr">
        <is>
          <t>СК3</t>
        </is>
      </c>
      <c r="L356" s="38" t="n">
        <v>45</v>
      </c>
      <c r="M356" s="86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IFERROR(IF(V356=0,"",ROUNDUP(V356/H356,0)*0.02175),"")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SU002557</t>
        </is>
      </c>
      <c r="B357" s="64" t="inlineStr">
        <is>
          <t>P003318</t>
        </is>
      </c>
      <c r="C357" s="37" t="n">
        <v>4301051431</v>
      </c>
      <c r="D357" s="315" t="n">
        <v>4607091389654</v>
      </c>
      <c r="E357" s="636" t="n"/>
      <c r="F357" s="668" t="n">
        <v>0.33</v>
      </c>
      <c r="G357" s="38" t="n">
        <v>6</v>
      </c>
      <c r="H357" s="668" t="n">
        <v>1.98</v>
      </c>
      <c r="I357" s="668" t="n">
        <v>2.258</v>
      </c>
      <c r="J357" s="38" t="n">
        <v>156</v>
      </c>
      <c r="K357" s="39" t="inlineStr">
        <is>
          <t>СК3</t>
        </is>
      </c>
      <c r="L357" s="38" t="n">
        <v>45</v>
      </c>
      <c r="M357" s="868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IFERROR(IF(V357=0,"",ROUNDUP(V357/H357,0)*0.00753),"")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SU002285</t>
        </is>
      </c>
      <c r="B358" s="64" t="inlineStr">
        <is>
          <t>P002969</t>
        </is>
      </c>
      <c r="C358" s="37" t="n">
        <v>4301051284</v>
      </c>
      <c r="D358" s="315" t="n">
        <v>4607091384352</v>
      </c>
      <c r="E358" s="636" t="n"/>
      <c r="F358" s="668" t="n">
        <v>0.6</v>
      </c>
      <c r="G358" s="38" t="n">
        <v>4</v>
      </c>
      <c r="H358" s="668" t="n">
        <v>2.4</v>
      </c>
      <c r="I358" s="668" t="n">
        <v>2.646</v>
      </c>
      <c r="J358" s="38" t="n">
        <v>120</v>
      </c>
      <c r="K358" s="39" t="inlineStr">
        <is>
          <t>СК3</t>
        </is>
      </c>
      <c r="L358" s="38" t="n">
        <v>45</v>
      </c>
      <c r="M358" s="869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8" s="670" t="n"/>
      <c r="O358" s="670" t="n"/>
      <c r="P358" s="670" t="n"/>
      <c r="Q358" s="636" t="n"/>
      <c r="R358" s="40" t="inlineStr"/>
      <c r="S358" s="40" t="inlineStr"/>
      <c r="T358" s="41" t="inlineStr">
        <is>
          <t>кг</t>
        </is>
      </c>
      <c r="U358" s="671" t="n">
        <v>0</v>
      </c>
      <c r="V358" s="672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 ht="27" customHeight="1">
      <c r="A359" s="64" t="inlineStr">
        <is>
          <t>SU002419</t>
        </is>
      </c>
      <c r="B359" s="64" t="inlineStr">
        <is>
          <t>P002913</t>
        </is>
      </c>
      <c r="C359" s="37" t="n">
        <v>4301051257</v>
      </c>
      <c r="D359" s="315" t="n">
        <v>4607091389661</v>
      </c>
      <c r="E359" s="636" t="n"/>
      <c r="F359" s="668" t="n">
        <v>0.55</v>
      </c>
      <c r="G359" s="38" t="n">
        <v>4</v>
      </c>
      <c r="H359" s="668" t="n">
        <v>2.2</v>
      </c>
      <c r="I359" s="668" t="n">
        <v>2.492</v>
      </c>
      <c r="J359" s="38" t="n">
        <v>120</v>
      </c>
      <c r="K359" s="39" t="inlineStr">
        <is>
          <t>СК3</t>
        </is>
      </c>
      <c r="L359" s="38" t="n">
        <v>45</v>
      </c>
      <c r="M359" s="870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9" s="670" t="n"/>
      <c r="O359" s="670" t="n"/>
      <c r="P359" s="670" t="n"/>
      <c r="Q359" s="636" t="n"/>
      <c r="R359" s="40" t="inlineStr"/>
      <c r="S359" s="40" t="inlineStr"/>
      <c r="T359" s="41" t="inlineStr">
        <is>
          <t>кг</t>
        </is>
      </c>
      <c r="U359" s="671" t="n">
        <v>0</v>
      </c>
      <c r="V359" s="672">
        <f>IFERROR(IF(U359="",0,CEILING((U359/$H359),1)*$H359),"")</f>
        <v/>
      </c>
      <c r="W359" s="42">
        <f>IFERROR(IF(V359=0,"",ROUNDUP(V359/H359,0)*0.00937),"")</f>
        <v/>
      </c>
      <c r="X359" s="69" t="inlineStr"/>
      <c r="Y359" s="70" t="inlineStr"/>
      <c r="AC359" s="71" t="n"/>
      <c r="AZ359" s="267" t="inlineStr">
        <is>
          <t>КИ</t>
        </is>
      </c>
    </row>
    <row r="360">
      <c r="A360" s="323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3" t="n"/>
      <c r="M360" s="674" t="inlineStr">
        <is>
          <t>Итого</t>
        </is>
      </c>
      <c r="N360" s="644" t="n"/>
      <c r="O360" s="644" t="n"/>
      <c r="P360" s="644" t="n"/>
      <c r="Q360" s="644" t="n"/>
      <c r="R360" s="644" t="n"/>
      <c r="S360" s="645" t="n"/>
      <c r="T360" s="43" t="inlineStr">
        <is>
          <t>кор</t>
        </is>
      </c>
      <c r="U360" s="675">
        <f>IFERROR(U356/H356,"0")+IFERROR(U357/H357,"0")+IFERROR(U358/H358,"0")+IFERROR(U359/H359,"0")</f>
        <v/>
      </c>
      <c r="V360" s="675">
        <f>IFERROR(V356/H356,"0")+IFERROR(V357/H357,"0")+IFERROR(V358/H358,"0")+IFERROR(V359/H359,"0")</f>
        <v/>
      </c>
      <c r="W360" s="675">
        <f>IFERROR(IF(W356="",0,W356),"0")+IFERROR(IF(W357="",0,W357),"0")+IFERROR(IF(W358="",0,W358),"0")+IFERROR(IF(W359="",0,W359),"0")</f>
        <v/>
      </c>
      <c r="X360" s="676" t="n"/>
      <c r="Y360" s="67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673" t="n"/>
      <c r="M361" s="674" t="inlineStr">
        <is>
          <t>Итого</t>
        </is>
      </c>
      <c r="N361" s="644" t="n"/>
      <c r="O361" s="644" t="n"/>
      <c r="P361" s="644" t="n"/>
      <c r="Q361" s="644" t="n"/>
      <c r="R361" s="644" t="n"/>
      <c r="S361" s="645" t="n"/>
      <c r="T361" s="43" t="inlineStr">
        <is>
          <t>кг</t>
        </is>
      </c>
      <c r="U361" s="675">
        <f>IFERROR(SUM(U356:U359),"0")</f>
        <v/>
      </c>
      <c r="V361" s="675">
        <f>IFERROR(SUM(V356:V359),"0")</f>
        <v/>
      </c>
      <c r="W361" s="43" t="n"/>
      <c r="X361" s="676" t="n"/>
      <c r="Y361" s="676" t="n"/>
    </row>
    <row r="362" ht="14.25" customHeight="1">
      <c r="A362" s="331" t="inlineStr">
        <is>
          <t>Сардельки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331" t="n"/>
      <c r="Y362" s="331" t="n"/>
    </row>
    <row r="363" ht="27" customHeight="1">
      <c r="A363" s="64" t="inlineStr">
        <is>
          <t>SU002846</t>
        </is>
      </c>
      <c r="B363" s="64" t="inlineStr">
        <is>
          <t>P003254</t>
        </is>
      </c>
      <c r="C363" s="37" t="n">
        <v>4301060352</v>
      </c>
      <c r="D363" s="315" t="n">
        <v>4680115881648</v>
      </c>
      <c r="E363" s="636" t="n"/>
      <c r="F363" s="668" t="n">
        <v>1</v>
      </c>
      <c r="G363" s="38" t="n">
        <v>4</v>
      </c>
      <c r="H363" s="668" t="n">
        <v>4</v>
      </c>
      <c r="I363" s="668" t="n">
        <v>4.404</v>
      </c>
      <c r="J363" s="38" t="n">
        <v>104</v>
      </c>
      <c r="K363" s="39" t="inlineStr">
        <is>
          <t>СК2</t>
        </is>
      </c>
      <c r="L363" s="38" t="n">
        <v>35</v>
      </c>
      <c r="M363" s="871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3" s="670" t="n"/>
      <c r="O363" s="670" t="n"/>
      <c r="P363" s="670" t="n"/>
      <c r="Q363" s="636" t="n"/>
      <c r="R363" s="40" t="inlineStr"/>
      <c r="S363" s="40" t="inlineStr"/>
      <c r="T363" s="41" t="inlineStr">
        <is>
          <t>кг</t>
        </is>
      </c>
      <c r="U363" s="671" t="n">
        <v>0</v>
      </c>
      <c r="V363" s="672">
        <f>IFERROR(IF(U363="",0,CEILING((U363/$H363),1)*$H363),"")</f>
        <v/>
      </c>
      <c r="W363" s="42">
        <f>IFERROR(IF(V363=0,"",ROUNDUP(V363/H363,0)*0.01196),"")</f>
        <v/>
      </c>
      <c r="X363" s="69" t="inlineStr"/>
      <c r="Y363" s="70" t="inlineStr"/>
      <c r="AC363" s="71" t="n"/>
      <c r="AZ363" s="268" t="inlineStr">
        <is>
          <t>КИ</t>
        </is>
      </c>
    </row>
    <row r="364">
      <c r="A364" s="323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3" t="n"/>
      <c r="M364" s="674" t="inlineStr">
        <is>
          <t>Итого</t>
        </is>
      </c>
      <c r="N364" s="644" t="n"/>
      <c r="O364" s="644" t="n"/>
      <c r="P364" s="644" t="n"/>
      <c r="Q364" s="644" t="n"/>
      <c r="R364" s="644" t="n"/>
      <c r="S364" s="645" t="n"/>
      <c r="T364" s="43" t="inlineStr">
        <is>
          <t>кор</t>
        </is>
      </c>
      <c r="U364" s="675">
        <f>IFERROR(U363/H363,"0")</f>
        <v/>
      </c>
      <c r="V364" s="675">
        <f>IFERROR(V363/H363,"0")</f>
        <v/>
      </c>
      <c r="W364" s="675">
        <f>IFERROR(IF(W363="",0,W363),"0")</f>
        <v/>
      </c>
      <c r="X364" s="676" t="n"/>
      <c r="Y364" s="67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673" t="n"/>
      <c r="M365" s="674" t="inlineStr">
        <is>
          <t>Итого</t>
        </is>
      </c>
      <c r="N365" s="644" t="n"/>
      <c r="O365" s="644" t="n"/>
      <c r="P365" s="644" t="n"/>
      <c r="Q365" s="644" t="n"/>
      <c r="R365" s="644" t="n"/>
      <c r="S365" s="645" t="n"/>
      <c r="T365" s="43" t="inlineStr">
        <is>
          <t>кг</t>
        </is>
      </c>
      <c r="U365" s="675">
        <f>IFERROR(SUM(U363:U363),"0")</f>
        <v/>
      </c>
      <c r="V365" s="675">
        <f>IFERROR(SUM(V363:V363),"0")</f>
        <v/>
      </c>
      <c r="W365" s="43" t="n"/>
      <c r="X365" s="676" t="n"/>
      <c r="Y365" s="676" t="n"/>
    </row>
    <row r="366" ht="14.25" customHeight="1">
      <c r="A366" s="331" t="inlineStr">
        <is>
          <t>Сырокопченые колбасы</t>
        </is>
      </c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331" t="n"/>
      <c r="Y366" s="331" t="n"/>
    </row>
    <row r="367" ht="27" customHeight="1">
      <c r="A367" s="64" t="inlineStr">
        <is>
          <t>SU003058</t>
        </is>
      </c>
      <c r="B367" s="64" t="inlineStr">
        <is>
          <t>P003620</t>
        </is>
      </c>
      <c r="C367" s="37" t="n">
        <v>4301032042</v>
      </c>
      <c r="D367" s="315" t="n">
        <v>4680115883017</v>
      </c>
      <c r="E367" s="636" t="n"/>
      <c r="F367" s="668" t="n">
        <v>0.03</v>
      </c>
      <c r="G367" s="38" t="n">
        <v>20</v>
      </c>
      <c r="H367" s="668" t="n">
        <v>0.6</v>
      </c>
      <c r="I367" s="668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2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SU003061</t>
        </is>
      </c>
      <c r="B368" s="64" t="inlineStr">
        <is>
          <t>P003621</t>
        </is>
      </c>
      <c r="C368" s="37" t="n">
        <v>4301032043</v>
      </c>
      <c r="D368" s="315" t="n">
        <v>4680115883031</v>
      </c>
      <c r="E368" s="636" t="n"/>
      <c r="F368" s="668" t="n">
        <v>0.03</v>
      </c>
      <c r="G368" s="38" t="n">
        <v>20</v>
      </c>
      <c r="H368" s="668" t="n">
        <v>0.6</v>
      </c>
      <c r="I368" s="668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3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8" s="670" t="n"/>
      <c r="O368" s="670" t="n"/>
      <c r="P368" s="670" t="n"/>
      <c r="Q368" s="636" t="n"/>
      <c r="R368" s="40" t="inlineStr"/>
      <c r="S368" s="40" t="inlineStr"/>
      <c r="T368" s="41" t="inlineStr">
        <is>
          <t>кг</t>
        </is>
      </c>
      <c r="U368" s="671" t="n">
        <v>0</v>
      </c>
      <c r="V368" s="672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 ht="27" customHeight="1">
      <c r="A369" s="64" t="inlineStr">
        <is>
          <t>SU003057</t>
        </is>
      </c>
      <c r="B369" s="64" t="inlineStr">
        <is>
          <t>P003619</t>
        </is>
      </c>
      <c r="C369" s="37" t="n">
        <v>4301032041</v>
      </c>
      <c r="D369" s="315" t="n">
        <v>4680115883024</v>
      </c>
      <c r="E369" s="636" t="n"/>
      <c r="F369" s="668" t="n">
        <v>0.03</v>
      </c>
      <c r="G369" s="38" t="n">
        <v>20</v>
      </c>
      <c r="H369" s="668" t="n">
        <v>0.6</v>
      </c>
      <c r="I369" s="668" t="n">
        <v>0.63</v>
      </c>
      <c r="J369" s="38" t="n">
        <v>350</v>
      </c>
      <c r="K369" s="39" t="inlineStr">
        <is>
          <t>ДК</t>
        </is>
      </c>
      <c r="L369" s="38" t="n">
        <v>60</v>
      </c>
      <c r="M369" s="874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9" s="670" t="n"/>
      <c r="O369" s="670" t="n"/>
      <c r="P369" s="670" t="n"/>
      <c r="Q369" s="636" t="n"/>
      <c r="R369" s="40" t="inlineStr"/>
      <c r="S369" s="40" t="inlineStr"/>
      <c r="T369" s="41" t="inlineStr">
        <is>
          <t>кг</t>
        </is>
      </c>
      <c r="U369" s="671" t="n">
        <v>0</v>
      </c>
      <c r="V369" s="672">
        <f>IFERROR(IF(U369="",0,CEILING((U369/$H369),1)*$H369),"")</f>
        <v/>
      </c>
      <c r="W369" s="42">
        <f>IFERROR(IF(V369=0,"",ROUNDUP(V369/H369,0)*0.00349),"")</f>
        <v/>
      </c>
      <c r="X369" s="69" t="inlineStr"/>
      <c r="Y369" s="70" t="inlineStr"/>
      <c r="AC369" s="71" t="n"/>
      <c r="AZ369" s="271" t="inlineStr">
        <is>
          <t>КИ</t>
        </is>
      </c>
    </row>
    <row r="370">
      <c r="A370" s="323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3" t="n"/>
      <c r="M370" s="674" t="inlineStr">
        <is>
          <t>Итого</t>
        </is>
      </c>
      <c r="N370" s="644" t="n"/>
      <c r="O370" s="644" t="n"/>
      <c r="P370" s="644" t="n"/>
      <c r="Q370" s="644" t="n"/>
      <c r="R370" s="644" t="n"/>
      <c r="S370" s="645" t="n"/>
      <c r="T370" s="43" t="inlineStr">
        <is>
          <t>кор</t>
        </is>
      </c>
      <c r="U370" s="675">
        <f>IFERROR(U367/H367,"0")+IFERROR(U368/H368,"0")+IFERROR(U369/H369,"0")</f>
        <v/>
      </c>
      <c r="V370" s="675">
        <f>IFERROR(V367/H367,"0")+IFERROR(V368/H368,"0")+IFERROR(V369/H369,"0")</f>
        <v/>
      </c>
      <c r="W370" s="675">
        <f>IFERROR(IF(W367="",0,W367),"0")+IFERROR(IF(W368="",0,W368),"0")+IFERROR(IF(W369="",0,W369),"0")</f>
        <v/>
      </c>
      <c r="X370" s="676" t="n"/>
      <c r="Y370" s="676" t="n"/>
    </row>
    <row r="371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673" t="n"/>
      <c r="M371" s="674" t="inlineStr">
        <is>
          <t>Итого</t>
        </is>
      </c>
      <c r="N371" s="644" t="n"/>
      <c r="O371" s="644" t="n"/>
      <c r="P371" s="644" t="n"/>
      <c r="Q371" s="644" t="n"/>
      <c r="R371" s="644" t="n"/>
      <c r="S371" s="645" t="n"/>
      <c r="T371" s="43" t="inlineStr">
        <is>
          <t>кг</t>
        </is>
      </c>
      <c r="U371" s="675">
        <f>IFERROR(SUM(U367:U369),"0")</f>
        <v/>
      </c>
      <c r="V371" s="675">
        <f>IFERROR(SUM(V367:V369),"0")</f>
        <v/>
      </c>
      <c r="W371" s="43" t="n"/>
      <c r="X371" s="676" t="n"/>
      <c r="Y371" s="676" t="n"/>
    </row>
    <row r="372" ht="14.25" customHeight="1">
      <c r="A372" s="331" t="inlineStr">
        <is>
          <t>Сыровяленые колбасы</t>
        </is>
      </c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331" t="n"/>
      <c r="Y372" s="331" t="n"/>
    </row>
    <row r="373" ht="27" customHeight="1">
      <c r="A373" s="64" t="inlineStr">
        <is>
          <t>SU003060</t>
        </is>
      </c>
      <c r="B373" s="64" t="inlineStr">
        <is>
          <t>P003624</t>
        </is>
      </c>
      <c r="C373" s="37" t="n">
        <v>4301170009</v>
      </c>
      <c r="D373" s="315" t="n">
        <v>4680115882997</v>
      </c>
      <c r="E373" s="636" t="n"/>
      <c r="F373" s="668" t="n">
        <v>0.13</v>
      </c>
      <c r="G373" s="38" t="n">
        <v>10</v>
      </c>
      <c r="H373" s="668" t="n">
        <v>1.3</v>
      </c>
      <c r="I373" s="668" t="n">
        <v>1.46</v>
      </c>
      <c r="J373" s="38" t="n">
        <v>200</v>
      </c>
      <c r="K373" s="39" t="inlineStr">
        <is>
          <t>ДК</t>
        </is>
      </c>
      <c r="L373" s="38" t="n">
        <v>150</v>
      </c>
      <c r="M373" s="875" t="inlineStr">
        <is>
          <t>с/в колбасы «Филейбургская с филе сочного окорока» ф/в 0,13 н/о ТМ «Баварушка»</t>
        </is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IFERROR(IF(V373=0,"",ROUNDUP(V373/H373,0)*0.00673),"")</f>
        <v/>
      </c>
      <c r="X373" s="69" t="inlineStr"/>
      <c r="Y373" s="70" t="inlineStr"/>
      <c r="AC373" s="71" t="n"/>
      <c r="AZ373" s="272" t="inlineStr">
        <is>
          <t>КИ</t>
        </is>
      </c>
    </row>
    <row r="374">
      <c r="A374" s="323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3" t="n"/>
      <c r="M374" s="674" t="inlineStr">
        <is>
          <t>Итого</t>
        </is>
      </c>
      <c r="N374" s="644" t="n"/>
      <c r="O374" s="644" t="n"/>
      <c r="P374" s="644" t="n"/>
      <c r="Q374" s="644" t="n"/>
      <c r="R374" s="644" t="n"/>
      <c r="S374" s="645" t="n"/>
      <c r="T374" s="43" t="inlineStr">
        <is>
          <t>кор</t>
        </is>
      </c>
      <c r="U374" s="675">
        <f>IFERROR(U373/H373,"0")</f>
        <v/>
      </c>
      <c r="V374" s="675">
        <f>IFERROR(V373/H373,"0")</f>
        <v/>
      </c>
      <c r="W374" s="675">
        <f>IFERROR(IF(W373="",0,W373),"0")</f>
        <v/>
      </c>
      <c r="X374" s="676" t="n"/>
      <c r="Y374" s="676" t="n"/>
    </row>
    <row r="375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673" t="n"/>
      <c r="M375" s="674" t="inlineStr">
        <is>
          <t>Итого</t>
        </is>
      </c>
      <c r="N375" s="644" t="n"/>
      <c r="O375" s="644" t="n"/>
      <c r="P375" s="644" t="n"/>
      <c r="Q375" s="644" t="n"/>
      <c r="R375" s="644" t="n"/>
      <c r="S375" s="645" t="n"/>
      <c r="T375" s="43" t="inlineStr">
        <is>
          <t>кг</t>
        </is>
      </c>
      <c r="U375" s="675">
        <f>IFERROR(SUM(U373:U373),"0")</f>
        <v/>
      </c>
      <c r="V375" s="675">
        <f>IFERROR(SUM(V373:V373),"0")</f>
        <v/>
      </c>
      <c r="W375" s="43" t="n"/>
      <c r="X375" s="676" t="n"/>
      <c r="Y375" s="676" t="n"/>
    </row>
    <row r="376" ht="16.5" customHeight="1">
      <c r="A376" s="330" t="inlineStr">
        <is>
          <t>Балыкбургская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14.25" customHeight="1">
      <c r="A377" s="331" t="inlineStr">
        <is>
          <t>Ветчины</t>
        </is>
      </c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331" t="n"/>
      <c r="Y377" s="331" t="n"/>
    </row>
    <row r="378" ht="27" customHeight="1">
      <c r="A378" s="64" t="inlineStr">
        <is>
          <t>SU002542</t>
        </is>
      </c>
      <c r="B378" s="64" t="inlineStr">
        <is>
          <t>P002847</t>
        </is>
      </c>
      <c r="C378" s="37" t="n">
        <v>4301020196</v>
      </c>
      <c r="D378" s="315" t="n">
        <v>4607091389388</v>
      </c>
      <c r="E378" s="636" t="n"/>
      <c r="F378" s="668" t="n">
        <v>1.3</v>
      </c>
      <c r="G378" s="38" t="n">
        <v>4</v>
      </c>
      <c r="H378" s="668" t="n">
        <v>5.2</v>
      </c>
      <c r="I378" s="668" t="n">
        <v>5.608</v>
      </c>
      <c r="J378" s="38" t="n">
        <v>104</v>
      </c>
      <c r="K378" s="39" t="inlineStr">
        <is>
          <t>СК3</t>
        </is>
      </c>
      <c r="L378" s="38" t="n">
        <v>35</v>
      </c>
      <c r="M378" s="876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8" s="670" t="n"/>
      <c r="O378" s="670" t="n"/>
      <c r="P378" s="670" t="n"/>
      <c r="Q378" s="636" t="n"/>
      <c r="R378" s="40" t="inlineStr"/>
      <c r="S378" s="40" t="inlineStr"/>
      <c r="T378" s="41" t="inlineStr">
        <is>
          <t>кг</t>
        </is>
      </c>
      <c r="U378" s="671" t="n">
        <v>0</v>
      </c>
      <c r="V378" s="672">
        <f>IFERROR(IF(U378="",0,CEILING((U378/$H378),1)*$H378),"")</f>
        <v/>
      </c>
      <c r="W378" s="42">
        <f>IFERROR(IF(V378=0,"",ROUNDUP(V378/H378,0)*0.01196),"")</f>
        <v/>
      </c>
      <c r="X378" s="69" t="inlineStr"/>
      <c r="Y378" s="70" t="inlineStr"/>
      <c r="AC378" s="71" t="n"/>
      <c r="AZ378" s="273" t="inlineStr">
        <is>
          <t>КИ</t>
        </is>
      </c>
    </row>
    <row r="379" ht="27" customHeight="1">
      <c r="A379" s="64" t="inlineStr">
        <is>
          <t>SU002319</t>
        </is>
      </c>
      <c r="B379" s="64" t="inlineStr">
        <is>
          <t>P002597</t>
        </is>
      </c>
      <c r="C379" s="37" t="n">
        <v>4301020185</v>
      </c>
      <c r="D379" s="315" t="n">
        <v>4607091389364</v>
      </c>
      <c r="E379" s="636" t="n"/>
      <c r="F379" s="668" t="n">
        <v>0.42</v>
      </c>
      <c r="G379" s="38" t="n">
        <v>6</v>
      </c>
      <c r="H379" s="668" t="n">
        <v>2.52</v>
      </c>
      <c r="I379" s="668" t="n">
        <v>2.75</v>
      </c>
      <c r="J379" s="38" t="n">
        <v>156</v>
      </c>
      <c r="K379" s="39" t="inlineStr">
        <is>
          <t>СК3</t>
        </is>
      </c>
      <c r="L379" s="38" t="n">
        <v>35</v>
      </c>
      <c r="M379" s="87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IFERROR(IF(V379=0,"",ROUNDUP(V379/H379,0)*0.00753),"")</f>
        <v/>
      </c>
      <c r="X379" s="69" t="inlineStr"/>
      <c r="Y379" s="70" t="inlineStr"/>
      <c r="AC379" s="71" t="n"/>
      <c r="AZ379" s="274" t="inlineStr">
        <is>
          <t>КИ</t>
        </is>
      </c>
    </row>
    <row r="380">
      <c r="A380" s="323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IFERROR(U378/H378,"0")+IFERROR(U379/H379,"0")</f>
        <v/>
      </c>
      <c r="V380" s="675">
        <f>IFERROR(V378/H378,"0")+IFERROR(V379/H379,"0")</f>
        <v/>
      </c>
      <c r="W380" s="675">
        <f>IFERROR(IF(W378="",0,W378),"0")+IFERROR(IF(W379="",0,W379),"0")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IFERROR(SUM(U378:U379),"0")</f>
        <v/>
      </c>
      <c r="V381" s="675">
        <f>IFERROR(SUM(V378:V379),"0")</f>
        <v/>
      </c>
      <c r="W381" s="43" t="n"/>
      <c r="X381" s="676" t="n"/>
      <c r="Y381" s="676" t="n"/>
    </row>
    <row r="382" ht="14.25" customHeight="1">
      <c r="A382" s="331" t="inlineStr">
        <is>
          <t>Копченые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SU002612</t>
        </is>
      </c>
      <c r="B383" s="64" t="inlineStr">
        <is>
          <t>P003140</t>
        </is>
      </c>
      <c r="C383" s="37" t="n">
        <v>4301031212</v>
      </c>
      <c r="D383" s="315" t="n">
        <v>4607091389739</v>
      </c>
      <c r="E383" s="636" t="n"/>
      <c r="F383" s="668" t="n">
        <v>0.7</v>
      </c>
      <c r="G383" s="38" t="n">
        <v>6</v>
      </c>
      <c r="H383" s="668" t="n">
        <v>4.2</v>
      </c>
      <c r="I383" s="668" t="n">
        <v>4.43</v>
      </c>
      <c r="J383" s="38" t="n">
        <v>156</v>
      </c>
      <c r="K383" s="39" t="inlineStr">
        <is>
          <t>СК1</t>
        </is>
      </c>
      <c r="L383" s="38" t="n">
        <v>45</v>
      </c>
      <c r="M383" s="878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IFERROR(IF(V383=0,"",ROUNDUP(V383/H383,0)*0.00753),"")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SU003071</t>
        </is>
      </c>
      <c r="B384" s="64" t="inlineStr">
        <is>
          <t>P003612</t>
        </is>
      </c>
      <c r="C384" s="37" t="n">
        <v>4301031247</v>
      </c>
      <c r="D384" s="315" t="n">
        <v>4680115883048</v>
      </c>
      <c r="E384" s="636" t="n"/>
      <c r="F384" s="668" t="n">
        <v>1</v>
      </c>
      <c r="G384" s="38" t="n">
        <v>4</v>
      </c>
      <c r="H384" s="668" t="n">
        <v>4</v>
      </c>
      <c r="I384" s="668" t="n">
        <v>4.21</v>
      </c>
      <c r="J384" s="38" t="n">
        <v>120</v>
      </c>
      <c r="K384" s="39" t="inlineStr">
        <is>
          <t>СК2</t>
        </is>
      </c>
      <c r="L384" s="38" t="n">
        <v>40</v>
      </c>
      <c r="M384" s="879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4" s="670" t="n"/>
      <c r="O384" s="670" t="n"/>
      <c r="P384" s="670" t="n"/>
      <c r="Q384" s="636" t="n"/>
      <c r="R384" s="40" t="inlineStr"/>
      <c r="S384" s="40" t="inlineStr"/>
      <c r="T384" s="41" t="inlineStr">
        <is>
          <t>кг</t>
        </is>
      </c>
      <c r="U384" s="671" t="n">
        <v>0</v>
      </c>
      <c r="V384" s="672">
        <f>IFERROR(IF(U384="",0,CEILING((U384/$H384),1)*$H384),"")</f>
        <v/>
      </c>
      <c r="W384" s="42">
        <f>IFERROR(IF(V384=0,"",ROUNDUP(V384/H384,0)*0.00937),"")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SU002545</t>
        </is>
      </c>
      <c r="B385" s="64" t="inlineStr">
        <is>
          <t>P003137</t>
        </is>
      </c>
      <c r="C385" s="37" t="n">
        <v>4301031176</v>
      </c>
      <c r="D385" s="315" t="n">
        <v>4607091389425</v>
      </c>
      <c r="E385" s="636" t="n"/>
      <c r="F385" s="668" t="n">
        <v>0.35</v>
      </c>
      <c r="G385" s="38" t="n">
        <v>6</v>
      </c>
      <c r="H385" s="668" t="n">
        <v>2.1</v>
      </c>
      <c r="I385" s="668" t="n">
        <v>2.23</v>
      </c>
      <c r="J385" s="38" t="n">
        <v>234</v>
      </c>
      <c r="K385" s="39" t="inlineStr">
        <is>
          <t>СК2</t>
        </is>
      </c>
      <c r="L385" s="38" t="n">
        <v>45</v>
      </c>
      <c r="M385" s="880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5" s="670" t="n"/>
      <c r="O385" s="670" t="n"/>
      <c r="P385" s="670" t="n"/>
      <c r="Q385" s="636" t="n"/>
      <c r="R385" s="40" t="inlineStr"/>
      <c r="S385" s="40" t="inlineStr"/>
      <c r="T385" s="41" t="inlineStr">
        <is>
          <t>кг</t>
        </is>
      </c>
      <c r="U385" s="671" t="n">
        <v>0</v>
      </c>
      <c r="V385" s="672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SU002917</t>
        </is>
      </c>
      <c r="B386" s="64" t="inlineStr">
        <is>
          <t>P003343</t>
        </is>
      </c>
      <c r="C386" s="37" t="n">
        <v>4301031215</v>
      </c>
      <c r="D386" s="315" t="n">
        <v>4680115882911</v>
      </c>
      <c r="E386" s="636" t="n"/>
      <c r="F386" s="668" t="n">
        <v>0.4</v>
      </c>
      <c r="G386" s="38" t="n">
        <v>6</v>
      </c>
      <c r="H386" s="668" t="n">
        <v>2.4</v>
      </c>
      <c r="I386" s="668" t="n">
        <v>2.53</v>
      </c>
      <c r="J386" s="38" t="n">
        <v>234</v>
      </c>
      <c r="K386" s="39" t="inlineStr">
        <is>
          <t>СК2</t>
        </is>
      </c>
      <c r="L386" s="38" t="n">
        <v>40</v>
      </c>
      <c r="M386" s="881" t="inlineStr">
        <is>
          <t>П/к колбасы «Балыкбургская по-баварски» Фикс.вес 0,4 н/о мгс ТМ «Баварушка»</t>
        </is>
      </c>
      <c r="N386" s="670" t="n"/>
      <c r="O386" s="670" t="n"/>
      <c r="P386" s="670" t="n"/>
      <c r="Q386" s="636" t="n"/>
      <c r="R386" s="40" t="inlineStr"/>
      <c r="S386" s="40" t="inlineStr"/>
      <c r="T386" s="41" t="inlineStr">
        <is>
          <t>кг</t>
        </is>
      </c>
      <c r="U386" s="671" t="n">
        <v>0</v>
      </c>
      <c r="V386" s="672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SU002726</t>
        </is>
      </c>
      <c r="B387" s="64" t="inlineStr">
        <is>
          <t>P003095</t>
        </is>
      </c>
      <c r="C387" s="37" t="n">
        <v>4301031167</v>
      </c>
      <c r="D387" s="315" t="n">
        <v>4680115880771</v>
      </c>
      <c r="E387" s="636" t="n"/>
      <c r="F387" s="668" t="n">
        <v>0.28</v>
      </c>
      <c r="G387" s="38" t="n">
        <v>6</v>
      </c>
      <c r="H387" s="668" t="n">
        <v>1.68</v>
      </c>
      <c r="I387" s="668" t="n">
        <v>1.81</v>
      </c>
      <c r="J387" s="38" t="n">
        <v>234</v>
      </c>
      <c r="K387" s="39" t="inlineStr">
        <is>
          <t>СК2</t>
        </is>
      </c>
      <c r="L387" s="38" t="n">
        <v>45</v>
      </c>
      <c r="M387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7" s="670" t="n"/>
      <c r="O387" s="670" t="n"/>
      <c r="P387" s="670" t="n"/>
      <c r="Q387" s="636" t="n"/>
      <c r="R387" s="40" t="inlineStr"/>
      <c r="S387" s="40" t="inlineStr"/>
      <c r="T387" s="41" t="inlineStr">
        <is>
          <t>кг</t>
        </is>
      </c>
      <c r="U387" s="671" t="n">
        <v>0</v>
      </c>
      <c r="V387" s="672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SU002604</t>
        </is>
      </c>
      <c r="B388" s="64" t="inlineStr">
        <is>
          <t>P003135</t>
        </is>
      </c>
      <c r="C388" s="37" t="n">
        <v>4301031173</v>
      </c>
      <c r="D388" s="315" t="n">
        <v>4607091389500</v>
      </c>
      <c r="E388" s="636" t="n"/>
      <c r="F388" s="668" t="n">
        <v>0.35</v>
      </c>
      <c r="G388" s="38" t="n">
        <v>6</v>
      </c>
      <c r="H388" s="668" t="n">
        <v>2.1</v>
      </c>
      <c r="I388" s="668" t="n">
        <v>2.23</v>
      </c>
      <c r="J388" s="38" t="n">
        <v>234</v>
      </c>
      <c r="K388" s="39" t="inlineStr">
        <is>
          <t>СК2</t>
        </is>
      </c>
      <c r="L388" s="38" t="n">
        <v>45</v>
      </c>
      <c r="M388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8" s="670" t="n"/>
      <c r="O388" s="670" t="n"/>
      <c r="P388" s="670" t="n"/>
      <c r="Q388" s="636" t="n"/>
      <c r="R388" s="40" t="inlineStr"/>
      <c r="S388" s="40" t="inlineStr"/>
      <c r="T388" s="41" t="inlineStr">
        <is>
          <t>кг</t>
        </is>
      </c>
      <c r="U388" s="671" t="n">
        <v>0</v>
      </c>
      <c r="V388" s="672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 ht="27" customHeight="1">
      <c r="A389" s="64" t="inlineStr">
        <is>
          <t>SU002358</t>
        </is>
      </c>
      <c r="B389" s="64" t="inlineStr">
        <is>
          <t>P002642</t>
        </is>
      </c>
      <c r="C389" s="37" t="n">
        <v>4301031103</v>
      </c>
      <c r="D389" s="315" t="n">
        <v>4680115881983</v>
      </c>
      <c r="E389" s="636" t="n"/>
      <c r="F389" s="668" t="n">
        <v>0.28</v>
      </c>
      <c r="G389" s="38" t="n">
        <v>4</v>
      </c>
      <c r="H389" s="668" t="n">
        <v>1.12</v>
      </c>
      <c r="I389" s="668" t="n">
        <v>1.252</v>
      </c>
      <c r="J389" s="38" t="n">
        <v>234</v>
      </c>
      <c r="K389" s="39" t="inlineStr">
        <is>
          <t>СК2</t>
        </is>
      </c>
      <c r="L389" s="38" t="n">
        <v>40</v>
      </c>
      <c r="M389" s="884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0</v>
      </c>
      <c r="V389" s="672">
        <f>IFERROR(IF(U389="",0,CEILING((U389/$H389),1)*$H389),"")</f>
        <v/>
      </c>
      <c r="W389" s="42">
        <f>IFERROR(IF(V389=0,"",ROUNDUP(V389/H389,0)*0.00502),"")</f>
        <v/>
      </c>
      <c r="X389" s="69" t="inlineStr"/>
      <c r="Y389" s="70" t="inlineStr"/>
      <c r="AC389" s="71" t="n"/>
      <c r="AZ389" s="281" t="inlineStr">
        <is>
          <t>КИ</t>
        </is>
      </c>
    </row>
    <row r="390">
      <c r="A390" s="323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3" t="n"/>
      <c r="M390" s="674" t="inlineStr">
        <is>
          <t>Итого</t>
        </is>
      </c>
      <c r="N390" s="644" t="n"/>
      <c r="O390" s="644" t="n"/>
      <c r="P390" s="644" t="n"/>
      <c r="Q390" s="644" t="n"/>
      <c r="R390" s="644" t="n"/>
      <c r="S390" s="645" t="n"/>
      <c r="T390" s="43" t="inlineStr">
        <is>
          <t>кор</t>
        </is>
      </c>
      <c r="U390" s="675">
        <f>IFERROR(U383/H383,"0")+IFERROR(U384/H384,"0")+IFERROR(U385/H385,"0")+IFERROR(U386/H386,"0")+IFERROR(U387/H387,"0")+IFERROR(U388/H388,"0")+IFERROR(U389/H389,"0")</f>
        <v/>
      </c>
      <c r="V390" s="675">
        <f>IFERROR(V383/H383,"0")+IFERROR(V384/H384,"0")+IFERROR(V385/H385,"0")+IFERROR(V386/H386,"0")+IFERROR(V387/H387,"0")+IFERROR(V388/H388,"0")+IFERROR(V389/H389,"0")</f>
        <v/>
      </c>
      <c r="W390" s="675">
        <f>IFERROR(IF(W383="",0,W383),"0")+IFERROR(IF(W384="",0,W384),"0")+IFERROR(IF(W385="",0,W385),"0")+IFERROR(IF(W386="",0,W386),"0")+IFERROR(IF(W387="",0,W387),"0")+IFERROR(IF(W388="",0,W388),"0")+IFERROR(IF(W389="",0,W389),"0")</f>
        <v/>
      </c>
      <c r="X390" s="676" t="n"/>
      <c r="Y390" s="676" t="n"/>
    </row>
    <row r="391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673" t="n"/>
      <c r="M391" s="674" t="inlineStr">
        <is>
          <t>Итого</t>
        </is>
      </c>
      <c r="N391" s="644" t="n"/>
      <c r="O391" s="644" t="n"/>
      <c r="P391" s="644" t="n"/>
      <c r="Q391" s="644" t="n"/>
      <c r="R391" s="644" t="n"/>
      <c r="S391" s="645" t="n"/>
      <c r="T391" s="43" t="inlineStr">
        <is>
          <t>кг</t>
        </is>
      </c>
      <c r="U391" s="675">
        <f>IFERROR(SUM(U383:U389),"0")</f>
        <v/>
      </c>
      <c r="V391" s="675">
        <f>IFERROR(SUM(V383:V389),"0")</f>
        <v/>
      </c>
      <c r="W391" s="43" t="n"/>
      <c r="X391" s="676" t="n"/>
      <c r="Y391" s="676" t="n"/>
    </row>
    <row r="392" ht="14.25" customHeight="1">
      <c r="A392" s="331" t="inlineStr">
        <is>
          <t>Сырокопченые колбасы</t>
        </is>
      </c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331" t="n"/>
      <c r="Y392" s="331" t="n"/>
    </row>
    <row r="393" ht="27" customHeight="1">
      <c r="A393" s="64" t="inlineStr">
        <is>
          <t>SU003059</t>
        </is>
      </c>
      <c r="B393" s="64" t="inlineStr">
        <is>
          <t>P003623</t>
        </is>
      </c>
      <c r="C393" s="37" t="n">
        <v>4301032044</v>
      </c>
      <c r="D393" s="315" t="n">
        <v>4680115883000</v>
      </c>
      <c r="E393" s="636" t="n"/>
      <c r="F393" s="668" t="n">
        <v>0.03</v>
      </c>
      <c r="G393" s="38" t="n">
        <v>20</v>
      </c>
      <c r="H393" s="668" t="n">
        <v>0.6</v>
      </c>
      <c r="I393" s="668" t="n">
        <v>0.63</v>
      </c>
      <c r="J393" s="38" t="n">
        <v>350</v>
      </c>
      <c r="K393" s="39" t="inlineStr">
        <is>
          <t>ДК</t>
        </is>
      </c>
      <c r="L393" s="38" t="n">
        <v>60</v>
      </c>
      <c r="M393" s="885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IFERROR(IF(V393=0,"",ROUNDUP(V393/H393,0)*0.00349),"")</f>
        <v/>
      </c>
      <c r="X393" s="69" t="inlineStr"/>
      <c r="Y393" s="70" t="inlineStr"/>
      <c r="AC393" s="71" t="n"/>
      <c r="AZ393" s="282" t="inlineStr">
        <is>
          <t>КИ</t>
        </is>
      </c>
    </row>
    <row r="394">
      <c r="A394" s="323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3" t="n"/>
      <c r="M394" s="674" t="inlineStr">
        <is>
          <t>Итого</t>
        </is>
      </c>
      <c r="N394" s="644" t="n"/>
      <c r="O394" s="644" t="n"/>
      <c r="P394" s="644" t="n"/>
      <c r="Q394" s="644" t="n"/>
      <c r="R394" s="644" t="n"/>
      <c r="S394" s="645" t="n"/>
      <c r="T394" s="43" t="inlineStr">
        <is>
          <t>кор</t>
        </is>
      </c>
      <c r="U394" s="675">
        <f>IFERROR(U393/H393,"0")</f>
        <v/>
      </c>
      <c r="V394" s="675">
        <f>IFERROR(V393/H393,"0")</f>
        <v/>
      </c>
      <c r="W394" s="675">
        <f>IFERROR(IF(W393="",0,W393),"0")</f>
        <v/>
      </c>
      <c r="X394" s="676" t="n"/>
      <c r="Y394" s="676" t="n"/>
    </row>
    <row r="395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673" t="n"/>
      <c r="M395" s="674" t="inlineStr">
        <is>
          <t>Итого</t>
        </is>
      </c>
      <c r="N395" s="644" t="n"/>
      <c r="O395" s="644" t="n"/>
      <c r="P395" s="644" t="n"/>
      <c r="Q395" s="644" t="n"/>
      <c r="R395" s="644" t="n"/>
      <c r="S395" s="645" t="n"/>
      <c r="T395" s="43" t="inlineStr">
        <is>
          <t>кг</t>
        </is>
      </c>
      <c r="U395" s="675">
        <f>IFERROR(SUM(U393:U393),"0")</f>
        <v/>
      </c>
      <c r="V395" s="675">
        <f>IFERROR(SUM(V393:V393),"0")</f>
        <v/>
      </c>
      <c r="W395" s="43" t="n"/>
      <c r="X395" s="676" t="n"/>
      <c r="Y395" s="676" t="n"/>
    </row>
    <row r="396" ht="14.25" customHeight="1">
      <c r="A396" s="331" t="inlineStr">
        <is>
          <t>Сыровяленые колбасы</t>
        </is>
      </c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331" t="n"/>
      <c r="Y396" s="331" t="n"/>
    </row>
    <row r="397" ht="27" customHeight="1">
      <c r="A397" s="64" t="inlineStr">
        <is>
          <t>SU003056</t>
        </is>
      </c>
      <c r="B397" s="64" t="inlineStr">
        <is>
          <t>P003622</t>
        </is>
      </c>
      <c r="C397" s="37" t="n">
        <v>4301170008</v>
      </c>
      <c r="D397" s="315" t="n">
        <v>4680115882980</v>
      </c>
      <c r="E397" s="636" t="n"/>
      <c r="F397" s="668" t="n">
        <v>0.13</v>
      </c>
      <c r="G397" s="38" t="n">
        <v>10</v>
      </c>
      <c r="H397" s="668" t="n">
        <v>1.3</v>
      </c>
      <c r="I397" s="668" t="n">
        <v>1.46</v>
      </c>
      <c r="J397" s="38" t="n">
        <v>200</v>
      </c>
      <c r="K397" s="39" t="inlineStr">
        <is>
          <t>ДК</t>
        </is>
      </c>
      <c r="L397" s="38" t="n">
        <v>150</v>
      </c>
      <c r="M397" s="886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IFERROR(IF(V397=0,"",ROUNDUP(V397/H397,0)*0.00673),"")</f>
        <v/>
      </c>
      <c r="X397" s="69" t="inlineStr"/>
      <c r="Y397" s="70" t="inlineStr"/>
      <c r="AC397" s="71" t="n"/>
      <c r="AZ397" s="283" t="inlineStr">
        <is>
          <t>КИ</t>
        </is>
      </c>
    </row>
    <row r="398">
      <c r="A398" s="323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3" t="n"/>
      <c r="M398" s="674" t="inlineStr">
        <is>
          <t>Итого</t>
        </is>
      </c>
      <c r="N398" s="644" t="n"/>
      <c r="O398" s="644" t="n"/>
      <c r="P398" s="644" t="n"/>
      <c r="Q398" s="644" t="n"/>
      <c r="R398" s="644" t="n"/>
      <c r="S398" s="645" t="n"/>
      <c r="T398" s="43" t="inlineStr">
        <is>
          <t>кор</t>
        </is>
      </c>
      <c r="U398" s="675">
        <f>IFERROR(U397/H397,"0")</f>
        <v/>
      </c>
      <c r="V398" s="675">
        <f>IFERROR(V397/H397,"0")</f>
        <v/>
      </c>
      <c r="W398" s="675">
        <f>IFERROR(IF(W397="",0,W397),"0")</f>
        <v/>
      </c>
      <c r="X398" s="676" t="n"/>
      <c r="Y398" s="67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кг</t>
        </is>
      </c>
      <c r="U399" s="675">
        <f>IFERROR(SUM(U397:U397),"0")</f>
        <v/>
      </c>
      <c r="V399" s="675">
        <f>IFERROR(SUM(V397:V397),"0")</f>
        <v/>
      </c>
      <c r="W399" s="43" t="n"/>
      <c r="X399" s="676" t="n"/>
      <c r="Y399" s="676" t="n"/>
    </row>
    <row r="400" ht="27.75" customHeight="1">
      <c r="A400" s="336" t="inlineStr">
        <is>
          <t>Дугушка</t>
        </is>
      </c>
      <c r="B400" s="667" t="n"/>
      <c r="C400" s="667" t="n"/>
      <c r="D400" s="667" t="n"/>
      <c r="E400" s="667" t="n"/>
      <c r="F400" s="667" t="n"/>
      <c r="G400" s="667" t="n"/>
      <c r="H400" s="667" t="n"/>
      <c r="I400" s="667" t="n"/>
      <c r="J400" s="667" t="n"/>
      <c r="K400" s="667" t="n"/>
      <c r="L400" s="667" t="n"/>
      <c r="M400" s="667" t="n"/>
      <c r="N400" s="667" t="n"/>
      <c r="O400" s="667" t="n"/>
      <c r="P400" s="667" t="n"/>
      <c r="Q400" s="667" t="n"/>
      <c r="R400" s="667" t="n"/>
      <c r="S400" s="667" t="n"/>
      <c r="T400" s="667" t="n"/>
      <c r="U400" s="667" t="n"/>
      <c r="V400" s="667" t="n"/>
      <c r="W400" s="667" t="n"/>
      <c r="X400" s="55" t="n"/>
      <c r="Y400" s="55" t="n"/>
    </row>
    <row r="401" ht="16.5" customHeight="1">
      <c r="A401" s="330" t="inlineStr">
        <is>
          <t>Дугушка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14.25" customHeight="1">
      <c r="A402" s="331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331" t="n"/>
      <c r="Y402" s="331" t="n"/>
    </row>
    <row r="403" ht="27" customHeight="1">
      <c r="A403" s="64" t="inlineStr">
        <is>
          <t>SU002011</t>
        </is>
      </c>
      <c r="B403" s="64" t="inlineStr">
        <is>
          <t>P002991</t>
        </is>
      </c>
      <c r="C403" s="37" t="n">
        <v>4301011371</v>
      </c>
      <c r="D403" s="315" t="n">
        <v>4607091389067</v>
      </c>
      <c r="E403" s="636" t="n"/>
      <c r="F403" s="668" t="n">
        <v>0.88</v>
      </c>
      <c r="G403" s="38" t="n">
        <v>6</v>
      </c>
      <c r="H403" s="668" t="n">
        <v>5.28</v>
      </c>
      <c r="I403" s="668" t="n">
        <v>5.64</v>
      </c>
      <c r="J403" s="38" t="n">
        <v>104</v>
      </c>
      <c r="K403" s="39" t="inlineStr">
        <is>
          <t>СК3</t>
        </is>
      </c>
      <c r="L403" s="38" t="n">
        <v>55</v>
      </c>
      <c r="M403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SU002094</t>
        </is>
      </c>
      <c r="B404" s="64" t="inlineStr">
        <is>
          <t>P002975</t>
        </is>
      </c>
      <c r="C404" s="37" t="n">
        <v>4301011363</v>
      </c>
      <c r="D404" s="315" t="n">
        <v>4607091383522</v>
      </c>
      <c r="E404" s="636" t="n"/>
      <c r="F404" s="668" t="n">
        <v>0.88</v>
      </c>
      <c r="G404" s="38" t="n">
        <v>6</v>
      </c>
      <c r="H404" s="668" t="n">
        <v>5.28</v>
      </c>
      <c r="I404" s="668" t="n">
        <v>5.64</v>
      </c>
      <c r="J404" s="38" t="n">
        <v>104</v>
      </c>
      <c r="K404" s="39" t="inlineStr">
        <is>
          <t>СК1</t>
        </is>
      </c>
      <c r="L404" s="38" t="n">
        <v>55</v>
      </c>
      <c r="M404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4" s="670" t="n"/>
      <c r="O404" s="670" t="n"/>
      <c r="P404" s="670" t="n"/>
      <c r="Q404" s="636" t="n"/>
      <c r="R404" s="40" t="inlineStr"/>
      <c r="S404" s="40" t="inlineStr"/>
      <c r="T404" s="41" t="inlineStr">
        <is>
          <t>кг</t>
        </is>
      </c>
      <c r="U404" s="671" t="n">
        <v>0</v>
      </c>
      <c r="V404" s="672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SU002182</t>
        </is>
      </c>
      <c r="B405" s="64" t="inlineStr">
        <is>
          <t>P002990</t>
        </is>
      </c>
      <c r="C405" s="37" t="n">
        <v>4301011431</v>
      </c>
      <c r="D405" s="315" t="n">
        <v>4607091384437</v>
      </c>
      <c r="E405" s="636" t="n"/>
      <c r="F405" s="668" t="n">
        <v>0.88</v>
      </c>
      <c r="G405" s="38" t="n">
        <v>6</v>
      </c>
      <c r="H405" s="668" t="n">
        <v>5.28</v>
      </c>
      <c r="I405" s="668" t="n">
        <v>5.64</v>
      </c>
      <c r="J405" s="38" t="n">
        <v>104</v>
      </c>
      <c r="K405" s="39" t="inlineStr">
        <is>
          <t>СК1</t>
        </is>
      </c>
      <c r="L405" s="38" t="n">
        <v>50</v>
      </c>
      <c r="M405" s="889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5" s="670" t="n"/>
      <c r="O405" s="670" t="n"/>
      <c r="P405" s="670" t="n"/>
      <c r="Q405" s="636" t="n"/>
      <c r="R405" s="40" t="inlineStr"/>
      <c r="S405" s="40" t="inlineStr"/>
      <c r="T405" s="41" t="inlineStr">
        <is>
          <t>кг</t>
        </is>
      </c>
      <c r="U405" s="671" t="n">
        <v>0</v>
      </c>
      <c r="V405" s="672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SU002010</t>
        </is>
      </c>
      <c r="B406" s="64" t="inlineStr">
        <is>
          <t>P002979</t>
        </is>
      </c>
      <c r="C406" s="37" t="n">
        <v>4301011365</v>
      </c>
      <c r="D406" s="315" t="n">
        <v>4607091389104</v>
      </c>
      <c r="E406" s="636" t="n"/>
      <c r="F406" s="668" t="n">
        <v>0.88</v>
      </c>
      <c r="G406" s="38" t="n">
        <v>6</v>
      </c>
      <c r="H406" s="668" t="n">
        <v>5.28</v>
      </c>
      <c r="I406" s="668" t="n">
        <v>5.64</v>
      </c>
      <c r="J406" s="38" t="n">
        <v>104</v>
      </c>
      <c r="K406" s="39" t="inlineStr">
        <is>
          <t>СК1</t>
        </is>
      </c>
      <c r="L406" s="38" t="n">
        <v>55</v>
      </c>
      <c r="M406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6" s="670" t="n"/>
      <c r="O406" s="670" t="n"/>
      <c r="P406" s="670" t="n"/>
      <c r="Q406" s="636" t="n"/>
      <c r="R406" s="40" t="inlineStr"/>
      <c r="S406" s="40" t="inlineStr"/>
      <c r="T406" s="41" t="inlineStr">
        <is>
          <t>кг</t>
        </is>
      </c>
      <c r="U406" s="671" t="n">
        <v>895</v>
      </c>
      <c r="V406" s="672">
        <f>IFERROR(IF(U406="",0,CEILING((U406/$H406),1)*$H406),"")</f>
        <v/>
      </c>
      <c r="W406" s="42">
        <f>IFERROR(IF(V406=0,"",ROUNDUP(V406/H406,0)*0.01196),"")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SU002632</t>
        </is>
      </c>
      <c r="B407" s="64" t="inlineStr">
        <is>
          <t>P002982</t>
        </is>
      </c>
      <c r="C407" s="37" t="n">
        <v>4301011367</v>
      </c>
      <c r="D407" s="315" t="n">
        <v>4680115880603</v>
      </c>
      <c r="E407" s="636" t="n"/>
      <c r="F407" s="668" t="n">
        <v>0.6</v>
      </c>
      <c r="G407" s="38" t="n">
        <v>6</v>
      </c>
      <c r="H407" s="668" t="n">
        <v>3.6</v>
      </c>
      <c r="I407" s="668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91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0</v>
      </c>
      <c r="V407" s="672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SU002220</t>
        </is>
      </c>
      <c r="B408" s="64" t="inlineStr">
        <is>
          <t>P002404</t>
        </is>
      </c>
      <c r="C408" s="37" t="n">
        <v>4301011168</v>
      </c>
      <c r="D408" s="315" t="n">
        <v>4607091389999</v>
      </c>
      <c r="E408" s="636" t="n"/>
      <c r="F408" s="668" t="n">
        <v>0.6</v>
      </c>
      <c r="G408" s="38" t="n">
        <v>6</v>
      </c>
      <c r="H408" s="668" t="n">
        <v>3.6</v>
      </c>
      <c r="I408" s="668" t="n">
        <v>3.84</v>
      </c>
      <c r="J408" s="38" t="n">
        <v>120</v>
      </c>
      <c r="K408" s="39" t="inlineStr">
        <is>
          <t>СК1</t>
        </is>
      </c>
      <c r="L408" s="38" t="n">
        <v>55</v>
      </c>
      <c r="M408" s="892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0</v>
      </c>
      <c r="V408" s="672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SU002635</t>
        </is>
      </c>
      <c r="B409" s="64" t="inlineStr">
        <is>
          <t>P002992</t>
        </is>
      </c>
      <c r="C409" s="37" t="n">
        <v>4301011372</v>
      </c>
      <c r="D409" s="315" t="n">
        <v>4680115882782</v>
      </c>
      <c r="E409" s="636" t="n"/>
      <c r="F409" s="668" t="n">
        <v>0.6</v>
      </c>
      <c r="G409" s="38" t="n">
        <v>6</v>
      </c>
      <c r="H409" s="668" t="n">
        <v>3.6</v>
      </c>
      <c r="I409" s="668" t="n">
        <v>3.84</v>
      </c>
      <c r="J409" s="38" t="n">
        <v>120</v>
      </c>
      <c r="K409" s="39" t="inlineStr">
        <is>
          <t>СК1</t>
        </is>
      </c>
      <c r="L409" s="38" t="n">
        <v>50</v>
      </c>
      <c r="M409" s="893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0</v>
      </c>
      <c r="V409" s="672">
        <f>IFERROR(IF(U409="",0,CEILING((U409/$H409),1)*$H409),"")</f>
        <v/>
      </c>
      <c r="W409" s="42">
        <f>IFERROR(IF(V409=0,"",ROUNDUP(V409/H409,0)*0.00937),"")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SU002020</t>
        </is>
      </c>
      <c r="B410" s="64" t="inlineStr">
        <is>
          <t>P002308</t>
        </is>
      </c>
      <c r="C410" s="37" t="n">
        <v>4301011190</v>
      </c>
      <c r="D410" s="315" t="n">
        <v>4607091389098</v>
      </c>
      <c r="E410" s="636" t="n"/>
      <c r="F410" s="668" t="n">
        <v>0.4</v>
      </c>
      <c r="G410" s="38" t="n">
        <v>6</v>
      </c>
      <c r="H410" s="668" t="n">
        <v>2.4</v>
      </c>
      <c r="I410" s="668" t="n">
        <v>2.6</v>
      </c>
      <c r="J410" s="38" t="n">
        <v>156</v>
      </c>
      <c r="K410" s="39" t="inlineStr">
        <is>
          <t>СК3</t>
        </is>
      </c>
      <c r="L410" s="38" t="n">
        <v>50</v>
      </c>
      <c r="M410" s="894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IFERROR(IF(V410=0,"",ROUNDUP(V410/H410,0)*0.00753),"")</f>
        <v/>
      </c>
      <c r="X410" s="69" t="inlineStr"/>
      <c r="Y410" s="70" t="inlineStr"/>
      <c r="AC410" s="71" t="n"/>
      <c r="AZ410" s="291" t="inlineStr">
        <is>
          <t>КИ</t>
        </is>
      </c>
    </row>
    <row r="411" ht="27" customHeight="1">
      <c r="A411" s="64" t="inlineStr">
        <is>
          <t>SU002631</t>
        </is>
      </c>
      <c r="B411" s="64" t="inlineStr">
        <is>
          <t>P002981</t>
        </is>
      </c>
      <c r="C411" s="37" t="n">
        <v>4301011366</v>
      </c>
      <c r="D411" s="315" t="n">
        <v>4607091389982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3.84</v>
      </c>
      <c r="J411" s="38" t="n">
        <v>120</v>
      </c>
      <c r="K411" s="39" t="inlineStr">
        <is>
          <t>СК1</t>
        </is>
      </c>
      <c r="L411" s="38" t="n">
        <v>55</v>
      </c>
      <c r="M411" s="895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71" t="n"/>
      <c r="AZ411" s="292" t="inlineStr">
        <is>
          <t>КИ</t>
        </is>
      </c>
    </row>
    <row r="412">
      <c r="A412" s="323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3" t="n"/>
      <c r="M412" s="674" t="inlineStr">
        <is>
          <t>Итого</t>
        </is>
      </c>
      <c r="N412" s="644" t="n"/>
      <c r="O412" s="644" t="n"/>
      <c r="P412" s="644" t="n"/>
      <c r="Q412" s="644" t="n"/>
      <c r="R412" s="644" t="n"/>
      <c r="S412" s="645" t="n"/>
      <c r="T412" s="43" t="inlineStr">
        <is>
          <t>кор</t>
        </is>
      </c>
      <c r="U412" s="675">
        <f>IFERROR(U403/H403,"0")+IFERROR(U404/H404,"0")+IFERROR(U405/H405,"0")+IFERROR(U406/H406,"0")+IFERROR(U407/H407,"0")+IFERROR(U408/H408,"0")+IFERROR(U409/H409,"0")+IFERROR(U410/H410,"0")+IFERROR(U411/H411,"0")</f>
        <v/>
      </c>
      <c r="V412" s="675">
        <f>IFERROR(V403/H403,"0")+IFERROR(V404/H404,"0")+IFERROR(V405/H405,"0")+IFERROR(V406/H406,"0")+IFERROR(V407/H407,"0")+IFERROR(V408/H408,"0")+IFERROR(V409/H409,"0")+IFERROR(V410/H410,"0")+IFERROR(V411/H411,"0")</f>
        <v/>
      </c>
      <c r="W412" s="675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/>
      </c>
      <c r="X412" s="676" t="n"/>
      <c r="Y412" s="676" t="n"/>
    </row>
    <row r="413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кг</t>
        </is>
      </c>
      <c r="U413" s="675">
        <f>IFERROR(SUM(U403:U411),"0")</f>
        <v/>
      </c>
      <c r="V413" s="675">
        <f>IFERROR(SUM(V403:V411),"0")</f>
        <v/>
      </c>
      <c r="W413" s="43" t="n"/>
      <c r="X413" s="676" t="n"/>
      <c r="Y413" s="676" t="n"/>
    </row>
    <row r="414" ht="14.25" customHeight="1">
      <c r="A414" s="331" t="inlineStr">
        <is>
          <t>Ветчины</t>
        </is>
      </c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331" t="n"/>
      <c r="Y414" s="331" t="n"/>
    </row>
    <row r="415" ht="16.5" customHeight="1">
      <c r="A415" s="64" t="inlineStr">
        <is>
          <t>SU002035</t>
        </is>
      </c>
      <c r="B415" s="64" t="inlineStr">
        <is>
          <t>P003146</t>
        </is>
      </c>
      <c r="C415" s="37" t="n">
        <v>4301020222</v>
      </c>
      <c r="D415" s="315" t="n">
        <v>4607091388930</v>
      </c>
      <c r="E415" s="636" t="n"/>
      <c r="F415" s="668" t="n">
        <v>0.88</v>
      </c>
      <c r="G415" s="38" t="n">
        <v>6</v>
      </c>
      <c r="H415" s="668" t="n">
        <v>5.28</v>
      </c>
      <c r="I415" s="668" t="n">
        <v>5.64</v>
      </c>
      <c r="J415" s="38" t="n">
        <v>104</v>
      </c>
      <c r="K415" s="39" t="inlineStr">
        <is>
          <t>СК1</t>
        </is>
      </c>
      <c r="L415" s="38" t="n">
        <v>55</v>
      </c>
      <c r="M415" s="896">
        <f>HYPERLINK("https://abi.ru/products/Охлажденные/Дугушка/Дугушка/Ветчины/P003146/","Ветчины Дугушка Дугушка Вес б/о Дугушка")</f>
        <v/>
      </c>
      <c r="N415" s="670" t="n"/>
      <c r="O415" s="670" t="n"/>
      <c r="P415" s="670" t="n"/>
      <c r="Q415" s="636" t="n"/>
      <c r="R415" s="40" t="inlineStr"/>
      <c r="S415" s="40" t="inlineStr"/>
      <c r="T415" s="41" t="inlineStr">
        <is>
          <t>кг</t>
        </is>
      </c>
      <c r="U415" s="671" t="n">
        <v>772</v>
      </c>
      <c r="V415" s="672">
        <f>IFERROR(IF(U415="",0,CEILING((U415/$H415),1)*$H415),"")</f>
        <v/>
      </c>
      <c r="W415" s="42">
        <f>IFERROR(IF(V415=0,"",ROUNDUP(V415/H415,0)*0.01196),"")</f>
        <v/>
      </c>
      <c r="X415" s="69" t="inlineStr"/>
      <c r="Y415" s="70" t="inlineStr"/>
      <c r="AC415" s="71" t="n"/>
      <c r="AZ415" s="293" t="inlineStr">
        <is>
          <t>КИ</t>
        </is>
      </c>
    </row>
    <row r="416" ht="16.5" customHeight="1">
      <c r="A416" s="64" t="inlineStr">
        <is>
          <t>SU002643</t>
        </is>
      </c>
      <c r="B416" s="64" t="inlineStr">
        <is>
          <t>P002993</t>
        </is>
      </c>
      <c r="C416" s="37" t="n">
        <v>4301020206</v>
      </c>
      <c r="D416" s="315" t="n">
        <v>4680115880054</v>
      </c>
      <c r="E416" s="636" t="n"/>
      <c r="F416" s="668" t="n">
        <v>0.6</v>
      </c>
      <c r="G416" s="38" t="n">
        <v>6</v>
      </c>
      <c r="H416" s="668" t="n">
        <v>3.6</v>
      </c>
      <c r="I416" s="668" t="n">
        <v>3.84</v>
      </c>
      <c r="J416" s="38" t="n">
        <v>120</v>
      </c>
      <c r="K416" s="39" t="inlineStr">
        <is>
          <t>СК1</t>
        </is>
      </c>
      <c r="L416" s="38" t="n">
        <v>55</v>
      </c>
      <c r="M416" s="897">
        <f>HYPERLINK("https://abi.ru/products/Охлажденные/Дугушка/Дугушка/Ветчины/P002993/","Ветчины «Дугушка» Фикс.вес 0,6 П/а ТМ «Дугушка»")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IFERROR(IF(V416=0,"",ROUNDUP(V416/H416,0)*0.00937),"")</f>
        <v/>
      </c>
      <c r="X416" s="69" t="inlineStr"/>
      <c r="Y416" s="70" t="inlineStr"/>
      <c r="AC416" s="71" t="n"/>
      <c r="AZ416" s="294" t="inlineStr">
        <is>
          <t>КИ</t>
        </is>
      </c>
    </row>
    <row r="417">
      <c r="A417" s="323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3" t="n"/>
      <c r="M417" s="674" t="inlineStr">
        <is>
          <t>Итого</t>
        </is>
      </c>
      <c r="N417" s="644" t="n"/>
      <c r="O417" s="644" t="n"/>
      <c r="P417" s="644" t="n"/>
      <c r="Q417" s="644" t="n"/>
      <c r="R417" s="644" t="n"/>
      <c r="S417" s="645" t="n"/>
      <c r="T417" s="43" t="inlineStr">
        <is>
          <t>кор</t>
        </is>
      </c>
      <c r="U417" s="675">
        <f>IFERROR(U415/H415,"0")+IFERROR(U416/H416,"0")</f>
        <v/>
      </c>
      <c r="V417" s="675">
        <f>IFERROR(V415/H415,"0")+IFERROR(V416/H416,"0")</f>
        <v/>
      </c>
      <c r="W417" s="675">
        <f>IFERROR(IF(W415="",0,W415),"0")+IFERROR(IF(W416="",0,W416),"0")</f>
        <v/>
      </c>
      <c r="X417" s="676" t="n"/>
      <c r="Y417" s="676" t="n"/>
    </row>
    <row r="41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кг</t>
        </is>
      </c>
      <c r="U418" s="675">
        <f>IFERROR(SUM(U415:U416),"0")</f>
        <v/>
      </c>
      <c r="V418" s="675">
        <f>IFERROR(SUM(V415:V416),"0")</f>
        <v/>
      </c>
      <c r="W418" s="43" t="n"/>
      <c r="X418" s="676" t="n"/>
      <c r="Y418" s="676" t="n"/>
    </row>
    <row r="419" ht="14.25" customHeight="1">
      <c r="A419" s="331" t="inlineStr">
        <is>
          <t>Копченые колбасы</t>
        </is>
      </c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331" t="n"/>
      <c r="Y419" s="331" t="n"/>
    </row>
    <row r="420" ht="27" customHeight="1">
      <c r="A420" s="64" t="inlineStr">
        <is>
          <t>SU002150</t>
        </is>
      </c>
      <c r="B420" s="64" t="inlineStr">
        <is>
          <t>P003636</t>
        </is>
      </c>
      <c r="C420" s="37" t="n">
        <v>4301031252</v>
      </c>
      <c r="D420" s="315" t="n">
        <v>4680115883116</v>
      </c>
      <c r="E420" s="636" t="n"/>
      <c r="F420" s="668" t="n">
        <v>0.88</v>
      </c>
      <c r="G420" s="38" t="n">
        <v>6</v>
      </c>
      <c r="H420" s="668" t="n">
        <v>5.28</v>
      </c>
      <c r="I420" s="668" t="n">
        <v>5.64</v>
      </c>
      <c r="J420" s="38" t="n">
        <v>104</v>
      </c>
      <c r="K420" s="39" t="inlineStr">
        <is>
          <t>СК1</t>
        </is>
      </c>
      <c r="L420" s="38" t="n">
        <v>60</v>
      </c>
      <c r="M420" s="898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20" s="670" t="n"/>
      <c r="O420" s="670" t="n"/>
      <c r="P420" s="670" t="n"/>
      <c r="Q420" s="636" t="n"/>
      <c r="R420" s="40" t="inlineStr"/>
      <c r="S420" s="40" t="inlineStr"/>
      <c r="T420" s="41" t="inlineStr">
        <is>
          <t>кг</t>
        </is>
      </c>
      <c r="U420" s="671" t="n">
        <v>384</v>
      </c>
      <c r="V420" s="672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SU002158</t>
        </is>
      </c>
      <c r="B421" s="64" t="inlineStr">
        <is>
          <t>P003632</t>
        </is>
      </c>
      <c r="C421" s="37" t="n">
        <v>4301031248</v>
      </c>
      <c r="D421" s="315" t="n">
        <v>4680115883093</v>
      </c>
      <c r="E421" s="636" t="n"/>
      <c r="F421" s="668" t="n">
        <v>0.88</v>
      </c>
      <c r="G421" s="38" t="n">
        <v>6</v>
      </c>
      <c r="H421" s="668" t="n">
        <v>5.28</v>
      </c>
      <c r="I421" s="668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9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1" s="670" t="n"/>
      <c r="O421" s="670" t="n"/>
      <c r="P421" s="670" t="n"/>
      <c r="Q421" s="636" t="n"/>
      <c r="R421" s="40" t="inlineStr"/>
      <c r="S421" s="40" t="inlineStr"/>
      <c r="T421" s="41" t="inlineStr">
        <is>
          <t>кг</t>
        </is>
      </c>
      <c r="U421" s="671" t="n">
        <v>422</v>
      </c>
      <c r="V421" s="672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SU002151</t>
        </is>
      </c>
      <c r="B422" s="64" t="inlineStr">
        <is>
          <t>P003634</t>
        </is>
      </c>
      <c r="C422" s="37" t="n">
        <v>4301031250</v>
      </c>
      <c r="D422" s="315" t="n">
        <v>4680115883109</v>
      </c>
      <c r="E422" s="636" t="n"/>
      <c r="F422" s="668" t="n">
        <v>0.88</v>
      </c>
      <c r="G422" s="38" t="n">
        <v>6</v>
      </c>
      <c r="H422" s="668" t="n">
        <v>5.28</v>
      </c>
      <c r="I422" s="668" t="n">
        <v>5.64</v>
      </c>
      <c r="J422" s="38" t="n">
        <v>104</v>
      </c>
      <c r="K422" s="39" t="inlineStr">
        <is>
          <t>СК2</t>
        </is>
      </c>
      <c r="L422" s="38" t="n">
        <v>60</v>
      </c>
      <c r="M422" s="900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2" s="670" t="n"/>
      <c r="O422" s="670" t="n"/>
      <c r="P422" s="670" t="n"/>
      <c r="Q422" s="636" t="n"/>
      <c r="R422" s="40" t="inlineStr"/>
      <c r="S422" s="40" t="inlineStr"/>
      <c r="T422" s="41" t="inlineStr">
        <is>
          <t>кг</t>
        </is>
      </c>
      <c r="U422" s="671" t="n">
        <v>933</v>
      </c>
      <c r="V422" s="672">
        <f>IFERROR(IF(U422="",0,CEILING((U422/$H422),1)*$H422),"")</f>
        <v/>
      </c>
      <c r="W422" s="42">
        <f>IFERROR(IF(V422=0,"",ROUNDUP(V422/H422,0)*0.01196),"")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SU002916</t>
        </is>
      </c>
      <c r="B423" s="64" t="inlineStr">
        <is>
          <t>P003633</t>
        </is>
      </c>
      <c r="C423" s="37" t="n">
        <v>4301031249</v>
      </c>
      <c r="D423" s="315" t="n">
        <v>4680115882072</v>
      </c>
      <c r="E423" s="636" t="n"/>
      <c r="F423" s="668" t="n">
        <v>0.6</v>
      </c>
      <c r="G423" s="38" t="n">
        <v>6</v>
      </c>
      <c r="H423" s="668" t="n">
        <v>3.6</v>
      </c>
      <c r="I423" s="668" t="n">
        <v>3.84</v>
      </c>
      <c r="J423" s="38" t="n">
        <v>120</v>
      </c>
      <c r="K423" s="39" t="inlineStr">
        <is>
          <t>СК1</t>
        </is>
      </c>
      <c r="L423" s="38" t="n">
        <v>60</v>
      </c>
      <c r="M423" s="901" t="inlineStr">
        <is>
          <t>В/к колбасы «Рубленая Запеченная» Фикс.вес 0,6 Вектор ТМ «Дугушка»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SU002919</t>
        </is>
      </c>
      <c r="B424" s="64" t="inlineStr">
        <is>
          <t>P003635</t>
        </is>
      </c>
      <c r="C424" s="37" t="n">
        <v>4301031251</v>
      </c>
      <c r="D424" s="315" t="n">
        <v>4680115882102</v>
      </c>
      <c r="E424" s="636" t="n"/>
      <c r="F424" s="668" t="n">
        <v>0.6</v>
      </c>
      <c r="G424" s="38" t="n">
        <v>6</v>
      </c>
      <c r="H424" s="668" t="n">
        <v>3.6</v>
      </c>
      <c r="I424" s="668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2" t="inlineStr">
        <is>
          <t>В/к колбасы «Салями Запеченая» Фикс.вес 0,6 Вектор ТМ «Дугушка»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 ht="27" customHeight="1">
      <c r="A425" s="64" t="inlineStr">
        <is>
          <t>SU002918</t>
        </is>
      </c>
      <c r="B425" s="64" t="inlineStr">
        <is>
          <t>P003637</t>
        </is>
      </c>
      <c r="C425" s="37" t="n">
        <v>4301031253</v>
      </c>
      <c r="D425" s="315" t="n">
        <v>4680115882096</v>
      </c>
      <c r="E425" s="636" t="n"/>
      <c r="F425" s="668" t="n">
        <v>0.6</v>
      </c>
      <c r="G425" s="38" t="n">
        <v>6</v>
      </c>
      <c r="H425" s="668" t="n">
        <v>3.6</v>
      </c>
      <c r="I425" s="668" t="n">
        <v>3.81</v>
      </c>
      <c r="J425" s="38" t="n">
        <v>120</v>
      </c>
      <c r="K425" s="39" t="inlineStr">
        <is>
          <t>СК2</t>
        </is>
      </c>
      <c r="L425" s="38" t="n">
        <v>60</v>
      </c>
      <c r="M425" s="903" t="inlineStr">
        <is>
          <t>В/к колбасы «Сервелат Запеченный» Фикс.вес 0,6 Вектор ТМ «Дугушка»</t>
        </is>
      </c>
      <c r="N425" s="670" t="n"/>
      <c r="O425" s="670" t="n"/>
      <c r="P425" s="670" t="n"/>
      <c r="Q425" s="636" t="n"/>
      <c r="R425" s="40" t="inlineStr"/>
      <c r="S425" s="40" t="inlineStr"/>
      <c r="T425" s="41" t="inlineStr">
        <is>
          <t>кг</t>
        </is>
      </c>
      <c r="U425" s="671" t="n">
        <v>0</v>
      </c>
      <c r="V425" s="672">
        <f>IFERROR(IF(U425="",0,CEILING((U425/$H425),1)*$H425),"")</f>
        <v/>
      </c>
      <c r="W425" s="42">
        <f>IFERROR(IF(V425=0,"",ROUNDUP(V425/H425,0)*0.00937),"")</f>
        <v/>
      </c>
      <c r="X425" s="69" t="inlineStr"/>
      <c r="Y425" s="70" t="inlineStr"/>
      <c r="AC425" s="71" t="n"/>
      <c r="AZ425" s="300" t="inlineStr">
        <is>
          <t>КИ</t>
        </is>
      </c>
    </row>
    <row r="426">
      <c r="A426" s="323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кор</t>
        </is>
      </c>
      <c r="U426" s="675">
        <f>IFERROR(U420/H420,"0")+IFERROR(U421/H421,"0")+IFERROR(U422/H422,"0")+IFERROR(U423/H423,"0")+IFERROR(U424/H424,"0")+IFERROR(U425/H425,"0")</f>
        <v/>
      </c>
      <c r="V426" s="675">
        <f>IFERROR(V420/H420,"0")+IFERROR(V421/H421,"0")+IFERROR(V422/H422,"0")+IFERROR(V423/H423,"0")+IFERROR(V424/H424,"0")+IFERROR(V425/H425,"0")</f>
        <v/>
      </c>
      <c r="W426" s="675">
        <f>IFERROR(IF(W420="",0,W420),"0")+IFERROR(IF(W421="",0,W421),"0")+IFERROR(IF(W422="",0,W422),"0")+IFERROR(IF(W423="",0,W423),"0")+IFERROR(IF(W424="",0,W424),"0")+IFERROR(IF(W425="",0,W425),"0")</f>
        <v/>
      </c>
      <c r="X426" s="676" t="n"/>
      <c r="Y426" s="67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673" t="n"/>
      <c r="M427" s="674" t="inlineStr">
        <is>
          <t>Итого</t>
        </is>
      </c>
      <c r="N427" s="644" t="n"/>
      <c r="O427" s="644" t="n"/>
      <c r="P427" s="644" t="n"/>
      <c r="Q427" s="644" t="n"/>
      <c r="R427" s="644" t="n"/>
      <c r="S427" s="645" t="n"/>
      <c r="T427" s="43" t="inlineStr">
        <is>
          <t>кг</t>
        </is>
      </c>
      <c r="U427" s="675">
        <f>IFERROR(SUM(U420:U425),"0")</f>
        <v/>
      </c>
      <c r="V427" s="675">
        <f>IFERROR(SUM(V420:V425),"0")</f>
        <v/>
      </c>
      <c r="W427" s="43" t="n"/>
      <c r="X427" s="676" t="n"/>
      <c r="Y427" s="676" t="n"/>
    </row>
    <row r="428" ht="14.25" customHeight="1">
      <c r="A428" s="331" t="inlineStr">
        <is>
          <t>Сосиски</t>
        </is>
      </c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331" t="n"/>
      <c r="Y428" s="331" t="n"/>
    </row>
    <row r="429" ht="16.5" customHeight="1">
      <c r="A429" s="64" t="inlineStr">
        <is>
          <t>SU002218</t>
        </is>
      </c>
      <c r="B429" s="64" t="inlineStr">
        <is>
          <t>P002854</t>
        </is>
      </c>
      <c r="C429" s="37" t="n">
        <v>4301051230</v>
      </c>
      <c r="D429" s="315" t="n">
        <v>4607091383409</v>
      </c>
      <c r="E429" s="636" t="n"/>
      <c r="F429" s="668" t="n">
        <v>1.3</v>
      </c>
      <c r="G429" s="38" t="n">
        <v>6</v>
      </c>
      <c r="H429" s="668" t="n">
        <v>7.8</v>
      </c>
      <c r="I429" s="668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4">
        <f>HYPERLINK("https://abi.ru/products/Охлажденные/Дугушка/Дугушка/Сосиски/P002854/","Сосиски Молочные Дугушки Дугушка Весовые П/а мгс Дугушка")</f>
        <v/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 ht="16.5" customHeight="1">
      <c r="A430" s="64" t="inlineStr">
        <is>
          <t>SU002219</t>
        </is>
      </c>
      <c r="B430" s="64" t="inlineStr">
        <is>
          <t>P002855</t>
        </is>
      </c>
      <c r="C430" s="37" t="n">
        <v>4301051231</v>
      </c>
      <c r="D430" s="315" t="n">
        <v>4607091383416</v>
      </c>
      <c r="E430" s="636" t="n"/>
      <c r="F430" s="668" t="n">
        <v>1.3</v>
      </c>
      <c r="G430" s="38" t="n">
        <v>6</v>
      </c>
      <c r="H430" s="668" t="n">
        <v>7.8</v>
      </c>
      <c r="I430" s="668" t="n">
        <v>8.346</v>
      </c>
      <c r="J430" s="38" t="n">
        <v>56</v>
      </c>
      <c r="K430" s="39" t="inlineStr">
        <is>
          <t>СК2</t>
        </is>
      </c>
      <c r="L430" s="38" t="n">
        <v>45</v>
      </c>
      <c r="M430" s="905">
        <f>HYPERLINK("https://abi.ru/products/Охлажденные/Дугушка/Дугушка/Сосиски/P002855/","Сосиски Сливочные Дугушки Дугушка Весовые П/а мгс Дугушка")</f>
        <v/>
      </c>
      <c r="N430" s="670" t="n"/>
      <c r="O430" s="670" t="n"/>
      <c r="P430" s="670" t="n"/>
      <c r="Q430" s="636" t="n"/>
      <c r="R430" s="40" t="inlineStr"/>
      <c r="S430" s="40" t="inlineStr"/>
      <c r="T430" s="41" t="inlineStr">
        <is>
          <t>кг</t>
        </is>
      </c>
      <c r="U430" s="671" t="n">
        <v>0</v>
      </c>
      <c r="V430" s="672">
        <f>IFERROR(IF(U430="",0,CEILING((U430/$H430),1)*$H430),"")</f>
        <v/>
      </c>
      <c r="W430" s="42">
        <f>IFERROR(IF(V430=0,"",ROUNDUP(V430/H430,0)*0.02175),"")</f>
        <v/>
      </c>
      <c r="X430" s="69" t="inlineStr"/>
      <c r="Y430" s="70" t="inlineStr"/>
      <c r="AC430" s="71" t="n"/>
      <c r="AZ430" s="302" t="inlineStr">
        <is>
          <t>КИ</t>
        </is>
      </c>
    </row>
    <row r="431">
      <c r="A431" s="323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кор</t>
        </is>
      </c>
      <c r="U431" s="675">
        <f>IFERROR(U429/H429,"0")+IFERROR(U430/H430,"0")</f>
        <v/>
      </c>
      <c r="V431" s="675">
        <f>IFERROR(V429/H429,"0")+IFERROR(V430/H430,"0")</f>
        <v/>
      </c>
      <c r="W431" s="675">
        <f>IFERROR(IF(W429="",0,W429),"0")+IFERROR(IF(W430="",0,W430),"0")</f>
        <v/>
      </c>
      <c r="X431" s="676" t="n"/>
      <c r="Y431" s="676" t="n"/>
    </row>
    <row r="432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673" t="n"/>
      <c r="M432" s="674" t="inlineStr">
        <is>
          <t>Итого</t>
        </is>
      </c>
      <c r="N432" s="644" t="n"/>
      <c r="O432" s="644" t="n"/>
      <c r="P432" s="644" t="n"/>
      <c r="Q432" s="644" t="n"/>
      <c r="R432" s="644" t="n"/>
      <c r="S432" s="645" t="n"/>
      <c r="T432" s="43" t="inlineStr">
        <is>
          <t>кг</t>
        </is>
      </c>
      <c r="U432" s="675">
        <f>IFERROR(SUM(U429:U430),"0")</f>
        <v/>
      </c>
      <c r="V432" s="675">
        <f>IFERROR(SUM(V429:V430),"0")</f>
        <v/>
      </c>
      <c r="W432" s="43" t="n"/>
      <c r="X432" s="676" t="n"/>
      <c r="Y432" s="676" t="n"/>
    </row>
    <row r="433" ht="27.75" customHeight="1">
      <c r="A433" s="336" t="inlineStr">
        <is>
          <t>Зареченские</t>
        </is>
      </c>
      <c r="B433" s="667" t="n"/>
      <c r="C433" s="667" t="n"/>
      <c r="D433" s="667" t="n"/>
      <c r="E433" s="667" t="n"/>
      <c r="F433" s="667" t="n"/>
      <c r="G433" s="667" t="n"/>
      <c r="H433" s="667" t="n"/>
      <c r="I433" s="667" t="n"/>
      <c r="J433" s="667" t="n"/>
      <c r="K433" s="667" t="n"/>
      <c r="L433" s="667" t="n"/>
      <c r="M433" s="667" t="n"/>
      <c r="N433" s="667" t="n"/>
      <c r="O433" s="667" t="n"/>
      <c r="P433" s="667" t="n"/>
      <c r="Q433" s="667" t="n"/>
      <c r="R433" s="667" t="n"/>
      <c r="S433" s="667" t="n"/>
      <c r="T433" s="667" t="n"/>
      <c r="U433" s="667" t="n"/>
      <c r="V433" s="667" t="n"/>
      <c r="W433" s="667" t="n"/>
      <c r="X433" s="55" t="n"/>
      <c r="Y433" s="55" t="n"/>
    </row>
    <row r="434" ht="16.5" customHeight="1">
      <c r="A434" s="330" t="inlineStr">
        <is>
          <t>Зареченские продукты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14.25" customHeight="1">
      <c r="A435" s="331" t="inlineStr">
        <is>
          <t>Вареные колбасы</t>
        </is>
      </c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331" t="n"/>
      <c r="Y435" s="331" t="n"/>
    </row>
    <row r="436" ht="27" customHeight="1">
      <c r="A436" s="64" t="inlineStr">
        <is>
          <t>SU002807</t>
        </is>
      </c>
      <c r="B436" s="64" t="inlineStr">
        <is>
          <t>P003210</t>
        </is>
      </c>
      <c r="C436" s="37" t="n">
        <v>4301011434</v>
      </c>
      <c r="D436" s="315" t="n">
        <v>4680115881099</v>
      </c>
      <c r="E436" s="636" t="n"/>
      <c r="F436" s="668" t="n">
        <v>1.5</v>
      </c>
      <c r="G436" s="38" t="n">
        <v>8</v>
      </c>
      <c r="H436" s="668" t="n">
        <v>12</v>
      </c>
      <c r="I436" s="668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6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6" s="670" t="n"/>
      <c r="O436" s="670" t="n"/>
      <c r="P436" s="670" t="n"/>
      <c r="Q436" s="636" t="n"/>
      <c r="R436" s="40" t="inlineStr"/>
      <c r="S436" s="40" t="inlineStr"/>
      <c r="T436" s="41" t="inlineStr">
        <is>
          <t>кг</t>
        </is>
      </c>
      <c r="U436" s="671" t="n">
        <v>0</v>
      </c>
      <c r="V436" s="672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 ht="27" customHeight="1">
      <c r="A437" s="64" t="inlineStr">
        <is>
          <t>SU002808</t>
        </is>
      </c>
      <c r="B437" s="64" t="inlineStr">
        <is>
          <t>P003214</t>
        </is>
      </c>
      <c r="C437" s="37" t="n">
        <v>4301011435</v>
      </c>
      <c r="D437" s="315" t="n">
        <v>4680115881150</v>
      </c>
      <c r="E437" s="636" t="n"/>
      <c r="F437" s="668" t="n">
        <v>1.5</v>
      </c>
      <c r="G437" s="38" t="n">
        <v>8</v>
      </c>
      <c r="H437" s="668" t="n">
        <v>12</v>
      </c>
      <c r="I437" s="668" t="n">
        <v>12.48</v>
      </c>
      <c r="J437" s="38" t="n">
        <v>56</v>
      </c>
      <c r="K437" s="39" t="inlineStr">
        <is>
          <t>СК1</t>
        </is>
      </c>
      <c r="L437" s="38" t="n">
        <v>50</v>
      </c>
      <c r="M437" s="907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7" s="670" t="n"/>
      <c r="O437" s="670" t="n"/>
      <c r="P437" s="670" t="n"/>
      <c r="Q437" s="636" t="n"/>
      <c r="R437" s="40" t="inlineStr"/>
      <c r="S437" s="40" t="inlineStr"/>
      <c r="T437" s="41" t="inlineStr">
        <is>
          <t>кг</t>
        </is>
      </c>
      <c r="U437" s="671" t="n">
        <v>0</v>
      </c>
      <c r="V437" s="672">
        <f>IFERROR(IF(U437="",0,CEILING((U437/$H437),1)*$H437),"")</f>
        <v/>
      </c>
      <c r="W437" s="42">
        <f>IFERROR(IF(V437=0,"",ROUNDUP(V437/H437,0)*0.02175),"")</f>
        <v/>
      </c>
      <c r="X437" s="69" t="inlineStr"/>
      <c r="Y437" s="70" t="inlineStr"/>
      <c r="AC437" s="71" t="n"/>
      <c r="AZ437" s="304" t="inlineStr">
        <is>
          <t>КИ</t>
        </is>
      </c>
    </row>
    <row r="438">
      <c r="A438" s="323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3" t="n"/>
      <c r="M438" s="674" t="inlineStr">
        <is>
          <t>Итого</t>
        </is>
      </c>
      <c r="N438" s="644" t="n"/>
      <c r="O438" s="644" t="n"/>
      <c r="P438" s="644" t="n"/>
      <c r="Q438" s="644" t="n"/>
      <c r="R438" s="644" t="n"/>
      <c r="S438" s="645" t="n"/>
      <c r="T438" s="43" t="inlineStr">
        <is>
          <t>кор</t>
        </is>
      </c>
      <c r="U438" s="675">
        <f>IFERROR(U436/H436,"0")+IFERROR(U437/H437,"0")</f>
        <v/>
      </c>
      <c r="V438" s="675">
        <f>IFERROR(V436/H436,"0")+IFERROR(V437/H437,"0")</f>
        <v/>
      </c>
      <c r="W438" s="675">
        <f>IFERROR(IF(W436="",0,W436),"0")+IFERROR(IF(W437="",0,W437),"0")</f>
        <v/>
      </c>
      <c r="X438" s="676" t="n"/>
      <c r="Y438" s="676" t="n"/>
    </row>
    <row r="439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673" t="n"/>
      <c r="M439" s="674" t="inlineStr">
        <is>
          <t>Итого</t>
        </is>
      </c>
      <c r="N439" s="644" t="n"/>
      <c r="O439" s="644" t="n"/>
      <c r="P439" s="644" t="n"/>
      <c r="Q439" s="644" t="n"/>
      <c r="R439" s="644" t="n"/>
      <c r="S439" s="645" t="n"/>
      <c r="T439" s="43" t="inlineStr">
        <is>
          <t>кг</t>
        </is>
      </c>
      <c r="U439" s="675">
        <f>IFERROR(SUM(U436:U437),"0")</f>
        <v/>
      </c>
      <c r="V439" s="675">
        <f>IFERROR(SUM(V436:V437),"0")</f>
        <v/>
      </c>
      <c r="W439" s="43" t="n"/>
      <c r="X439" s="676" t="n"/>
      <c r="Y439" s="676" t="n"/>
    </row>
    <row r="440" ht="14.25" customHeight="1">
      <c r="A440" s="331" t="inlineStr">
        <is>
          <t>Ветчины</t>
        </is>
      </c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331" t="n"/>
      <c r="Y440" s="331" t="n"/>
    </row>
    <row r="441" ht="27" customHeight="1">
      <c r="A441" s="64" t="inlineStr">
        <is>
          <t>SU002811</t>
        </is>
      </c>
      <c r="B441" s="64" t="inlineStr">
        <is>
          <t>P003208</t>
        </is>
      </c>
      <c r="C441" s="37" t="n">
        <v>4301020231</v>
      </c>
      <c r="D441" s="315" t="n">
        <v>4680115881129</v>
      </c>
      <c r="E441" s="636" t="n"/>
      <c r="F441" s="668" t="n">
        <v>1.8</v>
      </c>
      <c r="G441" s="38" t="n">
        <v>6</v>
      </c>
      <c r="H441" s="668" t="n">
        <v>10.8</v>
      </c>
      <c r="I441" s="668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8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1" s="670" t="n"/>
      <c r="O441" s="670" t="n"/>
      <c r="P441" s="670" t="n"/>
      <c r="Q441" s="636" t="n"/>
      <c r="R441" s="40" t="inlineStr"/>
      <c r="S441" s="40" t="inlineStr"/>
      <c r="T441" s="41" t="inlineStr">
        <is>
          <t>кг</t>
        </is>
      </c>
      <c r="U441" s="671" t="n">
        <v>0</v>
      </c>
      <c r="V441" s="672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 ht="16.5" customHeight="1">
      <c r="A442" s="64" t="inlineStr">
        <is>
          <t>SU002806</t>
        </is>
      </c>
      <c r="B442" s="64" t="inlineStr">
        <is>
          <t>P003207</t>
        </is>
      </c>
      <c r="C442" s="37" t="n">
        <v>4301020230</v>
      </c>
      <c r="D442" s="315" t="n">
        <v>4680115881112</v>
      </c>
      <c r="E442" s="636" t="n"/>
      <c r="F442" s="668" t="n">
        <v>1.35</v>
      </c>
      <c r="G442" s="38" t="n">
        <v>8</v>
      </c>
      <c r="H442" s="668" t="n">
        <v>10.8</v>
      </c>
      <c r="I442" s="668" t="n">
        <v>11.28</v>
      </c>
      <c r="J442" s="38" t="n">
        <v>56</v>
      </c>
      <c r="K442" s="39" t="inlineStr">
        <is>
          <t>СК1</t>
        </is>
      </c>
      <c r="L442" s="38" t="n">
        <v>50</v>
      </c>
      <c r="M442" s="909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2" s="670" t="n"/>
      <c r="O442" s="670" t="n"/>
      <c r="P442" s="670" t="n"/>
      <c r="Q442" s="636" t="n"/>
      <c r="R442" s="40" t="inlineStr"/>
      <c r="S442" s="40" t="inlineStr"/>
      <c r="T442" s="41" t="inlineStr">
        <is>
          <t>кг</t>
        </is>
      </c>
      <c r="U442" s="671" t="n">
        <v>0</v>
      </c>
      <c r="V442" s="672">
        <f>IFERROR(IF(U442="",0,CEILING((U442/$H442),1)*$H442),"")</f>
        <v/>
      </c>
      <c r="W442" s="42">
        <f>IFERROR(IF(V442=0,"",ROUNDUP(V442/H442,0)*0.02175),"")</f>
        <v/>
      </c>
      <c r="X442" s="69" t="inlineStr"/>
      <c r="Y442" s="70" t="inlineStr"/>
      <c r="AC442" s="71" t="n"/>
      <c r="AZ442" s="306" t="inlineStr">
        <is>
          <t>КИ</t>
        </is>
      </c>
    </row>
    <row r="443">
      <c r="A443" s="323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3" t="n"/>
      <c r="M443" s="674" t="inlineStr">
        <is>
          <t>Итого</t>
        </is>
      </c>
      <c r="N443" s="644" t="n"/>
      <c r="O443" s="644" t="n"/>
      <c r="P443" s="644" t="n"/>
      <c r="Q443" s="644" t="n"/>
      <c r="R443" s="644" t="n"/>
      <c r="S443" s="645" t="n"/>
      <c r="T443" s="43" t="inlineStr">
        <is>
          <t>кор</t>
        </is>
      </c>
      <c r="U443" s="675">
        <f>IFERROR(U441/H441,"0")+IFERROR(U442/H442,"0")</f>
        <v/>
      </c>
      <c r="V443" s="675">
        <f>IFERROR(V441/H441,"0")+IFERROR(V442/H442,"0")</f>
        <v/>
      </c>
      <c r="W443" s="675">
        <f>IFERROR(IF(W441="",0,W441),"0")+IFERROR(IF(W442="",0,W442),"0")</f>
        <v/>
      </c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73" t="n"/>
      <c r="M444" s="674" t="inlineStr">
        <is>
          <t>Итого</t>
        </is>
      </c>
      <c r="N444" s="644" t="n"/>
      <c r="O444" s="644" t="n"/>
      <c r="P444" s="644" t="n"/>
      <c r="Q444" s="644" t="n"/>
      <c r="R444" s="644" t="n"/>
      <c r="S444" s="645" t="n"/>
      <c r="T444" s="43" t="inlineStr">
        <is>
          <t>кг</t>
        </is>
      </c>
      <c r="U444" s="675">
        <f>IFERROR(SUM(U441:U442),"0")</f>
        <v/>
      </c>
      <c r="V444" s="675">
        <f>IFERROR(SUM(V441:V442),"0")</f>
        <v/>
      </c>
      <c r="W444" s="43" t="n"/>
      <c r="X444" s="676" t="n"/>
      <c r="Y444" s="676" t="n"/>
    </row>
    <row r="445" ht="14.25" customHeight="1">
      <c r="A445" s="331" t="inlineStr">
        <is>
          <t>Копченые колбасы</t>
        </is>
      </c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331" t="n"/>
      <c r="Y445" s="331" t="n"/>
    </row>
    <row r="446" ht="27" customHeight="1">
      <c r="A446" s="64" t="inlineStr">
        <is>
          <t>SU002805</t>
        </is>
      </c>
      <c r="B446" s="64" t="inlineStr">
        <is>
          <t>P003206</t>
        </is>
      </c>
      <c r="C446" s="37" t="n">
        <v>4301031192</v>
      </c>
      <c r="D446" s="315" t="n">
        <v>4680115881167</v>
      </c>
      <c r="E446" s="636" t="n"/>
      <c r="F446" s="668" t="n">
        <v>0.73</v>
      </c>
      <c r="G446" s="38" t="n">
        <v>6</v>
      </c>
      <c r="H446" s="668" t="n">
        <v>4.38</v>
      </c>
      <c r="I446" s="668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10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6" s="670" t="n"/>
      <c r="O446" s="670" t="n"/>
      <c r="P446" s="670" t="n"/>
      <c r="Q446" s="636" t="n"/>
      <c r="R446" s="40" t="inlineStr"/>
      <c r="S446" s="40" t="inlineStr"/>
      <c r="T446" s="41" t="inlineStr">
        <is>
          <t>кг</t>
        </is>
      </c>
      <c r="U446" s="671" t="n">
        <v>0</v>
      </c>
      <c r="V446" s="672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 ht="27" customHeight="1">
      <c r="A447" s="64" t="inlineStr">
        <is>
          <t>SU002809</t>
        </is>
      </c>
      <c r="B447" s="64" t="inlineStr">
        <is>
          <t>P003216</t>
        </is>
      </c>
      <c r="C447" s="37" t="n">
        <v>4301031193</v>
      </c>
      <c r="D447" s="315" t="n">
        <v>4680115881136</v>
      </c>
      <c r="E447" s="636" t="n"/>
      <c r="F447" s="668" t="n">
        <v>0.73</v>
      </c>
      <c r="G447" s="38" t="n">
        <v>6</v>
      </c>
      <c r="H447" s="668" t="n">
        <v>4.38</v>
      </c>
      <c r="I447" s="668" t="n">
        <v>4.64</v>
      </c>
      <c r="J447" s="38" t="n">
        <v>156</v>
      </c>
      <c r="K447" s="39" t="inlineStr">
        <is>
          <t>СК2</t>
        </is>
      </c>
      <c r="L447" s="38" t="n">
        <v>40</v>
      </c>
      <c r="M447" s="911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7" s="670" t="n"/>
      <c r="O447" s="670" t="n"/>
      <c r="P447" s="670" t="n"/>
      <c r="Q447" s="636" t="n"/>
      <c r="R447" s="40" t="inlineStr"/>
      <c r="S447" s="40" t="inlineStr"/>
      <c r="T447" s="41" t="inlineStr">
        <is>
          <t>кг</t>
        </is>
      </c>
      <c r="U447" s="671" t="n">
        <v>0</v>
      </c>
      <c r="V447" s="672">
        <f>IFERROR(IF(U447="",0,CEILING((U447/$H447),1)*$H447),"")</f>
        <v/>
      </c>
      <c r="W447" s="42">
        <f>IFERROR(IF(V447=0,"",ROUNDUP(V447/H447,0)*0.00753),"")</f>
        <v/>
      </c>
      <c r="X447" s="69" t="inlineStr"/>
      <c r="Y447" s="70" t="inlineStr"/>
      <c r="AC447" s="71" t="n"/>
      <c r="AZ447" s="308" t="inlineStr">
        <is>
          <t>КИ</t>
        </is>
      </c>
    </row>
    <row r="448">
      <c r="A448" s="323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3" t="n"/>
      <c r="M448" s="674" t="inlineStr">
        <is>
          <t>Итого</t>
        </is>
      </c>
      <c r="N448" s="644" t="n"/>
      <c r="O448" s="644" t="n"/>
      <c r="P448" s="644" t="n"/>
      <c r="Q448" s="644" t="n"/>
      <c r="R448" s="644" t="n"/>
      <c r="S448" s="645" t="n"/>
      <c r="T448" s="43" t="inlineStr">
        <is>
          <t>кор</t>
        </is>
      </c>
      <c r="U448" s="675">
        <f>IFERROR(U446/H446,"0")+IFERROR(U447/H447,"0")</f>
        <v/>
      </c>
      <c r="V448" s="675">
        <f>IFERROR(V446/H446,"0")+IFERROR(V447/H447,"0")</f>
        <v/>
      </c>
      <c r="W448" s="675">
        <f>IFERROR(IF(W446="",0,W446),"0")+IFERROR(IF(W447="",0,W447),"0")</f>
        <v/>
      </c>
      <c r="X448" s="676" t="n"/>
      <c r="Y448" s="676" t="n"/>
    </row>
    <row r="449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673" t="n"/>
      <c r="M449" s="674" t="inlineStr">
        <is>
          <t>Итого</t>
        </is>
      </c>
      <c r="N449" s="644" t="n"/>
      <c r="O449" s="644" t="n"/>
      <c r="P449" s="644" t="n"/>
      <c r="Q449" s="644" t="n"/>
      <c r="R449" s="644" t="n"/>
      <c r="S449" s="645" t="n"/>
      <c r="T449" s="43" t="inlineStr">
        <is>
          <t>кг</t>
        </is>
      </c>
      <c r="U449" s="675">
        <f>IFERROR(SUM(U446:U447),"0")</f>
        <v/>
      </c>
      <c r="V449" s="675">
        <f>IFERROR(SUM(V446:V447),"0")</f>
        <v/>
      </c>
      <c r="W449" s="43" t="n"/>
      <c r="X449" s="676" t="n"/>
      <c r="Y449" s="676" t="n"/>
    </row>
    <row r="450" ht="14.25" customHeight="1">
      <c r="A450" s="331" t="inlineStr">
        <is>
          <t>Сосиски</t>
        </is>
      </c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331" t="n"/>
      <c r="Y450" s="331" t="n"/>
    </row>
    <row r="451" ht="27" customHeight="1">
      <c r="A451" s="64" t="inlineStr">
        <is>
          <t>SU002803</t>
        </is>
      </c>
      <c r="B451" s="64" t="inlineStr">
        <is>
          <t>P003204</t>
        </is>
      </c>
      <c r="C451" s="37" t="n">
        <v>4301051381</v>
      </c>
      <c r="D451" s="315" t="n">
        <v>4680115881068</v>
      </c>
      <c r="E451" s="636" t="n"/>
      <c r="F451" s="668" t="n">
        <v>1.3</v>
      </c>
      <c r="G451" s="38" t="n">
        <v>6</v>
      </c>
      <c r="H451" s="668" t="n">
        <v>7.8</v>
      </c>
      <c r="I451" s="668" t="n">
        <v>8.279999999999999</v>
      </c>
      <c r="J451" s="38" t="n">
        <v>56</v>
      </c>
      <c r="K451" s="39" t="inlineStr">
        <is>
          <t>СК2</t>
        </is>
      </c>
      <c r="L451" s="38" t="n">
        <v>30</v>
      </c>
      <c r="M451" s="912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1" s="670" t="n"/>
      <c r="O451" s="670" t="n"/>
      <c r="P451" s="670" t="n"/>
      <c r="Q451" s="636" t="n"/>
      <c r="R451" s="40" t="inlineStr"/>
      <c r="S451" s="40" t="inlineStr"/>
      <c r="T451" s="41" t="inlineStr">
        <is>
          <t>кг</t>
        </is>
      </c>
      <c r="U451" s="671" t="n">
        <v>0</v>
      </c>
      <c r="V451" s="672">
        <f>IFERROR(IF(U451="",0,CEILING((U451/$H451),1)*$H451),"")</f>
        <v/>
      </c>
      <c r="W451" s="42">
        <f>IFERROR(IF(V451=0,"",ROUNDUP(V451/H451,0)*0.02175),"")</f>
        <v/>
      </c>
      <c r="X451" s="69" t="inlineStr"/>
      <c r="Y451" s="70" t="inlineStr"/>
      <c r="AC451" s="71" t="n"/>
      <c r="AZ451" s="309" t="inlineStr">
        <is>
          <t>КИ</t>
        </is>
      </c>
    </row>
    <row r="452" ht="27" customHeight="1">
      <c r="A452" s="64" t="inlineStr">
        <is>
          <t>SU002804</t>
        </is>
      </c>
      <c r="B452" s="64" t="inlineStr">
        <is>
          <t>P003205</t>
        </is>
      </c>
      <c r="C452" s="37" t="n">
        <v>4301051382</v>
      </c>
      <c r="D452" s="315" t="n">
        <v>4680115881075</v>
      </c>
      <c r="E452" s="636" t="n"/>
      <c r="F452" s="668" t="n">
        <v>0.5</v>
      </c>
      <c r="G452" s="38" t="n">
        <v>6</v>
      </c>
      <c r="H452" s="668" t="n">
        <v>3</v>
      </c>
      <c r="I452" s="668" t="n">
        <v>3.2</v>
      </c>
      <c r="J452" s="38" t="n">
        <v>156</v>
      </c>
      <c r="K452" s="39" t="inlineStr">
        <is>
          <t>СК2</t>
        </is>
      </c>
      <c r="L452" s="38" t="n">
        <v>30</v>
      </c>
      <c r="M452" s="913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2" s="670" t="n"/>
      <c r="O452" s="670" t="n"/>
      <c r="P452" s="670" t="n"/>
      <c r="Q452" s="636" t="n"/>
      <c r="R452" s="40" t="inlineStr"/>
      <c r="S452" s="40" t="inlineStr"/>
      <c r="T452" s="41" t="inlineStr">
        <is>
          <t>кг</t>
        </is>
      </c>
      <c r="U452" s="671" t="n">
        <v>0</v>
      </c>
      <c r="V452" s="672">
        <f>IFERROR(IF(U452="",0,CEILING((U452/$H452),1)*$H452),"")</f>
        <v/>
      </c>
      <c r="W452" s="42">
        <f>IFERROR(IF(V452=0,"",ROUNDUP(V452/H452,0)*0.00753),"")</f>
        <v/>
      </c>
      <c r="X452" s="69" t="inlineStr"/>
      <c r="Y452" s="70" t="inlineStr"/>
      <c r="AC452" s="71" t="n"/>
      <c r="AZ452" s="310" t="inlineStr">
        <is>
          <t>КИ</t>
        </is>
      </c>
    </row>
    <row r="453">
      <c r="A453" s="323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3" t="n"/>
      <c r="M453" s="674" t="inlineStr">
        <is>
          <t>Итого</t>
        </is>
      </c>
      <c r="N453" s="644" t="n"/>
      <c r="O453" s="644" t="n"/>
      <c r="P453" s="644" t="n"/>
      <c r="Q453" s="644" t="n"/>
      <c r="R453" s="644" t="n"/>
      <c r="S453" s="645" t="n"/>
      <c r="T453" s="43" t="inlineStr">
        <is>
          <t>кор</t>
        </is>
      </c>
      <c r="U453" s="675">
        <f>IFERROR(U451/H451,"0")+IFERROR(U452/H452,"0")</f>
        <v/>
      </c>
      <c r="V453" s="675">
        <f>IFERROR(V451/H451,"0")+IFERROR(V452/H452,"0")</f>
        <v/>
      </c>
      <c r="W453" s="675">
        <f>IFERROR(IF(W451="",0,W451),"0")+IFERROR(IF(W452="",0,W452),"0")</f>
        <v/>
      </c>
      <c r="X453" s="676" t="n"/>
      <c r="Y453" s="676" t="n"/>
    </row>
    <row r="454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673" t="n"/>
      <c r="M454" s="674" t="inlineStr">
        <is>
          <t>Итого</t>
        </is>
      </c>
      <c r="N454" s="644" t="n"/>
      <c r="O454" s="644" t="n"/>
      <c r="P454" s="644" t="n"/>
      <c r="Q454" s="644" t="n"/>
      <c r="R454" s="644" t="n"/>
      <c r="S454" s="645" t="n"/>
      <c r="T454" s="43" t="inlineStr">
        <is>
          <t>кг</t>
        </is>
      </c>
      <c r="U454" s="675">
        <f>IFERROR(SUM(U451:U452),"0")</f>
        <v/>
      </c>
      <c r="V454" s="675">
        <f>IFERROR(SUM(V451:V452),"0")</f>
        <v/>
      </c>
      <c r="W454" s="43" t="n"/>
      <c r="X454" s="676" t="n"/>
      <c r="Y454" s="676" t="n"/>
    </row>
    <row r="455" ht="16.5" customHeight="1">
      <c r="A455" s="330" t="inlineStr">
        <is>
          <t>Выгодная цена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4.25" customHeight="1">
      <c r="A456" s="331" t="inlineStr">
        <is>
          <t>Сосиски</t>
        </is>
      </c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331" t="n"/>
      <c r="Y456" s="331" t="n"/>
    </row>
    <row r="457" ht="16.5" customHeight="1">
      <c r="A457" s="64" t="inlineStr">
        <is>
          <t>SU002655</t>
        </is>
      </c>
      <c r="B457" s="64" t="inlineStr">
        <is>
          <t>P003022</t>
        </is>
      </c>
      <c r="C457" s="37" t="n">
        <v>4301051310</v>
      </c>
      <c r="D457" s="315" t="n">
        <v>4680115880870</v>
      </c>
      <c r="E457" s="636" t="n"/>
      <c r="F457" s="668" t="n">
        <v>1.3</v>
      </c>
      <c r="G457" s="38" t="n">
        <v>6</v>
      </c>
      <c r="H457" s="668" t="n">
        <v>7.8</v>
      </c>
      <c r="I457" s="668" t="n">
        <v>8.364000000000001</v>
      </c>
      <c r="J457" s="38" t="n">
        <v>56</v>
      </c>
      <c r="K457" s="39" t="inlineStr">
        <is>
          <t>СК3</t>
        </is>
      </c>
      <c r="L457" s="38" t="n">
        <v>40</v>
      </c>
      <c r="M457" s="914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7" s="670" t="n"/>
      <c r="O457" s="670" t="n"/>
      <c r="P457" s="670" t="n"/>
      <c r="Q457" s="636" t="n"/>
      <c r="R457" s="40" t="inlineStr"/>
      <c r="S457" s="40" t="inlineStr"/>
      <c r="T457" s="41" t="inlineStr">
        <is>
          <t>кг</t>
        </is>
      </c>
      <c r="U457" s="671" t="n">
        <v>0</v>
      </c>
      <c r="V457" s="672">
        <f>IFERROR(IF(U457="",0,CEILING((U457/$H457),1)*$H457),"")</f>
        <v/>
      </c>
      <c r="W457" s="42">
        <f>IFERROR(IF(V457=0,"",ROUNDUP(V457/H457,0)*0.02175),"")</f>
        <v/>
      </c>
      <c r="X457" s="69" t="inlineStr"/>
      <c r="Y457" s="70" t="inlineStr"/>
      <c r="AC457" s="71" t="n"/>
      <c r="AZ457" s="311" t="inlineStr">
        <is>
          <t>КИ</t>
        </is>
      </c>
    </row>
    <row r="458">
      <c r="A458" s="323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3" t="n"/>
      <c r="M458" s="674" t="inlineStr">
        <is>
          <t>Итого</t>
        </is>
      </c>
      <c r="N458" s="644" t="n"/>
      <c r="O458" s="644" t="n"/>
      <c r="P458" s="644" t="n"/>
      <c r="Q458" s="644" t="n"/>
      <c r="R458" s="644" t="n"/>
      <c r="S458" s="645" t="n"/>
      <c r="T458" s="43" t="inlineStr">
        <is>
          <t>кор</t>
        </is>
      </c>
      <c r="U458" s="675">
        <f>IFERROR(U457/H457,"0")</f>
        <v/>
      </c>
      <c r="V458" s="675">
        <f>IFERROR(V457/H457,"0")</f>
        <v/>
      </c>
      <c r="W458" s="675">
        <f>IFERROR(IF(W457="",0,W457),"0")</f>
        <v/>
      </c>
      <c r="X458" s="676" t="n"/>
      <c r="Y458" s="676" t="n"/>
    </row>
    <row r="459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73" t="n"/>
      <c r="M459" s="674" t="inlineStr">
        <is>
          <t>Итого</t>
        </is>
      </c>
      <c r="N459" s="644" t="n"/>
      <c r="O459" s="644" t="n"/>
      <c r="P459" s="644" t="n"/>
      <c r="Q459" s="644" t="n"/>
      <c r="R459" s="644" t="n"/>
      <c r="S459" s="645" t="n"/>
      <c r="T459" s="43" t="inlineStr">
        <is>
          <t>кг</t>
        </is>
      </c>
      <c r="U459" s="675">
        <f>IFERROR(SUM(U457:U457),"0")</f>
        <v/>
      </c>
      <c r="V459" s="675">
        <f>IFERROR(SUM(V457:V457),"0")</f>
        <v/>
      </c>
      <c r="W459" s="43" t="n"/>
      <c r="X459" s="676" t="n"/>
      <c r="Y459" s="676" t="n"/>
    </row>
    <row r="460" ht="15" customHeight="1">
      <c r="A460" s="327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3" t="n"/>
      <c r="M460" s="915" t="inlineStr">
        <is>
          <t>ИТОГО НЕТТО</t>
        </is>
      </c>
      <c r="N460" s="627" t="n"/>
      <c r="O460" s="627" t="n"/>
      <c r="P460" s="627" t="n"/>
      <c r="Q460" s="627" t="n"/>
      <c r="R460" s="627" t="n"/>
      <c r="S460" s="628" t="n"/>
      <c r="T460" s="43" t="inlineStr">
        <is>
          <t>кг</t>
        </is>
      </c>
      <c r="U460" s="675">
        <f>IFERROR(U24+U33+U38+U42+U49+U56+U75+U84+U96+U109+U117+U125+U133+U145+U151+U156+U163+U183+U188+U207+U211+U218+U227+U234+U240+U246+U257+U262+U267+U273+U277+U281+U294+U299+U303+U307+U315+U320+U327+U331+U338+U354+U361+U365+U371+U375+U381+U391+U395+U399+U413+U418+U427+U432+U439+U444+U449+U454+U459,"0")</f>
        <v/>
      </c>
      <c r="V460" s="675">
        <f>IFERROR(V24+V33+V38+V42+V49+V56+V75+V84+V96+V109+V117+V125+V133+V145+V151+V156+V163+V183+V188+V207+V211+V218+V227+V234+V240+V246+V257+V262+V267+V273+V277+V281+V294+V299+V303+V307+V315+V320+V327+V331+V338+V354+V361+V365+V371+V375+V381+V391+V395+V399+V413+V418+V427+V432+V439+V444+V449+V454+V459,"0")</f>
        <v/>
      </c>
      <c r="W460" s="43" t="n"/>
      <c r="X460" s="676" t="n"/>
      <c r="Y460" s="676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3" t="n"/>
      <c r="M461" s="915" t="inlineStr">
        <is>
          <t>ИТОГО БРУТТО</t>
        </is>
      </c>
      <c r="N461" s="627" t="n"/>
      <c r="O461" s="627" t="n"/>
      <c r="P461" s="627" t="n"/>
      <c r="Q461" s="627" t="n"/>
      <c r="R461" s="627" t="n"/>
      <c r="S461" s="628" t="n"/>
      <c r="T461" s="43" t="inlineStr">
        <is>
          <t>кг</t>
        </is>
      </c>
      <c r="U461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77*I77/H77,"0")+IFERROR(U78*I78/H78,"0")+IFERROR(U79*I79/H79,"0")+IFERROR(U80*I80/H80,"0")+IFERROR(U81*I81/H81,"0")+IFERROR(U82*I82/H82,"0")+IFERROR(U86*I86/H86,"0")+IFERROR(U87*I87/H87,"0")+IFERROR(U88*I88/H88,"0")+IFERROR(U89*I89/H89,"0")+IFERROR(U90*I90/H90,"0")+IFERROR(U91*I91/H91,"0")+IFERROR(U92*I92/H92,"0")+IFERROR(U93*I93/H93,"0")+IFERROR(U94*I94/H94,"0")+IFERROR(U98*I98/H98,"0")+IFERROR(U99*I99/H99,"0")+IFERROR(U100*I100/H100,"0")+IFERROR(U101*I101/H101,"0")+IFERROR(U102*I102/H102,"0")+IFERROR(U103*I103/H103,"0")+IFERROR(U104*I104/H104,"0")+IFERROR(U105*I105/H105,"0")+IFERROR(U106*I106/H106,"0")+IFERROR(U107*I107/H107,"0")+IFERROR(U111*I111/H111,"0")+IFERROR(U112*I112/H112,"0")+IFERROR(U113*I113/H113,"0")+IFERROR(U114*I114/H114,"0")+IFERROR(U115*I115/H115,"0")+IFERROR(U120*I120/H120,"0")+IFERROR(U121*I121/H121,"0")+IFERROR(U122*I122/H122,"0")+IFERROR(U123*I123/H123,"0")+IFERROR(U129*I129/H129,"0")+IFERROR(U130*I130/H130,"0")+IFERROR(U131*I131/H131,"0")+IFERROR(U136*I136/H136,"0")+IFERROR(U137*I137/H137,"0")+IFERROR(U138*I138/H138,"0")+IFERROR(U139*I139/H139,"0")+IFERROR(U140*I140/H140,"0")+IFERROR(U141*I141/H141,"0")+IFERROR(U142*I142/H142,"0")+IFERROR(U143*I143/H143,"0")+IFERROR(U148*I148/H148,"0")+IFERROR(U149*I149/H149,"0")+IFERROR(U153*I153/H153,"0")+IFERROR(U154*I154/H154,"0")+IFERROR(U158*I158/H158,"0")+IFERROR(U159*I159/H159,"0")+IFERROR(U160*I160/H160,"0")+IFERROR(U161*I161/H161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185*I185/H185,"0")+IFERROR(U186*I186/H186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213*I213/H213,"0")+IFERROR(U214*I214/H214,"0")+IFERROR(U215*I215/H215,"0")+IFERROR(U216*I216/H216,"0")+IFERROR(U220*I220/H220,"0")+IFERROR(U221*I221/H221,"0")+IFERROR(U222*I222/H222,"0")+IFERROR(U223*I223/H223,"0")+IFERROR(U224*I224/H224,"0")+IFERROR(U225*I225/H225,"0")+IFERROR(U229*I229/H229,"0")+IFERROR(U230*I230/H230,"0")+IFERROR(U231*I231/H231,"0")+IFERROR(U232*I232/H232,"0")+IFERROR(U236*I236/H236,"0")+IFERROR(U237*I237/H237,"0")+IFERROR(U238*I238/H238,"0")+IFERROR(U242*I242/H242,"0")+IFERROR(U243*I243/H243,"0")+IFERROR(U244*I244/H244,"0")+IFERROR(U249*I249/H249,"0")+IFERROR(U250*I250/H250,"0")+IFERROR(U251*I251/H251,"0")+IFERROR(U252*I252/H252,"0")+IFERROR(U253*I253/H253,"0")+IFERROR(U254*I254/H254,"0")+IFERROR(U255*I255/H255,"0")+IFERROR(U259*I259/H259,"0")+IFERROR(U260*I260/H260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/>
      </c>
      <c r="V461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77*I77/H77,"0")+IFERROR(V78*I78/H78,"0")+IFERROR(V79*I79/H79,"0")+IFERROR(V80*I80/H80,"0")+IFERROR(V81*I81/H81,"0")+IFERROR(V82*I82/H82,"0")+IFERROR(V86*I86/H86,"0")+IFERROR(V87*I87/H87,"0")+IFERROR(V88*I88/H88,"0")+IFERROR(V89*I89/H89,"0")+IFERROR(V90*I90/H90,"0")+IFERROR(V91*I91/H91,"0")+IFERROR(V92*I92/H92,"0")+IFERROR(V93*I93/H93,"0")+IFERROR(V94*I94/H94,"0")+IFERROR(V98*I98/H98,"0")+IFERROR(V99*I99/H99,"0")+IFERROR(V100*I100/H100,"0")+IFERROR(V101*I101/H101,"0")+IFERROR(V102*I102/H102,"0")+IFERROR(V103*I103/H103,"0")+IFERROR(V104*I104/H104,"0")+IFERROR(V105*I105/H105,"0")+IFERROR(V106*I106/H106,"0")+IFERROR(V107*I107/H107,"0")+IFERROR(V111*I111/H111,"0")+IFERROR(V112*I112/H112,"0")+IFERROR(V113*I113/H113,"0")+IFERROR(V114*I114/H114,"0")+IFERROR(V115*I115/H115,"0")+IFERROR(V120*I120/H120,"0")+IFERROR(V121*I121/H121,"0")+IFERROR(V122*I122/H122,"0")+IFERROR(V123*I123/H123,"0")+IFERROR(V129*I129/H129,"0")+IFERROR(V130*I130/H130,"0")+IFERROR(V131*I131/H131,"0")+IFERROR(V136*I136/H136,"0")+IFERROR(V137*I137/H137,"0")+IFERROR(V138*I138/H138,"0")+IFERROR(V139*I139/H139,"0")+IFERROR(V140*I140/H140,"0")+IFERROR(V141*I141/H141,"0")+IFERROR(V142*I142/H142,"0")+IFERROR(V143*I143/H143,"0")+IFERROR(V148*I148/H148,"0")+IFERROR(V149*I149/H149,"0")+IFERROR(V153*I153/H153,"0")+IFERROR(V154*I154/H154,"0")+IFERROR(V158*I158/H158,"0")+IFERROR(V159*I159/H159,"0")+IFERROR(V160*I160/H160,"0")+IFERROR(V161*I161/H161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185*I185/H185,"0")+IFERROR(V186*I186/H186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213*I213/H213,"0")+IFERROR(V214*I214/H214,"0")+IFERROR(V215*I215/H215,"0")+IFERROR(V216*I216/H216,"0")+IFERROR(V220*I220/H220,"0")+IFERROR(V221*I221/H221,"0")+IFERROR(V222*I222/H222,"0")+IFERROR(V223*I223/H223,"0")+IFERROR(V224*I224/H224,"0")+IFERROR(V225*I225/H225,"0")+IFERROR(V229*I229/H229,"0")+IFERROR(V230*I230/H230,"0")+IFERROR(V231*I231/H231,"0")+IFERROR(V232*I232/H232,"0")+IFERROR(V236*I236/H236,"0")+IFERROR(V237*I237/H237,"0")+IFERROR(V238*I238/H238,"0")+IFERROR(V242*I242/H242,"0")+IFERROR(V243*I243/H243,"0")+IFERROR(V244*I244/H244,"0")+IFERROR(V249*I249/H249,"0")+IFERROR(V250*I250/H250,"0")+IFERROR(V251*I251/H251,"0")+IFERROR(V252*I252/H252,"0")+IFERROR(V253*I253/H253,"0")+IFERROR(V254*I254/H254,"0")+IFERROR(V255*I255/H255,"0")+IFERROR(V259*I259/H259,"0")+IFERROR(V260*I260/H260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/>
      </c>
      <c r="W461" s="43" t="n"/>
      <c r="X461" s="676" t="n"/>
      <c r="Y461" s="676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3" t="n"/>
      <c r="M462" s="915" t="inlineStr">
        <is>
          <t>Кол-во паллет</t>
        </is>
      </c>
      <c r="N462" s="627" t="n"/>
      <c r="O462" s="627" t="n"/>
      <c r="P462" s="627" t="n"/>
      <c r="Q462" s="627" t="n"/>
      <c r="R462" s="627" t="n"/>
      <c r="S462" s="628" t="n"/>
      <c r="T462" s="43" t="inlineStr">
        <is>
          <t>шт</t>
        </is>
      </c>
      <c r="U462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73*(U59:U73/H59:H73)),"0")+IFERROR(SUMPRODUCT(1/J77:J82*(U77:U82/H77:H82)),"0")+IFERROR(SUMPRODUCT(1/J86:J94*(U86:U94/H86:H94)),"0")+IFERROR(SUMPRODUCT(1/J98:J107*(U98:U107/H98:H107)),"0")+IFERROR(SUMPRODUCT(1/J111:J115*(U111:U115/H111:H115)),"0")+IFERROR(SUMPRODUCT(1/J120:J123*(U120:U123/H120:H123)),"0")+IFERROR(SUMPRODUCT(1/J129:J131*(U129:U131/H129:H131)),"0")+IFERROR(SUMPRODUCT(1/J136:J143*(U136:U143/H136:H143)),"0")+IFERROR(SUMPRODUCT(1/J148:J149*(U148:U149/H148:H149)),"0")+IFERROR(SUMPRODUCT(1/J153:J154*(U153:U154/H153:H154)),"0")+IFERROR(SUMPRODUCT(1/J158:J161*(U158:U161/H158:H161)),"0")+IFERROR(SUMPRODUCT(1/J165:J181*(U165:U181/H165:H181)),"0")+IFERROR(SUMPRODUCT(1/J185:J186*(U185:U186/H185:H186)),"0")+IFERROR(SUMPRODUCT(1/J191:J205*(U191:U205/H191:H205)),"0")+IFERROR(SUMPRODUCT(1/J209:J209*(U209:U209/H209:H209)),"0")+IFERROR(SUMPRODUCT(1/J213:J216*(U213:U216/H213:H216)),"0")+IFERROR(SUMPRODUCT(1/J220:J225*(U220:U225/H220:H225)),"0")+IFERROR(SUMPRODUCT(1/J229:J232*(U229:U232/H229:H232)),"0")+IFERROR(SUMPRODUCT(1/J236:J238*(U236:U238/H236:H238)),"0")+IFERROR(SUMPRODUCT(1/J242:J244*(U242:U244/H242:H244)),"0")+IFERROR(SUMPRODUCT(1/J249:J255*(U249:U255/H249:H255)),"0")+IFERROR(SUMPRODUCT(1/J259:J260*(U259:U260/H259:H260)),"0")+IFERROR(SUMPRODUCT(1/J265:J265*(U265:U265/H265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/>
      </c>
      <c r="V462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73*(V59:V73/H59:H73)),"0")+IFERROR(SUMPRODUCT(1/J77:J82*(V77:V82/H77:H82)),"0")+IFERROR(SUMPRODUCT(1/J86:J94*(V86:V94/H86:H94)),"0")+IFERROR(SUMPRODUCT(1/J98:J107*(V98:V107/H98:H107)),"0")+IFERROR(SUMPRODUCT(1/J111:J115*(V111:V115/H111:H115)),"0")+IFERROR(SUMPRODUCT(1/J120:J123*(V120:V123/H120:H123)),"0")+IFERROR(SUMPRODUCT(1/J129:J131*(V129:V131/H129:H131)),"0")+IFERROR(SUMPRODUCT(1/J136:J143*(V136:V143/H136:H143)),"0")+IFERROR(SUMPRODUCT(1/J148:J149*(V148:V149/H148:H149)),"0")+IFERROR(SUMPRODUCT(1/J153:J154*(V153:V154/H153:H154)),"0")+IFERROR(SUMPRODUCT(1/J158:J161*(V158:V161/H158:H161)),"0")+IFERROR(SUMPRODUCT(1/J165:J181*(V165:V181/H165:H181)),"0")+IFERROR(SUMPRODUCT(1/J185:J186*(V185:V186/H185:H186)),"0")+IFERROR(SUMPRODUCT(1/J191:J205*(V191:V205/H191:H205)),"0")+IFERROR(SUMPRODUCT(1/J209:J209*(V209:V209/H209:H209)),"0")+IFERROR(SUMPRODUCT(1/J213:J216*(V213:V216/H213:H216)),"0")+IFERROR(SUMPRODUCT(1/J220:J225*(V220:V225/H220:H225)),"0")+IFERROR(SUMPRODUCT(1/J229:J232*(V229:V232/H229:H232)),"0")+IFERROR(SUMPRODUCT(1/J236:J238*(V236:V238/H236:H238)),"0")+IFERROR(SUMPRODUCT(1/J242:J244*(V242:V244/H242:H244)),"0")+IFERROR(SUMPRODUCT(1/J249:J255*(V249:V255/H249:H255)),"0")+IFERROR(SUMPRODUCT(1/J259:J260*(V259:V260/H259:H260)),"0")+IFERROR(SUMPRODUCT(1/J265:J265*(V265:V265/H265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/>
      </c>
      <c r="W462" s="43" t="n"/>
      <c r="X462" s="676" t="n"/>
      <c r="Y462" s="676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3" t="n"/>
      <c r="M463" s="915" t="inlineStr">
        <is>
          <t>Вес брутто  с паллетами</t>
        </is>
      </c>
      <c r="N463" s="627" t="n"/>
      <c r="O463" s="627" t="n"/>
      <c r="P463" s="627" t="n"/>
      <c r="Q463" s="627" t="n"/>
      <c r="R463" s="627" t="n"/>
      <c r="S463" s="628" t="n"/>
      <c r="T463" s="43" t="inlineStr">
        <is>
          <t>кг</t>
        </is>
      </c>
      <c r="U463" s="675">
        <f>GrossWeightTotal+PalletQtyTotal*25</f>
        <v/>
      </c>
      <c r="V463" s="675">
        <f>GrossWeightTotalR+PalletQtyTotalR*25</f>
        <v/>
      </c>
      <c r="W463" s="43" t="n"/>
      <c r="X463" s="676" t="n"/>
      <c r="Y463" s="676" t="n"/>
    </row>
    <row r="464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3" t="n"/>
      <c r="M464" s="915" t="inlineStr">
        <is>
          <t>Кол-во коробок</t>
        </is>
      </c>
      <c r="N464" s="627" t="n"/>
      <c r="O464" s="627" t="n"/>
      <c r="P464" s="627" t="n"/>
      <c r="Q464" s="627" t="n"/>
      <c r="R464" s="627" t="n"/>
      <c r="S464" s="628" t="n"/>
      <c r="T464" s="43" t="inlineStr">
        <is>
          <t>шт</t>
        </is>
      </c>
      <c r="U464" s="675">
        <f>IFERROR(U23+U32+U37+U41+U48+U55+U74+U83+U95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64" s="675">
        <f>IFERROR(V23+V32+V37+V41+V48+V55+V74+V83+V95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64" s="43" t="n"/>
      <c r="X464" s="676" t="n"/>
      <c r="Y464" s="676" t="n"/>
    </row>
    <row r="465" ht="14.25" customHeight="1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633" t="n"/>
      <c r="M465" s="915" t="inlineStr">
        <is>
          <t>Объем заказа</t>
        </is>
      </c>
      <c r="N465" s="627" t="n"/>
      <c r="O465" s="627" t="n"/>
      <c r="P465" s="627" t="n"/>
      <c r="Q465" s="627" t="n"/>
      <c r="R465" s="627" t="n"/>
      <c r="S465" s="628" t="n"/>
      <c r="T465" s="46" t="inlineStr">
        <is>
          <t>м3</t>
        </is>
      </c>
      <c r="U465" s="43" t="n"/>
      <c r="V465" s="43" t="n"/>
      <c r="W465" s="43">
        <f>IFERROR(W23+W32+W37+W41+W48+W55+W74+W83+W95+W108+W116+W124+W132+W144+W150+W155+W162+W182+W187+W206+W210+W217+W226+W233+W239+W245+W256+W261+W266+W272+W276+W280+W293+W298+W302+W306+W314+W319+W326+W330+W337+W353+W360+W364+W370+W374+W380+W390+W394+W398+W412+W417+W426+W431+W438+W443+W448+W453+W458,"0")</f>
        <v/>
      </c>
      <c r="X465" s="676" t="n"/>
      <c r="Y465" s="676" t="n"/>
    </row>
    <row r="466" ht="13.5" customHeight="1" thickBot="1"/>
    <row r="467" ht="27" customHeight="1" thickBot="1" thickTop="1">
      <c r="A467" s="47" t="inlineStr">
        <is>
          <t>ТОРГОВАЯ МАРКА</t>
        </is>
      </c>
      <c r="B467" s="312" t="inlineStr">
        <is>
          <t>Ядрена копоть</t>
        </is>
      </c>
      <c r="C467" s="312" t="inlineStr">
        <is>
          <t>Вязанка</t>
        </is>
      </c>
      <c r="D467" s="916" t="n"/>
      <c r="E467" s="916" t="n"/>
      <c r="F467" s="917" t="n"/>
      <c r="G467" s="312" t="inlineStr">
        <is>
          <t>Стародворье</t>
        </is>
      </c>
      <c r="H467" s="916" t="n"/>
      <c r="I467" s="916" t="n"/>
      <c r="J467" s="916" t="n"/>
      <c r="K467" s="916" t="n"/>
      <c r="L467" s="917" t="n"/>
      <c r="M467" s="312" t="inlineStr">
        <is>
          <t>Особый рецепт</t>
        </is>
      </c>
      <c r="N467" s="917" t="n"/>
      <c r="O467" s="312" t="inlineStr">
        <is>
          <t>Баварушка</t>
        </is>
      </c>
      <c r="P467" s="917" t="n"/>
      <c r="Q467" s="312" t="inlineStr">
        <is>
          <t>Дугушка</t>
        </is>
      </c>
      <c r="R467" s="312" t="inlineStr">
        <is>
          <t>Зареченские</t>
        </is>
      </c>
      <c r="S467" s="917" t="n"/>
      <c r="T467" s="1" t="n"/>
      <c r="Y467" s="61" t="n"/>
      <c r="AB467" s="1" t="n"/>
    </row>
    <row r="468" ht="14.25" customHeight="1" thickTop="1">
      <c r="A468" s="313" t="inlineStr">
        <is>
          <t>СЕРИЯ</t>
        </is>
      </c>
      <c r="B468" s="312" t="inlineStr">
        <is>
          <t>Ядрена копоть</t>
        </is>
      </c>
      <c r="C468" s="312" t="inlineStr">
        <is>
          <t>Столичная</t>
        </is>
      </c>
      <c r="D468" s="312" t="inlineStr">
        <is>
          <t>Классическая</t>
        </is>
      </c>
      <c r="E468" s="312" t="inlineStr">
        <is>
          <t>Вязанка</t>
        </is>
      </c>
      <c r="F468" s="312" t="inlineStr">
        <is>
          <t>Сливушки</t>
        </is>
      </c>
      <c r="G468" s="312" t="inlineStr">
        <is>
          <t>Золоченная в печи</t>
        </is>
      </c>
      <c r="H468" s="312" t="inlineStr">
        <is>
          <t>Мясорубская</t>
        </is>
      </c>
      <c r="I468" s="312" t="inlineStr">
        <is>
          <t>Сочинка</t>
        </is>
      </c>
      <c r="J468" s="312" t="inlineStr">
        <is>
          <t>Бордо</t>
        </is>
      </c>
      <c r="K468" s="312" t="inlineStr">
        <is>
          <t>Фирменная</t>
        </is>
      </c>
      <c r="L468" s="312" t="inlineStr">
        <is>
          <t>Бавария</t>
        </is>
      </c>
      <c r="M468" s="312" t="inlineStr">
        <is>
          <t>Особая</t>
        </is>
      </c>
      <c r="N468" s="312" t="inlineStr">
        <is>
          <t>Особая Без свинины</t>
        </is>
      </c>
      <c r="O468" s="312" t="inlineStr">
        <is>
          <t>Филейбургская</t>
        </is>
      </c>
      <c r="P468" s="312" t="inlineStr">
        <is>
          <t>Балыкбургская</t>
        </is>
      </c>
      <c r="Q468" s="312" t="inlineStr">
        <is>
          <t>Дугушка</t>
        </is>
      </c>
      <c r="R468" s="312" t="inlineStr">
        <is>
          <t>Зареченские продукты</t>
        </is>
      </c>
      <c r="S468" s="312" t="inlineStr">
        <is>
          <t>Выгодная цена</t>
        </is>
      </c>
      <c r="T468" s="1" t="n"/>
      <c r="Y468" s="61" t="n"/>
      <c r="AB468" s="1" t="n"/>
    </row>
    <row r="469" ht="13.5" customHeight="1" thickBot="1">
      <c r="A469" s="918" t="n"/>
      <c r="B469" s="919" t="n"/>
      <c r="C469" s="919" t="n"/>
      <c r="D469" s="919" t="n"/>
      <c r="E469" s="919" t="n"/>
      <c r="F469" s="919" t="n"/>
      <c r="G469" s="919" t="n"/>
      <c r="H469" s="919" t="n"/>
      <c r="I469" s="919" t="n"/>
      <c r="J469" s="919" t="n"/>
      <c r="K469" s="919" t="n"/>
      <c r="L469" s="919" t="n"/>
      <c r="M469" s="919" t="n"/>
      <c r="N469" s="919" t="n"/>
      <c r="O469" s="919" t="n"/>
      <c r="P469" s="919" t="n"/>
      <c r="Q469" s="919" t="n"/>
      <c r="R469" s="919" t="n"/>
      <c r="S469" s="919" t="n"/>
      <c r="T469" s="1" t="n"/>
      <c r="Y469" s="61" t="n"/>
      <c r="AB469" s="1" t="n"/>
    </row>
    <row r="470" ht="18" customHeight="1" thickBot="1" thickTop="1">
      <c r="A470" s="47" t="inlineStr">
        <is>
          <t>ИТОГО, кг</t>
        </is>
      </c>
      <c r="B470" s="53">
        <f>IFERROR(V22*1,"0")+IFERROR(V26*1,"0")+IFERROR(V27*1,"0")+IFERROR(V28*1,"0")+IFERROR(V29*1,"0")+IFERROR(V30*1,"0")+IFERROR(V31*1,"0")+IFERROR(V35*1,"0")+IFERROR(V36*1,"0")+IFERROR(V40*1,"0")</f>
        <v/>
      </c>
      <c r="C470" s="53">
        <f>IFERROR(V46*1,"0")+IFERROR(V47*1,"0")</f>
        <v/>
      </c>
      <c r="D470" s="53">
        <f>IFERROR(V52*1,"0")+IFERROR(V53*1,"0")+IFERROR(V54*1,"0")</f>
        <v/>
      </c>
      <c r="E470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77*1,"0")+IFERROR(V78*1,"0")+IFERROR(V79*1,"0")+IFERROR(V80*1,"0")+IFERROR(V81*1,"0")+IFERROR(V82*1,"0")+IFERROR(V86*1,"0")+IFERROR(V87*1,"0")+IFERROR(V88*1,"0")+IFERROR(V89*1,"0")+IFERROR(V90*1,"0")+IFERROR(V91*1,"0")+IFERROR(V92*1,"0")+IFERROR(V93*1,"0")+IFERROR(V94*1,"0")+IFERROR(V98*1,"0")+IFERROR(V99*1,"0")+IFERROR(V100*1,"0")+IFERROR(V101*1,"0")+IFERROR(V102*1,"0")+IFERROR(V103*1,"0")+IFERROR(V104*1,"0")+IFERROR(V105*1,"0")+IFERROR(V106*1,"0")+IFERROR(V107*1,"0")+IFERROR(V111*1,"0")+IFERROR(V112*1,"0")+IFERROR(V113*1,"0")+IFERROR(V114*1,"0")+IFERROR(V115*1,"0")</f>
        <v/>
      </c>
      <c r="F470" s="53">
        <f>IFERROR(V120*1,"0")+IFERROR(V121*1,"0")+IFERROR(V122*1,"0")+IFERROR(V123*1,"0")</f>
        <v/>
      </c>
      <c r="G470" s="53">
        <f>IFERROR(V129*1,"0")+IFERROR(V130*1,"0")+IFERROR(V131*1,"0")</f>
        <v/>
      </c>
      <c r="H470" s="53">
        <f>IFERROR(V136*1,"0")+IFERROR(V137*1,"0")+IFERROR(V138*1,"0")+IFERROR(V139*1,"0")+IFERROR(V140*1,"0")+IFERROR(V141*1,"0")+IFERROR(V142*1,"0")+IFERROR(V143*1,"0")</f>
        <v/>
      </c>
      <c r="I470" s="53">
        <f>IFERROR(V148*1,"0")+IFERROR(V149*1,"0")+IFERROR(V153*1,"0")+IFERROR(V154*1,"0")+IFERROR(V158*1,"0")+IFERROR(V159*1,"0")+IFERROR(V160*1,"0")+IFERROR(V161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181*1,"0")+IFERROR(V185*1,"0")+IFERROR(V186*1,"0")</f>
        <v/>
      </c>
      <c r="J470" s="53">
        <f>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213*1,"0")+IFERROR(V214*1,"0")+IFERROR(V215*1,"0")+IFERROR(V216*1,"0")+IFERROR(V220*1,"0")+IFERROR(V221*1,"0")+IFERROR(V222*1,"0")+IFERROR(V223*1,"0")+IFERROR(V224*1,"0")+IFERROR(V225*1,"0")+IFERROR(V229*1,"0")+IFERROR(V230*1,"0")+IFERROR(V231*1,"0")+IFERROR(V232*1,"0")+IFERROR(V236*1,"0")+IFERROR(V237*1,"0")+IFERROR(V238*1,"0")+IFERROR(V242*1,"0")+IFERROR(V243*1,"0")+IFERROR(V244*1,"0")</f>
        <v/>
      </c>
      <c r="K470" s="53">
        <f>IFERROR(V249*1,"0")+IFERROR(V250*1,"0")+IFERROR(V251*1,"0")+IFERROR(V252*1,"0")+IFERROR(V253*1,"0")+IFERROR(V254*1,"0")+IFERROR(V255*1,"0")+IFERROR(V259*1,"0")+IFERROR(V260*1,"0")</f>
        <v/>
      </c>
      <c r="L470" s="53">
        <f>IFERROR(V265*1,"0")+IFERROR(V269*1,"0")+IFERROR(V270*1,"0")+IFERROR(V271*1,"0")+IFERROR(V275*1,"0")+IFERROR(V279*1,"0")</f>
        <v/>
      </c>
      <c r="M470" s="53">
        <f>IFERROR(V285*1,"0")+IFERROR(V286*1,"0")+IFERROR(V287*1,"0")+IFERROR(V288*1,"0")+IFERROR(V289*1,"0")+IFERROR(V290*1,"0")+IFERROR(V291*1,"0")+IFERROR(V292*1,"0")+IFERROR(V296*1,"0")+IFERROR(V297*1,"0")+IFERROR(V301*1,"0")+IFERROR(V305*1,"0")</f>
        <v/>
      </c>
      <c r="N470" s="53">
        <f>IFERROR(V310*1,"0")+IFERROR(V311*1,"0")+IFERROR(V312*1,"0")+IFERROR(V313*1,"0")+IFERROR(V317*1,"0")+IFERROR(V318*1,"0")+IFERROR(V322*1,"0")+IFERROR(V323*1,"0")+IFERROR(V324*1,"0")+IFERROR(V325*1,"0")+IFERROR(V329*1,"0")</f>
        <v/>
      </c>
      <c r="O470" s="53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/>
      </c>
      <c r="P470" s="53">
        <f>IFERROR(V378*1,"0")+IFERROR(V379*1,"0")+IFERROR(V383*1,"0")+IFERROR(V384*1,"0")+IFERROR(V385*1,"0")+IFERROR(V386*1,"0")+IFERROR(V387*1,"0")+IFERROR(V388*1,"0")+IFERROR(V389*1,"0")+IFERROR(V393*1,"0")+IFERROR(V397*1,"0")</f>
        <v/>
      </c>
      <c r="Q470" s="53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/>
      </c>
      <c r="R470" s="53">
        <f>IFERROR(V436*1,"0")+IFERROR(V437*1,"0")+IFERROR(V441*1,"0")+IFERROR(V442*1,"0")+IFERROR(V446*1,"0")+IFERROR(V447*1,"0")+IFERROR(V451*1,"0")+IFERROR(V452*1,"0")</f>
        <v/>
      </c>
      <c r="S470" s="53">
        <f>IFERROR(V457*1,"0")</f>
        <v/>
      </c>
      <c r="T470" s="1" t="n"/>
      <c r="Y470" s="61" t="n"/>
      <c r="AB470" s="1" t="n"/>
    </row>
    <row r="471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J6ouOQN/kHRYpOCaL1b/w==" formatRows="1" sort="0" spinCount="100000" hashValue="xbsvUbT4GJlGU33eRh8U/G94umQYkmbhxjyeipvfWG/gWVNtUuVoJBDLy5Dh1rhRUe2Fbh1xOoDyBJsPCv/4tA=="/>
  <autoFilter ref="B18:W465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M74:S74"/>
    <mergeCell ref="A74:L75"/>
    <mergeCell ref="M75:S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D86:E86"/>
    <mergeCell ref="M86:Q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95:S95"/>
    <mergeCell ref="A95:L96"/>
    <mergeCell ref="M96:S96"/>
    <mergeCell ref="A97:W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M108:S108"/>
    <mergeCell ref="A108:L109"/>
    <mergeCell ref="M109:S109"/>
    <mergeCell ref="A110:W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D115:E115"/>
    <mergeCell ref="M115:Q115"/>
    <mergeCell ref="M116:S116"/>
    <mergeCell ref="A116:L117"/>
    <mergeCell ref="M117:S117"/>
    <mergeCell ref="A118:W118"/>
    <mergeCell ref="A119:W119"/>
    <mergeCell ref="D120:E120"/>
    <mergeCell ref="M120:Q120"/>
    <mergeCell ref="D121:E121"/>
    <mergeCell ref="M121:Q121"/>
    <mergeCell ref="D122:E122"/>
    <mergeCell ref="M122:Q122"/>
    <mergeCell ref="D123:E123"/>
    <mergeCell ref="M123:Q123"/>
    <mergeCell ref="M124:S124"/>
    <mergeCell ref="A124:L125"/>
    <mergeCell ref="M125:S125"/>
    <mergeCell ref="A126:W126"/>
    <mergeCell ref="A127:W127"/>
    <mergeCell ref="A128:W128"/>
    <mergeCell ref="D129:E129"/>
    <mergeCell ref="M129:Q129"/>
    <mergeCell ref="D130:E130"/>
    <mergeCell ref="M130:Q130"/>
    <mergeCell ref="D131:E131"/>
    <mergeCell ref="M131:Q131"/>
    <mergeCell ref="M132:S132"/>
    <mergeCell ref="A132:L133"/>
    <mergeCell ref="M133:S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M144:S144"/>
    <mergeCell ref="A144:L145"/>
    <mergeCell ref="M145:S145"/>
    <mergeCell ref="A146:W146"/>
    <mergeCell ref="A147:W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A190:W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D214:E214"/>
    <mergeCell ref="M214:Q214"/>
    <mergeCell ref="D215:E215"/>
    <mergeCell ref="M215:Q215"/>
    <mergeCell ref="D216:E216"/>
    <mergeCell ref="M216:Q216"/>
    <mergeCell ref="M217:S217"/>
    <mergeCell ref="A217:L218"/>
    <mergeCell ref="M218:S218"/>
    <mergeCell ref="A219:W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D229:E229"/>
    <mergeCell ref="M229:Q229"/>
    <mergeCell ref="D230:E230"/>
    <mergeCell ref="M230:Q230"/>
    <mergeCell ref="D231:E231"/>
    <mergeCell ref="M231:Q231"/>
    <mergeCell ref="D232:E232"/>
    <mergeCell ref="M232:Q232"/>
    <mergeCell ref="M233:S233"/>
    <mergeCell ref="A233:L234"/>
    <mergeCell ref="M234:S234"/>
    <mergeCell ref="A235:W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D244:E244"/>
    <mergeCell ref="M244:Q244"/>
    <mergeCell ref="M245:S245"/>
    <mergeCell ref="A245:L246"/>
    <mergeCell ref="M246:S246"/>
    <mergeCell ref="A247:W247"/>
    <mergeCell ref="A248:W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M261:S261"/>
    <mergeCell ref="A261:L262"/>
    <mergeCell ref="M262:S262"/>
    <mergeCell ref="A263:W263"/>
    <mergeCell ref="A264:W264"/>
    <mergeCell ref="D265:E265"/>
    <mergeCell ref="M265:Q265"/>
    <mergeCell ref="M266:S266"/>
    <mergeCell ref="A266:L267"/>
    <mergeCell ref="M267:S267"/>
    <mergeCell ref="A268:W268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ej5UOp08U8FwLgIcDoM4tQ==" formatRows="1" sort="0" spinCount="100000" hashValue="haYDZJgB2b3d0aiyd1pm8CDtkmPyhUdya/OG9ES10+B8i1yvVSsmmu67YBF/HrQNJ0KBdMo49Z3UroagX/2y4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2023-09-25T14:51:42Z</dcterms:modified>
  <cp:lastModifiedBy>Uaer4</cp:lastModifiedBy>
</cp:coreProperties>
</file>