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electrical" sheetId="1" r:id="rId1"/>
    <sheet name="engines" sheetId="4" r:id="rId2"/>
    <sheet name="comms" sheetId="2" r:id="rId3"/>
    <sheet name="launches" sheetId="5" r:id="rId4"/>
    <sheet name="fuel" sheetId="6" r:id="rId5"/>
  </sheets>
  <definedNames>
    <definedName name="dish_names">comms!$K$2:$K$11</definedName>
    <definedName name="dish_ranges">comms!$L$2:$L$11</definedName>
  </definedNames>
  <calcPr calcId="145621"/>
</workbook>
</file>

<file path=xl/calcChain.xml><?xml version="1.0" encoding="utf-8"?>
<calcChain xmlns="http://schemas.openxmlformats.org/spreadsheetml/2006/main">
  <c r="N18" i="1" l="1"/>
  <c r="O21" i="1"/>
  <c r="O20" i="1"/>
  <c r="O19" i="1"/>
  <c r="N17" i="1"/>
  <c r="L24" i="1"/>
  <c r="L25" i="1" s="1"/>
  <c r="K22" i="1"/>
  <c r="K16" i="1"/>
  <c r="L18" i="1"/>
  <c r="L17" i="1"/>
  <c r="K15" i="1"/>
  <c r="O12" i="5"/>
  <c r="O8" i="6"/>
  <c r="N8" i="6"/>
  <c r="M8" i="6"/>
  <c r="O7" i="6"/>
  <c r="N7" i="6"/>
  <c r="M7" i="6"/>
  <c r="L8" i="6"/>
  <c r="K8" i="6"/>
  <c r="J8" i="6"/>
  <c r="I8" i="6"/>
  <c r="H8" i="6"/>
  <c r="L7" i="6"/>
  <c r="K7" i="6"/>
  <c r="J7" i="6"/>
  <c r="I7" i="6"/>
  <c r="H7" i="6"/>
  <c r="C8" i="6"/>
  <c r="D12" i="6"/>
  <c r="C12" i="6"/>
  <c r="K12" i="6" s="1"/>
  <c r="B12" i="6"/>
  <c r="E11" i="6"/>
  <c r="F11" i="6" s="1"/>
  <c r="G11" i="6" s="1"/>
  <c r="H11" i="6" s="1"/>
  <c r="I11" i="6" s="1"/>
  <c r="J11" i="6" s="1"/>
  <c r="K11" i="6" s="1"/>
  <c r="N7" i="2"/>
  <c r="R9" i="2"/>
  <c r="R8" i="2"/>
  <c r="R7" i="2"/>
  <c r="R6" i="2"/>
  <c r="R5" i="2"/>
  <c r="R4" i="2"/>
  <c r="R3" i="2"/>
  <c r="R2" i="2"/>
  <c r="Q9" i="2"/>
  <c r="Q8" i="2"/>
  <c r="Q7" i="2"/>
  <c r="Q6" i="2"/>
  <c r="Q5" i="2"/>
  <c r="Q4" i="2"/>
  <c r="Q3" i="2"/>
  <c r="V8" i="2"/>
  <c r="S14" i="2"/>
  <c r="S15" i="2"/>
  <c r="E7" i="6"/>
  <c r="C7" i="6"/>
  <c r="D7" i="6" s="1"/>
  <c r="F7" i="6" s="1"/>
  <c r="G7" i="6" s="1"/>
  <c r="I6" i="6"/>
  <c r="J6" i="6" s="1"/>
  <c r="K6" i="6" s="1"/>
  <c r="L6" i="6" s="1"/>
  <c r="M6" i="6" s="1"/>
  <c r="N6" i="6" s="1"/>
  <c r="O6" i="6" s="1"/>
  <c r="S9" i="2"/>
  <c r="S8" i="2"/>
  <c r="S7" i="2"/>
  <c r="S6" i="2"/>
  <c r="T6" i="2" s="1"/>
  <c r="S5" i="2"/>
  <c r="T5" i="2" s="1"/>
  <c r="S4" i="2"/>
  <c r="S3" i="2"/>
  <c r="T3" i="2" s="1"/>
  <c r="S2" i="2"/>
  <c r="T2" i="2" s="1"/>
  <c r="T9" i="2"/>
  <c r="T8" i="2"/>
  <c r="T7" i="2"/>
  <c r="T4" i="2"/>
  <c r="F1" i="6"/>
  <c r="F2" i="6" s="1"/>
  <c r="D2" i="6"/>
  <c r="E2" i="6" s="1"/>
  <c r="C2" i="6"/>
  <c r="T10" i="1"/>
  <c r="T9" i="1"/>
  <c r="N12" i="1"/>
  <c r="P13" i="1"/>
  <c r="P12" i="1"/>
  <c r="P10" i="1"/>
  <c r="N8" i="1"/>
  <c r="N7" i="1"/>
  <c r="R9" i="1"/>
  <c r="R8" i="1"/>
  <c r="R7" i="1"/>
  <c r="Q7" i="1"/>
  <c r="R5" i="1"/>
  <c r="Q5" i="1"/>
  <c r="P7" i="1"/>
  <c r="O4" i="1"/>
  <c r="O3" i="1"/>
  <c r="P3" i="1" s="1"/>
  <c r="AI5" i="4"/>
  <c r="AK5" i="4" s="1"/>
  <c r="AH5" i="4"/>
  <c r="AJ5" i="4" s="1"/>
  <c r="AI4" i="4"/>
  <c r="AK4" i="4" s="1"/>
  <c r="AH4" i="4"/>
  <c r="AJ4" i="4" s="1"/>
  <c r="AH3" i="4"/>
  <c r="AI3" i="4"/>
  <c r="AK3" i="4" s="1"/>
  <c r="AB3" i="4"/>
  <c r="Z3" i="4"/>
  <c r="AG3" i="4"/>
  <c r="X3" i="4"/>
  <c r="AC5" i="4"/>
  <c r="AB5" i="4"/>
  <c r="M3" i="4"/>
  <c r="L3" i="4"/>
  <c r="U3" i="4"/>
  <c r="T3" i="4"/>
  <c r="O2" i="5"/>
  <c r="C2" i="5" s="1"/>
  <c r="D2" i="5" s="1"/>
  <c r="D3" i="5" s="1"/>
  <c r="D4" i="5" s="1"/>
  <c r="D5" i="5" s="1"/>
  <c r="L13" i="5"/>
  <c r="H13" i="5"/>
  <c r="K13" i="5" s="1"/>
  <c r="H12" i="5"/>
  <c r="K12" i="5" s="1"/>
  <c r="C9" i="5"/>
  <c r="D9" i="5" s="1"/>
  <c r="D10" i="5" s="1"/>
  <c r="C10" i="5"/>
  <c r="C7" i="5"/>
  <c r="D7" i="5" s="1"/>
  <c r="C5" i="5"/>
  <c r="C4" i="5"/>
  <c r="C3" i="5"/>
  <c r="L10" i="5"/>
  <c r="H10" i="5"/>
  <c r="K10" i="5" s="1"/>
  <c r="H9" i="5"/>
  <c r="K9" i="5" s="1"/>
  <c r="L7" i="5"/>
  <c r="AC4" i="4"/>
  <c r="AB4" i="4"/>
  <c r="U5" i="4"/>
  <c r="T5" i="4"/>
  <c r="T4" i="4"/>
  <c r="M5" i="4"/>
  <c r="L5" i="4"/>
  <c r="M4" i="4"/>
  <c r="L4" i="4"/>
  <c r="F4" i="2"/>
  <c r="E3" i="2"/>
  <c r="F2" i="2"/>
  <c r="E2" i="2"/>
  <c r="E4" i="2"/>
  <c r="AM6" i="2"/>
  <c r="AM4" i="2"/>
  <c r="AM3" i="2"/>
  <c r="AM1" i="2"/>
  <c r="AM10" i="2" s="1"/>
  <c r="AZ2" i="2"/>
  <c r="AY7" i="2"/>
  <c r="AX7" i="2" s="1"/>
  <c r="AY6" i="2"/>
  <c r="AX6" i="2" s="1"/>
  <c r="AY5" i="2"/>
  <c r="AX5" i="2" s="1"/>
  <c r="AY4" i="2"/>
  <c r="AX4" i="2" s="1"/>
  <c r="AY3" i="2"/>
  <c r="AX3" i="2" s="1"/>
  <c r="AY2" i="2"/>
  <c r="AN1" i="2"/>
  <c r="AN10" i="2" s="1"/>
  <c r="L5" i="5"/>
  <c r="F5" i="5"/>
  <c r="G5" i="5"/>
  <c r="M4" i="5"/>
  <c r="L4" i="5"/>
  <c r="G4" i="5"/>
  <c r="H4" i="5"/>
  <c r="K4" i="5" s="1"/>
  <c r="M3" i="5"/>
  <c r="L3" i="5"/>
  <c r="N2" i="5"/>
  <c r="M2" i="5"/>
  <c r="H3" i="5"/>
  <c r="J3" i="5" s="1"/>
  <c r="H2" i="5"/>
  <c r="K2" i="5" s="1"/>
  <c r="AM2" i="2"/>
  <c r="AI4" i="2"/>
  <c r="AG4" i="2"/>
  <c r="AE4" i="2"/>
  <c r="Z4" i="2"/>
  <c r="AG3" i="2"/>
  <c r="AE3" i="2"/>
  <c r="AI3" i="2"/>
  <c r="Z3" i="2"/>
  <c r="AI2" i="2"/>
  <c r="AE2" i="2"/>
  <c r="Z2" i="2"/>
  <c r="AG2" i="2"/>
  <c r="AG5" i="4"/>
  <c r="AG4" i="4"/>
  <c r="AA5" i="4"/>
  <c r="Z5" i="4"/>
  <c r="Y5" i="4"/>
  <c r="K3" i="4"/>
  <c r="J3" i="4"/>
  <c r="I3" i="4"/>
  <c r="Q5" i="4"/>
  <c r="K5" i="4"/>
  <c r="S5" i="4" s="1"/>
  <c r="J5" i="4"/>
  <c r="R5" i="4" s="1"/>
  <c r="I5" i="4"/>
  <c r="R4" i="4"/>
  <c r="Z4" i="4" s="1"/>
  <c r="AA4" i="4"/>
  <c r="U4" i="4"/>
  <c r="S4" i="4"/>
  <c r="Y4" i="4"/>
  <c r="Q4" i="4"/>
  <c r="K4" i="4"/>
  <c r="J4" i="4"/>
  <c r="I4" i="4"/>
  <c r="S3" i="4"/>
  <c r="AA3" i="4" s="1"/>
  <c r="R3" i="4"/>
  <c r="Q3" i="4"/>
  <c r="G7" i="1"/>
  <c r="G8" i="1" s="1"/>
  <c r="G9" i="1" s="1"/>
  <c r="G10" i="1" s="1"/>
  <c r="D8" i="1"/>
  <c r="L5" i="1" s="1"/>
  <c r="A5" i="1"/>
  <c r="J7" i="1" s="1"/>
  <c r="J8" i="1" s="1"/>
  <c r="K23" i="1" l="1"/>
  <c r="F8" i="6"/>
  <c r="D8" i="6"/>
  <c r="E8" i="6"/>
  <c r="E12" i="6"/>
  <c r="F12" i="6"/>
  <c r="G12" i="6"/>
  <c r="H12" i="6"/>
  <c r="I12" i="6"/>
  <c r="J12" i="6"/>
  <c r="G1" i="6"/>
  <c r="H1" i="6" s="1"/>
  <c r="I1" i="6" s="1"/>
  <c r="J1" i="6" s="1"/>
  <c r="K1" i="6" s="1"/>
  <c r="L1" i="6" s="1"/>
  <c r="G2" i="6"/>
  <c r="H2" i="6"/>
  <c r="I2" i="6"/>
  <c r="L2" i="6"/>
  <c r="AJ3" i="4"/>
  <c r="J13" i="5"/>
  <c r="M13" i="5" s="1"/>
  <c r="N13" i="5" s="1"/>
  <c r="C13" i="5" s="1"/>
  <c r="J12" i="5"/>
  <c r="M12" i="5" s="1"/>
  <c r="N12" i="5" s="1"/>
  <c r="C12" i="5" s="1"/>
  <c r="D12" i="5" s="1"/>
  <c r="J10" i="5"/>
  <c r="M10" i="5" s="1"/>
  <c r="N10" i="5" s="1"/>
  <c r="J9" i="5"/>
  <c r="M9" i="5" s="1"/>
  <c r="N9" i="5" s="1"/>
  <c r="H7" i="5"/>
  <c r="J7" i="5" s="1"/>
  <c r="M7" i="5" s="1"/>
  <c r="N7" i="5" s="1"/>
  <c r="D9" i="1"/>
  <c r="D10" i="1" s="1"/>
  <c r="D11" i="1" s="1"/>
  <c r="F3" i="2"/>
  <c r="G3" i="2" s="1"/>
  <c r="I3" i="2" s="1"/>
  <c r="F10" i="2"/>
  <c r="F6" i="2"/>
  <c r="F5" i="2"/>
  <c r="E5" i="2"/>
  <c r="F8" i="2"/>
  <c r="F9" i="2"/>
  <c r="E8" i="2"/>
  <c r="F11" i="2"/>
  <c r="AM5" i="2"/>
  <c r="AM8" i="2"/>
  <c r="AM7" i="2"/>
  <c r="AM9" i="2"/>
  <c r="AX2" i="2"/>
  <c r="AN3" i="2"/>
  <c r="AN7" i="2"/>
  <c r="AN4" i="2"/>
  <c r="AN8" i="2"/>
  <c r="AN5" i="2"/>
  <c r="AN9" i="2"/>
  <c r="AN6" i="2"/>
  <c r="H5" i="5"/>
  <c r="J5" i="5" s="1"/>
  <c r="M5" i="5" s="1"/>
  <c r="N5" i="5" s="1"/>
  <c r="N4" i="5"/>
  <c r="J4" i="5"/>
  <c r="N3" i="5"/>
  <c r="K3" i="5"/>
  <c r="J2" i="5"/>
  <c r="AO1" i="2"/>
  <c r="G8" i="6" l="1"/>
  <c r="K2" i="6"/>
  <c r="J2" i="6"/>
  <c r="S16" i="2"/>
  <c r="D13" i="5"/>
  <c r="K7" i="5"/>
  <c r="G8" i="2"/>
  <c r="I8" i="2" s="1"/>
  <c r="F7" i="2"/>
  <c r="E7" i="2"/>
  <c r="E6" i="2"/>
  <c r="G6" i="2" s="1"/>
  <c r="I6" i="2" s="1"/>
  <c r="E9" i="2"/>
  <c r="G9" i="2" s="1"/>
  <c r="I9" i="2" s="1"/>
  <c r="F12" i="2"/>
  <c r="G5" i="2"/>
  <c r="I5" i="2" s="1"/>
  <c r="AO8" i="2"/>
  <c r="AO7" i="2"/>
  <c r="AO6" i="2"/>
  <c r="AO5" i="2"/>
  <c r="AO4" i="2"/>
  <c r="AO10" i="2"/>
  <c r="AO9" i="2"/>
  <c r="K5" i="5"/>
  <c r="AP1" i="2"/>
  <c r="S17" i="2" l="1"/>
  <c r="E10" i="2"/>
  <c r="G10" i="2" s="1"/>
  <c r="I10" i="2" s="1"/>
  <c r="G7" i="2"/>
  <c r="I7" i="2" s="1"/>
  <c r="AP7" i="2"/>
  <c r="AP6" i="2"/>
  <c r="AP5" i="2"/>
  <c r="AP9" i="2"/>
  <c r="AP10" i="2"/>
  <c r="AP8" i="2"/>
  <c r="AQ1" i="2"/>
  <c r="S18" i="2" l="1"/>
  <c r="E12" i="2"/>
  <c r="G12" i="2" s="1"/>
  <c r="I12" i="2" s="1"/>
  <c r="E11" i="2"/>
  <c r="G11" i="2" s="1"/>
  <c r="I11" i="2" s="1"/>
  <c r="G2" i="2"/>
  <c r="I2" i="2" s="1"/>
  <c r="AQ6" i="2"/>
  <c r="AQ8" i="2"/>
  <c r="AQ10" i="2"/>
  <c r="AQ9" i="2"/>
  <c r="AQ7" i="2"/>
  <c r="AR1" i="2"/>
  <c r="S19" i="2" l="1"/>
  <c r="G4" i="2"/>
  <c r="I4" i="2" s="1"/>
  <c r="AR7" i="2"/>
  <c r="AR10" i="2"/>
  <c r="AR9" i="2"/>
  <c r="AR8" i="2"/>
  <c r="AS1" i="2"/>
  <c r="S20" i="2" l="1"/>
  <c r="AS10" i="2"/>
  <c r="AS9" i="2"/>
  <c r="AS8" i="2"/>
  <c r="AT1" i="2"/>
  <c r="S21" i="2" l="1"/>
  <c r="AT10" i="2"/>
  <c r="AT9" i="2"/>
  <c r="AU1" i="2"/>
  <c r="AU10" i="2" l="1"/>
  <c r="AC3" i="4" l="1"/>
  <c r="Y3" i="4"/>
</calcChain>
</file>

<file path=xl/sharedStrings.xml><?xml version="1.0" encoding="utf-8"?>
<sst xmlns="http://schemas.openxmlformats.org/spreadsheetml/2006/main" count="248" uniqueCount="121">
  <si>
    <t>W/m2</t>
  </si>
  <si>
    <t>solar</t>
  </si>
  <si>
    <t>battery</t>
  </si>
  <si>
    <t>Wh/kg</t>
  </si>
  <si>
    <t>1 e = 1 Wh</t>
  </si>
  <si>
    <t>math</t>
  </si>
  <si>
    <t>wide</t>
  </si>
  <si>
    <t>tall</t>
  </si>
  <si>
    <t>factor</t>
  </si>
  <si>
    <t>e/s</t>
  </si>
  <si>
    <t>e/m</t>
  </si>
  <si>
    <t>e/h</t>
  </si>
  <si>
    <t>drain</t>
  </si>
  <si>
    <t>Watts</t>
  </si>
  <si>
    <t>mass</t>
  </si>
  <si>
    <t>Wh</t>
  </si>
  <si>
    <t>kg</t>
  </si>
  <si>
    <t>tons</t>
  </si>
  <si>
    <t>to</t>
  </si>
  <si>
    <t>source</t>
  </si>
  <si>
    <t>dish</t>
  </si>
  <si>
    <t>target</t>
  </si>
  <si>
    <t>wet</t>
  </si>
  <si>
    <t>dry</t>
  </si>
  <si>
    <t>fuel</t>
  </si>
  <si>
    <t>isp sl</t>
  </si>
  <si>
    <t>isp v</t>
  </si>
  <si>
    <t>kerolox</t>
  </si>
  <si>
    <t>Spark</t>
  </si>
  <si>
    <t>atmo</t>
  </si>
  <si>
    <t>TWR</t>
  </si>
  <si>
    <t>vac</t>
  </si>
  <si>
    <t>engine</t>
  </si>
  <si>
    <t>hydrolox</t>
  </si>
  <si>
    <t>hypergolic</t>
  </si>
  <si>
    <t>T sl</t>
  </si>
  <si>
    <t>T v</t>
  </si>
  <si>
    <t>Terrier</t>
  </si>
  <si>
    <t>Mainsail</t>
  </si>
  <si>
    <t>monoprop</t>
  </si>
  <si>
    <t>reason</t>
  </si>
  <si>
    <t>KSO</t>
  </si>
  <si>
    <t>range</t>
  </si>
  <si>
    <t>overall</t>
  </si>
  <si>
    <t>max</t>
  </si>
  <si>
    <t>dish 1</t>
  </si>
  <si>
    <t>geo link</t>
  </si>
  <si>
    <t>need</t>
  </si>
  <si>
    <t>dish 2</t>
  </si>
  <si>
    <t>Mun</t>
  </si>
  <si>
    <t>Mun comm</t>
  </si>
  <si>
    <t>Minmus</t>
  </si>
  <si>
    <t>dish 3</t>
  </si>
  <si>
    <t>diam</t>
  </si>
  <si>
    <t>Mm</t>
  </si>
  <si>
    <t>mun</t>
  </si>
  <si>
    <t>minmus</t>
  </si>
  <si>
    <t>duna</t>
  </si>
  <si>
    <t>jool</t>
  </si>
  <si>
    <t>from</t>
  </si>
  <si>
    <t>surface</t>
  </si>
  <si>
    <t>LKO</t>
  </si>
  <si>
    <t>sub LKO</t>
  </si>
  <si>
    <t>sub KSO</t>
  </si>
  <si>
    <t>delta V</t>
  </si>
  <si>
    <t>GM</t>
  </si>
  <si>
    <t>sma</t>
  </si>
  <si>
    <t>PE vel</t>
  </si>
  <si>
    <t>AP vel</t>
  </si>
  <si>
    <t>change</t>
  </si>
  <si>
    <t>total</t>
  </si>
  <si>
    <t>eeloo</t>
  </si>
  <si>
    <t>r1</t>
  </si>
  <si>
    <t>r2</t>
  </si>
  <si>
    <t>r3</t>
  </si>
  <si>
    <t>size</t>
  </si>
  <si>
    <t>omni 1</t>
  </si>
  <si>
    <t>omni 2</t>
  </si>
  <si>
    <t>ground</t>
  </si>
  <si>
    <t>sender</t>
  </si>
  <si>
    <t>recvr</t>
  </si>
  <si>
    <t>figaro</t>
  </si>
  <si>
    <t>TS</t>
  </si>
  <si>
    <t>antenna</t>
  </si>
  <si>
    <t>Mol</t>
  </si>
  <si>
    <t>DS</t>
  </si>
  <si>
    <t>dish 4</t>
  </si>
  <si>
    <t>Duna</t>
  </si>
  <si>
    <t>Jool</t>
  </si>
  <si>
    <t>dish 5</t>
  </si>
  <si>
    <t>dish 6</t>
  </si>
  <si>
    <t>want</t>
  </si>
  <si>
    <t>GX128</t>
  </si>
  <si>
    <t>Com88</t>
  </si>
  <si>
    <t>HG55</t>
  </si>
  <si>
    <t>Nau2</t>
  </si>
  <si>
    <t>Nau1</t>
  </si>
  <si>
    <t>ComTec</t>
  </si>
  <si>
    <t>fixed</t>
  </si>
  <si>
    <t>folding</t>
  </si>
  <si>
    <t>KR14</t>
  </si>
  <si>
    <t>KR7</t>
  </si>
  <si>
    <t>DTS</t>
  </si>
  <si>
    <t>EXP</t>
  </si>
  <si>
    <t>watts</t>
  </si>
  <si>
    <t>LMO</t>
  </si>
  <si>
    <t>sub LMO</t>
  </si>
  <si>
    <t>extra</t>
  </si>
  <si>
    <t>sub Eve</t>
  </si>
  <si>
    <t>LEO</t>
  </si>
  <si>
    <t>rad</t>
  </si>
  <si>
    <t>height</t>
  </si>
  <si>
    <t>volume</t>
  </si>
  <si>
    <t>Com32</t>
  </si>
  <si>
    <t>round cyl</t>
  </si>
  <si>
    <t>sphere</t>
  </si>
  <si>
    <t>cyl</t>
  </si>
  <si>
    <t>angle</t>
  </si>
  <si>
    <t>cover</t>
  </si>
  <si>
    <t>at 2.5</t>
  </si>
  <si>
    <t>at 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</si>
</sst>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5" formatCode="0.0000"/>
    <numFmt numFmtId="166" formatCode="0.000"/>
    <numFmt numFmtId="167" formatCode="0.0"/>
    <numFmt numFmtId="174" formatCode="#,##0.0"/>
    <numFmt numFmtId="175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3" fontId="0" fillId="5" borderId="0" xfId="0" applyNumberFormat="1" applyFill="1" applyAlignment="1">
      <alignment horizontal="center"/>
    </xf>
    <xf numFmtId="3" fontId="0" fillId="6" borderId="0" xfId="0" applyNumberFormat="1" applyFill="1" applyAlignment="1">
      <alignment horizontal="center"/>
    </xf>
    <xf numFmtId="3" fontId="0" fillId="7" borderId="0" xfId="0" applyNumberFormat="1" applyFill="1" applyAlignment="1">
      <alignment horizontal="center"/>
    </xf>
    <xf numFmtId="3" fontId="1" fillId="8" borderId="0" xfId="0" applyNumberFormat="1" applyFon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9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6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N18" sqref="N18"/>
    </sheetView>
  </sheetViews>
  <sheetFormatPr defaultRowHeight="15" x14ac:dyDescent="0.25"/>
  <cols>
    <col min="1" max="1" width="7.42578125" style="1" bestFit="1" customWidth="1"/>
    <col min="2" max="2" width="6.85546875" style="1" bestFit="1" customWidth="1"/>
    <col min="3" max="3" width="1.85546875" style="1" customWidth="1"/>
    <col min="4" max="4" width="9.85546875" style="1" bestFit="1" customWidth="1"/>
    <col min="5" max="5" width="6.140625" style="1" bestFit="1" customWidth="1"/>
    <col min="6" max="6" width="1.7109375" style="1" customWidth="1"/>
    <col min="7" max="7" width="7.5703125" style="1" bestFit="1" customWidth="1"/>
    <col min="8" max="8" width="6.140625" style="1" bestFit="1" customWidth="1"/>
    <col min="9" max="9" width="1.42578125" style="1" customWidth="1"/>
    <col min="10" max="11" width="9.140625" style="1"/>
    <col min="12" max="12" width="6.140625" style="1" bestFit="1" customWidth="1"/>
    <col min="13" max="16384" width="9.140625" style="1"/>
  </cols>
  <sheetData>
    <row r="1" spans="1:20" x14ac:dyDescent="0.25">
      <c r="A1" s="1" t="s">
        <v>1</v>
      </c>
      <c r="L1" s="1" t="s">
        <v>104</v>
      </c>
    </row>
    <row r="2" spans="1:20" x14ac:dyDescent="0.25">
      <c r="A2" s="1">
        <v>250</v>
      </c>
      <c r="B2" s="1" t="s">
        <v>0</v>
      </c>
      <c r="D2" s="1" t="s">
        <v>4</v>
      </c>
      <c r="L2" s="1" t="s">
        <v>18</v>
      </c>
      <c r="P2" s="2">
        <v>6</v>
      </c>
    </row>
    <row r="3" spans="1:20" x14ac:dyDescent="0.25">
      <c r="L3" s="1" t="s">
        <v>9</v>
      </c>
      <c r="N3" s="2">
        <v>3</v>
      </c>
      <c r="O3" s="1">
        <f>N3/2</f>
        <v>1.5</v>
      </c>
      <c r="P3" s="1">
        <f>O3*P2</f>
        <v>9</v>
      </c>
    </row>
    <row r="4" spans="1:20" x14ac:dyDescent="0.25">
      <c r="A4" s="1" t="s">
        <v>2</v>
      </c>
      <c r="D4" s="1" t="s">
        <v>1</v>
      </c>
      <c r="G4" s="1" t="s">
        <v>12</v>
      </c>
      <c r="J4" s="1" t="s">
        <v>2</v>
      </c>
      <c r="L4" s="1" t="s">
        <v>8</v>
      </c>
      <c r="N4" s="2">
        <v>1.3</v>
      </c>
      <c r="O4" s="1">
        <f>N4/2</f>
        <v>0.65</v>
      </c>
    </row>
    <row r="5" spans="1:20" x14ac:dyDescent="0.25">
      <c r="A5" s="1">
        <f>100/5</f>
        <v>20</v>
      </c>
      <c r="B5" s="1" t="s">
        <v>3</v>
      </c>
      <c r="D5" s="1" t="s">
        <v>5</v>
      </c>
      <c r="G5" s="1" t="s">
        <v>5</v>
      </c>
      <c r="J5" s="1" t="s">
        <v>14</v>
      </c>
      <c r="L5" s="29">
        <f>D8</f>
        <v>6.9444444444444448E-2</v>
      </c>
      <c r="P5" s="1">
        <v>5</v>
      </c>
      <c r="Q5" s="1">
        <f>P5*P6</f>
        <v>10</v>
      </c>
      <c r="R5" s="1">
        <f>3*Q5</f>
        <v>30</v>
      </c>
    </row>
    <row r="6" spans="1:20" x14ac:dyDescent="0.25">
      <c r="D6" s="2">
        <v>2</v>
      </c>
      <c r="E6" s="1" t="s">
        <v>6</v>
      </c>
      <c r="G6" s="2">
        <v>150</v>
      </c>
      <c r="H6" s="1" t="s">
        <v>13</v>
      </c>
      <c r="J6" s="2">
        <v>150</v>
      </c>
      <c r="K6" s="1" t="s">
        <v>15</v>
      </c>
      <c r="P6" s="1">
        <v>2</v>
      </c>
    </row>
    <row r="7" spans="1:20" x14ac:dyDescent="0.25">
      <c r="D7" s="2">
        <v>4</v>
      </c>
      <c r="E7" s="1" t="s">
        <v>7</v>
      </c>
      <c r="G7" s="3">
        <f>1/3600</f>
        <v>2.7777777777777778E-4</v>
      </c>
      <c r="H7" s="1" t="s">
        <v>8</v>
      </c>
      <c r="J7" s="10">
        <f>J6/A5</f>
        <v>7.5</v>
      </c>
      <c r="K7" s="1" t="s">
        <v>16</v>
      </c>
      <c r="N7" s="1">
        <f>2*PI()*(2.5/2)</f>
        <v>7.8539816339744828</v>
      </c>
      <c r="P7" s="1">
        <f>5/3</f>
        <v>1.6666666666666667</v>
      </c>
      <c r="Q7" s="1">
        <f>P7*P8</f>
        <v>2.5</v>
      </c>
      <c r="R7" s="1">
        <f>Q7</f>
        <v>2.5</v>
      </c>
      <c r="T7" s="1">
        <v>1.25</v>
      </c>
    </row>
    <row r="8" spans="1:20" x14ac:dyDescent="0.25">
      <c r="D8" s="3">
        <f>250/3600</f>
        <v>6.9444444444444448E-2</v>
      </c>
      <c r="E8" s="1" t="s">
        <v>8</v>
      </c>
      <c r="G8" s="7">
        <f>G7*G6</f>
        <v>4.1666666666666664E-2</v>
      </c>
      <c r="H8" s="1" t="s">
        <v>9</v>
      </c>
      <c r="J8" s="7">
        <f>J7/1000</f>
        <v>7.4999999999999997E-3</v>
      </c>
      <c r="K8" s="1" t="s">
        <v>17</v>
      </c>
      <c r="N8" s="1">
        <f>N7/4</f>
        <v>1.9634954084936207</v>
      </c>
      <c r="P8" s="1">
        <v>1.5</v>
      </c>
      <c r="R8" s="1">
        <f>R7+R5</f>
        <v>32.5</v>
      </c>
      <c r="T8" s="1">
        <v>2</v>
      </c>
    </row>
    <row r="9" spans="1:20" x14ac:dyDescent="0.25">
      <c r="D9" s="7">
        <f>D8*D7*D6</f>
        <v>0.55555555555555558</v>
      </c>
      <c r="E9" s="1" t="s">
        <v>9</v>
      </c>
      <c r="G9" s="8">
        <f>60*G8</f>
        <v>2.5</v>
      </c>
      <c r="H9" s="1" t="s">
        <v>10</v>
      </c>
      <c r="R9" s="1">
        <f>R8/2/2</f>
        <v>8.125</v>
      </c>
      <c r="T9" s="1">
        <f>T7/T8</f>
        <v>0.625</v>
      </c>
    </row>
    <row r="10" spans="1:20" x14ac:dyDescent="0.25">
      <c r="D10" s="8">
        <f>60*D9</f>
        <v>33.333333333333336</v>
      </c>
      <c r="E10" s="1" t="s">
        <v>10</v>
      </c>
      <c r="G10" s="9">
        <f>60*G9</f>
        <v>150</v>
      </c>
      <c r="H10" s="1" t="s">
        <v>11</v>
      </c>
      <c r="P10" s="1">
        <f>4</f>
        <v>4</v>
      </c>
      <c r="T10" s="1">
        <f>T9*T8</f>
        <v>1.25</v>
      </c>
    </row>
    <row r="11" spans="1:20" x14ac:dyDescent="0.25">
      <c r="D11" s="9">
        <f>60*D10</f>
        <v>2000.0000000000002</v>
      </c>
      <c r="E11" s="1" t="s">
        <v>11</v>
      </c>
      <c r="N11" s="1">
        <v>3.75</v>
      </c>
      <c r="P11" s="1">
        <v>2</v>
      </c>
    </row>
    <row r="12" spans="1:20" x14ac:dyDescent="0.25">
      <c r="N12" s="1">
        <f>2*PI()*(N11/2)</f>
        <v>11.780972450961723</v>
      </c>
      <c r="P12" s="1">
        <f>PI()*P11^2</f>
        <v>12.566370614359172</v>
      </c>
    </row>
    <row r="13" spans="1:20" x14ac:dyDescent="0.25">
      <c r="K13" s="1">
        <v>14</v>
      </c>
      <c r="P13" s="1">
        <f>P12/2/2</f>
        <v>3.1415926535897931</v>
      </c>
    </row>
    <row r="14" spans="1:20" x14ac:dyDescent="0.25">
      <c r="K14" s="1">
        <v>4000</v>
      </c>
    </row>
    <row r="15" spans="1:20" x14ac:dyDescent="0.25">
      <c r="K15" s="1">
        <f>K13*K14</f>
        <v>56000</v>
      </c>
      <c r="L15" s="1" t="s">
        <v>119</v>
      </c>
      <c r="N15" s="1">
        <v>12000</v>
      </c>
    </row>
    <row r="16" spans="1:20" x14ac:dyDescent="0.25">
      <c r="K16" s="1">
        <f>K15*L18</f>
        <v>875</v>
      </c>
      <c r="L16" s="1">
        <v>0.625</v>
      </c>
      <c r="N16" s="1">
        <v>4.5</v>
      </c>
    </row>
    <row r="17" spans="11:15" x14ac:dyDescent="0.25">
      <c r="L17" s="1">
        <f>L16/2.5</f>
        <v>0.25</v>
      </c>
      <c r="N17" s="1">
        <f>N15/N16</f>
        <v>2666.6666666666665</v>
      </c>
      <c r="O17" s="1" t="s">
        <v>119</v>
      </c>
    </row>
    <row r="18" spans="11:15" x14ac:dyDescent="0.25">
      <c r="L18" s="1">
        <f>L17^3</f>
        <v>1.5625E-2</v>
      </c>
      <c r="N18" s="1">
        <f>N17*O21</f>
        <v>9000</v>
      </c>
      <c r="O18" s="1">
        <v>3.75</v>
      </c>
    </row>
    <row r="19" spans="11:15" x14ac:dyDescent="0.25">
      <c r="O19" s="1">
        <f>2.5</f>
        <v>2.5</v>
      </c>
    </row>
    <row r="20" spans="11:15" x14ac:dyDescent="0.25">
      <c r="K20" s="1">
        <v>9</v>
      </c>
      <c r="O20" s="1">
        <f>O18/O19</f>
        <v>1.5</v>
      </c>
    </row>
    <row r="21" spans="11:15" x14ac:dyDescent="0.25">
      <c r="K21" s="1">
        <v>4000</v>
      </c>
      <c r="O21" s="1">
        <f>O20^3</f>
        <v>3.375</v>
      </c>
    </row>
    <row r="22" spans="11:15" x14ac:dyDescent="0.25">
      <c r="K22" s="1">
        <f>K20*K21</f>
        <v>36000</v>
      </c>
      <c r="L22" s="1" t="s">
        <v>120</v>
      </c>
    </row>
    <row r="23" spans="11:15" x14ac:dyDescent="0.25">
      <c r="K23" s="1">
        <f>K22*L25</f>
        <v>4500</v>
      </c>
      <c r="L23" s="1">
        <v>0.625</v>
      </c>
    </row>
    <row r="24" spans="11:15" x14ac:dyDescent="0.25">
      <c r="L24" s="1">
        <f>L23/1.25</f>
        <v>0.5</v>
      </c>
    </row>
    <row r="25" spans="11:15" x14ac:dyDescent="0.25">
      <c r="L25" s="1">
        <f>L24^3</f>
        <v>0.125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selection activeCell="AB3" sqref="AB3:AC3"/>
    </sheetView>
  </sheetViews>
  <sheetFormatPr defaultRowHeight="15" x14ac:dyDescent="0.25"/>
  <cols>
    <col min="1" max="1" width="8.42578125" style="1" bestFit="1" customWidth="1"/>
    <col min="2" max="2" width="6" style="1" bestFit="1" customWidth="1"/>
    <col min="3" max="3" width="5" style="1" bestFit="1" customWidth="1"/>
    <col min="4" max="4" width="5.5703125" style="1" bestFit="1" customWidth="1"/>
    <col min="5" max="5" width="5" style="1" bestFit="1" customWidth="1"/>
    <col min="6" max="6" width="1.28515625" style="1" customWidth="1"/>
    <col min="7" max="7" width="6" style="1" bestFit="1" customWidth="1"/>
    <col min="8" max="8" width="5" style="1" bestFit="1" customWidth="1"/>
    <col min="9" max="9" width="6" style="1" bestFit="1" customWidth="1"/>
    <col min="10" max="11" width="5" style="1" bestFit="1" customWidth="1"/>
    <col min="12" max="12" width="5.42578125" style="1" bestFit="1" customWidth="1"/>
    <col min="13" max="13" width="5" style="1" bestFit="1" customWidth="1"/>
    <col min="14" max="14" width="1.140625" style="1" customWidth="1"/>
    <col min="15" max="17" width="6" style="1" bestFit="1" customWidth="1"/>
    <col min="18" max="19" width="5" style="1" bestFit="1" customWidth="1"/>
    <col min="20" max="20" width="5.42578125" style="1" bestFit="1" customWidth="1"/>
    <col min="21" max="21" width="5" style="1" bestFit="1" customWidth="1"/>
    <col min="22" max="22" width="1.140625" style="1" customWidth="1"/>
    <col min="23" max="23" width="5" style="1" bestFit="1" customWidth="1"/>
    <col min="24" max="24" width="4" style="1" bestFit="1" customWidth="1"/>
    <col min="25" max="27" width="5" style="1" bestFit="1" customWidth="1"/>
    <col min="28" max="28" width="5.42578125" style="1" bestFit="1" customWidth="1"/>
    <col min="29" max="29" width="5" style="1" bestFit="1" customWidth="1"/>
    <col min="30" max="30" width="0.7109375" style="1" customWidth="1"/>
    <col min="31" max="31" width="5" style="1" bestFit="1" customWidth="1"/>
    <col min="32" max="32" width="4" style="1" bestFit="1" customWidth="1"/>
    <col min="33" max="35" width="5" style="1" bestFit="1" customWidth="1"/>
    <col min="36" max="36" width="5.42578125" style="1" bestFit="1" customWidth="1"/>
    <col min="37" max="37" width="5" style="1" bestFit="1" customWidth="1"/>
    <col min="38" max="16384" width="9.140625" style="1"/>
  </cols>
  <sheetData>
    <row r="1" spans="1:37" x14ac:dyDescent="0.25">
      <c r="G1" s="13" t="s">
        <v>27</v>
      </c>
      <c r="H1" s="13"/>
      <c r="I1" s="13"/>
      <c r="J1" s="13"/>
      <c r="K1" s="13"/>
      <c r="L1" s="13"/>
      <c r="M1" s="13"/>
      <c r="O1" s="13" t="s">
        <v>33</v>
      </c>
      <c r="P1" s="13"/>
      <c r="Q1" s="13"/>
      <c r="R1" s="13"/>
      <c r="S1" s="13"/>
      <c r="T1" s="13"/>
      <c r="U1" s="13"/>
      <c r="W1" s="13" t="s">
        <v>34</v>
      </c>
      <c r="X1" s="13"/>
      <c r="Y1" s="13"/>
      <c r="Z1" s="13"/>
      <c r="AA1" s="13"/>
      <c r="AB1" s="13"/>
      <c r="AC1" s="13"/>
      <c r="AE1" s="13" t="s">
        <v>39</v>
      </c>
      <c r="AF1" s="13"/>
      <c r="AG1" s="13"/>
      <c r="AH1" s="13"/>
      <c r="AI1" s="13"/>
      <c r="AJ1" s="13"/>
      <c r="AK1" s="13"/>
    </row>
    <row r="2" spans="1:37" s="14" customFormat="1" x14ac:dyDescent="0.25">
      <c r="A2" s="14" t="s">
        <v>32</v>
      </c>
      <c r="B2" s="14" t="s">
        <v>14</v>
      </c>
      <c r="C2" s="14" t="s">
        <v>30</v>
      </c>
      <c r="D2" s="14" t="s">
        <v>29</v>
      </c>
      <c r="E2" s="14" t="s">
        <v>31</v>
      </c>
      <c r="G2" s="14" t="s">
        <v>22</v>
      </c>
      <c r="H2" s="14" t="s">
        <v>23</v>
      </c>
      <c r="I2" s="14" t="s">
        <v>24</v>
      </c>
      <c r="J2" s="14" t="s">
        <v>35</v>
      </c>
      <c r="K2" s="14" t="s">
        <v>36</v>
      </c>
      <c r="L2" s="14" t="s">
        <v>25</v>
      </c>
      <c r="M2" s="14" t="s">
        <v>26</v>
      </c>
      <c r="O2" s="14" t="s">
        <v>22</v>
      </c>
      <c r="P2" s="14" t="s">
        <v>23</v>
      </c>
      <c r="Q2" s="14" t="s">
        <v>24</v>
      </c>
      <c r="R2" s="14" t="s">
        <v>35</v>
      </c>
      <c r="S2" s="14" t="s">
        <v>36</v>
      </c>
      <c r="T2" s="14" t="s">
        <v>25</v>
      </c>
      <c r="U2" s="14" t="s">
        <v>26</v>
      </c>
      <c r="W2" s="14" t="s">
        <v>22</v>
      </c>
      <c r="X2" s="14" t="s">
        <v>23</v>
      </c>
      <c r="Y2" s="14" t="s">
        <v>24</v>
      </c>
      <c r="Z2" s="14" t="s">
        <v>35</v>
      </c>
      <c r="AA2" s="14" t="s">
        <v>36</v>
      </c>
      <c r="AB2" s="14" t="s">
        <v>25</v>
      </c>
      <c r="AC2" s="14" t="s">
        <v>26</v>
      </c>
      <c r="AE2" s="14" t="s">
        <v>22</v>
      </c>
      <c r="AF2" s="14" t="s">
        <v>23</v>
      </c>
      <c r="AG2" s="14" t="s">
        <v>24</v>
      </c>
      <c r="AH2" s="14" t="s">
        <v>35</v>
      </c>
      <c r="AI2" s="14" t="s">
        <v>36</v>
      </c>
      <c r="AJ2" s="14" t="s">
        <v>25</v>
      </c>
      <c r="AK2" s="14" t="s">
        <v>26</v>
      </c>
    </row>
    <row r="3" spans="1:37" x14ac:dyDescent="0.25">
      <c r="A3" s="1" t="s">
        <v>28</v>
      </c>
      <c r="B3" s="2">
        <v>1295</v>
      </c>
      <c r="C3" s="2">
        <v>1.42</v>
      </c>
      <c r="D3" s="2">
        <v>3917</v>
      </c>
      <c r="E3" s="2">
        <v>4352</v>
      </c>
      <c r="G3" s="11"/>
      <c r="H3" s="11"/>
      <c r="I3" s="1">
        <f>G3-H3</f>
        <v>0</v>
      </c>
      <c r="J3" s="1">
        <f>D3</f>
        <v>3917</v>
      </c>
      <c r="K3" s="1">
        <f>E3</f>
        <v>4352</v>
      </c>
      <c r="L3" s="12" t="e">
        <f>$J3/9.81/LN(G3/H3)</f>
        <v>#DIV/0!</v>
      </c>
      <c r="M3" s="12" t="e">
        <f>$K3/9.81/LN(G3/H3)</f>
        <v>#DIV/0!</v>
      </c>
      <c r="O3" s="11"/>
      <c r="P3" s="11"/>
      <c r="Q3" s="1">
        <f>O3-P3</f>
        <v>0</v>
      </c>
      <c r="R3" s="6">
        <f>0.95*J3</f>
        <v>3721.1499999999996</v>
      </c>
      <c r="S3" s="6">
        <f>1.01*K3</f>
        <v>4395.5200000000004</v>
      </c>
      <c r="T3" s="12" t="e">
        <f>$R3/9.81/LN(O3/P3)</f>
        <v>#DIV/0!</v>
      </c>
      <c r="U3" s="12" t="e">
        <f>$S3/9.81/LN(O3/P3)</f>
        <v>#DIV/0!</v>
      </c>
      <c r="W3" s="11">
        <v>1280</v>
      </c>
      <c r="X3" s="11">
        <f>1077/5</f>
        <v>215.4</v>
      </c>
      <c r="Y3" s="1">
        <f>W3-X3</f>
        <v>1064.5999999999999</v>
      </c>
      <c r="Z3" s="6">
        <f>0.95*R3</f>
        <v>3535.0924999999993</v>
      </c>
      <c r="AA3" s="6">
        <f>1.01*S3</f>
        <v>4439.4752000000008</v>
      </c>
      <c r="AB3" s="12">
        <f>$Z3/9.81/LN(W3/X3)</f>
        <v>202.20652870695972</v>
      </c>
      <c r="AC3" s="12">
        <f>$AA3/9.81/LN(W3/X3)</f>
        <v>253.93702412953436</v>
      </c>
      <c r="AE3" s="11">
        <v>1286</v>
      </c>
      <c r="AF3" s="11">
        <v>272</v>
      </c>
      <c r="AG3" s="1">
        <f>AE3-AF3</f>
        <v>1014</v>
      </c>
      <c r="AH3" s="6">
        <f>0.8*Z3</f>
        <v>2828.0739999999996</v>
      </c>
      <c r="AI3" s="6">
        <f>0.85*K3</f>
        <v>3699.2</v>
      </c>
      <c r="AJ3" s="12">
        <f>$AH3/9.81/LN(AE3/AF3)</f>
        <v>185.57238307718134</v>
      </c>
      <c r="AK3" s="12">
        <f>$AI3/9.81/LN(AE3/AF3)</f>
        <v>242.73387453054951</v>
      </c>
    </row>
    <row r="4" spans="1:37" x14ac:dyDescent="0.25">
      <c r="A4" s="1" t="s">
        <v>37</v>
      </c>
      <c r="B4" s="2">
        <v>3945</v>
      </c>
      <c r="C4" s="2">
        <v>1.55</v>
      </c>
      <c r="D4" s="2">
        <v>1191</v>
      </c>
      <c r="E4" s="2">
        <v>4835</v>
      </c>
      <c r="G4" s="11">
        <v>3954</v>
      </c>
      <c r="H4" s="11">
        <v>672</v>
      </c>
      <c r="I4" s="1">
        <f>G4-H4</f>
        <v>3282</v>
      </c>
      <c r="J4" s="1">
        <f>D4</f>
        <v>1191</v>
      </c>
      <c r="K4" s="1">
        <f>E4</f>
        <v>4835</v>
      </c>
      <c r="L4" s="12">
        <f>$J4/9.81/LN(G4/H4)</f>
        <v>68.505269308814107</v>
      </c>
      <c r="M4" s="12">
        <f>$K4/9.81/LN(G4/H4)</f>
        <v>278.10493459959378</v>
      </c>
      <c r="O4" s="11">
        <v>3896</v>
      </c>
      <c r="P4" s="11">
        <v>773</v>
      </c>
      <c r="Q4" s="1">
        <f>O4-P4</f>
        <v>3123</v>
      </c>
      <c r="R4" s="6">
        <f>0.95*J4</f>
        <v>1131.45</v>
      </c>
      <c r="S4" s="6">
        <f>1.01*K4</f>
        <v>4883.3500000000004</v>
      </c>
      <c r="T4" s="12">
        <f>$R4/9.81/LN(O4/P4)</f>
        <v>71.308577640489133</v>
      </c>
      <c r="U4" s="12">
        <f>$S4/9.81/LN(O4/P4)</f>
        <v>307.76856478031078</v>
      </c>
      <c r="W4" s="11">
        <v>3784</v>
      </c>
      <c r="X4" s="11">
        <v>662</v>
      </c>
      <c r="Y4" s="1">
        <f>W4-X4</f>
        <v>3122</v>
      </c>
      <c r="Z4" s="6">
        <f>0.95*R4</f>
        <v>1074.8775000000001</v>
      </c>
      <c r="AA4" s="6">
        <f>1.01*S4</f>
        <v>4932.1835000000001</v>
      </c>
      <c r="AB4" s="12">
        <f>$Z4/9.81/LN(W4/X4)</f>
        <v>62.852848664219529</v>
      </c>
      <c r="AC4" s="12">
        <f>$AA4/9.81/LN(W4/X4)</f>
        <v>288.40661666995595</v>
      </c>
      <c r="AE4" s="11"/>
      <c r="AF4" s="11"/>
      <c r="AG4" s="1">
        <f>AE4-AF4</f>
        <v>0</v>
      </c>
      <c r="AH4" s="6">
        <f t="shared" ref="AH4:AH5" si="0">0.8*Z4</f>
        <v>859.90200000000004</v>
      </c>
      <c r="AI4" s="6">
        <f t="shared" ref="AI4:AI5" si="1">0.85*K4</f>
        <v>4109.75</v>
      </c>
      <c r="AJ4" s="12" t="e">
        <f>$AH4/9.81/LN(AE4/AF4)</f>
        <v>#DIV/0!</v>
      </c>
      <c r="AK4" s="12" t="e">
        <f>$AI4/9.81/LN(AE4/AF4)</f>
        <v>#DIV/0!</v>
      </c>
    </row>
    <row r="5" spans="1:37" x14ac:dyDescent="0.25">
      <c r="A5" s="1" t="s">
        <v>38</v>
      </c>
      <c r="B5" s="2">
        <v>78070</v>
      </c>
      <c r="C5" s="2">
        <v>1.96</v>
      </c>
      <c r="D5" s="2">
        <v>4789</v>
      </c>
      <c r="E5" s="2">
        <v>5209</v>
      </c>
      <c r="G5" s="11">
        <v>78271</v>
      </c>
      <c r="H5" s="11">
        <v>8236</v>
      </c>
      <c r="I5" s="1">
        <f>G5-H5</f>
        <v>70035</v>
      </c>
      <c r="J5" s="1">
        <f>D5</f>
        <v>4789</v>
      </c>
      <c r="K5" s="1">
        <f>E5</f>
        <v>5209</v>
      </c>
      <c r="L5" s="12">
        <f>$J5/9.81/LN(G5/H5)</f>
        <v>216.8066299574084</v>
      </c>
      <c r="M5" s="12">
        <f>$K5/9.81/LN(G5/H5)</f>
        <v>235.82078418211324</v>
      </c>
      <c r="O5" s="11">
        <v>79450</v>
      </c>
      <c r="P5" s="11">
        <v>10736</v>
      </c>
      <c r="Q5" s="1">
        <f>O5-P5</f>
        <v>68714</v>
      </c>
      <c r="R5" s="6">
        <f>0.95*J5</f>
        <v>4549.55</v>
      </c>
      <c r="S5" s="6">
        <f>1.01*K5</f>
        <v>5261.09</v>
      </c>
      <c r="T5" s="12">
        <f>$R5/9.81/LN(O5/P5)</f>
        <v>231.70656987189776</v>
      </c>
      <c r="U5" s="12">
        <f>$S5/9.81/LN(O5/P5)</f>
        <v>267.94498745751611</v>
      </c>
      <c r="W5" s="11"/>
      <c r="X5" s="11"/>
      <c r="Y5" s="1">
        <f>W5-X5</f>
        <v>0</v>
      </c>
      <c r="Z5" s="6">
        <f>0.95*R5</f>
        <v>4322.0725000000002</v>
      </c>
      <c r="AA5" s="6">
        <f>1.01*S5</f>
        <v>5313.7008999999998</v>
      </c>
      <c r="AB5" s="12" t="e">
        <f>$Z5/9.81/LN(W5/X5)</f>
        <v>#DIV/0!</v>
      </c>
      <c r="AC5" s="12" t="e">
        <f>$AA5/9.81/LN(W5/X5)</f>
        <v>#DIV/0!</v>
      </c>
      <c r="AE5" s="11"/>
      <c r="AF5" s="11"/>
      <c r="AG5" s="1">
        <f>AE5-AF5</f>
        <v>0</v>
      </c>
      <c r="AH5" s="6">
        <f t="shared" si="0"/>
        <v>3457.6580000000004</v>
      </c>
      <c r="AI5" s="6">
        <f t="shared" si="1"/>
        <v>4427.6499999999996</v>
      </c>
      <c r="AJ5" s="12" t="e">
        <f>$AH5/9.81/LN(AE5/AF5)</f>
        <v>#DIV/0!</v>
      </c>
      <c r="AK5" s="12" t="e">
        <f>$AI5/9.81/LN(AE5/AF5)</f>
        <v>#DIV/0!</v>
      </c>
    </row>
  </sheetData>
  <mergeCells count="4">
    <mergeCell ref="G1:M1"/>
    <mergeCell ref="O1:U1"/>
    <mergeCell ref="W1:AC1"/>
    <mergeCell ref="AE1:A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6"/>
  <sheetViews>
    <sheetView tabSelected="1" workbookViewId="0">
      <selection activeCell="J21" sqref="J21"/>
    </sheetView>
  </sheetViews>
  <sheetFormatPr defaultRowHeight="15" x14ac:dyDescent="0.25"/>
  <cols>
    <col min="1" max="1" width="5.28515625" style="1" bestFit="1" customWidth="1"/>
    <col min="2" max="2" width="8.140625" style="1" bestFit="1" customWidth="1"/>
    <col min="3" max="3" width="8.28515625" style="1" bestFit="1" customWidth="1"/>
    <col min="4" max="4" width="6.140625" style="1" bestFit="1" customWidth="1"/>
    <col min="5" max="5" width="7.5703125" style="1" bestFit="1" customWidth="1"/>
    <col min="6" max="6" width="9.140625" style="1" bestFit="1" customWidth="1"/>
    <col min="7" max="8" width="7.5703125" style="1" bestFit="1" customWidth="1"/>
    <col min="9" max="9" width="5.5703125" style="1" bestFit="1" customWidth="1"/>
    <col min="10" max="10" width="2.7109375" style="1" customWidth="1"/>
    <col min="11" max="11" width="8.28515625" style="1" bestFit="1" customWidth="1"/>
    <col min="12" max="12" width="9.140625" style="1" bestFit="1" customWidth="1"/>
    <col min="13" max="14" width="9.140625" style="1" customWidth="1"/>
    <col min="15" max="15" width="8" style="1" bestFit="1" customWidth="1"/>
    <col min="16" max="16" width="7.28515625" style="1" bestFit="1" customWidth="1"/>
    <col min="17" max="17" width="7.5703125" style="1" bestFit="1" customWidth="1"/>
    <col min="18" max="18" width="7" style="1" bestFit="1" customWidth="1"/>
    <col min="19" max="19" width="5.85546875" style="1" bestFit="1" customWidth="1"/>
    <col min="20" max="20" width="4.7109375" style="1" bestFit="1" customWidth="1"/>
    <col min="21" max="21" width="3.140625" style="1" customWidth="1"/>
    <col min="22" max="22" width="6.85546875" style="1" bestFit="1" customWidth="1"/>
    <col min="23" max="23" width="1.28515625" style="1" customWidth="1"/>
    <col min="24" max="24" width="6.140625" style="1" bestFit="1" customWidth="1"/>
    <col min="25" max="25" width="10.140625" style="1" bestFit="1" customWidth="1"/>
    <col min="26" max="26" width="8.5703125" style="1" bestFit="1" customWidth="1"/>
    <col min="27" max="27" width="0.85546875" style="1" customWidth="1"/>
    <col min="28" max="28" width="8.140625" style="1" bestFit="1" customWidth="1"/>
    <col min="29" max="29" width="6.140625" style="1" bestFit="1" customWidth="1"/>
    <col min="30" max="30" width="10.140625" style="1" bestFit="1" customWidth="1"/>
    <col min="31" max="31" width="8.5703125" style="1" bestFit="1" customWidth="1"/>
    <col min="32" max="32" width="0.85546875" style="1" customWidth="1"/>
    <col min="33" max="33" width="11.140625" style="1" bestFit="1" customWidth="1"/>
    <col min="34" max="34" width="10.85546875" style="1" bestFit="1" customWidth="1"/>
    <col min="35" max="35" width="10.140625" style="1" bestFit="1" customWidth="1"/>
    <col min="36" max="36" width="2.85546875" style="1" customWidth="1"/>
    <col min="37" max="37" width="7" style="1" bestFit="1" customWidth="1"/>
    <col min="38" max="38" width="9.140625" style="1" bestFit="1" customWidth="1"/>
    <col min="39" max="42" width="5.5703125" style="1" bestFit="1" customWidth="1"/>
    <col min="43" max="43" width="6.5703125" style="1" bestFit="1" customWidth="1"/>
    <col min="44" max="45" width="7.5703125" style="1" bestFit="1" customWidth="1"/>
    <col min="46" max="47" width="9.140625" style="1" bestFit="1" customWidth="1"/>
    <col min="48" max="48" width="1.7109375" style="1" customWidth="1"/>
    <col min="49" max="49" width="8.140625" style="1" bestFit="1" customWidth="1"/>
    <col min="50" max="50" width="7.5703125" style="1" bestFit="1" customWidth="1"/>
    <col min="51" max="51" width="9.140625" style="1" bestFit="1" customWidth="1"/>
    <col min="52" max="52" width="14.85546875" style="1" bestFit="1" customWidth="1"/>
    <col min="53" max="53" width="13.85546875" style="1" bestFit="1" customWidth="1"/>
    <col min="54" max="16384" width="9.140625" style="1"/>
  </cols>
  <sheetData>
    <row r="1" spans="1:55" s="14" customFormat="1" x14ac:dyDescent="0.25">
      <c r="A1" s="14" t="s">
        <v>59</v>
      </c>
      <c r="B1" s="14" t="s">
        <v>18</v>
      </c>
      <c r="C1" s="14" t="s">
        <v>79</v>
      </c>
      <c r="D1" s="14" t="s">
        <v>80</v>
      </c>
      <c r="E1" s="14" t="s">
        <v>79</v>
      </c>
      <c r="F1" s="14" t="s">
        <v>80</v>
      </c>
      <c r="G1" s="14" t="s">
        <v>42</v>
      </c>
      <c r="H1" s="14" t="s">
        <v>91</v>
      </c>
      <c r="I1" s="14" t="s">
        <v>47</v>
      </c>
      <c r="K1" s="14" t="s">
        <v>20</v>
      </c>
      <c r="L1" s="14" t="s">
        <v>42</v>
      </c>
      <c r="M1" s="14" t="s">
        <v>117</v>
      </c>
      <c r="N1" s="14" t="s">
        <v>14</v>
      </c>
      <c r="O1" s="14" t="s">
        <v>98</v>
      </c>
      <c r="P1" s="14" t="s">
        <v>99</v>
      </c>
      <c r="Q1" s="14" t="s">
        <v>104</v>
      </c>
      <c r="S1" s="14" t="s">
        <v>9</v>
      </c>
      <c r="T1" s="14" t="s">
        <v>10</v>
      </c>
      <c r="V1" s="14" t="s">
        <v>19</v>
      </c>
      <c r="X1" s="14" t="s">
        <v>20</v>
      </c>
      <c r="Y1" s="14" t="s">
        <v>42</v>
      </c>
      <c r="Z1" s="14" t="s">
        <v>44</v>
      </c>
      <c r="AB1" s="14" t="s">
        <v>21</v>
      </c>
      <c r="AC1" s="14" t="s">
        <v>20</v>
      </c>
      <c r="AD1" s="14" t="s">
        <v>42</v>
      </c>
      <c r="AE1" s="14" t="s">
        <v>44</v>
      </c>
      <c r="AG1" s="14" t="s">
        <v>43</v>
      </c>
      <c r="AH1" s="16" t="s">
        <v>40</v>
      </c>
      <c r="AI1" s="14" t="s">
        <v>47</v>
      </c>
      <c r="AK1" s="14" t="s">
        <v>75</v>
      </c>
      <c r="AL1" s="14" t="s">
        <v>54</v>
      </c>
      <c r="AM1" s="25">
        <f>AL2</f>
        <v>1</v>
      </c>
      <c r="AN1" s="25">
        <f>AL3</f>
        <v>4</v>
      </c>
      <c r="AO1" s="25">
        <f>AL4</f>
        <v>6</v>
      </c>
      <c r="AP1" s="25">
        <f>AL5</f>
        <v>8</v>
      </c>
      <c r="AQ1" s="25">
        <f>AL6</f>
        <v>250</v>
      </c>
      <c r="AR1" s="25">
        <f>AL7</f>
        <v>10000</v>
      </c>
      <c r="AS1" s="25">
        <f>AL8</f>
        <v>65000</v>
      </c>
      <c r="AT1" s="25">
        <f>AL9</f>
        <v>575000</v>
      </c>
      <c r="AU1" s="25">
        <f>AL10</f>
        <v>1000000</v>
      </c>
      <c r="AW1" s="1"/>
      <c r="AX1" s="1"/>
      <c r="AY1" s="1" t="s">
        <v>72</v>
      </c>
      <c r="AZ1" s="1" t="s">
        <v>73</v>
      </c>
      <c r="BA1" s="1" t="s">
        <v>74</v>
      </c>
      <c r="BB1" s="1"/>
      <c r="BC1" s="1"/>
    </row>
    <row r="2" spans="1:55" x14ac:dyDescent="0.25">
      <c r="A2" s="1" t="s">
        <v>61</v>
      </c>
      <c r="B2" s="1" t="s">
        <v>78</v>
      </c>
      <c r="C2" s="2" t="s">
        <v>83</v>
      </c>
      <c r="D2" s="2" t="s">
        <v>82</v>
      </c>
      <c r="E2" s="17">
        <f>INDEX(dish_ranges,MATCH(C2,dish_names,))</f>
        <v>1</v>
      </c>
      <c r="F2" s="17">
        <f>INDEX(dish_ranges,MATCH(D2,dish_names,))</f>
        <v>1000000</v>
      </c>
      <c r="G2" s="17">
        <f>MIN(E2:F2)+SQRT(E2*F2)</f>
        <v>1001</v>
      </c>
      <c r="H2" s="17">
        <v>1</v>
      </c>
      <c r="I2" s="17">
        <f>MAX(0,H2-G2)</f>
        <v>0</v>
      </c>
      <c r="K2" s="1" t="s">
        <v>83</v>
      </c>
      <c r="L2" s="17">
        <v>1</v>
      </c>
      <c r="M2" s="17">
        <v>-1</v>
      </c>
      <c r="N2" s="17">
        <v>10</v>
      </c>
      <c r="O2" s="17"/>
      <c r="P2" s="1" t="s">
        <v>113</v>
      </c>
      <c r="Q2" s="17">
        <v>5</v>
      </c>
      <c r="R2" s="18">
        <f>Q2</f>
        <v>5</v>
      </c>
      <c r="S2" s="4">
        <f>R2*0.000277778</f>
        <v>1.38889E-3</v>
      </c>
      <c r="T2" s="5">
        <f>60*S2</f>
        <v>8.3333400000000002E-2</v>
      </c>
      <c r="V2" s="2" t="s">
        <v>41</v>
      </c>
      <c r="X2" s="2" t="s">
        <v>48</v>
      </c>
      <c r="Y2" s="18">
        <v>3500000</v>
      </c>
      <c r="Z2" s="20">
        <f>IF(LEFT(X2,1)="o",100,1000)*Y2</f>
        <v>3500000000</v>
      </c>
      <c r="AB2" s="2" t="s">
        <v>41</v>
      </c>
      <c r="AC2" s="2" t="s">
        <v>48</v>
      </c>
      <c r="AD2" s="18">
        <v>3500000</v>
      </c>
      <c r="AE2" s="20">
        <f>IF(LEFT(AC2,1)="o",100,1000)*AD2</f>
        <v>3500000000</v>
      </c>
      <c r="AG2" s="17">
        <f>MIN(Y2,AD2)+SQRT(Y2*AD2)</f>
        <v>7000000</v>
      </c>
      <c r="AH2" s="19" t="s">
        <v>46</v>
      </c>
      <c r="AI2" s="17">
        <f>(2868750+600000)*2</f>
        <v>6937500</v>
      </c>
      <c r="AK2" s="1" t="s">
        <v>76</v>
      </c>
      <c r="AL2" s="18">
        <v>1</v>
      </c>
      <c r="AM2" s="17">
        <f>MIN($AL2,AM$1)+SQRT($AL2*AM$1)</f>
        <v>2</v>
      </c>
      <c r="AN2" s="17"/>
      <c r="AO2" s="17"/>
      <c r="AP2" s="17"/>
      <c r="AQ2" s="17"/>
      <c r="AR2" s="17"/>
      <c r="AS2" s="17"/>
      <c r="AT2" s="17"/>
      <c r="AU2" s="17"/>
      <c r="AW2" s="1" t="s">
        <v>41</v>
      </c>
      <c r="AX2" s="17">
        <f>SUM(AY2:BA2)/1000000</f>
        <v>6.9375</v>
      </c>
      <c r="AY2" s="17">
        <f>600000+2868750</f>
        <v>3468750</v>
      </c>
      <c r="AZ2" s="17">
        <f>600000+2868750</f>
        <v>3468750</v>
      </c>
      <c r="BA2" s="17"/>
    </row>
    <row r="3" spans="1:55" x14ac:dyDescent="0.25">
      <c r="A3" s="1" t="s">
        <v>61</v>
      </c>
      <c r="B3" s="1" t="s">
        <v>41</v>
      </c>
      <c r="C3" s="2" t="s">
        <v>83</v>
      </c>
      <c r="D3" s="2" t="s">
        <v>52</v>
      </c>
      <c r="E3" s="17">
        <f>INDEX(dish_ranges,MATCH(C3,dish_names,))</f>
        <v>1</v>
      </c>
      <c r="F3" s="17">
        <f>INDEX(dish_ranges,MATCH(D3,dish_names,))</f>
        <v>250</v>
      </c>
      <c r="G3" s="17">
        <f t="shared" ref="G3:G11" si="0">MIN(E3:F3)+SQRT(E3*F3)</f>
        <v>16.811388300841898</v>
      </c>
      <c r="H3" s="17">
        <v>15.668749999999999</v>
      </c>
      <c r="I3" s="17">
        <f t="shared" ref="I3:I12" si="1">MAX(0,H3-G3)</f>
        <v>0</v>
      </c>
      <c r="K3" s="1" t="s">
        <v>81</v>
      </c>
      <c r="L3" s="17">
        <v>4</v>
      </c>
      <c r="M3" s="17">
        <v>-1</v>
      </c>
      <c r="N3" s="17">
        <v>100</v>
      </c>
      <c r="O3" s="1" t="s">
        <v>81</v>
      </c>
      <c r="P3" s="1" t="s">
        <v>103</v>
      </c>
      <c r="Q3" s="17">
        <f>(L3/L2)^2*Q2</f>
        <v>80</v>
      </c>
      <c r="R3" s="18">
        <f t="shared" ref="R3:R9" si="2">Q3</f>
        <v>80</v>
      </c>
      <c r="S3" s="4">
        <f t="shared" ref="S3:S9" si="3">R3*0.000277778</f>
        <v>2.2222240000000001E-2</v>
      </c>
      <c r="T3" s="5">
        <f t="shared" ref="T3:T9" si="4">60*S3</f>
        <v>1.3333344</v>
      </c>
      <c r="V3" s="2" t="s">
        <v>41</v>
      </c>
      <c r="X3" s="2" t="s">
        <v>52</v>
      </c>
      <c r="Y3" s="18">
        <v>50000000</v>
      </c>
      <c r="Z3" s="20">
        <f>IF(LEFT(X3,1)="o",100,1000)*Y3</f>
        <v>50000000000</v>
      </c>
      <c r="AB3" s="2" t="s">
        <v>49</v>
      </c>
      <c r="AC3" s="2" t="s">
        <v>48</v>
      </c>
      <c r="AD3" s="18">
        <v>3500000</v>
      </c>
      <c r="AE3" s="20">
        <f>IF(LEFT(AC3,1)="o",100,1000)*AD3</f>
        <v>3500000000</v>
      </c>
      <c r="AG3" s="17">
        <f>MIN(Y3,AD3)+SQRT(Y3*AD3)</f>
        <v>16728756.555322953</v>
      </c>
      <c r="AH3" s="19" t="s">
        <v>50</v>
      </c>
      <c r="AI3" s="17">
        <f>(2868750+600000)+12000000</f>
        <v>15468750</v>
      </c>
      <c r="AK3" s="1" t="s">
        <v>77</v>
      </c>
      <c r="AL3" s="18">
        <v>4</v>
      </c>
      <c r="AM3" s="17">
        <f t="shared" ref="AM3:AU10" si="5">MIN($AL3,AM$1)+SQRT($AL3*AM$1)</f>
        <v>3</v>
      </c>
      <c r="AN3" s="27">
        <f>MIN($AL3,AN$1)+SQRT($AL3*AN$1)</f>
        <v>8</v>
      </c>
      <c r="AO3" s="17"/>
      <c r="AP3" s="17"/>
      <c r="AQ3" s="17"/>
      <c r="AR3" s="17"/>
      <c r="AS3" s="17"/>
      <c r="AT3" s="17"/>
      <c r="AU3" s="17"/>
      <c r="AW3" s="1" t="s">
        <v>55</v>
      </c>
      <c r="AX3" s="17">
        <f t="shared" ref="AX3:AX7" si="6">SUM(AY3:BA3)/1000000</f>
        <v>15.668749999999999</v>
      </c>
      <c r="AY3" s="17">
        <f>600000+2868750</f>
        <v>3468750</v>
      </c>
      <c r="AZ3" s="17">
        <v>12000000</v>
      </c>
      <c r="BA3" s="17">
        <v>200000</v>
      </c>
    </row>
    <row r="4" spans="1:55" x14ac:dyDescent="0.25">
      <c r="A4" s="1" t="s">
        <v>41</v>
      </c>
      <c r="B4" s="1" t="s">
        <v>78</v>
      </c>
      <c r="C4" s="2" t="s">
        <v>81</v>
      </c>
      <c r="D4" s="2" t="s">
        <v>82</v>
      </c>
      <c r="E4" s="17">
        <f>INDEX(dish_ranges,MATCH(C4,dish_names,))</f>
        <v>4</v>
      </c>
      <c r="F4" s="17">
        <f>INDEX(dish_ranges,MATCH(D4,dish_names,))</f>
        <v>1000000</v>
      </c>
      <c r="G4" s="17">
        <f t="shared" si="0"/>
        <v>2004</v>
      </c>
      <c r="H4" s="17">
        <v>4</v>
      </c>
      <c r="I4" s="17">
        <f t="shared" si="1"/>
        <v>0</v>
      </c>
      <c r="K4" s="1" t="s">
        <v>45</v>
      </c>
      <c r="L4" s="17">
        <v>6</v>
      </c>
      <c r="M4" s="17">
        <v>15</v>
      </c>
      <c r="N4" s="17">
        <v>30</v>
      </c>
      <c r="O4" s="17" t="s">
        <v>101</v>
      </c>
      <c r="P4" s="1" t="s">
        <v>102</v>
      </c>
      <c r="Q4" s="17">
        <f>(L4/L3)^2*Q3</f>
        <v>180</v>
      </c>
      <c r="R4" s="18">
        <f t="shared" si="2"/>
        <v>180</v>
      </c>
      <c r="S4" s="4">
        <f t="shared" si="3"/>
        <v>5.0000040000000003E-2</v>
      </c>
      <c r="T4" s="5">
        <f t="shared" si="4"/>
        <v>3.0000024000000001</v>
      </c>
      <c r="V4" s="2" t="s">
        <v>41</v>
      </c>
      <c r="X4" s="2" t="s">
        <v>52</v>
      </c>
      <c r="Y4" s="18">
        <v>50000000</v>
      </c>
      <c r="Z4" s="20">
        <f>IF(LEFT(X4,1)="o",100,1000)*Y4</f>
        <v>50000000000</v>
      </c>
      <c r="AB4" s="2" t="s">
        <v>51</v>
      </c>
      <c r="AC4" s="2" t="s">
        <v>48</v>
      </c>
      <c r="AD4" s="18">
        <v>50000000</v>
      </c>
      <c r="AE4" s="20">
        <f>IF(LEFT(AC4,1)="o",100,1000)*AD4</f>
        <v>50000000000</v>
      </c>
      <c r="AG4" s="17">
        <f>MIN(Y4,AD4)+SQRT(Y4*AD4)</f>
        <v>100000000</v>
      </c>
      <c r="AH4" s="19" t="s">
        <v>50</v>
      </c>
      <c r="AI4" s="17">
        <f>(2868750+600000)+47000000</f>
        <v>50468750</v>
      </c>
      <c r="AL4" s="18">
        <v>6</v>
      </c>
      <c r="AM4" s="17">
        <f t="shared" si="5"/>
        <v>3.4494897427831779</v>
      </c>
      <c r="AN4" s="17">
        <f>MIN($AL4,AN$1)+SQRT($AL4*AN$1)</f>
        <v>8.8989794855663558</v>
      </c>
      <c r="AO4" s="17">
        <f>MIN($AL4,AO$1)+SQRT($AL4*AO$1)</f>
        <v>12</v>
      </c>
      <c r="AP4" s="17"/>
      <c r="AQ4" s="17"/>
      <c r="AR4" s="17"/>
      <c r="AS4" s="17"/>
      <c r="AT4" s="17"/>
      <c r="AU4" s="17"/>
      <c r="AW4" s="1" t="s">
        <v>56</v>
      </c>
      <c r="AX4" s="17">
        <f t="shared" si="6"/>
        <v>50.528750000000002</v>
      </c>
      <c r="AY4" s="17">
        <f>600000+2868750</f>
        <v>3468750</v>
      </c>
      <c r="AZ4" s="17">
        <v>47000000</v>
      </c>
      <c r="BA4" s="17">
        <v>60000</v>
      </c>
    </row>
    <row r="5" spans="1:55" x14ac:dyDescent="0.25">
      <c r="A5" s="1" t="s">
        <v>41</v>
      </c>
      <c r="B5" s="1" t="s">
        <v>41</v>
      </c>
      <c r="C5" s="2" t="s">
        <v>48</v>
      </c>
      <c r="D5" s="2" t="s">
        <v>48</v>
      </c>
      <c r="E5" s="17">
        <f>INDEX(dish_ranges,MATCH(C5,dish_names,))</f>
        <v>8</v>
      </c>
      <c r="F5" s="17">
        <f>INDEX(dish_ranges,MATCH(D5,dish_names,))</f>
        <v>8</v>
      </c>
      <c r="G5" s="17">
        <f t="shared" si="0"/>
        <v>16</v>
      </c>
      <c r="H5" s="17">
        <v>16</v>
      </c>
      <c r="I5" s="17">
        <f t="shared" si="1"/>
        <v>0</v>
      </c>
      <c r="K5" s="1" t="s">
        <v>48</v>
      </c>
      <c r="L5" s="17">
        <v>8</v>
      </c>
      <c r="M5" s="17">
        <v>10</v>
      </c>
      <c r="N5" s="17">
        <v>50</v>
      </c>
      <c r="O5" s="17" t="s">
        <v>100</v>
      </c>
      <c r="P5" s="17" t="s">
        <v>94</v>
      </c>
      <c r="Q5" s="17">
        <f>(L5/L4)^2*Q4</f>
        <v>320</v>
      </c>
      <c r="R5" s="18">
        <f t="shared" si="2"/>
        <v>320</v>
      </c>
      <c r="S5" s="4">
        <f t="shared" si="3"/>
        <v>8.8888960000000003E-2</v>
      </c>
      <c r="T5" s="5">
        <f t="shared" si="4"/>
        <v>5.3333376000000001</v>
      </c>
      <c r="AL5" s="18">
        <v>8</v>
      </c>
      <c r="AM5" s="17">
        <f t="shared" si="5"/>
        <v>3.8284271247461903</v>
      </c>
      <c r="AN5" s="17">
        <f>MIN($AL5,AN$1)+SQRT($AL5*AN$1)</f>
        <v>9.6568542494923797</v>
      </c>
      <c r="AO5" s="17">
        <f>MIN($AL5,AO$1)+SQRT($AL5*AO$1)</f>
        <v>12.928203230275509</v>
      </c>
      <c r="AP5" s="26">
        <f>MIN($AL5,AP$1)+SQRT($AL5*AP$1)</f>
        <v>16</v>
      </c>
      <c r="AQ5" s="17"/>
      <c r="AR5" s="17"/>
      <c r="AS5" s="17"/>
      <c r="AT5" s="17"/>
      <c r="AU5" s="17"/>
      <c r="AW5" s="1" t="s">
        <v>57</v>
      </c>
      <c r="AX5" s="17">
        <f t="shared" si="6"/>
        <v>35386.498168999999</v>
      </c>
      <c r="AY5" s="17">
        <f>600000+2868750</f>
        <v>3468750</v>
      </c>
      <c r="AZ5" s="17">
        <v>21783189163</v>
      </c>
      <c r="BA5" s="17">
        <v>13599840256</v>
      </c>
    </row>
    <row r="6" spans="1:55" x14ac:dyDescent="0.25">
      <c r="A6" s="1" t="s">
        <v>84</v>
      </c>
      <c r="B6" s="1" t="s">
        <v>41</v>
      </c>
      <c r="C6" s="2" t="s">
        <v>86</v>
      </c>
      <c r="D6" s="2" t="s">
        <v>48</v>
      </c>
      <c r="E6" s="17">
        <f>INDEX(dish_ranges,MATCH(C6,dish_names,))</f>
        <v>10000</v>
      </c>
      <c r="F6" s="17">
        <f>INDEX(dish_ranges,MATCH(D6,dish_names,))</f>
        <v>8</v>
      </c>
      <c r="G6" s="17">
        <f t="shared" si="0"/>
        <v>290.84271247461902</v>
      </c>
      <c r="H6" s="17">
        <v>90</v>
      </c>
      <c r="I6" s="17">
        <f t="shared" si="1"/>
        <v>0</v>
      </c>
      <c r="K6" s="1" t="s">
        <v>52</v>
      </c>
      <c r="L6" s="17">
        <v>250</v>
      </c>
      <c r="M6" s="17">
        <v>5</v>
      </c>
      <c r="N6" s="17">
        <v>120</v>
      </c>
      <c r="O6" s="17" t="s">
        <v>97</v>
      </c>
      <c r="P6" s="17" t="s">
        <v>93</v>
      </c>
      <c r="Q6" s="17">
        <f>1.5*Q5</f>
        <v>480</v>
      </c>
      <c r="R6" s="18">
        <f t="shared" si="2"/>
        <v>480</v>
      </c>
      <c r="S6" s="4">
        <f t="shared" si="3"/>
        <v>0.13333344</v>
      </c>
      <c r="T6" s="5">
        <f t="shared" si="4"/>
        <v>8.0000064000000002</v>
      </c>
      <c r="V6" s="1" t="s">
        <v>9</v>
      </c>
      <c r="AL6" s="18">
        <v>250</v>
      </c>
      <c r="AM6" s="26">
        <f t="shared" si="5"/>
        <v>16.811388300841898</v>
      </c>
      <c r="AN6" s="17">
        <f>MIN($AL6,AN$1)+SQRT($AL6*AN$1)</f>
        <v>35.622776601683796</v>
      </c>
      <c r="AO6" s="17">
        <f>MIN($AL6,AO$1)+SQRT($AL6*AO$1)</f>
        <v>44.729833462074168</v>
      </c>
      <c r="AP6" s="23">
        <f>MIN($AL6,AP$1)+SQRT($AL6*AP$1)</f>
        <v>52.721359549995796</v>
      </c>
      <c r="AQ6" s="17">
        <f>MIN($AL6,AQ$1)+SQRT($AL6*AQ$1)</f>
        <v>500</v>
      </c>
      <c r="AR6" s="17"/>
      <c r="AS6" s="17"/>
      <c r="AT6" s="17"/>
      <c r="AU6" s="17"/>
      <c r="AW6" s="1" t="s">
        <v>58</v>
      </c>
      <c r="AX6" s="17">
        <f t="shared" si="6"/>
        <v>85815.547393000001</v>
      </c>
      <c r="AY6" s="17">
        <f>600000+2868750</f>
        <v>3468750</v>
      </c>
      <c r="AZ6" s="17">
        <v>72212238387</v>
      </c>
      <c r="BA6" s="17">
        <v>13599840256</v>
      </c>
    </row>
    <row r="7" spans="1:55" x14ac:dyDescent="0.25">
      <c r="A7" s="1" t="s">
        <v>84</v>
      </c>
      <c r="B7" s="1" t="s">
        <v>85</v>
      </c>
      <c r="C7" s="2" t="s">
        <v>86</v>
      </c>
      <c r="D7" s="2" t="s">
        <v>86</v>
      </c>
      <c r="E7" s="17">
        <f>INDEX(dish_ranges,MATCH(C7,dish_names,))</f>
        <v>10000</v>
      </c>
      <c r="F7" s="17">
        <f>INDEX(dish_ranges,MATCH(D7,dish_names,))</f>
        <v>10000</v>
      </c>
      <c r="G7" s="17">
        <f t="shared" si="0"/>
        <v>20000</v>
      </c>
      <c r="H7" s="17">
        <v>20000</v>
      </c>
      <c r="I7" s="17">
        <f t="shared" si="1"/>
        <v>0</v>
      </c>
      <c r="K7" s="1" t="s">
        <v>86</v>
      </c>
      <c r="L7" s="17">
        <v>10000</v>
      </c>
      <c r="M7" s="17">
        <v>1</v>
      </c>
      <c r="N7" s="17">
        <f>N6*1.5</f>
        <v>180</v>
      </c>
      <c r="O7" s="17"/>
      <c r="P7" s="17" t="s">
        <v>96</v>
      </c>
      <c r="Q7" s="17">
        <f>1.5*Q6</f>
        <v>720</v>
      </c>
      <c r="R7" s="18">
        <f t="shared" si="2"/>
        <v>720</v>
      </c>
      <c r="S7" s="4">
        <f t="shared" si="3"/>
        <v>0.20000016000000001</v>
      </c>
      <c r="T7" s="5">
        <f t="shared" si="4"/>
        <v>12.0000096</v>
      </c>
      <c r="V7" s="1" t="s">
        <v>8</v>
      </c>
      <c r="AL7" s="18">
        <v>10000</v>
      </c>
      <c r="AM7" s="23">
        <f t="shared" si="5"/>
        <v>101</v>
      </c>
      <c r="AN7" s="17">
        <f>MIN($AL7,AN$1)+SQRT($AL7*AN$1)</f>
        <v>204</v>
      </c>
      <c r="AO7" s="17">
        <f>MIN($AL7,AO$1)+SQRT($AL7*AO$1)</f>
        <v>250.94897427831782</v>
      </c>
      <c r="AP7" s="17">
        <f>MIN($AL7,AP$1)+SQRT($AL7*AP$1)</f>
        <v>290.84271247461902</v>
      </c>
      <c r="AQ7" s="17">
        <f>MIN($AL7,AQ$1)+SQRT($AL7*AQ$1)</f>
        <v>1831.1388300841897</v>
      </c>
      <c r="AR7" s="17">
        <f>MIN($AL7,AR$1)+SQRT($AL7*AR$1)</f>
        <v>20000</v>
      </c>
      <c r="AS7" s="17"/>
      <c r="AT7" s="17"/>
      <c r="AU7" s="17"/>
      <c r="AW7" s="1" t="s">
        <v>71</v>
      </c>
      <c r="AX7" s="17">
        <f t="shared" si="6"/>
        <v>127153.02220599999</v>
      </c>
      <c r="AY7" s="17">
        <f>600000+2868750</f>
        <v>3468750</v>
      </c>
      <c r="AZ7" s="17">
        <v>113549713200</v>
      </c>
      <c r="BA7" s="17">
        <v>13599840256</v>
      </c>
    </row>
    <row r="8" spans="1:55" x14ac:dyDescent="0.25">
      <c r="A8" s="1" t="s">
        <v>41</v>
      </c>
      <c r="B8" s="1" t="s">
        <v>49</v>
      </c>
      <c r="C8" s="2" t="s">
        <v>52</v>
      </c>
      <c r="D8" s="2" t="s">
        <v>45</v>
      </c>
      <c r="E8" s="17">
        <f>INDEX(dish_ranges,MATCH(C8,dish_names,))</f>
        <v>250</v>
      </c>
      <c r="F8" s="17">
        <f>INDEX(dish_ranges,MATCH(D8,dish_names,))</f>
        <v>6</v>
      </c>
      <c r="G8" s="17">
        <f t="shared" si="0"/>
        <v>44.729833462074168</v>
      </c>
      <c r="H8" s="17">
        <v>15.668749999999999</v>
      </c>
      <c r="I8" s="17">
        <f t="shared" si="1"/>
        <v>0</v>
      </c>
      <c r="K8" s="1" t="s">
        <v>89</v>
      </c>
      <c r="L8" s="17">
        <v>65000</v>
      </c>
      <c r="M8" s="32">
        <v>0.1</v>
      </c>
      <c r="N8" s="17">
        <v>275</v>
      </c>
      <c r="O8" s="17"/>
      <c r="P8" s="17" t="s">
        <v>95</v>
      </c>
      <c r="Q8" s="17">
        <f>1.5*Q7</f>
        <v>1080</v>
      </c>
      <c r="R8" s="18">
        <f t="shared" si="2"/>
        <v>1080</v>
      </c>
      <c r="S8" s="4">
        <f t="shared" si="3"/>
        <v>0.30000024000000003</v>
      </c>
      <c r="T8" s="5">
        <f t="shared" si="4"/>
        <v>18.000014400000001</v>
      </c>
      <c r="V8" s="1">
        <f>1/3600</f>
        <v>2.7777777777777778E-4</v>
      </c>
      <c r="AL8" s="18">
        <v>65000</v>
      </c>
      <c r="AM8" s="17">
        <f t="shared" si="5"/>
        <v>255.95097567963924</v>
      </c>
      <c r="AN8" s="17">
        <f>MIN($AL8,AN$1)+SQRT($AL8*AN$1)</f>
        <v>513.90195135927843</v>
      </c>
      <c r="AO8" s="17">
        <f>MIN($AL8,AO$1)+SQRT($AL8*AO$1)</f>
        <v>630.49979983983985</v>
      </c>
      <c r="AP8" s="17">
        <f>MIN($AL8,AP$1)+SQRT($AL8*AP$1)</f>
        <v>729.11025509279784</v>
      </c>
      <c r="AQ8" s="17">
        <f>MIN($AL8,AQ$1)+SQRT($AL8*AQ$1)</f>
        <v>4281.1288741492754</v>
      </c>
      <c r="AR8" s="24">
        <f>MIN($AL8,AR$1)+SQRT($AL8*AR$1)</f>
        <v>35495.097567963923</v>
      </c>
      <c r="AS8" s="17">
        <f>MIN($AL8,AS$1)+SQRT($AL8*AS$1)</f>
        <v>130000</v>
      </c>
      <c r="AT8" s="17"/>
      <c r="AU8" s="17"/>
    </row>
    <row r="9" spans="1:55" x14ac:dyDescent="0.25">
      <c r="A9" s="1" t="s">
        <v>41</v>
      </c>
      <c r="B9" s="1" t="s">
        <v>51</v>
      </c>
      <c r="C9" s="2" t="s">
        <v>86</v>
      </c>
      <c r="D9" s="2" t="s">
        <v>45</v>
      </c>
      <c r="E9" s="17">
        <f>INDEX(dish_ranges,MATCH(C9,dish_names,))</f>
        <v>10000</v>
      </c>
      <c r="F9" s="17">
        <f>INDEX(dish_ranges,MATCH(D9,dish_names,))</f>
        <v>6</v>
      </c>
      <c r="G9" s="17">
        <f t="shared" si="0"/>
        <v>250.94897427831782</v>
      </c>
      <c r="H9" s="17">
        <v>50.528750000000002</v>
      </c>
      <c r="I9" s="17">
        <f t="shared" si="1"/>
        <v>0</v>
      </c>
      <c r="K9" s="1" t="s">
        <v>90</v>
      </c>
      <c r="L9" s="17">
        <v>575000</v>
      </c>
      <c r="M9" s="33">
        <v>0.01</v>
      </c>
      <c r="N9" s="17">
        <v>400</v>
      </c>
      <c r="O9" s="17"/>
      <c r="P9" s="17" t="s">
        <v>92</v>
      </c>
      <c r="Q9" s="17">
        <f>1.5*Q8</f>
        <v>1620</v>
      </c>
      <c r="R9" s="18">
        <f t="shared" si="2"/>
        <v>1620</v>
      </c>
      <c r="S9" s="4">
        <f t="shared" si="3"/>
        <v>0.45000035999999999</v>
      </c>
      <c r="T9" s="5">
        <f t="shared" si="4"/>
        <v>27.0000216</v>
      </c>
      <c r="AL9" s="18">
        <v>575000</v>
      </c>
      <c r="AM9" s="17">
        <f t="shared" si="5"/>
        <v>759.28754440515502</v>
      </c>
      <c r="AN9" s="17">
        <f>MIN($AL9,AN$1)+SQRT($AL9*AN$1)</f>
        <v>1520.57508881031</v>
      </c>
      <c r="AO9" s="17">
        <f>MIN($AL9,AO$1)+SQRT($AL9*AO$1)</f>
        <v>1863.4175621006709</v>
      </c>
      <c r="AP9" s="17">
        <f>MIN($AL9,AP$1)+SQRT($AL9*AP$1)</f>
        <v>2152.7610589527217</v>
      </c>
      <c r="AQ9" s="17">
        <f>MIN($AL9,AQ$1)+SQRT($AL9*AQ$1)</f>
        <v>12239.578808281798</v>
      </c>
      <c r="AR9" s="28">
        <f>MIN($AL9,AR$1)+SQRT($AL9*AR$1)</f>
        <v>85828.754440515506</v>
      </c>
      <c r="AS9" s="17">
        <f>MIN($AL9,AS$1)+SQRT($AL9*AS$1)</f>
        <v>258326.14929181203</v>
      </c>
      <c r="AT9" s="17">
        <f>MIN($AL9,AT$1)+SQRT($AL9*AT$1)</f>
        <v>1150000</v>
      </c>
      <c r="AU9" s="17"/>
    </row>
    <row r="10" spans="1:55" x14ac:dyDescent="0.25">
      <c r="A10" s="1" t="s">
        <v>85</v>
      </c>
      <c r="B10" s="1" t="s">
        <v>87</v>
      </c>
      <c r="C10" s="2" t="s">
        <v>89</v>
      </c>
      <c r="D10" s="2" t="s">
        <v>86</v>
      </c>
      <c r="E10" s="17">
        <f>INDEX(dish_ranges,MATCH(C10,dish_names,))</f>
        <v>65000</v>
      </c>
      <c r="F10" s="17">
        <f>INDEX(dish_ranges,MATCH(D10,dish_names,))</f>
        <v>10000</v>
      </c>
      <c r="G10" s="17">
        <f t="shared" si="0"/>
        <v>35495.097567963923</v>
      </c>
      <c r="H10" s="17">
        <v>35386.498168999999</v>
      </c>
      <c r="I10" s="17">
        <f t="shared" si="1"/>
        <v>0</v>
      </c>
      <c r="L10" s="17"/>
      <c r="M10" s="17"/>
      <c r="N10" s="17"/>
      <c r="O10" s="17"/>
      <c r="P10" s="17"/>
      <c r="Q10" s="17"/>
      <c r="R10" s="31"/>
      <c r="AL10" s="18">
        <v>1000000</v>
      </c>
      <c r="AM10" s="17">
        <f t="shared" si="5"/>
        <v>1001</v>
      </c>
      <c r="AN10" s="17">
        <f>MIN($AL10,AN$1)+SQRT($AL10*AN$1)</f>
        <v>2004</v>
      </c>
      <c r="AO10" s="17">
        <f>MIN($AL10,AO$1)+SQRT($AL10*AO$1)</f>
        <v>2455.4897427831779</v>
      </c>
      <c r="AP10" s="17">
        <f>MIN($AL10,AP$1)+SQRT($AL10*AP$1)</f>
        <v>2836.4271247461902</v>
      </c>
      <c r="AQ10" s="17">
        <f>MIN($AL10,AQ$1)+SQRT($AL10*AQ$1)</f>
        <v>16061.388300841896</v>
      </c>
      <c r="AR10" s="17">
        <f>MIN($AL10,AR$1)+SQRT($AL10*AR$1)</f>
        <v>110000</v>
      </c>
      <c r="AS10" s="17">
        <f>MIN($AL10,AS$1)+SQRT($AL10*AS$1)</f>
        <v>319950.97567963926</v>
      </c>
      <c r="AT10" s="17">
        <f>MIN($AL10,AT$1)+SQRT($AL10*AT$1)</f>
        <v>1333287.5444051549</v>
      </c>
      <c r="AU10" s="17">
        <f>MIN($AL10,AU$1)+SQRT($AL10*AU$1)</f>
        <v>2000000</v>
      </c>
    </row>
    <row r="11" spans="1:55" x14ac:dyDescent="0.25">
      <c r="A11" s="1" t="s">
        <v>85</v>
      </c>
      <c r="B11" s="1" t="s">
        <v>88</v>
      </c>
      <c r="C11" s="2" t="s">
        <v>90</v>
      </c>
      <c r="D11" s="2" t="s">
        <v>86</v>
      </c>
      <c r="E11" s="17">
        <f>INDEX(dish_ranges,MATCH(C11,dish_names,))</f>
        <v>575000</v>
      </c>
      <c r="F11" s="17">
        <f>INDEX(dish_ranges,MATCH(D11,dish_names,))</f>
        <v>10000</v>
      </c>
      <c r="G11" s="17">
        <f t="shared" si="0"/>
        <v>85828.754440515506</v>
      </c>
      <c r="H11" s="17">
        <v>85815.547393000001</v>
      </c>
      <c r="I11" s="17">
        <f t="shared" si="1"/>
        <v>0</v>
      </c>
      <c r="K11" s="1" t="s">
        <v>82</v>
      </c>
      <c r="L11" s="17">
        <v>1000000</v>
      </c>
      <c r="M11" s="17"/>
      <c r="N11" s="17"/>
      <c r="O11" s="17"/>
      <c r="P11" s="17"/>
      <c r="Q11" s="17"/>
      <c r="R11" s="17"/>
    </row>
    <row r="12" spans="1:55" x14ac:dyDescent="0.25">
      <c r="A12" s="1" t="s">
        <v>85</v>
      </c>
      <c r="B12" s="1" t="s">
        <v>88</v>
      </c>
      <c r="C12" s="2" t="s">
        <v>90</v>
      </c>
      <c r="D12" s="2" t="s">
        <v>89</v>
      </c>
      <c r="E12" s="17">
        <f>INDEX(dish_ranges,MATCH(C12,dish_names,))</f>
        <v>575000</v>
      </c>
      <c r="F12" s="17">
        <f>INDEX(dish_ranges,MATCH(D12,dish_names,))</f>
        <v>65000</v>
      </c>
      <c r="G12" s="17">
        <f t="shared" ref="G12" si="7">MIN(E12:F12)+SQRT(E12*F12)</f>
        <v>258326.14929181203</v>
      </c>
      <c r="H12" s="17">
        <v>127153.02220599999</v>
      </c>
      <c r="I12" s="17">
        <f t="shared" si="1"/>
        <v>0</v>
      </c>
      <c r="R12" s="1" t="s">
        <v>54</v>
      </c>
    </row>
    <row r="13" spans="1:55" x14ac:dyDescent="0.25">
      <c r="L13" s="17"/>
      <c r="M13" s="17"/>
      <c r="N13" s="17"/>
      <c r="O13" s="17"/>
      <c r="Q13" s="1" t="s">
        <v>117</v>
      </c>
      <c r="R13" s="1" t="s">
        <v>42</v>
      </c>
      <c r="S13" s="1" t="s">
        <v>118</v>
      </c>
    </row>
    <row r="14" spans="1:55" x14ac:dyDescent="0.25">
      <c r="L14" s="17"/>
      <c r="M14" s="17"/>
      <c r="N14" s="17"/>
      <c r="O14" s="17"/>
      <c r="Q14" s="34">
        <v>0.01</v>
      </c>
      <c r="R14" s="1">
        <v>4</v>
      </c>
      <c r="S14" s="5">
        <f>R14*TAN(RADIANS(Q$14))</f>
        <v>6.9813170788650121E-4</v>
      </c>
    </row>
    <row r="15" spans="1:55" x14ac:dyDescent="0.25">
      <c r="L15" s="17"/>
      <c r="M15" s="17"/>
      <c r="N15" s="17"/>
      <c r="O15" s="17"/>
      <c r="R15" s="1">
        <v>16</v>
      </c>
      <c r="S15" s="5">
        <f t="shared" ref="S15:S21" si="8">R15*TAN(RADIANS(Q$14))</f>
        <v>2.7925268315460048E-3</v>
      </c>
    </row>
    <row r="16" spans="1:55" x14ac:dyDescent="0.25">
      <c r="L16" s="17"/>
      <c r="M16" s="17"/>
      <c r="N16" s="17"/>
      <c r="O16" s="17"/>
      <c r="R16" s="1">
        <v>50</v>
      </c>
      <c r="S16" s="5">
        <f t="shared" si="8"/>
        <v>8.7266463485812656E-3</v>
      </c>
    </row>
    <row r="17" spans="12:38" x14ac:dyDescent="0.25">
      <c r="L17" s="17"/>
      <c r="M17" s="17"/>
      <c r="N17" s="17"/>
      <c r="O17" s="17"/>
      <c r="R17" s="1">
        <v>90</v>
      </c>
      <c r="S17" s="5">
        <f t="shared" si="8"/>
        <v>1.5707963427446278E-2</v>
      </c>
    </row>
    <row r="18" spans="12:38" x14ac:dyDescent="0.25">
      <c r="L18" s="17"/>
      <c r="M18" s="17"/>
      <c r="N18" s="17"/>
      <c r="O18" s="17"/>
      <c r="R18" s="1">
        <v>20000</v>
      </c>
      <c r="S18" s="5">
        <f t="shared" si="8"/>
        <v>3.490658539432506</v>
      </c>
    </row>
    <row r="19" spans="12:38" x14ac:dyDescent="0.25">
      <c r="L19" s="17"/>
      <c r="M19" s="17"/>
      <c r="N19" s="17"/>
      <c r="O19" s="17"/>
      <c r="R19" s="1">
        <v>36000</v>
      </c>
      <c r="S19" s="5">
        <f t="shared" si="8"/>
        <v>6.2831853709785106</v>
      </c>
    </row>
    <row r="20" spans="12:38" x14ac:dyDescent="0.25">
      <c r="L20" s="17"/>
      <c r="M20" s="17"/>
      <c r="N20" s="17"/>
      <c r="O20" s="17"/>
      <c r="R20" s="1">
        <v>86000</v>
      </c>
      <c r="S20" s="5">
        <f t="shared" si="8"/>
        <v>15.009831719559775</v>
      </c>
    </row>
    <row r="21" spans="12:38" x14ac:dyDescent="0.25">
      <c r="R21" s="1">
        <v>128000</v>
      </c>
      <c r="S21" s="5">
        <f t="shared" si="8"/>
        <v>22.34021465236804</v>
      </c>
    </row>
    <row r="22" spans="12:38" x14ac:dyDescent="0.25">
      <c r="S22" s="5"/>
    </row>
    <row r="23" spans="12:38" x14ac:dyDescent="0.25">
      <c r="S23" s="5"/>
      <c r="AJ23" s="17"/>
      <c r="AK23" s="17"/>
    </row>
    <row r="24" spans="12:38" x14ac:dyDescent="0.25">
      <c r="S24" s="5"/>
    </row>
    <row r="25" spans="12:38" x14ac:dyDescent="0.25">
      <c r="S25" s="5"/>
    </row>
    <row r="26" spans="12:38" x14ac:dyDescent="0.25">
      <c r="S26" s="5"/>
    </row>
    <row r="27" spans="12:38" x14ac:dyDescent="0.25">
      <c r="S27" s="5"/>
    </row>
    <row r="28" spans="12:38" x14ac:dyDescent="0.25">
      <c r="S28" s="5"/>
    </row>
    <row r="29" spans="12:38" x14ac:dyDescent="0.25">
      <c r="S29" s="5"/>
    </row>
    <row r="30" spans="12:38" x14ac:dyDescent="0.25">
      <c r="S30" s="5"/>
    </row>
    <row r="31" spans="12:38" x14ac:dyDescent="0.25">
      <c r="S31" s="5"/>
      <c r="AL31" s="17"/>
    </row>
    <row r="32" spans="12:38" x14ac:dyDescent="0.25">
      <c r="S32" s="5"/>
      <c r="AL32" s="17"/>
    </row>
    <row r="33" spans="38:38" x14ac:dyDescent="0.25">
      <c r="AL33" s="17"/>
    </row>
    <row r="34" spans="38:38" x14ac:dyDescent="0.25">
      <c r="AL34" s="17"/>
    </row>
    <row r="35" spans="38:38" x14ac:dyDescent="0.25">
      <c r="AL35" s="17"/>
    </row>
    <row r="36" spans="38:38" x14ac:dyDescent="0.25">
      <c r="AL36" s="17"/>
    </row>
  </sheetData>
  <sortState ref="AL24:AL36">
    <sortCondition ref="AL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16" sqref="A16"/>
    </sheetView>
  </sheetViews>
  <sheetFormatPr defaultRowHeight="15" x14ac:dyDescent="0.25"/>
  <cols>
    <col min="1" max="2" width="8.140625" style="1" bestFit="1" customWidth="1"/>
    <col min="3" max="3" width="7.28515625" style="1" bestFit="1" customWidth="1"/>
    <col min="4" max="4" width="5.5703125" style="1" bestFit="1" customWidth="1"/>
    <col min="5" max="6" width="9.140625" style="1"/>
    <col min="7" max="7" width="10.140625" style="1" bestFit="1" customWidth="1"/>
    <col min="8" max="8" width="8" style="1" bestFit="1" customWidth="1"/>
    <col min="9" max="9" width="8.5703125" style="1" bestFit="1" customWidth="1"/>
    <col min="10" max="10" width="6.28515625" style="1" bestFit="1" customWidth="1"/>
    <col min="11" max="11" width="6.5703125" style="1" bestFit="1" customWidth="1"/>
    <col min="12" max="13" width="5.5703125" style="1" bestFit="1" customWidth="1"/>
    <col min="14" max="14" width="7.28515625" style="1" bestFit="1" customWidth="1"/>
    <col min="15" max="16384" width="9.140625" style="1"/>
  </cols>
  <sheetData>
    <row r="1" spans="1:15" x14ac:dyDescent="0.25">
      <c r="A1" s="1" t="s">
        <v>59</v>
      </c>
      <c r="B1" s="1" t="s">
        <v>18</v>
      </c>
      <c r="C1" s="1" t="s">
        <v>64</v>
      </c>
      <c r="D1" s="1" t="s">
        <v>70</v>
      </c>
      <c r="F1" s="1" t="s">
        <v>59</v>
      </c>
      <c r="G1" s="1" t="s">
        <v>18</v>
      </c>
      <c r="H1" s="1" t="s">
        <v>66</v>
      </c>
      <c r="I1" s="1" t="s">
        <v>65</v>
      </c>
      <c r="J1" s="1" t="s">
        <v>67</v>
      </c>
      <c r="K1" s="1" t="s">
        <v>68</v>
      </c>
      <c r="L1" s="1" t="s">
        <v>59</v>
      </c>
      <c r="M1" s="1" t="s">
        <v>18</v>
      </c>
      <c r="N1" s="1" t="s">
        <v>69</v>
      </c>
      <c r="O1" s="1" t="s">
        <v>107</v>
      </c>
    </row>
    <row r="2" spans="1:15" x14ac:dyDescent="0.25">
      <c r="A2" s="2" t="s">
        <v>60</v>
      </c>
      <c r="B2" s="2" t="s">
        <v>62</v>
      </c>
      <c r="C2" s="22">
        <f>N2+O2</f>
        <v>3321.9595450249772</v>
      </c>
      <c r="D2" s="22">
        <f>C2</f>
        <v>3321.9595450249772</v>
      </c>
      <c r="F2" s="18">
        <v>600000</v>
      </c>
      <c r="G2" s="18">
        <v>670000</v>
      </c>
      <c r="H2" s="1">
        <f>AVERAGE(F2:G2)</f>
        <v>635000</v>
      </c>
      <c r="I2" s="21">
        <v>3531600000000</v>
      </c>
      <c r="J2" s="17">
        <f>SQRT(I2*(2/F2-1/H2))</f>
        <v>2492.0724702244102</v>
      </c>
      <c r="K2" s="17">
        <f>SQRT(I2*(2/G2-1/H2))</f>
        <v>2231.7066897532031</v>
      </c>
      <c r="L2" s="18">
        <v>174.53292519943295</v>
      </c>
      <c r="M2" s="18">
        <f>J2</f>
        <v>2492.0724702244102</v>
      </c>
      <c r="N2" s="17">
        <f>M2-L2</f>
        <v>2317.5395450249771</v>
      </c>
      <c r="O2" s="18">
        <f>200+9.81*82</f>
        <v>1004.4200000000001</v>
      </c>
    </row>
    <row r="3" spans="1:15" x14ac:dyDescent="0.25">
      <c r="A3" s="2" t="s">
        <v>62</v>
      </c>
      <c r="B3" s="2" t="s">
        <v>61</v>
      </c>
      <c r="C3" s="22">
        <f t="shared" ref="C3:C5" si="0">N3+O3</f>
        <v>64.168911432410368</v>
      </c>
      <c r="D3" s="22">
        <f>C3+D2</f>
        <v>3386.1284564573875</v>
      </c>
      <c r="F3" s="18">
        <v>670000</v>
      </c>
      <c r="G3" s="18">
        <v>670000</v>
      </c>
      <c r="H3" s="1">
        <f>AVERAGE(F3:G3)</f>
        <v>670000</v>
      </c>
      <c r="I3" s="21">
        <v>3531600000000</v>
      </c>
      <c r="J3" s="17">
        <f>SQRT(I3*(2/F3-1/H3))</f>
        <v>2295.8756011856135</v>
      </c>
      <c r="K3" s="17">
        <f>SQRT(I3*(2/G3-1/H3))</f>
        <v>2295.8756011856135</v>
      </c>
      <c r="L3" s="18">
        <f>K2</f>
        <v>2231.7066897532031</v>
      </c>
      <c r="M3" s="18">
        <f>K3</f>
        <v>2295.8756011856135</v>
      </c>
      <c r="N3" s="17">
        <f>M3-L3</f>
        <v>64.168911432410368</v>
      </c>
      <c r="O3" s="18"/>
    </row>
    <row r="4" spans="1:15" x14ac:dyDescent="0.25">
      <c r="A4" s="2" t="s">
        <v>61</v>
      </c>
      <c r="B4" s="2" t="s">
        <v>63</v>
      </c>
      <c r="C4" s="22">
        <f t="shared" si="0"/>
        <v>676.5791616769734</v>
      </c>
      <c r="D4" s="22">
        <f>C4+D3</f>
        <v>4062.7076181343609</v>
      </c>
      <c r="F4" s="18">
        <v>670000</v>
      </c>
      <c r="G4" s="18">
        <f>600000+2868750</f>
        <v>3468750</v>
      </c>
      <c r="H4" s="1">
        <f>AVERAGE(F4:G4)</f>
        <v>2069375</v>
      </c>
      <c r="I4" s="21">
        <v>3531600000000</v>
      </c>
      <c r="J4" s="17">
        <f>SQRT(I4*(2/F4-1/H4))</f>
        <v>2972.4547628625869</v>
      </c>
      <c r="K4" s="17">
        <f>SQRT(I4*(2/G4-1/H4))</f>
        <v>574.1390100520166</v>
      </c>
      <c r="L4" s="18">
        <f>J3</f>
        <v>2295.8756011856135</v>
      </c>
      <c r="M4" s="18">
        <f>J4</f>
        <v>2972.4547628625869</v>
      </c>
      <c r="N4" s="17">
        <f>M4-L4</f>
        <v>676.5791616769734</v>
      </c>
      <c r="O4" s="18"/>
    </row>
    <row r="5" spans="1:15" x14ac:dyDescent="0.25">
      <c r="A5" s="2" t="s">
        <v>63</v>
      </c>
      <c r="B5" s="2" t="s">
        <v>41</v>
      </c>
      <c r="C5" s="22">
        <f t="shared" si="0"/>
        <v>434.87978011936514</v>
      </c>
      <c r="D5" s="22">
        <f>C5+D4</f>
        <v>4497.587398253726</v>
      </c>
      <c r="F5" s="18">
        <f>600000+2868750</f>
        <v>3468750</v>
      </c>
      <c r="G5" s="18">
        <f>600000+2868750</f>
        <v>3468750</v>
      </c>
      <c r="H5" s="1">
        <f>AVERAGE(F5:G5)</f>
        <v>3468750</v>
      </c>
      <c r="I5" s="21">
        <v>3531600000000</v>
      </c>
      <c r="J5" s="17">
        <f>SQRT(I5*(2/F5-1/H5))</f>
        <v>1009.0187901713817</v>
      </c>
      <c r="K5" s="17">
        <f>SQRT(I5*(2/G5-1/H5))</f>
        <v>1009.0187901713817</v>
      </c>
      <c r="L5" s="18">
        <f>K4</f>
        <v>574.1390100520166</v>
      </c>
      <c r="M5" s="18">
        <f>J5</f>
        <v>1009.0187901713817</v>
      </c>
      <c r="N5" s="17">
        <f>M5-L5</f>
        <v>434.87978011936514</v>
      </c>
      <c r="O5" s="18"/>
    </row>
    <row r="7" spans="1:15" x14ac:dyDescent="0.25">
      <c r="A7" s="2" t="s">
        <v>61</v>
      </c>
      <c r="B7" s="2" t="s">
        <v>49</v>
      </c>
      <c r="C7" s="22">
        <f>N7+O7</f>
        <v>863.96857272284706</v>
      </c>
      <c r="D7" s="22">
        <f>C7</f>
        <v>863.96857272284706</v>
      </c>
      <c r="F7" s="18">
        <v>670000</v>
      </c>
      <c r="G7" s="18">
        <v>12000000</v>
      </c>
      <c r="H7" s="1">
        <f>AVERAGE(F7:G7)</f>
        <v>6335000</v>
      </c>
      <c r="I7" s="21">
        <v>3531600000000</v>
      </c>
      <c r="J7" s="17">
        <f>SQRT(I7*(2/F7-1/H7))</f>
        <v>3159.8441739084606</v>
      </c>
      <c r="K7" s="17">
        <f>SQRT(I7*(2/G7-1/H7))</f>
        <v>176.42463304322249</v>
      </c>
      <c r="L7" s="18">
        <f>J3</f>
        <v>2295.8756011856135</v>
      </c>
      <c r="M7" s="18">
        <f>J7</f>
        <v>3159.8441739084606</v>
      </c>
      <c r="N7" s="17">
        <f>M7-L7</f>
        <v>863.96857272284706</v>
      </c>
      <c r="O7" s="18"/>
    </row>
    <row r="9" spans="1:15" x14ac:dyDescent="0.25">
      <c r="A9" s="2" t="s">
        <v>60</v>
      </c>
      <c r="B9" s="2" t="s">
        <v>106</v>
      </c>
      <c r="C9" s="22">
        <f t="shared" ref="C9:C10" si="1">N9+O9</f>
        <v>603.612064514905</v>
      </c>
      <c r="D9" s="22">
        <f>C9</f>
        <v>603.612064514905</v>
      </c>
      <c r="F9" s="18">
        <v>200000</v>
      </c>
      <c r="G9" s="18">
        <v>210000</v>
      </c>
      <c r="H9" s="1">
        <f>AVERAGE(F9:G9)</f>
        <v>205000</v>
      </c>
      <c r="I9" s="21">
        <v>65138398000</v>
      </c>
      <c r="J9" s="17">
        <f>SQRT(I9*(2/F9-1/H9))</f>
        <v>577.612064514905</v>
      </c>
      <c r="K9" s="17">
        <f>SQRT(I9*(2/G9-1/H9))</f>
        <v>550.10672810943322</v>
      </c>
      <c r="L9" s="18">
        <v>9</v>
      </c>
      <c r="M9" s="18">
        <f>J9</f>
        <v>577.612064514905</v>
      </c>
      <c r="N9" s="17">
        <f>M9-L9</f>
        <v>568.612064514905</v>
      </c>
      <c r="O9" s="18">
        <v>35</v>
      </c>
    </row>
    <row r="10" spans="1:15" x14ac:dyDescent="0.25">
      <c r="A10" s="2" t="s">
        <v>106</v>
      </c>
      <c r="B10" s="2" t="s">
        <v>105</v>
      </c>
      <c r="C10" s="22">
        <f t="shared" si="1"/>
        <v>6.8338859770666431</v>
      </c>
      <c r="D10" s="22">
        <f>C10+D9</f>
        <v>610.44595049197164</v>
      </c>
      <c r="F10" s="18">
        <v>210000</v>
      </c>
      <c r="G10" s="18">
        <v>210000</v>
      </c>
      <c r="H10" s="1">
        <f>AVERAGE(F10:G10)</f>
        <v>210000</v>
      </c>
      <c r="I10" s="21">
        <v>65138398000</v>
      </c>
      <c r="J10" s="17">
        <f>SQRT(I10*(2/F10-1/H10))</f>
        <v>556.94061408649986</v>
      </c>
      <c r="K10" s="17">
        <f>SQRT(I10*(2/G10-1/H10))</f>
        <v>556.94061408649986</v>
      </c>
      <c r="L10" s="18">
        <f>K9</f>
        <v>550.10672810943322</v>
      </c>
      <c r="M10" s="18">
        <f>J10</f>
        <v>556.94061408649986</v>
      </c>
      <c r="N10" s="17">
        <f>M10-L10</f>
        <v>6.8338859770666431</v>
      </c>
      <c r="O10" s="18"/>
    </row>
    <row r="12" spans="1:15" x14ac:dyDescent="0.25">
      <c r="A12" s="2" t="s">
        <v>60</v>
      </c>
      <c r="B12" s="2" t="s">
        <v>108</v>
      </c>
      <c r="C12" s="22">
        <f t="shared" ref="C12:C13" si="2">N12+O12</f>
        <v>6077.7618656919749</v>
      </c>
      <c r="D12" s="22">
        <f>C12</f>
        <v>6077.7618656919749</v>
      </c>
      <c r="F12" s="18">
        <v>700000</v>
      </c>
      <c r="G12" s="18">
        <v>800000</v>
      </c>
      <c r="H12" s="1">
        <f>AVERAGE(F12:G12)</f>
        <v>750000</v>
      </c>
      <c r="I12" s="21">
        <v>8171730200000</v>
      </c>
      <c r="J12" s="17">
        <f>SQRT(I12*(2/F12-1/H12))</f>
        <v>3528.7618656919744</v>
      </c>
      <c r="K12" s="17">
        <f>SQRT(I12*(2/G12-1/H12))</f>
        <v>3087.6666324804778</v>
      </c>
      <c r="L12" s="18">
        <v>55</v>
      </c>
      <c r="M12" s="18">
        <f>J12</f>
        <v>3528.7618656919744</v>
      </c>
      <c r="N12" s="17">
        <f>M12-L12</f>
        <v>3473.7618656919744</v>
      </c>
      <c r="O12" s="18">
        <f>200*3+16.7*120</f>
        <v>2604</v>
      </c>
    </row>
    <row r="13" spans="1:15" x14ac:dyDescent="0.25">
      <c r="A13" s="2" t="s">
        <v>108</v>
      </c>
      <c r="B13" s="2" t="s">
        <v>109</v>
      </c>
      <c r="C13" s="22">
        <f t="shared" ref="C13" si="3">N13+O13</f>
        <v>108.37197022756845</v>
      </c>
      <c r="D13" s="22">
        <f>C13+D12</f>
        <v>6186.1338359195433</v>
      </c>
      <c r="F13" s="18">
        <v>800000</v>
      </c>
      <c r="G13" s="18">
        <v>800000</v>
      </c>
      <c r="H13" s="1">
        <f>AVERAGE(F13:G13)</f>
        <v>800000</v>
      </c>
      <c r="I13" s="21">
        <v>8171730200000</v>
      </c>
      <c r="J13" s="17">
        <f>SQRT(I13*(2/F13-1/H13))</f>
        <v>3196.0386027080463</v>
      </c>
      <c r="K13" s="17">
        <f>SQRT(I13*(2/G13-1/H13))</f>
        <v>3196.0386027080463</v>
      </c>
      <c r="L13" s="18">
        <f>K12</f>
        <v>3087.6666324804778</v>
      </c>
      <c r="M13" s="18">
        <f>J13</f>
        <v>3196.0386027080463</v>
      </c>
      <c r="N13" s="17">
        <f>M13-L13</f>
        <v>108.37197022756845</v>
      </c>
      <c r="O13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I13" sqref="I13"/>
    </sheetView>
  </sheetViews>
  <sheetFormatPr defaultRowHeight="15" x14ac:dyDescent="0.25"/>
  <cols>
    <col min="1" max="16384" width="9.140625" style="1"/>
  </cols>
  <sheetData>
    <row r="1" spans="1:15" x14ac:dyDescent="0.25">
      <c r="A1" s="1" t="s">
        <v>53</v>
      </c>
      <c r="B1" s="1" t="s">
        <v>111</v>
      </c>
      <c r="C1" s="1" t="s">
        <v>110</v>
      </c>
      <c r="D1" s="1" t="s">
        <v>112</v>
      </c>
      <c r="E1" s="30">
        <v>0.6</v>
      </c>
      <c r="F1" s="30">
        <f>5%+E1</f>
        <v>0.65</v>
      </c>
      <c r="G1" s="30">
        <f>5%+F1</f>
        <v>0.70000000000000007</v>
      </c>
      <c r="H1" s="30">
        <f>5%+G1</f>
        <v>0.75000000000000011</v>
      </c>
      <c r="I1" s="30">
        <f>5%+H1</f>
        <v>0.80000000000000016</v>
      </c>
      <c r="J1" s="30">
        <f>5%+I1</f>
        <v>0.8500000000000002</v>
      </c>
      <c r="K1" s="30">
        <f>5%+J1</f>
        <v>0.90000000000000024</v>
      </c>
      <c r="L1" s="30">
        <f>5%+K1</f>
        <v>0.95000000000000029</v>
      </c>
    </row>
    <row r="2" spans="1:15" x14ac:dyDescent="0.25">
      <c r="A2" s="2">
        <v>1.25</v>
      </c>
      <c r="B2" s="2">
        <v>0.5</v>
      </c>
      <c r="C2" s="1">
        <f>A2/2</f>
        <v>0.625</v>
      </c>
      <c r="D2" s="6">
        <f>PI()*C2^2*B2*1000</f>
        <v>613.59231515425654</v>
      </c>
      <c r="E2" s="6">
        <f>$D2*E1</f>
        <v>368.15538909255389</v>
      </c>
      <c r="F2" s="6">
        <f t="shared" ref="F2:K2" si="0">$D2*F1</f>
        <v>398.83500485026678</v>
      </c>
      <c r="G2" s="6">
        <f t="shared" si="0"/>
        <v>429.51462060797962</v>
      </c>
      <c r="H2" s="6">
        <f t="shared" si="0"/>
        <v>460.19423636569246</v>
      </c>
      <c r="I2" s="6">
        <f t="shared" si="0"/>
        <v>490.8738521234053</v>
      </c>
      <c r="J2" s="12">
        <f t="shared" si="0"/>
        <v>521.55346788111819</v>
      </c>
      <c r="K2" s="6">
        <f t="shared" si="0"/>
        <v>552.23308363883109</v>
      </c>
      <c r="L2" s="6">
        <f>$D2*L1</f>
        <v>582.91269939654387</v>
      </c>
    </row>
    <row r="5" spans="1:15" x14ac:dyDescent="0.25">
      <c r="A5" s="15" t="s">
        <v>114</v>
      </c>
    </row>
    <row r="6" spans="1:15" x14ac:dyDescent="0.25">
      <c r="A6" s="1" t="s">
        <v>53</v>
      </c>
      <c r="B6" s="1" t="s">
        <v>111</v>
      </c>
      <c r="C6" s="1" t="s">
        <v>110</v>
      </c>
      <c r="D6" s="1" t="s">
        <v>111</v>
      </c>
      <c r="E6" s="1" t="s">
        <v>115</v>
      </c>
      <c r="F6" s="1" t="s">
        <v>116</v>
      </c>
      <c r="G6" s="1" t="s">
        <v>112</v>
      </c>
      <c r="H6" s="30">
        <v>0.6</v>
      </c>
      <c r="I6" s="30">
        <f>5%+H6</f>
        <v>0.65</v>
      </c>
      <c r="J6" s="30">
        <f>5%+I6</f>
        <v>0.70000000000000007</v>
      </c>
      <c r="K6" s="30">
        <f>5%+J6</f>
        <v>0.75000000000000011</v>
      </c>
      <c r="L6" s="30">
        <f>5%+K6</f>
        <v>0.80000000000000016</v>
      </c>
      <c r="M6" s="30">
        <f>5%+L6</f>
        <v>0.8500000000000002</v>
      </c>
      <c r="N6" s="30">
        <f>5%+M6</f>
        <v>0.90000000000000024</v>
      </c>
      <c r="O6" s="30">
        <f>5%+N6</f>
        <v>0.95000000000000029</v>
      </c>
    </row>
    <row r="7" spans="1:15" x14ac:dyDescent="0.25">
      <c r="A7" s="2">
        <v>0.5</v>
      </c>
      <c r="B7" s="2">
        <v>1.5</v>
      </c>
      <c r="C7" s="1">
        <f>A7/2</f>
        <v>0.25</v>
      </c>
      <c r="D7" s="1">
        <f>B7-C7-C7</f>
        <v>1</v>
      </c>
      <c r="E7" s="6">
        <f>4/3*PI()*C7^3*1000</f>
        <v>65.449846949787357</v>
      </c>
      <c r="F7" s="6">
        <f>PI()*C7^2*D7*1000</f>
        <v>196.34954084936206</v>
      </c>
      <c r="G7" s="6">
        <f>E7+F7</f>
        <v>261.79938779914943</v>
      </c>
      <c r="H7" s="6">
        <f>$G7*H$6</f>
        <v>157.07963267948966</v>
      </c>
      <c r="I7" s="6">
        <f t="shared" ref="I7:O8" si="1">$G7*I$6</f>
        <v>170.16960206944714</v>
      </c>
      <c r="J7" s="6">
        <f t="shared" si="1"/>
        <v>183.25957145940461</v>
      </c>
      <c r="K7" s="6">
        <f t="shared" si="1"/>
        <v>196.34954084936211</v>
      </c>
      <c r="L7" s="6">
        <f t="shared" si="1"/>
        <v>209.43951023931959</v>
      </c>
      <c r="M7" s="12">
        <f t="shared" si="1"/>
        <v>222.52947962927706</v>
      </c>
      <c r="N7" s="6">
        <f t="shared" si="1"/>
        <v>235.61944901923454</v>
      </c>
      <c r="O7" s="6">
        <f t="shared" si="1"/>
        <v>248.70941840919204</v>
      </c>
    </row>
    <row r="8" spans="1:15" x14ac:dyDescent="0.25">
      <c r="A8" s="2">
        <v>0.5</v>
      </c>
      <c r="B8" s="2">
        <v>0.6</v>
      </c>
      <c r="C8" s="1">
        <f>A8/2</f>
        <v>0.25</v>
      </c>
      <c r="D8" s="1">
        <f>B8-C8-C8</f>
        <v>9.9999999999999978E-2</v>
      </c>
      <c r="E8" s="6">
        <f>4/3*PI()*C8^3*1000</f>
        <v>65.449846949787357</v>
      </c>
      <c r="F8" s="6">
        <f>PI()*C8^2*D8*1000</f>
        <v>19.634954084936204</v>
      </c>
      <c r="G8" s="6">
        <f>E8+F8</f>
        <v>85.084801034723569</v>
      </c>
      <c r="H8" s="6">
        <f t="shared" ref="H8:L8" si="2">$G8*H$6</f>
        <v>51.050880620834143</v>
      </c>
      <c r="I8" s="6">
        <f t="shared" si="1"/>
        <v>55.305120672570318</v>
      </c>
      <c r="J8" s="6">
        <f t="shared" si="1"/>
        <v>59.559360724306501</v>
      </c>
      <c r="K8" s="6">
        <f t="shared" si="1"/>
        <v>63.813600776042684</v>
      </c>
      <c r="L8" s="6">
        <f t="shared" si="1"/>
        <v>68.067840827778866</v>
      </c>
      <c r="M8" s="12">
        <f t="shared" si="1"/>
        <v>72.322080879515056</v>
      </c>
      <c r="N8" s="6">
        <f t="shared" si="1"/>
        <v>76.576320931251232</v>
      </c>
      <c r="O8" s="6">
        <f t="shared" si="1"/>
        <v>80.830560982987421</v>
      </c>
    </row>
    <row r="10" spans="1:15" x14ac:dyDescent="0.25">
      <c r="A10" s="15" t="s">
        <v>115</v>
      </c>
    </row>
    <row r="11" spans="1:15" x14ac:dyDescent="0.25">
      <c r="A11" s="1" t="s">
        <v>53</v>
      </c>
      <c r="B11" s="1" t="s">
        <v>110</v>
      </c>
      <c r="C11" s="1" t="s">
        <v>112</v>
      </c>
      <c r="D11" s="30">
        <v>0.6</v>
      </c>
      <c r="E11" s="30">
        <f>5%+D11</f>
        <v>0.65</v>
      </c>
      <c r="F11" s="30">
        <f>5%+E11</f>
        <v>0.70000000000000007</v>
      </c>
      <c r="G11" s="30">
        <f>5%+F11</f>
        <v>0.75000000000000011</v>
      </c>
      <c r="H11" s="30">
        <f>5%+G11</f>
        <v>0.80000000000000016</v>
      </c>
      <c r="I11" s="30">
        <f>5%+H11</f>
        <v>0.8500000000000002</v>
      </c>
      <c r="J11" s="30">
        <f>5%+I11</f>
        <v>0.90000000000000024</v>
      </c>
      <c r="K11" s="30">
        <f>5%+J11</f>
        <v>0.95000000000000029</v>
      </c>
    </row>
    <row r="12" spans="1:15" x14ac:dyDescent="0.25">
      <c r="A12" s="2">
        <v>0.5</v>
      </c>
      <c r="B12" s="1">
        <f>A12/2</f>
        <v>0.25</v>
      </c>
      <c r="C12" s="6">
        <f>4/3*PI()*B12^3*1000</f>
        <v>65.449846949787357</v>
      </c>
      <c r="D12" s="6">
        <f>$C12*D11</f>
        <v>39.269908169872416</v>
      </c>
      <c r="E12" s="6">
        <f>$C12*E11</f>
        <v>42.542400517361784</v>
      </c>
      <c r="F12" s="6">
        <f>$C12*F11</f>
        <v>45.814892864851153</v>
      </c>
      <c r="G12" s="6">
        <f>$C12*G11</f>
        <v>49.087385212340529</v>
      </c>
      <c r="H12" s="6">
        <f>$C12*H11</f>
        <v>52.359877559829897</v>
      </c>
      <c r="I12" s="12">
        <f>$C12*I11</f>
        <v>55.632369907319266</v>
      </c>
      <c r="J12" s="6">
        <f>$C12*J11</f>
        <v>58.904862254808634</v>
      </c>
      <c r="K12" s="6">
        <f>$C12*K11</f>
        <v>62.17735460229801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electrical</vt:lpstr>
      <vt:lpstr>engines</vt:lpstr>
      <vt:lpstr>comms</vt:lpstr>
      <vt:lpstr>launches</vt:lpstr>
      <vt:lpstr>fuel</vt:lpstr>
      <vt:lpstr>dish_names</vt:lpstr>
      <vt:lpstr>dish_ranges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2015-07-06T20:08:39Z</dcterms:modified>
</cp:coreProperties>
</file>