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1"/>
  </bookViews>
  <sheets>
    <sheet name="electrical" sheetId="1" r:id="rId1"/>
    <sheet name="engines" sheetId="4" r:id="rId2"/>
    <sheet name="comms" sheetId="2" r:id="rId3"/>
    <sheet name="launches" sheetId="5" r:id="rId4"/>
    <sheet name="fuel" sheetId="6" r:id="rId5"/>
    <sheet name="CMG" sheetId="7" r:id="rId6"/>
  </sheets>
  <definedNames>
    <definedName name="dish_names">comms!$K$2:$K$11</definedName>
    <definedName name="dish_ranges">comms!$L$2:$L$11</definedName>
  </definedNames>
  <calcPr calcId="145621"/>
</workbook>
</file>

<file path=xl/calcChain.xml><?xml version="1.0" encoding="utf-8"?>
<calcChain xmlns="http://schemas.openxmlformats.org/spreadsheetml/2006/main">
  <c r="E105" i="4" l="1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1" i="4"/>
  <c r="E10" i="4"/>
  <c r="E9" i="4"/>
  <c r="E12" i="4"/>
  <c r="Q17" i="6" l="1"/>
  <c r="Q14" i="6"/>
  <c r="Q10" i="6"/>
  <c r="C22" i="6"/>
  <c r="D22" i="6" s="1"/>
  <c r="E25" i="6"/>
  <c r="G25" i="6"/>
  <c r="F25" i="6"/>
  <c r="G24" i="6"/>
  <c r="C21" i="6"/>
  <c r="D21" i="6" s="1"/>
  <c r="M20" i="6"/>
  <c r="M19" i="6"/>
  <c r="M18" i="6"/>
  <c r="M17" i="6"/>
  <c r="M16" i="6"/>
  <c r="M15" i="6"/>
  <c r="M14" i="6"/>
  <c r="M13" i="6"/>
  <c r="M12" i="6"/>
  <c r="M11" i="6"/>
  <c r="J20" i="6"/>
  <c r="J19" i="6"/>
  <c r="J18" i="6"/>
  <c r="J17" i="6"/>
  <c r="J16" i="6"/>
  <c r="J15" i="6"/>
  <c r="J14" i="6"/>
  <c r="J13" i="6"/>
  <c r="J12" i="6"/>
  <c r="J11" i="6"/>
  <c r="K20" i="6"/>
  <c r="K19" i="6"/>
  <c r="K18" i="6"/>
  <c r="K17" i="6"/>
  <c r="K16" i="6"/>
  <c r="K15" i="6"/>
  <c r="K14" i="6"/>
  <c r="K13" i="6"/>
  <c r="K12" i="6"/>
  <c r="K11" i="6"/>
  <c r="C20" i="6"/>
  <c r="D20" i="6" s="1"/>
  <c r="C19" i="6"/>
  <c r="D19" i="6" s="1"/>
  <c r="L22" i="6" l="1"/>
  <c r="K22" i="6"/>
  <c r="J22" i="6"/>
  <c r="I22" i="6"/>
  <c r="H22" i="6"/>
  <c r="G22" i="6"/>
  <c r="N22" i="6"/>
  <c r="F22" i="6"/>
  <c r="M22" i="6"/>
  <c r="E22" i="6"/>
  <c r="M21" i="6"/>
  <c r="E21" i="6"/>
  <c r="K21" i="6"/>
  <c r="L21" i="6"/>
  <c r="J21" i="6"/>
  <c r="I21" i="6"/>
  <c r="H21" i="6"/>
  <c r="N21" i="6"/>
  <c r="G21" i="6"/>
  <c r="F21" i="6"/>
  <c r="E20" i="6"/>
  <c r="E19" i="6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T15" i="1"/>
  <c r="T16" i="1"/>
  <c r="O12" i="1"/>
  <c r="O13" i="1" s="1"/>
  <c r="O9" i="1"/>
  <c r="O5" i="1"/>
  <c r="N5" i="1"/>
  <c r="P16" i="5"/>
  <c r="P15" i="5"/>
  <c r="P13" i="5"/>
  <c r="P12" i="5"/>
  <c r="P10" i="5"/>
  <c r="P9" i="5"/>
  <c r="P7" i="5"/>
  <c r="P5" i="5"/>
  <c r="P4" i="5"/>
  <c r="P3" i="5"/>
  <c r="P2" i="5"/>
  <c r="C4" i="7"/>
  <c r="D4" i="7"/>
  <c r="C3" i="7"/>
  <c r="C2" i="7"/>
  <c r="D2" i="7"/>
  <c r="E18" i="6" l="1"/>
  <c r="E17" i="6"/>
  <c r="E16" i="6"/>
  <c r="E15" i="6"/>
  <c r="E14" i="6"/>
  <c r="E13" i="6"/>
  <c r="D3" i="7"/>
  <c r="R5" i="5" l="1"/>
  <c r="S5" i="5" s="1"/>
  <c r="T5" i="5" s="1"/>
  <c r="R7" i="5"/>
  <c r="AT12" i="4"/>
  <c r="AS11" i="4"/>
  <c r="AS13" i="4" s="1"/>
  <c r="AU10" i="4"/>
  <c r="AT6" i="4"/>
  <c r="AU4" i="4"/>
  <c r="AS5" i="4"/>
  <c r="AS7" i="4" s="1"/>
  <c r="AL6" i="4"/>
  <c r="AD6" i="4"/>
  <c r="V6" i="4"/>
  <c r="P6" i="4"/>
  <c r="AN6" i="4" s="1"/>
  <c r="AP6" i="4" s="1"/>
  <c r="O6" i="4"/>
  <c r="W6" i="4" s="1"/>
  <c r="N6" i="4"/>
  <c r="C12" i="6"/>
  <c r="D12" i="6" s="1"/>
  <c r="F16" i="5"/>
  <c r="L16" i="5"/>
  <c r="G16" i="5"/>
  <c r="G15" i="5"/>
  <c r="H15" i="5" s="1"/>
  <c r="K15" i="5" s="1"/>
  <c r="O15" i="5"/>
  <c r="D15" i="1"/>
  <c r="G20" i="2"/>
  <c r="R2" i="2"/>
  <c r="F17" i="2"/>
  <c r="F16" i="2"/>
  <c r="F15" i="2"/>
  <c r="B18" i="2"/>
  <c r="B15" i="2"/>
  <c r="E12" i="6" l="1"/>
  <c r="E15" i="1"/>
  <c r="AE6" i="4"/>
  <c r="Y6" i="4"/>
  <c r="Q6" i="4"/>
  <c r="R6" i="4"/>
  <c r="X6" i="4"/>
  <c r="H16" i="5"/>
  <c r="J16" i="5" s="1"/>
  <c r="M16" i="5" s="1"/>
  <c r="N16" i="5" s="1"/>
  <c r="C16" i="5" s="1"/>
  <c r="D16" i="5" s="1"/>
  <c r="J15" i="5"/>
  <c r="M15" i="5" s="1"/>
  <c r="N15" i="5" s="1"/>
  <c r="C15" i="5" s="1"/>
  <c r="D15" i="5" s="1"/>
  <c r="O12" i="5"/>
  <c r="C8" i="6"/>
  <c r="B3" i="6"/>
  <c r="C3" i="6" s="1"/>
  <c r="E2" i="6"/>
  <c r="F2" i="6" s="1"/>
  <c r="G2" i="6" s="1"/>
  <c r="H2" i="6" s="1"/>
  <c r="I2" i="6" s="1"/>
  <c r="J2" i="6" s="1"/>
  <c r="K2" i="6" s="1"/>
  <c r="N7" i="2"/>
  <c r="S2" i="2"/>
  <c r="T2" i="2" s="1"/>
  <c r="Q3" i="2"/>
  <c r="Q4" i="2" s="1"/>
  <c r="V8" i="2"/>
  <c r="S14" i="2"/>
  <c r="S15" i="2"/>
  <c r="C7" i="6"/>
  <c r="D7" i="6" s="1"/>
  <c r="F7" i="6" s="1"/>
  <c r="I6" i="6"/>
  <c r="J6" i="6" s="1"/>
  <c r="K6" i="6" s="1"/>
  <c r="L6" i="6" s="1"/>
  <c r="M6" i="6" s="1"/>
  <c r="N6" i="6" s="1"/>
  <c r="O6" i="6" s="1"/>
  <c r="F10" i="6"/>
  <c r="C11" i="6"/>
  <c r="D11" i="6" s="1"/>
  <c r="AN5" i="4"/>
  <c r="AP5" i="4" s="1"/>
  <c r="AM5" i="4"/>
  <c r="AO5" i="4" s="1"/>
  <c r="AN4" i="4"/>
  <c r="AP4" i="4" s="1"/>
  <c r="AM4" i="4"/>
  <c r="AO4" i="4" s="1"/>
  <c r="AM3" i="4"/>
  <c r="AN3" i="4"/>
  <c r="AP3" i="4" s="1"/>
  <c r="AG3" i="4"/>
  <c r="AE3" i="4"/>
  <c r="AL3" i="4"/>
  <c r="AC3" i="4"/>
  <c r="AH5" i="4"/>
  <c r="AG5" i="4"/>
  <c r="R3" i="4"/>
  <c r="Q3" i="4"/>
  <c r="Z3" i="4"/>
  <c r="Y3" i="4"/>
  <c r="O2" i="5"/>
  <c r="C2" i="5" s="1"/>
  <c r="D2" i="5" s="1"/>
  <c r="D3" i="5" s="1"/>
  <c r="D4" i="5" s="1"/>
  <c r="D5" i="5" s="1"/>
  <c r="L13" i="5"/>
  <c r="H13" i="5"/>
  <c r="K13" i="5" s="1"/>
  <c r="H12" i="5"/>
  <c r="K12" i="5" s="1"/>
  <c r="C9" i="5"/>
  <c r="D9" i="5" s="1"/>
  <c r="D10" i="5" s="1"/>
  <c r="C10" i="5"/>
  <c r="C7" i="5"/>
  <c r="D7" i="5" s="1"/>
  <c r="C5" i="5"/>
  <c r="C4" i="5"/>
  <c r="C3" i="5"/>
  <c r="L10" i="5"/>
  <c r="H10" i="5"/>
  <c r="K10" i="5" s="1"/>
  <c r="H9" i="5"/>
  <c r="K9" i="5" s="1"/>
  <c r="L7" i="5"/>
  <c r="AH4" i="4"/>
  <c r="AG4" i="4"/>
  <c r="Z5" i="4"/>
  <c r="Y5" i="4"/>
  <c r="Y4" i="4"/>
  <c r="R5" i="4"/>
  <c r="Q5" i="4"/>
  <c r="R4" i="4"/>
  <c r="Q4" i="4"/>
  <c r="F4" i="2"/>
  <c r="E3" i="2"/>
  <c r="F2" i="2"/>
  <c r="E2" i="2"/>
  <c r="E4" i="2"/>
  <c r="AM6" i="2"/>
  <c r="AM4" i="2"/>
  <c r="AM3" i="2"/>
  <c r="AM1" i="2"/>
  <c r="AM10" i="2" s="1"/>
  <c r="AZ2" i="2"/>
  <c r="AY7" i="2"/>
  <c r="AX7" i="2" s="1"/>
  <c r="AY6" i="2"/>
  <c r="AX6" i="2" s="1"/>
  <c r="AY5" i="2"/>
  <c r="AX5" i="2" s="1"/>
  <c r="AY4" i="2"/>
  <c r="AX4" i="2" s="1"/>
  <c r="AY3" i="2"/>
  <c r="AX3" i="2" s="1"/>
  <c r="AY2" i="2"/>
  <c r="AN1" i="2"/>
  <c r="AN10" i="2" s="1"/>
  <c r="L5" i="5"/>
  <c r="F5" i="5"/>
  <c r="G5" i="5"/>
  <c r="M4" i="5"/>
  <c r="L4" i="5"/>
  <c r="G4" i="5"/>
  <c r="H4" i="5"/>
  <c r="K4" i="5" s="1"/>
  <c r="M3" i="5"/>
  <c r="L3" i="5"/>
  <c r="N2" i="5"/>
  <c r="M2" i="5"/>
  <c r="H3" i="5"/>
  <c r="J3" i="5" s="1"/>
  <c r="H2" i="5"/>
  <c r="K2" i="5" s="1"/>
  <c r="AM2" i="2"/>
  <c r="AI4" i="2"/>
  <c r="AG4" i="2"/>
  <c r="AE4" i="2"/>
  <c r="Z4" i="2"/>
  <c r="AG3" i="2"/>
  <c r="AE3" i="2"/>
  <c r="AI3" i="2"/>
  <c r="Z3" i="2"/>
  <c r="AI2" i="2"/>
  <c r="AE2" i="2"/>
  <c r="Z2" i="2"/>
  <c r="AG2" i="2"/>
  <c r="AL5" i="4"/>
  <c r="AL4" i="4"/>
  <c r="AF5" i="4"/>
  <c r="AE5" i="4"/>
  <c r="AD5" i="4"/>
  <c r="P3" i="4"/>
  <c r="O3" i="4"/>
  <c r="N3" i="4"/>
  <c r="V5" i="4"/>
  <c r="P5" i="4"/>
  <c r="X5" i="4" s="1"/>
  <c r="O5" i="4"/>
  <c r="W5" i="4" s="1"/>
  <c r="N5" i="4"/>
  <c r="W4" i="4"/>
  <c r="AE4" i="4" s="1"/>
  <c r="AF4" i="4"/>
  <c r="Z4" i="4"/>
  <c r="X4" i="4"/>
  <c r="AD4" i="4"/>
  <c r="V4" i="4"/>
  <c r="P4" i="4"/>
  <c r="O4" i="4"/>
  <c r="N4" i="4"/>
  <c r="X3" i="4"/>
  <c r="AF3" i="4" s="1"/>
  <c r="W3" i="4"/>
  <c r="V3" i="4"/>
  <c r="G7" i="1"/>
  <c r="G8" i="1" s="1"/>
  <c r="G9" i="1" s="1"/>
  <c r="G10" i="1" s="1"/>
  <c r="D8" i="1"/>
  <c r="L5" i="1" s="1"/>
  <c r="A5" i="1"/>
  <c r="J7" i="1" s="1"/>
  <c r="J8" i="1" s="1"/>
  <c r="F19" i="6" l="1"/>
  <c r="F20" i="6"/>
  <c r="F12" i="6"/>
  <c r="F15" i="6"/>
  <c r="F16" i="6"/>
  <c r="F18" i="6"/>
  <c r="F17" i="6"/>
  <c r="F13" i="6"/>
  <c r="F14" i="6"/>
  <c r="G7" i="6"/>
  <c r="E7" i="6"/>
  <c r="F11" i="6"/>
  <c r="E11" i="6"/>
  <c r="E23" i="1"/>
  <c r="E21" i="1"/>
  <c r="E17" i="1"/>
  <c r="E19" i="1" s="1"/>
  <c r="K3" i="6"/>
  <c r="D3" i="6"/>
  <c r="AG6" i="4"/>
  <c r="AM6" i="4"/>
  <c r="AO6" i="4" s="1"/>
  <c r="Z6" i="4"/>
  <c r="AF6" i="4"/>
  <c r="AH6" i="4" s="1"/>
  <c r="K16" i="5"/>
  <c r="Q5" i="2"/>
  <c r="R4" i="2"/>
  <c r="S4" i="2" s="1"/>
  <c r="T4" i="2" s="1"/>
  <c r="R3" i="2"/>
  <c r="S3" i="2" s="1"/>
  <c r="T3" i="2" s="1"/>
  <c r="D8" i="6"/>
  <c r="F8" i="6" s="1"/>
  <c r="E8" i="6"/>
  <c r="E3" i="6"/>
  <c r="F3" i="6"/>
  <c r="G3" i="6"/>
  <c r="H3" i="6"/>
  <c r="I3" i="6"/>
  <c r="J3" i="6"/>
  <c r="G10" i="6"/>
  <c r="AO3" i="4"/>
  <c r="J13" i="5"/>
  <c r="M13" i="5" s="1"/>
  <c r="N13" i="5" s="1"/>
  <c r="C13" i="5" s="1"/>
  <c r="J12" i="5"/>
  <c r="M12" i="5" s="1"/>
  <c r="N12" i="5" s="1"/>
  <c r="C12" i="5" s="1"/>
  <c r="D12" i="5" s="1"/>
  <c r="J10" i="5"/>
  <c r="M10" i="5" s="1"/>
  <c r="N10" i="5" s="1"/>
  <c r="J9" i="5"/>
  <c r="M9" i="5" s="1"/>
  <c r="N9" i="5" s="1"/>
  <c r="H7" i="5"/>
  <c r="J7" i="5" s="1"/>
  <c r="M7" i="5" s="1"/>
  <c r="N7" i="5" s="1"/>
  <c r="D9" i="1"/>
  <c r="D10" i="1" s="1"/>
  <c r="D11" i="1" s="1"/>
  <c r="F3" i="2"/>
  <c r="G3" i="2" s="1"/>
  <c r="I3" i="2" s="1"/>
  <c r="F10" i="2"/>
  <c r="F6" i="2"/>
  <c r="F5" i="2"/>
  <c r="E5" i="2"/>
  <c r="F8" i="2"/>
  <c r="F9" i="2"/>
  <c r="E8" i="2"/>
  <c r="F11" i="2"/>
  <c r="AM5" i="2"/>
  <c r="AM8" i="2"/>
  <c r="AM7" i="2"/>
  <c r="AM9" i="2"/>
  <c r="AX2" i="2"/>
  <c r="AN3" i="2"/>
  <c r="AN7" i="2"/>
  <c r="AN4" i="2"/>
  <c r="AN8" i="2"/>
  <c r="AN5" i="2"/>
  <c r="AN9" i="2"/>
  <c r="AN6" i="2"/>
  <c r="H5" i="5"/>
  <c r="J5" i="5" s="1"/>
  <c r="M5" i="5" s="1"/>
  <c r="N5" i="5" s="1"/>
  <c r="N4" i="5"/>
  <c r="J4" i="5"/>
  <c r="N3" i="5"/>
  <c r="K3" i="5"/>
  <c r="J2" i="5"/>
  <c r="AO1" i="2"/>
  <c r="G20" i="6" l="1"/>
  <c r="G19" i="6"/>
  <c r="I7" i="6"/>
  <c r="H7" i="6"/>
  <c r="O7" i="6"/>
  <c r="L7" i="6"/>
  <c r="J7" i="6"/>
  <c r="N7" i="6"/>
  <c r="K7" i="6"/>
  <c r="M7" i="6"/>
  <c r="G14" i="6"/>
  <c r="G17" i="6"/>
  <c r="G16" i="6"/>
  <c r="G18" i="6"/>
  <c r="G15" i="6"/>
  <c r="G13" i="6"/>
  <c r="H10" i="6"/>
  <c r="G12" i="6"/>
  <c r="G11" i="6"/>
  <c r="D22" i="1"/>
  <c r="D27" i="1" s="1"/>
  <c r="Q6" i="2"/>
  <c r="R5" i="2"/>
  <c r="G8" i="6"/>
  <c r="S16" i="2"/>
  <c r="D13" i="5"/>
  <c r="K7" i="5"/>
  <c r="G8" i="2"/>
  <c r="I8" i="2" s="1"/>
  <c r="F7" i="2"/>
  <c r="E7" i="2"/>
  <c r="E6" i="2"/>
  <c r="G6" i="2" s="1"/>
  <c r="I6" i="2" s="1"/>
  <c r="E9" i="2"/>
  <c r="G9" i="2" s="1"/>
  <c r="I9" i="2" s="1"/>
  <c r="F12" i="2"/>
  <c r="G5" i="2"/>
  <c r="I5" i="2" s="1"/>
  <c r="AO8" i="2"/>
  <c r="AO7" i="2"/>
  <c r="AO6" i="2"/>
  <c r="AO5" i="2"/>
  <c r="AO4" i="2"/>
  <c r="AO10" i="2"/>
  <c r="AO9" i="2"/>
  <c r="K5" i="5"/>
  <c r="AP1" i="2"/>
  <c r="H19" i="6" l="1"/>
  <c r="H20" i="6"/>
  <c r="L8" i="6"/>
  <c r="K8" i="6"/>
  <c r="O8" i="6"/>
  <c r="J8" i="6"/>
  <c r="N8" i="6"/>
  <c r="I8" i="6"/>
  <c r="M8" i="6"/>
  <c r="H8" i="6"/>
  <c r="H16" i="6"/>
  <c r="H14" i="6"/>
  <c r="H17" i="6"/>
  <c r="H13" i="6"/>
  <c r="H15" i="6"/>
  <c r="H18" i="6"/>
  <c r="I10" i="6"/>
  <c r="H12" i="6"/>
  <c r="H11" i="6"/>
  <c r="S5" i="2"/>
  <c r="T5" i="2" s="1"/>
  <c r="G15" i="2"/>
  <c r="Q7" i="2"/>
  <c r="R6" i="2"/>
  <c r="S17" i="2"/>
  <c r="E10" i="2"/>
  <c r="G10" i="2" s="1"/>
  <c r="I10" i="2" s="1"/>
  <c r="G7" i="2"/>
  <c r="I7" i="2" s="1"/>
  <c r="AP7" i="2"/>
  <c r="AP6" i="2"/>
  <c r="AP5" i="2"/>
  <c r="AP9" i="2"/>
  <c r="AP10" i="2"/>
  <c r="AP8" i="2"/>
  <c r="AQ1" i="2"/>
  <c r="J10" i="6" l="1"/>
  <c r="I19" i="6"/>
  <c r="I20" i="6"/>
  <c r="I14" i="6"/>
  <c r="I15" i="6"/>
  <c r="I13" i="6"/>
  <c r="I18" i="6"/>
  <c r="I17" i="6"/>
  <c r="I16" i="6"/>
  <c r="I12" i="6"/>
  <c r="I11" i="6"/>
  <c r="S6" i="2"/>
  <c r="T6" i="2" s="1"/>
  <c r="G16" i="2"/>
  <c r="Q8" i="2"/>
  <c r="R7" i="2"/>
  <c r="S18" i="2"/>
  <c r="E12" i="2"/>
  <c r="G12" i="2" s="1"/>
  <c r="I12" i="2" s="1"/>
  <c r="E11" i="2"/>
  <c r="G11" i="2" s="1"/>
  <c r="I11" i="2" s="1"/>
  <c r="G2" i="2"/>
  <c r="I2" i="2" s="1"/>
  <c r="AQ6" i="2"/>
  <c r="AQ8" i="2"/>
  <c r="AQ10" i="2"/>
  <c r="AQ9" i="2"/>
  <c r="AQ7" i="2"/>
  <c r="AR1" i="2"/>
  <c r="L10" i="6" l="1"/>
  <c r="S7" i="2"/>
  <c r="T7" i="2" s="1"/>
  <c r="G17" i="2"/>
  <c r="G18" i="2" s="1"/>
  <c r="G19" i="2" s="1"/>
  <c r="R8" i="2"/>
  <c r="S8" i="2" s="1"/>
  <c r="T8" i="2" s="1"/>
  <c r="Q9" i="2"/>
  <c r="R9" i="2" s="1"/>
  <c r="S9" i="2" s="1"/>
  <c r="T9" i="2" s="1"/>
  <c r="S19" i="2"/>
  <c r="G4" i="2"/>
  <c r="I4" i="2" s="1"/>
  <c r="AR7" i="2"/>
  <c r="AR10" i="2"/>
  <c r="AR9" i="2"/>
  <c r="AR8" i="2"/>
  <c r="AS1" i="2"/>
  <c r="L19" i="6" l="1"/>
  <c r="L20" i="6"/>
  <c r="L18" i="6"/>
  <c r="L17" i="6"/>
  <c r="L16" i="6"/>
  <c r="L13" i="6"/>
  <c r="L15" i="6"/>
  <c r="L14" i="6"/>
  <c r="N10" i="6"/>
  <c r="L12" i="6"/>
  <c r="L11" i="6"/>
  <c r="S20" i="2"/>
  <c r="AS10" i="2"/>
  <c r="AS9" i="2"/>
  <c r="AS8" i="2"/>
  <c r="AT1" i="2"/>
  <c r="N20" i="6" l="1"/>
  <c r="N19" i="6"/>
  <c r="N18" i="6"/>
  <c r="N17" i="6"/>
  <c r="N16" i="6"/>
  <c r="N15" i="6"/>
  <c r="N13" i="6"/>
  <c r="N14" i="6"/>
  <c r="N12" i="6"/>
  <c r="N11" i="6"/>
  <c r="S21" i="2"/>
  <c r="AT10" i="2"/>
  <c r="AT9" i="2"/>
  <c r="AU1" i="2"/>
  <c r="AU10" i="2" l="1"/>
  <c r="AH3" i="4" l="1"/>
  <c r="AD3" i="4"/>
</calcChain>
</file>

<file path=xl/sharedStrings.xml><?xml version="1.0" encoding="utf-8"?>
<sst xmlns="http://schemas.openxmlformats.org/spreadsheetml/2006/main" count="602" uniqueCount="162">
  <si>
    <t>W/m2</t>
  </si>
  <si>
    <t>solar</t>
  </si>
  <si>
    <t>battery</t>
  </si>
  <si>
    <t>Wh/kg</t>
  </si>
  <si>
    <t>1 e = 1 Wh</t>
  </si>
  <si>
    <t>math</t>
  </si>
  <si>
    <t>wide</t>
  </si>
  <si>
    <t>tall</t>
  </si>
  <si>
    <t>factor</t>
  </si>
  <si>
    <t>e/s</t>
  </si>
  <si>
    <t>e/m</t>
  </si>
  <si>
    <t>e/h</t>
  </si>
  <si>
    <t>drain</t>
  </si>
  <si>
    <t>Watts</t>
  </si>
  <si>
    <t>mass</t>
  </si>
  <si>
    <t>Wh</t>
  </si>
  <si>
    <t>kg</t>
  </si>
  <si>
    <t>tons</t>
  </si>
  <si>
    <t>to</t>
  </si>
  <si>
    <t>source</t>
  </si>
  <si>
    <t>dish</t>
  </si>
  <si>
    <t>target</t>
  </si>
  <si>
    <t>wet</t>
  </si>
  <si>
    <t>dry</t>
  </si>
  <si>
    <t>fuel</t>
  </si>
  <si>
    <t>isp sl</t>
  </si>
  <si>
    <t>isp v</t>
  </si>
  <si>
    <t>kerolox</t>
  </si>
  <si>
    <t>Spark</t>
  </si>
  <si>
    <t>atmo</t>
  </si>
  <si>
    <t>TWR</t>
  </si>
  <si>
    <t>vac</t>
  </si>
  <si>
    <t>engine</t>
  </si>
  <si>
    <t>hydrolox</t>
  </si>
  <si>
    <t>hypergolic</t>
  </si>
  <si>
    <t>T sl</t>
  </si>
  <si>
    <t>T v</t>
  </si>
  <si>
    <t>Terrier</t>
  </si>
  <si>
    <t>Mainsail</t>
  </si>
  <si>
    <t>monoprop</t>
  </si>
  <si>
    <t>reason</t>
  </si>
  <si>
    <t>KSO</t>
  </si>
  <si>
    <t>range</t>
  </si>
  <si>
    <t>overall</t>
  </si>
  <si>
    <t>max</t>
  </si>
  <si>
    <t>dish 1</t>
  </si>
  <si>
    <t>geo link</t>
  </si>
  <si>
    <t>need</t>
  </si>
  <si>
    <t>dish 2</t>
  </si>
  <si>
    <t>Mun</t>
  </si>
  <si>
    <t>Mun comm</t>
  </si>
  <si>
    <t>Minmus</t>
  </si>
  <si>
    <t>dish 3</t>
  </si>
  <si>
    <t>diam</t>
  </si>
  <si>
    <t>Mm</t>
  </si>
  <si>
    <t>mun</t>
  </si>
  <si>
    <t>minmus</t>
  </si>
  <si>
    <t>duna</t>
  </si>
  <si>
    <t>jool</t>
  </si>
  <si>
    <t>from</t>
  </si>
  <si>
    <t>surface</t>
  </si>
  <si>
    <t>LKO</t>
  </si>
  <si>
    <t>sub LKO</t>
  </si>
  <si>
    <t>sub KSO</t>
  </si>
  <si>
    <t>delta V</t>
  </si>
  <si>
    <t>GM</t>
  </si>
  <si>
    <t>sma</t>
  </si>
  <si>
    <t>PE vel</t>
  </si>
  <si>
    <t>AP vel</t>
  </si>
  <si>
    <t>change</t>
  </si>
  <si>
    <t>total</t>
  </si>
  <si>
    <t>eeloo</t>
  </si>
  <si>
    <t>r1</t>
  </si>
  <si>
    <t>r2</t>
  </si>
  <si>
    <t>r3</t>
  </si>
  <si>
    <t>size</t>
  </si>
  <si>
    <t>omni 1</t>
  </si>
  <si>
    <t>omni 2</t>
  </si>
  <si>
    <t>ground</t>
  </si>
  <si>
    <t>sender</t>
  </si>
  <si>
    <t>recvr</t>
  </si>
  <si>
    <t>figaro</t>
  </si>
  <si>
    <t>TS</t>
  </si>
  <si>
    <t>antenna</t>
  </si>
  <si>
    <t>Mol</t>
  </si>
  <si>
    <t>DS</t>
  </si>
  <si>
    <t>dish 4</t>
  </si>
  <si>
    <t>Duna</t>
  </si>
  <si>
    <t>Jool</t>
  </si>
  <si>
    <t>dish 5</t>
  </si>
  <si>
    <t>dish 6</t>
  </si>
  <si>
    <t>want</t>
  </si>
  <si>
    <t>GX128</t>
  </si>
  <si>
    <t>Com88</t>
  </si>
  <si>
    <t>HG55</t>
  </si>
  <si>
    <t>Nau2</t>
  </si>
  <si>
    <t>Nau1</t>
  </si>
  <si>
    <t>ComTec</t>
  </si>
  <si>
    <t>fixed</t>
  </si>
  <si>
    <t>folding</t>
  </si>
  <si>
    <t>KR14</t>
  </si>
  <si>
    <t>KR7</t>
  </si>
  <si>
    <t>DTS</t>
  </si>
  <si>
    <t>EXP</t>
  </si>
  <si>
    <t>watts</t>
  </si>
  <si>
    <t>LMO</t>
  </si>
  <si>
    <t>sub LMO</t>
  </si>
  <si>
    <t>extra</t>
  </si>
  <si>
    <t>sub Eve</t>
  </si>
  <si>
    <t>LEO</t>
  </si>
  <si>
    <t>rad</t>
  </si>
  <si>
    <t>height</t>
  </si>
  <si>
    <t>volume</t>
  </si>
  <si>
    <t>Com32</t>
  </si>
  <si>
    <t>round cyl</t>
  </si>
  <si>
    <t>sphere</t>
  </si>
  <si>
    <t>cyl</t>
  </si>
  <si>
    <t>angle</t>
  </si>
  <si>
    <t>cover</t>
  </si>
  <si>
    <t>e/min</t>
  </si>
  <si>
    <t>2x</t>
  </si>
  <si>
    <t>plus cpu</t>
  </si>
  <si>
    <t>altitude</t>
  </si>
  <si>
    <t>body R</t>
  </si>
  <si>
    <t>R/ra</t>
  </si>
  <si>
    <t>ra</t>
  </si>
  <si>
    <t>sin</t>
  </si>
  <si>
    <t>2ra^2</t>
  </si>
  <si>
    <t>h</t>
  </si>
  <si>
    <t>dark</t>
  </si>
  <si>
    <t>time</t>
  </si>
  <si>
    <t>seconds</t>
  </si>
  <si>
    <t>KTO</t>
  </si>
  <si>
    <t>Wildcat5</t>
  </si>
  <si>
    <t>thrust</t>
  </si>
  <si>
    <t>burn</t>
  </si>
  <si>
    <t>g loss</t>
  </si>
  <si>
    <t>speed</t>
  </si>
  <si>
    <t>upward</t>
  </si>
  <si>
    <t>accel</t>
  </si>
  <si>
    <t>burnout</t>
  </si>
  <si>
    <t>power</t>
  </si>
  <si>
    <t>period</t>
  </si>
  <si>
    <t>watts is</t>
  </si>
  <si>
    <t>if W is</t>
  </si>
  <si>
    <t>if e/s is</t>
  </si>
  <si>
    <t>e/s is</t>
  </si>
  <si>
    <t>for</t>
  </si>
  <si>
    <t>s</t>
  </si>
  <si>
    <t>stage</t>
  </si>
  <si>
    <t>lower</t>
  </si>
  <si>
    <t>upper</t>
  </si>
  <si>
    <t>orbital</t>
  </si>
  <si>
    <t>IP</t>
  </si>
  <si>
    <t>name</t>
  </si>
  <si>
    <t>Kerolox</t>
  </si>
  <si>
    <t>Hydrolox</t>
  </si>
  <si>
    <t>Hydraz</t>
  </si>
  <si>
    <t>?</t>
  </si>
  <si>
    <t>--n/a--</t>
  </si>
  <si>
    <t>plume</t>
  </si>
  <si>
    <t>Hypergolic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</si>
</sst>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"/>
    <numFmt numFmtId="166" formatCode="0.0"/>
    <numFmt numFmtId="167" formatCode="#,##0.0"/>
    <numFmt numFmtId="168" formatCode="#,##0.000"/>
    <numFmt numFmtId="178" formatCode="0.0000000000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3" fontId="0" fillId="5" borderId="0" xfId="0" applyNumberFormat="1" applyFill="1" applyAlignment="1">
      <alignment horizontal="center"/>
    </xf>
    <xf numFmtId="3" fontId="0" fillId="6" borderId="0" xfId="0" applyNumberFormat="1" applyFill="1" applyAlignment="1">
      <alignment horizontal="center"/>
    </xf>
    <xf numFmtId="3" fontId="0" fillId="7" borderId="0" xfId="0" applyNumberFormat="1" applyFill="1" applyAlignment="1">
      <alignment horizontal="center"/>
    </xf>
    <xf numFmtId="3" fontId="1" fillId="8" borderId="0" xfId="0" applyNumberFormat="1" applyFon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9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3" fontId="0" fillId="10" borderId="0" xfId="0" applyNumberFormat="1" applyFill="1" applyAlignment="1">
      <alignment horizontal="center"/>
    </xf>
    <xf numFmtId="11" fontId="0" fillId="10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17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T15" sqref="T15"/>
    </sheetView>
  </sheetViews>
  <sheetFormatPr defaultRowHeight="15" x14ac:dyDescent="0.25"/>
  <cols>
    <col min="1" max="1" width="7.42578125" style="1" bestFit="1" customWidth="1"/>
    <col min="2" max="2" width="6.85546875" style="1" bestFit="1" customWidth="1"/>
    <col min="3" max="3" width="1.85546875" style="1" customWidth="1"/>
    <col min="4" max="4" width="10.140625" style="1" bestFit="1" customWidth="1"/>
    <col min="5" max="5" width="12" style="1" bestFit="1" customWidth="1"/>
    <col min="6" max="6" width="1.7109375" style="1" customWidth="1"/>
    <col min="7" max="7" width="7.5703125" style="1" bestFit="1" customWidth="1"/>
    <col min="8" max="8" width="6.140625" style="1" bestFit="1" customWidth="1"/>
    <col min="9" max="9" width="1.42578125" style="1" customWidth="1"/>
    <col min="10" max="11" width="9.140625" style="1"/>
    <col min="12" max="12" width="6.140625" style="1" bestFit="1" customWidth="1"/>
    <col min="13" max="16384" width="9.140625" style="1"/>
  </cols>
  <sheetData>
    <row r="1" spans="1:20" x14ac:dyDescent="0.25">
      <c r="A1" s="1" t="s">
        <v>1</v>
      </c>
      <c r="L1" s="1" t="s">
        <v>104</v>
      </c>
    </row>
    <row r="2" spans="1:20" x14ac:dyDescent="0.25">
      <c r="A2" s="1">
        <v>250</v>
      </c>
      <c r="B2" s="1" t="s">
        <v>0</v>
      </c>
      <c r="D2" s="1" t="s">
        <v>4</v>
      </c>
      <c r="L2" s="1" t="s">
        <v>18</v>
      </c>
      <c r="N2" s="1" t="s">
        <v>145</v>
      </c>
      <c r="O2" s="1" t="s">
        <v>144</v>
      </c>
    </row>
    <row r="3" spans="1:20" x14ac:dyDescent="0.25">
      <c r="L3" s="1" t="s">
        <v>9</v>
      </c>
      <c r="N3" s="2">
        <v>1.78</v>
      </c>
      <c r="O3" s="2">
        <v>6400</v>
      </c>
    </row>
    <row r="4" spans="1:20" x14ac:dyDescent="0.25">
      <c r="A4" s="1" t="s">
        <v>2</v>
      </c>
      <c r="D4" s="1" t="s">
        <v>1</v>
      </c>
      <c r="G4" s="1" t="s">
        <v>12</v>
      </c>
      <c r="J4" s="1" t="s">
        <v>2</v>
      </c>
      <c r="L4" s="1" t="s">
        <v>8</v>
      </c>
      <c r="N4" s="1" t="s">
        <v>143</v>
      </c>
      <c r="O4" s="1" t="s">
        <v>146</v>
      </c>
    </row>
    <row r="5" spans="1:20" x14ac:dyDescent="0.25">
      <c r="A5" s="1">
        <f>100/5</f>
        <v>20</v>
      </c>
      <c r="B5" s="1" t="s">
        <v>3</v>
      </c>
      <c r="D5" s="1" t="s">
        <v>5</v>
      </c>
      <c r="G5" s="1" t="s">
        <v>5</v>
      </c>
      <c r="J5" s="1" t="s">
        <v>14</v>
      </c>
      <c r="L5" s="28">
        <f>D8</f>
        <v>6.9444444444444448E-2</v>
      </c>
      <c r="N5" s="28">
        <f>N3*3600</f>
        <v>6408</v>
      </c>
      <c r="O5" s="8">
        <f>O3/3600</f>
        <v>1.7777777777777777</v>
      </c>
    </row>
    <row r="6" spans="1:20" x14ac:dyDescent="0.25">
      <c r="D6" s="2">
        <v>2</v>
      </c>
      <c r="E6" s="1" t="s">
        <v>6</v>
      </c>
      <c r="G6" s="2">
        <v>150</v>
      </c>
      <c r="H6" s="1" t="s">
        <v>13</v>
      </c>
      <c r="J6" s="2">
        <v>150</v>
      </c>
      <c r="K6" s="1" t="s">
        <v>15</v>
      </c>
    </row>
    <row r="7" spans="1:20" x14ac:dyDescent="0.25">
      <c r="D7" s="2">
        <v>4</v>
      </c>
      <c r="E7" s="1" t="s">
        <v>7</v>
      </c>
      <c r="G7" s="3">
        <f>1/3600</f>
        <v>2.7777777777777778E-4</v>
      </c>
      <c r="H7" s="1" t="s">
        <v>8</v>
      </c>
      <c r="J7" s="10">
        <f>J6/A5</f>
        <v>7.5</v>
      </c>
      <c r="K7" s="1" t="s">
        <v>16</v>
      </c>
      <c r="N7" s="1" t="s">
        <v>47</v>
      </c>
      <c r="O7" s="2">
        <v>1.78</v>
      </c>
      <c r="P7" s="1" t="s">
        <v>9</v>
      </c>
    </row>
    <row r="8" spans="1:20" x14ac:dyDescent="0.25">
      <c r="D8" s="3">
        <f>250/3600</f>
        <v>6.9444444444444448E-2</v>
      </c>
      <c r="E8" s="1" t="s">
        <v>8</v>
      </c>
      <c r="G8" s="7">
        <f>G7*G6</f>
        <v>4.1666666666666664E-2</v>
      </c>
      <c r="H8" s="1" t="s">
        <v>9</v>
      </c>
      <c r="J8" s="7">
        <f>J7/1000</f>
        <v>7.4999999999999997E-3</v>
      </c>
      <c r="K8" s="1" t="s">
        <v>17</v>
      </c>
      <c r="N8" s="1" t="s">
        <v>147</v>
      </c>
      <c r="O8" s="1">
        <v>4800</v>
      </c>
      <c r="P8" s="1" t="s">
        <v>148</v>
      </c>
    </row>
    <row r="9" spans="1:20" x14ac:dyDescent="0.25">
      <c r="D9" s="7">
        <f>D8*D7*D6</f>
        <v>0.55555555555555558</v>
      </c>
      <c r="E9" s="1" t="s">
        <v>9</v>
      </c>
      <c r="G9" s="8">
        <f>60*G8</f>
        <v>2.5</v>
      </c>
      <c r="H9" s="1" t="s">
        <v>10</v>
      </c>
      <c r="N9" s="1" t="s">
        <v>70</v>
      </c>
      <c r="O9" s="10">
        <f>O7*O8</f>
        <v>8544</v>
      </c>
    </row>
    <row r="10" spans="1:20" x14ac:dyDescent="0.25">
      <c r="D10" s="8">
        <f>60*D9</f>
        <v>33.333333333333336</v>
      </c>
      <c r="E10" s="1" t="s">
        <v>10</v>
      </c>
      <c r="G10" s="9">
        <f>60*G9</f>
        <v>150</v>
      </c>
      <c r="H10" s="1" t="s">
        <v>11</v>
      </c>
    </row>
    <row r="11" spans="1:20" x14ac:dyDescent="0.25">
      <c r="D11" s="9">
        <f>60*D10</f>
        <v>2000.0000000000002</v>
      </c>
      <c r="E11" s="1" t="s">
        <v>11</v>
      </c>
      <c r="N11" s="1" t="s">
        <v>47</v>
      </c>
      <c r="O11" s="2">
        <v>0.14000000000000001</v>
      </c>
      <c r="P11" s="1" t="s">
        <v>9</v>
      </c>
    </row>
    <row r="12" spans="1:20" x14ac:dyDescent="0.25">
      <c r="N12" s="1" t="s">
        <v>147</v>
      </c>
      <c r="O12" s="1">
        <f>10*60</f>
        <v>600</v>
      </c>
      <c r="P12" s="1" t="s">
        <v>148</v>
      </c>
    </row>
    <row r="13" spans="1:20" x14ac:dyDescent="0.25">
      <c r="N13" s="1" t="s">
        <v>70</v>
      </c>
      <c r="O13" s="10">
        <f>O11*O12</f>
        <v>84.000000000000014</v>
      </c>
    </row>
    <row r="14" spans="1:20" x14ac:dyDescent="0.25">
      <c r="D14" s="1" t="s">
        <v>123</v>
      </c>
      <c r="E14" s="1" t="s">
        <v>125</v>
      </c>
    </row>
    <row r="15" spans="1:20" x14ac:dyDescent="0.25">
      <c r="D15" s="35">
        <f>600000</f>
        <v>600000</v>
      </c>
      <c r="E15" s="16">
        <f>D15+D17</f>
        <v>3468750</v>
      </c>
      <c r="R15" s="1">
        <v>0.33</v>
      </c>
      <c r="S15" s="1">
        <v>0.76</v>
      </c>
      <c r="T15" s="1">
        <f>R15*S15</f>
        <v>0.25080000000000002</v>
      </c>
    </row>
    <row r="16" spans="1:20" x14ac:dyDescent="0.25">
      <c r="D16" s="1" t="s">
        <v>122</v>
      </c>
      <c r="E16" s="1" t="s">
        <v>124</v>
      </c>
      <c r="R16" s="1">
        <v>0.05</v>
      </c>
      <c r="S16" s="1">
        <v>0.76</v>
      </c>
      <c r="T16" s="1">
        <f>R16*S16</f>
        <v>3.8000000000000006E-2</v>
      </c>
    </row>
    <row r="17" spans="4:5" x14ac:dyDescent="0.25">
      <c r="D17" s="35">
        <v>2868750</v>
      </c>
      <c r="E17" s="1">
        <f>D15/E15</f>
        <v>0.17297297297297298</v>
      </c>
    </row>
    <row r="18" spans="4:5" x14ac:dyDescent="0.25">
      <c r="D18" s="1" t="s">
        <v>65</v>
      </c>
      <c r="E18" s="1" t="s">
        <v>126</v>
      </c>
    </row>
    <row r="19" spans="4:5" x14ac:dyDescent="0.25">
      <c r="D19" s="36">
        <v>3531600000000</v>
      </c>
      <c r="E19" s="19">
        <f>ASIN(E17)</f>
        <v>0.17384734576954017</v>
      </c>
    </row>
    <row r="20" spans="4:5" x14ac:dyDescent="0.25">
      <c r="D20" s="39" t="s">
        <v>129</v>
      </c>
      <c r="E20" s="1" t="s">
        <v>127</v>
      </c>
    </row>
    <row r="21" spans="4:5" x14ac:dyDescent="0.25">
      <c r="D21" s="39" t="s">
        <v>130</v>
      </c>
      <c r="E21" s="19">
        <f>2*E15^2</f>
        <v>24064453125000</v>
      </c>
    </row>
    <row r="22" spans="4:5" x14ac:dyDescent="0.25">
      <c r="D22" s="26">
        <f>E21/E23*E19</f>
        <v>1195.2859282940951</v>
      </c>
      <c r="E22" s="1" t="s">
        <v>128</v>
      </c>
    </row>
    <row r="23" spans="4:5" x14ac:dyDescent="0.25">
      <c r="D23" s="39" t="s">
        <v>131</v>
      </c>
      <c r="E23" s="19">
        <f>SQRT(E15*D19)</f>
        <v>3500033928.4069805</v>
      </c>
    </row>
    <row r="24" spans="4:5" x14ac:dyDescent="0.25">
      <c r="D24" s="1" t="s">
        <v>12</v>
      </c>
    </row>
    <row r="25" spans="4:5" x14ac:dyDescent="0.25">
      <c r="D25" s="40">
        <v>0.19</v>
      </c>
    </row>
    <row r="26" spans="4:5" x14ac:dyDescent="0.25">
      <c r="D26" s="1" t="s">
        <v>47</v>
      </c>
    </row>
    <row r="27" spans="4:5" x14ac:dyDescent="0.25">
      <c r="D27" s="1">
        <f>D25*D22</f>
        <v>227.10432637587809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5"/>
  <sheetViews>
    <sheetView tabSelected="1" topLeftCell="A10" workbookViewId="0">
      <selection activeCell="C10" sqref="C10"/>
    </sheetView>
  </sheetViews>
  <sheetFormatPr defaultRowHeight="15" x14ac:dyDescent="0.25"/>
  <cols>
    <col min="1" max="2" width="9.140625" style="1"/>
    <col min="3" max="3" width="10.42578125" style="1" bestFit="1" customWidth="1"/>
    <col min="4" max="4" width="9.140625" style="1"/>
    <col min="5" max="5" width="15.28515625" style="1" bestFit="1" customWidth="1"/>
    <col min="6" max="6" width="8.42578125" style="1" bestFit="1" customWidth="1"/>
    <col min="7" max="7" width="6" style="1" bestFit="1" customWidth="1"/>
    <col min="8" max="8" width="5" style="1" bestFit="1" customWidth="1"/>
    <col min="9" max="9" width="5.5703125" style="1" bestFit="1" customWidth="1"/>
    <col min="10" max="10" width="5" style="1" bestFit="1" customWidth="1"/>
    <col min="11" max="11" width="1.28515625" style="1" customWidth="1"/>
    <col min="12" max="12" width="6" style="1" bestFit="1" customWidth="1"/>
    <col min="13" max="13" width="5" style="1" bestFit="1" customWidth="1"/>
    <col min="14" max="14" width="6" style="1" bestFit="1" customWidth="1"/>
    <col min="15" max="15" width="22" style="1" bestFit="1" customWidth="1"/>
    <col min="16" max="16" width="5" style="1" bestFit="1" customWidth="1"/>
    <col min="17" max="17" width="5.42578125" style="1" bestFit="1" customWidth="1"/>
    <col min="18" max="18" width="5" style="1" bestFit="1" customWidth="1"/>
    <col min="19" max="19" width="1.140625" style="1" customWidth="1"/>
    <col min="20" max="22" width="6" style="1" bestFit="1" customWidth="1"/>
    <col min="23" max="24" width="5" style="1" bestFit="1" customWidth="1"/>
    <col min="25" max="25" width="5.42578125" style="1" bestFit="1" customWidth="1"/>
    <col min="26" max="26" width="5" style="1" bestFit="1" customWidth="1"/>
    <col min="27" max="27" width="1.140625" style="1" customWidth="1"/>
    <col min="28" max="28" width="5" style="1" bestFit="1" customWidth="1"/>
    <col min="29" max="29" width="4" style="1" bestFit="1" customWidth="1"/>
    <col min="30" max="32" width="5" style="1" bestFit="1" customWidth="1"/>
    <col min="33" max="33" width="5.42578125" style="1" bestFit="1" customWidth="1"/>
    <col min="34" max="34" width="5" style="1" bestFit="1" customWidth="1"/>
    <col min="35" max="35" width="0.7109375" style="1" customWidth="1"/>
    <col min="36" max="36" width="5" style="1" bestFit="1" customWidth="1"/>
    <col min="37" max="37" width="4" style="1" bestFit="1" customWidth="1"/>
    <col min="38" max="40" width="5" style="1" bestFit="1" customWidth="1"/>
    <col min="41" max="41" width="5.42578125" style="1" bestFit="1" customWidth="1"/>
    <col min="42" max="42" width="5" style="1" bestFit="1" customWidth="1"/>
    <col min="43" max="16384" width="9.140625" style="1"/>
  </cols>
  <sheetData>
    <row r="1" spans="1:47" x14ac:dyDescent="0.25">
      <c r="L1" s="42" t="s">
        <v>27</v>
      </c>
      <c r="M1" s="42"/>
      <c r="N1" s="42"/>
      <c r="O1" s="42"/>
      <c r="P1" s="42"/>
      <c r="Q1" s="42"/>
      <c r="R1" s="42"/>
      <c r="T1" s="42" t="s">
        <v>33</v>
      </c>
      <c r="U1" s="42"/>
      <c r="V1" s="42"/>
      <c r="W1" s="42"/>
      <c r="X1" s="42"/>
      <c r="Y1" s="42"/>
      <c r="Z1" s="42"/>
      <c r="AB1" s="42" t="s">
        <v>34</v>
      </c>
      <c r="AC1" s="42"/>
      <c r="AD1" s="42"/>
      <c r="AE1" s="42"/>
      <c r="AF1" s="42"/>
      <c r="AG1" s="42"/>
      <c r="AH1" s="42"/>
      <c r="AJ1" s="42" t="s">
        <v>39</v>
      </c>
      <c r="AK1" s="42"/>
      <c r="AL1" s="42"/>
      <c r="AM1" s="42"/>
      <c r="AN1" s="42"/>
      <c r="AO1" s="42"/>
      <c r="AP1" s="42"/>
    </row>
    <row r="2" spans="1:47" s="13" customFormat="1" x14ac:dyDescent="0.25">
      <c r="F2" s="13" t="s">
        <v>32</v>
      </c>
      <c r="G2" s="13" t="s">
        <v>14</v>
      </c>
      <c r="H2" s="13" t="s">
        <v>30</v>
      </c>
      <c r="I2" s="13" t="s">
        <v>29</v>
      </c>
      <c r="J2" s="13" t="s">
        <v>31</v>
      </c>
      <c r="L2" s="13" t="s">
        <v>22</v>
      </c>
      <c r="M2" s="13" t="s">
        <v>23</v>
      </c>
      <c r="N2" s="13" t="s">
        <v>24</v>
      </c>
      <c r="O2" s="13" t="s">
        <v>35</v>
      </c>
      <c r="P2" s="13" t="s">
        <v>36</v>
      </c>
      <c r="Q2" s="13" t="s">
        <v>25</v>
      </c>
      <c r="R2" s="13" t="s">
        <v>26</v>
      </c>
      <c r="T2" s="13" t="s">
        <v>22</v>
      </c>
      <c r="U2" s="13" t="s">
        <v>23</v>
      </c>
      <c r="V2" s="13" t="s">
        <v>24</v>
      </c>
      <c r="W2" s="13" t="s">
        <v>35</v>
      </c>
      <c r="X2" s="13" t="s">
        <v>36</v>
      </c>
      <c r="Y2" s="13" t="s">
        <v>25</v>
      </c>
      <c r="Z2" s="13" t="s">
        <v>26</v>
      </c>
      <c r="AB2" s="13" t="s">
        <v>22</v>
      </c>
      <c r="AC2" s="13" t="s">
        <v>23</v>
      </c>
      <c r="AD2" s="13" t="s">
        <v>24</v>
      </c>
      <c r="AE2" s="13" t="s">
        <v>35</v>
      </c>
      <c r="AF2" s="13" t="s">
        <v>36</v>
      </c>
      <c r="AG2" s="13" t="s">
        <v>25</v>
      </c>
      <c r="AH2" s="13" t="s">
        <v>26</v>
      </c>
      <c r="AJ2" s="13" t="s">
        <v>22</v>
      </c>
      <c r="AK2" s="13" t="s">
        <v>23</v>
      </c>
      <c r="AL2" s="13" t="s">
        <v>24</v>
      </c>
      <c r="AM2" s="13" t="s">
        <v>35</v>
      </c>
      <c r="AN2" s="13" t="s">
        <v>36</v>
      </c>
      <c r="AO2" s="13" t="s">
        <v>25</v>
      </c>
      <c r="AP2" s="13" t="s">
        <v>26</v>
      </c>
    </row>
    <row r="3" spans="1:47" x14ac:dyDescent="0.25">
      <c r="F3" s="1" t="s">
        <v>28</v>
      </c>
      <c r="G3" s="2">
        <v>1295</v>
      </c>
      <c r="H3" s="2">
        <v>1.42</v>
      </c>
      <c r="I3" s="2">
        <v>3917</v>
      </c>
      <c r="J3" s="2">
        <v>4352</v>
      </c>
      <c r="L3" s="11"/>
      <c r="M3" s="11"/>
      <c r="N3" s="1">
        <f>L3-M3</f>
        <v>0</v>
      </c>
      <c r="O3" s="1">
        <f t="shared" ref="O3:P5" si="0">I3</f>
        <v>3917</v>
      </c>
      <c r="P3" s="1">
        <f t="shared" si="0"/>
        <v>4352</v>
      </c>
      <c r="Q3" s="12" t="e">
        <f>$O3/9.81/LN(L3/M3)</f>
        <v>#DIV/0!</v>
      </c>
      <c r="R3" s="12" t="e">
        <f>$P3/9.81/LN(L3/M3)</f>
        <v>#DIV/0!</v>
      </c>
      <c r="T3" s="11"/>
      <c r="U3" s="11"/>
      <c r="V3" s="1">
        <f>T3-U3</f>
        <v>0</v>
      </c>
      <c r="W3" s="6">
        <f>0.95*O3</f>
        <v>3721.1499999999996</v>
      </c>
      <c r="X3" s="6">
        <f>1.01*P3</f>
        <v>4395.5200000000004</v>
      </c>
      <c r="Y3" s="12" t="e">
        <f>$W3/9.81/LN(T3/U3)</f>
        <v>#DIV/0!</v>
      </c>
      <c r="Z3" s="12" t="e">
        <f>$X3/9.81/LN(T3/U3)</f>
        <v>#DIV/0!</v>
      </c>
      <c r="AB3" s="11">
        <v>1280</v>
      </c>
      <c r="AC3" s="11">
        <f>1077/5</f>
        <v>215.4</v>
      </c>
      <c r="AD3" s="1">
        <f>AB3-AC3</f>
        <v>1064.5999999999999</v>
      </c>
      <c r="AE3" s="6">
        <f>0.95*W3</f>
        <v>3535.0924999999993</v>
      </c>
      <c r="AF3" s="6">
        <f>1.01*X3</f>
        <v>4439.4752000000008</v>
      </c>
      <c r="AG3" s="12">
        <f>$AE3/9.81/LN(AB3/AC3)</f>
        <v>202.20652870695972</v>
      </c>
      <c r="AH3" s="12">
        <f>$AF3/9.81/LN(AB3/AC3)</f>
        <v>253.93702412953436</v>
      </c>
      <c r="AJ3" s="11">
        <v>1286</v>
      </c>
      <c r="AK3" s="11">
        <v>272</v>
      </c>
      <c r="AL3" s="1">
        <f>AJ3-AK3</f>
        <v>1014</v>
      </c>
      <c r="AM3" s="6">
        <f>0.8*AE3</f>
        <v>2828.0739999999996</v>
      </c>
      <c r="AN3" s="6">
        <f>0.85*P3</f>
        <v>3699.2</v>
      </c>
      <c r="AO3" s="12">
        <f>$AM3/9.81/LN(AJ3/AK3)</f>
        <v>185.57238307718134</v>
      </c>
      <c r="AP3" s="12">
        <f>$AN3/9.81/LN(AJ3/AK3)</f>
        <v>242.73387453054951</v>
      </c>
      <c r="AR3" s="1" t="s">
        <v>14</v>
      </c>
      <c r="AS3" s="40">
        <v>12.815</v>
      </c>
    </row>
    <row r="4" spans="1:47" x14ac:dyDescent="0.25">
      <c r="F4" s="1" t="s">
        <v>37</v>
      </c>
      <c r="G4" s="2">
        <v>3945</v>
      </c>
      <c r="H4" s="2">
        <v>1.55</v>
      </c>
      <c r="I4" s="2">
        <v>1191</v>
      </c>
      <c r="J4" s="2">
        <v>4835</v>
      </c>
      <c r="L4" s="11">
        <v>3954</v>
      </c>
      <c r="M4" s="11">
        <v>672</v>
      </c>
      <c r="N4" s="1">
        <f>L4-M4</f>
        <v>3282</v>
      </c>
      <c r="O4" s="1">
        <f t="shared" si="0"/>
        <v>1191</v>
      </c>
      <c r="P4" s="1">
        <f t="shared" si="0"/>
        <v>4835</v>
      </c>
      <c r="Q4" s="12">
        <f>$O4/9.81/LN(L4/M4)</f>
        <v>68.505269308814107</v>
      </c>
      <c r="R4" s="12">
        <f>$P4/9.81/LN(L4/M4)</f>
        <v>278.10493459959378</v>
      </c>
      <c r="T4" s="11">
        <v>3896</v>
      </c>
      <c r="U4" s="11">
        <v>773</v>
      </c>
      <c r="V4" s="1">
        <f>T4-U4</f>
        <v>3123</v>
      </c>
      <c r="W4" s="6">
        <f>0.95*O4</f>
        <v>1131.45</v>
      </c>
      <c r="X4" s="6">
        <f>1.01*P4</f>
        <v>4883.3500000000004</v>
      </c>
      <c r="Y4" s="12">
        <f>$W4/9.81/LN(T4/U4)</f>
        <v>71.308577640489133</v>
      </c>
      <c r="Z4" s="12">
        <f>$X4/9.81/LN(T4/U4)</f>
        <v>307.76856478031078</v>
      </c>
      <c r="AB4" s="11">
        <v>3784</v>
      </c>
      <c r="AC4" s="11">
        <v>662</v>
      </c>
      <c r="AD4" s="1">
        <f>AB4-AC4</f>
        <v>3122</v>
      </c>
      <c r="AE4" s="6">
        <f>0.95*W4</f>
        <v>1074.8775000000001</v>
      </c>
      <c r="AF4" s="6">
        <f>1.01*X4</f>
        <v>4932.1835000000001</v>
      </c>
      <c r="AG4" s="12">
        <f>$AE4/9.81/LN(AB4/AC4)</f>
        <v>62.852848664219529</v>
      </c>
      <c r="AH4" s="12">
        <f>$AF4/9.81/LN(AB4/AC4)</f>
        <v>288.40661666995595</v>
      </c>
      <c r="AJ4" s="11"/>
      <c r="AK4" s="11"/>
      <c r="AL4" s="1">
        <f>AJ4-AK4</f>
        <v>0</v>
      </c>
      <c r="AM4" s="6">
        <f t="shared" ref="AM4:AM5" si="1">0.8*AE4</f>
        <v>859.90200000000004</v>
      </c>
      <c r="AN4" s="6">
        <f t="shared" ref="AN4:AN5" si="2">0.85*P4</f>
        <v>4109.75</v>
      </c>
      <c r="AO4" s="12" t="e">
        <f>$AM4/9.81/LN(AJ4/AK4)</f>
        <v>#DIV/0!</v>
      </c>
      <c r="AP4" s="12" t="e">
        <f>$AN4/9.81/LN(AJ4/AK4)</f>
        <v>#DIV/0!</v>
      </c>
      <c r="AR4" s="1" t="s">
        <v>32</v>
      </c>
      <c r="AS4" s="40">
        <v>1.5</v>
      </c>
      <c r="AT4" s="1" t="s">
        <v>30</v>
      </c>
      <c r="AU4" s="4">
        <f>AS6/AS4/9.81</f>
        <v>15.630309208290861</v>
      </c>
    </row>
    <row r="5" spans="1:47" x14ac:dyDescent="0.25">
      <c r="F5" s="1" t="s">
        <v>38</v>
      </c>
      <c r="G5" s="2">
        <v>78070</v>
      </c>
      <c r="H5" s="2">
        <v>1.96</v>
      </c>
      <c r="I5" s="2">
        <v>4789</v>
      </c>
      <c r="J5" s="2">
        <v>5209</v>
      </c>
      <c r="L5" s="11">
        <v>78271</v>
      </c>
      <c r="M5" s="11">
        <v>8236</v>
      </c>
      <c r="N5" s="1">
        <f>L5-M5</f>
        <v>70035</v>
      </c>
      <c r="O5" s="1">
        <f t="shared" si="0"/>
        <v>4789</v>
      </c>
      <c r="P5" s="1">
        <f t="shared" si="0"/>
        <v>5209</v>
      </c>
      <c r="Q5" s="12">
        <f>$O5/9.81/LN(L5/M5)</f>
        <v>216.8066299574084</v>
      </c>
      <c r="R5" s="12">
        <f>$P5/9.81/LN(L5/M5)</f>
        <v>235.82078418211324</v>
      </c>
      <c r="T5" s="11">
        <v>79450</v>
      </c>
      <c r="U5" s="11">
        <v>10736</v>
      </c>
      <c r="V5" s="1">
        <f>T5-U5</f>
        <v>68714</v>
      </c>
      <c r="W5" s="6">
        <f>0.95*O5</f>
        <v>4549.55</v>
      </c>
      <c r="X5" s="6">
        <f>1.01*P5</f>
        <v>5261.09</v>
      </c>
      <c r="Y5" s="12">
        <f>$W5/9.81/LN(T5/U5)</f>
        <v>231.70656987189776</v>
      </c>
      <c r="Z5" s="12">
        <f>$X5/9.81/LN(T5/U5)</f>
        <v>267.94498745751611</v>
      </c>
      <c r="AB5" s="11"/>
      <c r="AC5" s="11"/>
      <c r="AD5" s="1">
        <f>AB5-AC5</f>
        <v>0</v>
      </c>
      <c r="AE5" s="6">
        <f>0.95*W5</f>
        <v>4322.0725000000002</v>
      </c>
      <c r="AF5" s="6">
        <f>1.01*X5</f>
        <v>5313.7008999999998</v>
      </c>
      <c r="AG5" s="12" t="e">
        <f>$AE5/9.81/LN(AB5/AC5)</f>
        <v>#DIV/0!</v>
      </c>
      <c r="AH5" s="12" t="e">
        <f>$AF5/9.81/LN(AB5/AC5)</f>
        <v>#DIV/0!</v>
      </c>
      <c r="AJ5" s="11"/>
      <c r="AK5" s="11"/>
      <c r="AL5" s="1">
        <f>AJ5-AK5</f>
        <v>0</v>
      </c>
      <c r="AM5" s="6">
        <f t="shared" si="1"/>
        <v>3457.6580000000004</v>
      </c>
      <c r="AN5" s="6">
        <f t="shared" si="2"/>
        <v>4427.6499999999996</v>
      </c>
      <c r="AO5" s="12" t="e">
        <f>$AM5/9.81/LN(AJ5/AK5)</f>
        <v>#DIV/0!</v>
      </c>
      <c r="AP5" s="12" t="e">
        <f>$AN5/9.81/LN(AJ5/AK5)</f>
        <v>#DIV/0!</v>
      </c>
      <c r="AR5" s="1" t="s">
        <v>22</v>
      </c>
      <c r="AS5" s="1">
        <f>AS3+AS4</f>
        <v>14.315</v>
      </c>
    </row>
    <row r="6" spans="1:47" x14ac:dyDescent="0.25">
      <c r="F6" s="1" t="s">
        <v>133</v>
      </c>
      <c r="G6" s="2">
        <v>78070</v>
      </c>
      <c r="H6" s="2">
        <v>1.96</v>
      </c>
      <c r="I6" s="2">
        <v>4789</v>
      </c>
      <c r="J6" s="2">
        <v>5209</v>
      </c>
      <c r="L6" s="11">
        <v>78271</v>
      </c>
      <c r="M6" s="11">
        <v>8236</v>
      </c>
      <c r="N6" s="1">
        <f>L6-M6</f>
        <v>70035</v>
      </c>
      <c r="O6" s="1">
        <f t="shared" ref="O6" si="3">I6</f>
        <v>4789</v>
      </c>
      <c r="P6" s="1">
        <f t="shared" ref="P6" si="4">J6</f>
        <v>5209</v>
      </c>
      <c r="Q6" s="12">
        <f>$O6/9.81/LN(L6/M6)</f>
        <v>216.8066299574084</v>
      </c>
      <c r="R6" s="12">
        <f>$P6/9.81/LN(L6/M6)</f>
        <v>235.82078418211324</v>
      </c>
      <c r="T6" s="11">
        <v>79450</v>
      </c>
      <c r="U6" s="11">
        <v>10736</v>
      </c>
      <c r="V6" s="1">
        <f>T6-U6</f>
        <v>68714</v>
      </c>
      <c r="W6" s="6">
        <f>0.95*O6</f>
        <v>4549.55</v>
      </c>
      <c r="X6" s="6">
        <f>1.01*P6</f>
        <v>5261.09</v>
      </c>
      <c r="Y6" s="12">
        <f>$W6/9.81/LN(T6/U6)</f>
        <v>231.70656987189776</v>
      </c>
      <c r="Z6" s="12">
        <f>$X6/9.81/LN(T6/U6)</f>
        <v>267.94498745751611</v>
      </c>
      <c r="AB6" s="11"/>
      <c r="AC6" s="11"/>
      <c r="AD6" s="1">
        <f>AB6-AC6</f>
        <v>0</v>
      </c>
      <c r="AE6" s="6">
        <f>0.95*W6</f>
        <v>4322.0725000000002</v>
      </c>
      <c r="AF6" s="6">
        <f>1.01*X6</f>
        <v>5313.7008999999998</v>
      </c>
      <c r="AG6" s="12" t="e">
        <f>$AE6/9.81/LN(AB6/AC6)</f>
        <v>#DIV/0!</v>
      </c>
      <c r="AH6" s="12" t="e">
        <f>$AF6/9.81/LN(AB6/AC6)</f>
        <v>#DIV/0!</v>
      </c>
      <c r="AJ6" s="11"/>
      <c r="AK6" s="11"/>
      <c r="AL6" s="1">
        <f>AJ6-AK6</f>
        <v>0</v>
      </c>
      <c r="AM6" s="6">
        <f t="shared" ref="AM6" si="5">0.8*AE6</f>
        <v>3457.6580000000004</v>
      </c>
      <c r="AN6" s="6">
        <f t="shared" ref="AN6" si="6">0.85*P6</f>
        <v>4427.6499999999996</v>
      </c>
      <c r="AO6" s="12" t="e">
        <f>$AM6/9.81/LN(AJ6/AK6)</f>
        <v>#DIV/0!</v>
      </c>
      <c r="AP6" s="12" t="e">
        <f>$AN6/9.81/LN(AJ6/AK6)</f>
        <v>#DIV/0!</v>
      </c>
      <c r="AR6" s="1" t="s">
        <v>134</v>
      </c>
      <c r="AS6" s="40">
        <v>230</v>
      </c>
      <c r="AT6" s="1">
        <f>AS6/9.81/60</f>
        <v>0.39075773020727145</v>
      </c>
    </row>
    <row r="7" spans="1:47" x14ac:dyDescent="0.25">
      <c r="AR7" s="1" t="s">
        <v>30</v>
      </c>
      <c r="AS7" s="4">
        <f>AS6/AS5/9.81</f>
        <v>1.6378249257727062</v>
      </c>
    </row>
    <row r="8" spans="1:47" x14ac:dyDescent="0.25">
      <c r="A8" s="13" t="s">
        <v>149</v>
      </c>
      <c r="B8" s="13" t="s">
        <v>75</v>
      </c>
      <c r="C8" s="13" t="s">
        <v>24</v>
      </c>
      <c r="D8" s="13" t="s">
        <v>154</v>
      </c>
      <c r="E8" s="13" t="s">
        <v>160</v>
      </c>
    </row>
    <row r="9" spans="1:47" x14ac:dyDescent="0.25">
      <c r="E9" s="37" t="str">
        <f t="shared" ref="E9:E11" si="7">IF(D9="--n/a--","",IF(C9="Hyperg","Hypergolic",""))&amp;"-"</f>
        <v>-</v>
      </c>
      <c r="AR9" s="1" t="s">
        <v>14</v>
      </c>
      <c r="AS9" s="40">
        <v>25</v>
      </c>
    </row>
    <row r="10" spans="1:47" x14ac:dyDescent="0.25">
      <c r="A10" s="1" t="s">
        <v>153</v>
      </c>
      <c r="B10" s="1">
        <v>0.625</v>
      </c>
      <c r="C10" s="1" t="s">
        <v>156</v>
      </c>
      <c r="D10" s="37" t="s">
        <v>159</v>
      </c>
      <c r="E10" s="37" t="str">
        <f t="shared" si="7"/>
        <v>-</v>
      </c>
      <c r="AR10" s="1" t="s">
        <v>32</v>
      </c>
      <c r="AS10" s="40">
        <v>1.5</v>
      </c>
      <c r="AT10" s="1" t="s">
        <v>30</v>
      </c>
      <c r="AU10" s="4">
        <f>AS12/AS10/9.81</f>
        <v>15.630309208290861</v>
      </c>
    </row>
    <row r="11" spans="1:47" x14ac:dyDescent="0.25">
      <c r="A11" s="1" t="s">
        <v>153</v>
      </c>
      <c r="B11" s="1">
        <v>0.625</v>
      </c>
      <c r="C11" s="1" t="s">
        <v>155</v>
      </c>
      <c r="D11" s="37" t="s">
        <v>159</v>
      </c>
      <c r="E11" s="37" t="str">
        <f t="shared" si="7"/>
        <v>-</v>
      </c>
      <c r="AR11" s="1" t="s">
        <v>22</v>
      </c>
      <c r="AS11" s="1">
        <f>AS9+AS10</f>
        <v>26.5</v>
      </c>
    </row>
    <row r="12" spans="1:47" x14ac:dyDescent="0.25">
      <c r="A12" s="1" t="s">
        <v>153</v>
      </c>
      <c r="B12" s="1">
        <v>0.625</v>
      </c>
      <c r="C12" s="1" t="s">
        <v>161</v>
      </c>
      <c r="D12" s="1" t="s">
        <v>158</v>
      </c>
      <c r="E12" s="37" t="str">
        <f>IF(D12="--n/a--","",IF(C12="Hyperg","Hypergolic",""))&amp;"-"</f>
        <v>-</v>
      </c>
      <c r="AR12" s="1" t="s">
        <v>134</v>
      </c>
      <c r="AS12" s="40">
        <v>230</v>
      </c>
      <c r="AT12" s="1">
        <f>AS12/9.81/60</f>
        <v>0.39075773020727145</v>
      </c>
    </row>
    <row r="13" spans="1:47" x14ac:dyDescent="0.25">
      <c r="A13" s="1" t="s">
        <v>153</v>
      </c>
      <c r="B13" s="1">
        <v>0.625</v>
      </c>
      <c r="C13" s="1" t="s">
        <v>157</v>
      </c>
      <c r="D13" s="1" t="s">
        <v>158</v>
      </c>
      <c r="E13" s="37" t="str">
        <f t="shared" ref="E13:E76" si="8">IF(D13="--n/a--","",IF(C13="Hyperg","Hypergolic",""))&amp;"-"</f>
        <v>-</v>
      </c>
      <c r="AR13" s="1" t="s">
        <v>30</v>
      </c>
      <c r="AS13" s="4">
        <f>AS12/AS11/9.81</f>
        <v>0.88473448348816186</v>
      </c>
    </row>
    <row r="14" spans="1:47" x14ac:dyDescent="0.25">
      <c r="A14" s="1" t="s">
        <v>150</v>
      </c>
      <c r="B14" s="1">
        <v>0.625</v>
      </c>
      <c r="C14" s="1" t="s">
        <v>156</v>
      </c>
      <c r="D14" s="37" t="s">
        <v>159</v>
      </c>
      <c r="E14" s="37" t="str">
        <f t="shared" si="8"/>
        <v>-</v>
      </c>
    </row>
    <row r="15" spans="1:47" x14ac:dyDescent="0.25">
      <c r="A15" s="1" t="s">
        <v>150</v>
      </c>
      <c r="B15" s="1">
        <v>0.625</v>
      </c>
      <c r="C15" s="1" t="s">
        <v>155</v>
      </c>
      <c r="D15" s="37" t="s">
        <v>159</v>
      </c>
      <c r="E15" s="37" t="str">
        <f t="shared" si="8"/>
        <v>-</v>
      </c>
    </row>
    <row r="16" spans="1:47" x14ac:dyDescent="0.25">
      <c r="A16" s="1" t="s">
        <v>150</v>
      </c>
      <c r="B16" s="1">
        <v>0.625</v>
      </c>
      <c r="C16" s="1" t="s">
        <v>161</v>
      </c>
      <c r="D16" s="1" t="s">
        <v>158</v>
      </c>
      <c r="E16" s="37" t="str">
        <f t="shared" si="8"/>
        <v>-</v>
      </c>
    </row>
    <row r="17" spans="1:45" x14ac:dyDescent="0.25">
      <c r="A17" s="1" t="s">
        <v>150</v>
      </c>
      <c r="B17" s="1">
        <v>0.625</v>
      </c>
      <c r="C17" s="1" t="s">
        <v>157</v>
      </c>
      <c r="D17" s="1" t="s">
        <v>158</v>
      </c>
      <c r="E17" s="37" t="str">
        <f t="shared" si="8"/>
        <v>-</v>
      </c>
    </row>
    <row r="18" spans="1:45" x14ac:dyDescent="0.25">
      <c r="A18" s="1" t="s">
        <v>152</v>
      </c>
      <c r="B18" s="1">
        <v>0.625</v>
      </c>
      <c r="C18" s="1" t="s">
        <v>156</v>
      </c>
      <c r="D18" s="37" t="s">
        <v>159</v>
      </c>
      <c r="E18" s="37" t="str">
        <f t="shared" si="8"/>
        <v>-</v>
      </c>
    </row>
    <row r="19" spans="1:45" x14ac:dyDescent="0.25">
      <c r="A19" s="1" t="s">
        <v>152</v>
      </c>
      <c r="B19" s="1">
        <v>0.625</v>
      </c>
      <c r="C19" s="1" t="s">
        <v>155</v>
      </c>
      <c r="D19" s="37" t="s">
        <v>159</v>
      </c>
      <c r="E19" s="37" t="str">
        <f t="shared" si="8"/>
        <v>-</v>
      </c>
    </row>
    <row r="20" spans="1:45" x14ac:dyDescent="0.25">
      <c r="A20" s="1" t="s">
        <v>152</v>
      </c>
      <c r="B20" s="1">
        <v>0.625</v>
      </c>
      <c r="C20" s="1" t="s">
        <v>161</v>
      </c>
      <c r="D20" s="1" t="s">
        <v>158</v>
      </c>
      <c r="E20" s="37" t="str">
        <f t="shared" si="8"/>
        <v>-</v>
      </c>
    </row>
    <row r="21" spans="1:45" x14ac:dyDescent="0.25">
      <c r="A21" s="1" t="s">
        <v>152</v>
      </c>
      <c r="B21" s="1">
        <v>0.625</v>
      </c>
      <c r="C21" s="1" t="s">
        <v>157</v>
      </c>
      <c r="D21" s="1" t="s">
        <v>158</v>
      </c>
      <c r="E21" s="37" t="str">
        <f t="shared" si="8"/>
        <v>-</v>
      </c>
    </row>
    <row r="22" spans="1:45" x14ac:dyDescent="0.25">
      <c r="A22" s="1" t="s">
        <v>151</v>
      </c>
      <c r="B22" s="1">
        <v>0.625</v>
      </c>
      <c r="C22" s="1" t="s">
        <v>156</v>
      </c>
      <c r="D22" s="37" t="s">
        <v>159</v>
      </c>
      <c r="E22" s="37" t="str">
        <f t="shared" si="8"/>
        <v>-</v>
      </c>
    </row>
    <row r="23" spans="1:45" x14ac:dyDescent="0.25">
      <c r="A23" s="1" t="s">
        <v>151</v>
      </c>
      <c r="B23" s="1">
        <v>0.625</v>
      </c>
      <c r="C23" s="1" t="s">
        <v>155</v>
      </c>
      <c r="D23" s="37" t="s">
        <v>159</v>
      </c>
      <c r="E23" s="37" t="str">
        <f t="shared" si="8"/>
        <v>-</v>
      </c>
    </row>
    <row r="24" spans="1:45" x14ac:dyDescent="0.25">
      <c r="A24" s="1" t="s">
        <v>151</v>
      </c>
      <c r="B24" s="1">
        <v>0.625</v>
      </c>
      <c r="C24" s="1" t="s">
        <v>161</v>
      </c>
      <c r="D24" s="1" t="s">
        <v>158</v>
      </c>
      <c r="E24" s="37" t="str">
        <f t="shared" si="8"/>
        <v>-</v>
      </c>
      <c r="AS24" s="3"/>
    </row>
    <row r="25" spans="1:45" x14ac:dyDescent="0.25">
      <c r="A25" s="1" t="s">
        <v>151</v>
      </c>
      <c r="B25" s="1">
        <v>0.625</v>
      </c>
      <c r="C25" s="1" t="s">
        <v>157</v>
      </c>
      <c r="D25" s="1" t="s">
        <v>158</v>
      </c>
      <c r="E25" s="37" t="str">
        <f t="shared" si="8"/>
        <v>-</v>
      </c>
    </row>
    <row r="26" spans="1:45" x14ac:dyDescent="0.25">
      <c r="A26" s="1" t="s">
        <v>153</v>
      </c>
      <c r="B26" s="1">
        <v>1.25</v>
      </c>
      <c r="C26" s="1" t="s">
        <v>156</v>
      </c>
      <c r="D26" s="1" t="s">
        <v>158</v>
      </c>
      <c r="E26" s="37" t="str">
        <f t="shared" si="8"/>
        <v>-</v>
      </c>
    </row>
    <row r="27" spans="1:45" x14ac:dyDescent="0.25">
      <c r="A27" s="1" t="s">
        <v>153</v>
      </c>
      <c r="B27" s="1">
        <v>1.25</v>
      </c>
      <c r="C27" s="1" t="s">
        <v>155</v>
      </c>
      <c r="D27" s="1" t="s">
        <v>158</v>
      </c>
      <c r="E27" s="37" t="str">
        <f t="shared" si="8"/>
        <v>-</v>
      </c>
    </row>
    <row r="28" spans="1:45" x14ac:dyDescent="0.25">
      <c r="A28" s="1" t="s">
        <v>153</v>
      </c>
      <c r="B28" s="1">
        <v>1.25</v>
      </c>
      <c r="C28" s="1" t="s">
        <v>161</v>
      </c>
      <c r="D28" s="1" t="s">
        <v>158</v>
      </c>
      <c r="E28" s="37" t="str">
        <f t="shared" si="8"/>
        <v>-</v>
      </c>
    </row>
    <row r="29" spans="1:45" x14ac:dyDescent="0.25">
      <c r="A29" s="1" t="s">
        <v>153</v>
      </c>
      <c r="B29" s="1">
        <v>1.25</v>
      </c>
      <c r="C29" s="1" t="s">
        <v>157</v>
      </c>
      <c r="D29" s="1" t="s">
        <v>158</v>
      </c>
      <c r="E29" s="37" t="str">
        <f t="shared" si="8"/>
        <v>-</v>
      </c>
    </row>
    <row r="30" spans="1:45" x14ac:dyDescent="0.25">
      <c r="A30" s="1" t="s">
        <v>150</v>
      </c>
      <c r="B30" s="1">
        <v>1.25</v>
      </c>
      <c r="C30" s="1" t="s">
        <v>156</v>
      </c>
      <c r="D30" s="1" t="s">
        <v>158</v>
      </c>
      <c r="E30" s="37" t="str">
        <f t="shared" si="8"/>
        <v>-</v>
      </c>
    </row>
    <row r="31" spans="1:45" x14ac:dyDescent="0.25">
      <c r="A31" s="1" t="s">
        <v>150</v>
      </c>
      <c r="B31" s="1">
        <v>1.25</v>
      </c>
      <c r="C31" s="1" t="s">
        <v>155</v>
      </c>
      <c r="D31" s="1" t="s">
        <v>158</v>
      </c>
      <c r="E31" s="37" t="str">
        <f t="shared" si="8"/>
        <v>-</v>
      </c>
    </row>
    <row r="32" spans="1:45" x14ac:dyDescent="0.25">
      <c r="A32" s="1" t="s">
        <v>150</v>
      </c>
      <c r="B32" s="1">
        <v>1.25</v>
      </c>
      <c r="C32" s="1" t="s">
        <v>161</v>
      </c>
      <c r="D32" s="1" t="s">
        <v>158</v>
      </c>
      <c r="E32" s="37" t="str">
        <f t="shared" si="8"/>
        <v>-</v>
      </c>
    </row>
    <row r="33" spans="1:15" x14ac:dyDescent="0.25">
      <c r="A33" s="1" t="s">
        <v>150</v>
      </c>
      <c r="B33" s="1">
        <v>1.25</v>
      </c>
      <c r="C33" s="1" t="s">
        <v>157</v>
      </c>
      <c r="D33" s="1" t="s">
        <v>158</v>
      </c>
      <c r="E33" s="37" t="str">
        <f t="shared" si="8"/>
        <v>-</v>
      </c>
    </row>
    <row r="34" spans="1:15" x14ac:dyDescent="0.25">
      <c r="A34" s="1" t="s">
        <v>152</v>
      </c>
      <c r="B34" s="1">
        <v>1.25</v>
      </c>
      <c r="C34" s="1" t="s">
        <v>156</v>
      </c>
      <c r="D34" s="1" t="s">
        <v>158</v>
      </c>
      <c r="E34" s="37" t="str">
        <f t="shared" si="8"/>
        <v>-</v>
      </c>
    </row>
    <row r="35" spans="1:15" x14ac:dyDescent="0.25">
      <c r="A35" s="1" t="s">
        <v>152</v>
      </c>
      <c r="B35" s="1">
        <v>1.25</v>
      </c>
      <c r="C35" s="1" t="s">
        <v>155</v>
      </c>
      <c r="D35" s="1" t="s">
        <v>158</v>
      </c>
      <c r="E35" s="37" t="str">
        <f t="shared" si="8"/>
        <v>-</v>
      </c>
    </row>
    <row r="36" spans="1:15" x14ac:dyDescent="0.25">
      <c r="A36" s="1" t="s">
        <v>152</v>
      </c>
      <c r="B36" s="1">
        <v>1.25</v>
      </c>
      <c r="C36" s="1" t="s">
        <v>161</v>
      </c>
      <c r="D36" s="1" t="s">
        <v>158</v>
      </c>
      <c r="E36" s="37" t="str">
        <f t="shared" si="8"/>
        <v>-</v>
      </c>
    </row>
    <row r="37" spans="1:15" x14ac:dyDescent="0.25">
      <c r="A37" s="1" t="s">
        <v>152</v>
      </c>
      <c r="B37" s="1">
        <v>1.25</v>
      </c>
      <c r="C37" s="1" t="s">
        <v>157</v>
      </c>
      <c r="D37" s="1" t="s">
        <v>158</v>
      </c>
      <c r="E37" s="37" t="str">
        <f t="shared" si="8"/>
        <v>-</v>
      </c>
    </row>
    <row r="38" spans="1:15" x14ac:dyDescent="0.25">
      <c r="A38" s="1" t="s">
        <v>151</v>
      </c>
      <c r="B38" s="1">
        <v>1.25</v>
      </c>
      <c r="C38" s="1" t="s">
        <v>156</v>
      </c>
      <c r="D38" s="1" t="s">
        <v>158</v>
      </c>
      <c r="E38" s="37" t="str">
        <f t="shared" si="8"/>
        <v>-</v>
      </c>
    </row>
    <row r="39" spans="1:15" x14ac:dyDescent="0.25">
      <c r="A39" s="1" t="s">
        <v>151</v>
      </c>
      <c r="B39" s="1">
        <v>1.25</v>
      </c>
      <c r="C39" s="1" t="s">
        <v>155</v>
      </c>
      <c r="D39" s="1" t="s">
        <v>158</v>
      </c>
      <c r="E39" s="37" t="str">
        <f t="shared" si="8"/>
        <v>-</v>
      </c>
    </row>
    <row r="40" spans="1:15" x14ac:dyDescent="0.25">
      <c r="A40" s="1" t="s">
        <v>151</v>
      </c>
      <c r="B40" s="1">
        <v>1.25</v>
      </c>
      <c r="C40" s="1" t="s">
        <v>161</v>
      </c>
      <c r="D40" s="1" t="s">
        <v>158</v>
      </c>
      <c r="E40" s="37" t="str">
        <f t="shared" si="8"/>
        <v>-</v>
      </c>
    </row>
    <row r="41" spans="1:15" x14ac:dyDescent="0.25">
      <c r="A41" s="1" t="s">
        <v>151</v>
      </c>
      <c r="B41" s="1">
        <v>1.25</v>
      </c>
      <c r="C41" s="1" t="s">
        <v>157</v>
      </c>
      <c r="D41" s="1" t="s">
        <v>158</v>
      </c>
      <c r="E41" s="37" t="str">
        <f t="shared" si="8"/>
        <v>-</v>
      </c>
    </row>
    <row r="42" spans="1:15" x14ac:dyDescent="0.25">
      <c r="A42" s="1" t="s">
        <v>153</v>
      </c>
      <c r="B42" s="1">
        <v>1.875</v>
      </c>
      <c r="C42" s="1" t="s">
        <v>156</v>
      </c>
      <c r="D42" s="1" t="s">
        <v>158</v>
      </c>
      <c r="E42" s="37" t="str">
        <f t="shared" si="8"/>
        <v>-</v>
      </c>
    </row>
    <row r="43" spans="1:15" x14ac:dyDescent="0.25">
      <c r="A43" s="1" t="s">
        <v>153</v>
      </c>
      <c r="B43" s="1">
        <v>1.875</v>
      </c>
      <c r="C43" s="1" t="s">
        <v>155</v>
      </c>
      <c r="D43" s="1" t="s">
        <v>158</v>
      </c>
      <c r="E43" s="37" t="str">
        <f t="shared" si="8"/>
        <v>-</v>
      </c>
    </row>
    <row r="44" spans="1:15" x14ac:dyDescent="0.25">
      <c r="A44" s="1" t="s">
        <v>153</v>
      </c>
      <c r="B44" s="1">
        <v>1.875</v>
      </c>
      <c r="C44" s="1" t="s">
        <v>161</v>
      </c>
      <c r="D44" s="1" t="s">
        <v>158</v>
      </c>
      <c r="E44" s="37" t="str">
        <f t="shared" si="8"/>
        <v>-</v>
      </c>
      <c r="O44" s="43"/>
    </row>
    <row r="45" spans="1:15" x14ac:dyDescent="0.25">
      <c r="A45" s="1" t="s">
        <v>153</v>
      </c>
      <c r="B45" s="1">
        <v>1.875</v>
      </c>
      <c r="C45" s="1" t="s">
        <v>157</v>
      </c>
      <c r="D45" s="37" t="s">
        <v>159</v>
      </c>
      <c r="E45" s="37" t="str">
        <f t="shared" si="8"/>
        <v>-</v>
      </c>
    </row>
    <row r="46" spans="1:15" x14ac:dyDescent="0.25">
      <c r="A46" s="1" t="s">
        <v>150</v>
      </c>
      <c r="B46" s="1">
        <v>1.875</v>
      </c>
      <c r="C46" s="1" t="s">
        <v>156</v>
      </c>
      <c r="D46" s="1" t="s">
        <v>158</v>
      </c>
      <c r="E46" s="37" t="str">
        <f t="shared" si="8"/>
        <v>-</v>
      </c>
    </row>
    <row r="47" spans="1:15" x14ac:dyDescent="0.25">
      <c r="A47" s="1" t="s">
        <v>150</v>
      </c>
      <c r="B47" s="1">
        <v>1.875</v>
      </c>
      <c r="C47" s="1" t="s">
        <v>155</v>
      </c>
      <c r="D47" s="1" t="s">
        <v>158</v>
      </c>
      <c r="E47" s="37" t="str">
        <f t="shared" si="8"/>
        <v>-</v>
      </c>
    </row>
    <row r="48" spans="1:15" x14ac:dyDescent="0.25">
      <c r="A48" s="1" t="s">
        <v>150</v>
      </c>
      <c r="B48" s="1">
        <v>1.875</v>
      </c>
      <c r="C48" s="1" t="s">
        <v>161</v>
      </c>
      <c r="D48" s="1" t="s">
        <v>158</v>
      </c>
      <c r="E48" s="37" t="str">
        <f t="shared" si="8"/>
        <v>-</v>
      </c>
    </row>
    <row r="49" spans="1:5" x14ac:dyDescent="0.25">
      <c r="A49" s="1" t="s">
        <v>150</v>
      </c>
      <c r="B49" s="1">
        <v>1.875</v>
      </c>
      <c r="C49" s="1" t="s">
        <v>157</v>
      </c>
      <c r="D49" s="37" t="s">
        <v>159</v>
      </c>
      <c r="E49" s="37" t="str">
        <f t="shared" si="8"/>
        <v>-</v>
      </c>
    </row>
    <row r="50" spans="1:5" x14ac:dyDescent="0.25">
      <c r="A50" s="1" t="s">
        <v>152</v>
      </c>
      <c r="B50" s="1">
        <v>1.875</v>
      </c>
      <c r="C50" s="1" t="s">
        <v>156</v>
      </c>
      <c r="D50" s="1" t="s">
        <v>158</v>
      </c>
      <c r="E50" s="37" t="str">
        <f t="shared" si="8"/>
        <v>-</v>
      </c>
    </row>
    <row r="51" spans="1:5" x14ac:dyDescent="0.25">
      <c r="A51" s="1" t="s">
        <v>152</v>
      </c>
      <c r="B51" s="1">
        <v>1.875</v>
      </c>
      <c r="C51" s="1" t="s">
        <v>155</v>
      </c>
      <c r="D51" s="1" t="s">
        <v>158</v>
      </c>
      <c r="E51" s="37" t="str">
        <f t="shared" si="8"/>
        <v>-</v>
      </c>
    </row>
    <row r="52" spans="1:5" x14ac:dyDescent="0.25">
      <c r="A52" s="1" t="s">
        <v>152</v>
      </c>
      <c r="B52" s="1">
        <v>1.875</v>
      </c>
      <c r="C52" s="1" t="s">
        <v>161</v>
      </c>
      <c r="D52" s="1" t="s">
        <v>158</v>
      </c>
      <c r="E52" s="37" t="str">
        <f t="shared" si="8"/>
        <v>-</v>
      </c>
    </row>
    <row r="53" spans="1:5" x14ac:dyDescent="0.25">
      <c r="A53" s="1" t="s">
        <v>152</v>
      </c>
      <c r="B53" s="1">
        <v>1.875</v>
      </c>
      <c r="C53" s="1" t="s">
        <v>157</v>
      </c>
      <c r="D53" s="37" t="s">
        <v>159</v>
      </c>
      <c r="E53" s="37" t="str">
        <f t="shared" si="8"/>
        <v>-</v>
      </c>
    </row>
    <row r="54" spans="1:5" x14ac:dyDescent="0.25">
      <c r="A54" s="1" t="s">
        <v>151</v>
      </c>
      <c r="B54" s="1">
        <v>1.875</v>
      </c>
      <c r="C54" s="1" t="s">
        <v>156</v>
      </c>
      <c r="D54" s="1" t="s">
        <v>158</v>
      </c>
      <c r="E54" s="37" t="str">
        <f t="shared" si="8"/>
        <v>-</v>
      </c>
    </row>
    <row r="55" spans="1:5" x14ac:dyDescent="0.25">
      <c r="A55" s="1" t="s">
        <v>151</v>
      </c>
      <c r="B55" s="1">
        <v>1.875</v>
      </c>
      <c r="C55" s="1" t="s">
        <v>155</v>
      </c>
      <c r="D55" s="1" t="s">
        <v>158</v>
      </c>
      <c r="E55" s="37" t="str">
        <f t="shared" si="8"/>
        <v>-</v>
      </c>
    </row>
    <row r="56" spans="1:5" x14ac:dyDescent="0.25">
      <c r="A56" s="1" t="s">
        <v>151</v>
      </c>
      <c r="B56" s="1">
        <v>1.875</v>
      </c>
      <c r="C56" s="1" t="s">
        <v>161</v>
      </c>
      <c r="D56" s="37" t="s">
        <v>159</v>
      </c>
      <c r="E56" s="37" t="str">
        <f t="shared" si="8"/>
        <v>-</v>
      </c>
    </row>
    <row r="57" spans="1:5" x14ac:dyDescent="0.25">
      <c r="A57" s="1" t="s">
        <v>151</v>
      </c>
      <c r="B57" s="1">
        <v>1.875</v>
      </c>
      <c r="C57" s="1" t="s">
        <v>157</v>
      </c>
      <c r="D57" s="37" t="s">
        <v>159</v>
      </c>
      <c r="E57" s="37" t="str">
        <f t="shared" si="8"/>
        <v>-</v>
      </c>
    </row>
    <row r="58" spans="1:5" x14ac:dyDescent="0.25">
      <c r="A58" s="1" t="s">
        <v>153</v>
      </c>
      <c r="B58" s="1">
        <v>2.5</v>
      </c>
      <c r="C58" s="1" t="s">
        <v>156</v>
      </c>
      <c r="D58" s="1" t="s">
        <v>158</v>
      </c>
      <c r="E58" s="37" t="str">
        <f t="shared" si="8"/>
        <v>-</v>
      </c>
    </row>
    <row r="59" spans="1:5" x14ac:dyDescent="0.25">
      <c r="A59" s="1" t="s">
        <v>153</v>
      </c>
      <c r="B59" s="1">
        <v>2.5</v>
      </c>
      <c r="C59" s="1" t="s">
        <v>155</v>
      </c>
      <c r="D59" s="1" t="s">
        <v>158</v>
      </c>
      <c r="E59" s="37" t="str">
        <f t="shared" si="8"/>
        <v>-</v>
      </c>
    </row>
    <row r="60" spans="1:5" x14ac:dyDescent="0.25">
      <c r="A60" s="1" t="s">
        <v>153</v>
      </c>
      <c r="B60" s="1">
        <v>2.5</v>
      </c>
      <c r="C60" s="1" t="s">
        <v>161</v>
      </c>
      <c r="D60" s="37" t="s">
        <v>159</v>
      </c>
      <c r="E60" s="37" t="str">
        <f t="shared" si="8"/>
        <v>-</v>
      </c>
    </row>
    <row r="61" spans="1:5" x14ac:dyDescent="0.25">
      <c r="A61" s="1" t="s">
        <v>153</v>
      </c>
      <c r="B61" s="1">
        <v>2.5</v>
      </c>
      <c r="C61" s="1" t="s">
        <v>157</v>
      </c>
      <c r="D61" s="37" t="s">
        <v>159</v>
      </c>
      <c r="E61" s="37" t="str">
        <f t="shared" si="8"/>
        <v>-</v>
      </c>
    </row>
    <row r="62" spans="1:5" x14ac:dyDescent="0.25">
      <c r="A62" s="1" t="s">
        <v>150</v>
      </c>
      <c r="B62" s="1">
        <v>2.5</v>
      </c>
      <c r="C62" s="1" t="s">
        <v>156</v>
      </c>
      <c r="D62" s="1" t="s">
        <v>158</v>
      </c>
      <c r="E62" s="37" t="str">
        <f t="shared" si="8"/>
        <v>-</v>
      </c>
    </row>
    <row r="63" spans="1:5" x14ac:dyDescent="0.25">
      <c r="A63" s="1" t="s">
        <v>150</v>
      </c>
      <c r="B63" s="1">
        <v>2.5</v>
      </c>
      <c r="C63" s="1" t="s">
        <v>155</v>
      </c>
      <c r="D63" s="1" t="s">
        <v>158</v>
      </c>
      <c r="E63" s="37" t="str">
        <f t="shared" si="8"/>
        <v>-</v>
      </c>
    </row>
    <row r="64" spans="1:5" x14ac:dyDescent="0.25">
      <c r="A64" s="1" t="s">
        <v>150</v>
      </c>
      <c r="B64" s="1">
        <v>2.5</v>
      </c>
      <c r="C64" s="1" t="s">
        <v>161</v>
      </c>
      <c r="D64" s="37" t="s">
        <v>159</v>
      </c>
      <c r="E64" s="37" t="str">
        <f t="shared" si="8"/>
        <v>-</v>
      </c>
    </row>
    <row r="65" spans="1:5" x14ac:dyDescent="0.25">
      <c r="A65" s="1" t="s">
        <v>150</v>
      </c>
      <c r="B65" s="1">
        <v>2.5</v>
      </c>
      <c r="C65" s="1" t="s">
        <v>157</v>
      </c>
      <c r="D65" s="37" t="s">
        <v>159</v>
      </c>
      <c r="E65" s="37" t="str">
        <f t="shared" si="8"/>
        <v>-</v>
      </c>
    </row>
    <row r="66" spans="1:5" x14ac:dyDescent="0.25">
      <c r="A66" s="1" t="s">
        <v>152</v>
      </c>
      <c r="B66" s="1">
        <v>2.5</v>
      </c>
      <c r="C66" s="1" t="s">
        <v>156</v>
      </c>
      <c r="D66" s="1" t="s">
        <v>158</v>
      </c>
      <c r="E66" s="37" t="str">
        <f t="shared" si="8"/>
        <v>-</v>
      </c>
    </row>
    <row r="67" spans="1:5" x14ac:dyDescent="0.25">
      <c r="A67" s="1" t="s">
        <v>152</v>
      </c>
      <c r="B67" s="1">
        <v>2.5</v>
      </c>
      <c r="C67" s="1" t="s">
        <v>155</v>
      </c>
      <c r="D67" s="1" t="s">
        <v>158</v>
      </c>
      <c r="E67" s="37" t="str">
        <f t="shared" si="8"/>
        <v>-</v>
      </c>
    </row>
    <row r="68" spans="1:5" x14ac:dyDescent="0.25">
      <c r="A68" s="1" t="s">
        <v>152</v>
      </c>
      <c r="B68" s="1">
        <v>2.5</v>
      </c>
      <c r="C68" s="1" t="s">
        <v>161</v>
      </c>
      <c r="D68" s="37" t="s">
        <v>159</v>
      </c>
      <c r="E68" s="37" t="str">
        <f t="shared" si="8"/>
        <v>-</v>
      </c>
    </row>
    <row r="69" spans="1:5" x14ac:dyDescent="0.25">
      <c r="A69" s="1" t="s">
        <v>152</v>
      </c>
      <c r="B69" s="1">
        <v>2.5</v>
      </c>
      <c r="C69" s="1" t="s">
        <v>157</v>
      </c>
      <c r="D69" s="37" t="s">
        <v>159</v>
      </c>
      <c r="E69" s="37" t="str">
        <f t="shared" si="8"/>
        <v>-</v>
      </c>
    </row>
    <row r="70" spans="1:5" x14ac:dyDescent="0.25">
      <c r="A70" s="1" t="s">
        <v>151</v>
      </c>
      <c r="B70" s="1">
        <v>2.5</v>
      </c>
      <c r="C70" s="1" t="s">
        <v>156</v>
      </c>
      <c r="D70" s="1" t="s">
        <v>158</v>
      </c>
      <c r="E70" s="37" t="str">
        <f t="shared" si="8"/>
        <v>-</v>
      </c>
    </row>
    <row r="71" spans="1:5" x14ac:dyDescent="0.25">
      <c r="A71" s="1" t="s">
        <v>151</v>
      </c>
      <c r="B71" s="1">
        <v>2.5</v>
      </c>
      <c r="C71" s="1" t="s">
        <v>155</v>
      </c>
      <c r="D71" s="1" t="s">
        <v>158</v>
      </c>
      <c r="E71" s="37" t="str">
        <f t="shared" si="8"/>
        <v>-</v>
      </c>
    </row>
    <row r="72" spans="1:5" x14ac:dyDescent="0.25">
      <c r="A72" s="1" t="s">
        <v>151</v>
      </c>
      <c r="B72" s="1">
        <v>2.5</v>
      </c>
      <c r="C72" s="1" t="s">
        <v>161</v>
      </c>
      <c r="D72" s="37" t="s">
        <v>159</v>
      </c>
      <c r="E72" s="37" t="str">
        <f t="shared" si="8"/>
        <v>-</v>
      </c>
    </row>
    <row r="73" spans="1:5" x14ac:dyDescent="0.25">
      <c r="A73" s="1" t="s">
        <v>151</v>
      </c>
      <c r="B73" s="1">
        <v>2.5</v>
      </c>
      <c r="C73" s="1" t="s">
        <v>157</v>
      </c>
      <c r="D73" s="37" t="s">
        <v>159</v>
      </c>
      <c r="E73" s="37" t="str">
        <f t="shared" si="8"/>
        <v>-</v>
      </c>
    </row>
    <row r="74" spans="1:5" x14ac:dyDescent="0.25">
      <c r="A74" s="1" t="s">
        <v>153</v>
      </c>
      <c r="B74" s="1">
        <v>3.75</v>
      </c>
      <c r="C74" s="1" t="s">
        <v>156</v>
      </c>
      <c r="D74" s="1" t="s">
        <v>158</v>
      </c>
      <c r="E74" s="37" t="str">
        <f t="shared" si="8"/>
        <v>-</v>
      </c>
    </row>
    <row r="75" spans="1:5" x14ac:dyDescent="0.25">
      <c r="A75" s="1" t="s">
        <v>153</v>
      </c>
      <c r="B75" s="1">
        <v>3.75</v>
      </c>
      <c r="C75" s="1" t="s">
        <v>155</v>
      </c>
      <c r="D75" s="1" t="s">
        <v>158</v>
      </c>
      <c r="E75" s="37" t="str">
        <f t="shared" si="8"/>
        <v>-</v>
      </c>
    </row>
    <row r="76" spans="1:5" x14ac:dyDescent="0.25">
      <c r="A76" s="1" t="s">
        <v>153</v>
      </c>
      <c r="B76" s="1">
        <v>3.75</v>
      </c>
      <c r="C76" s="1" t="s">
        <v>161</v>
      </c>
      <c r="D76" s="37" t="s">
        <v>159</v>
      </c>
      <c r="E76" s="37" t="str">
        <f t="shared" si="8"/>
        <v>-</v>
      </c>
    </row>
    <row r="77" spans="1:5" x14ac:dyDescent="0.25">
      <c r="A77" s="1" t="s">
        <v>153</v>
      </c>
      <c r="B77" s="1">
        <v>3.75</v>
      </c>
      <c r="C77" s="1" t="s">
        <v>157</v>
      </c>
      <c r="D77" s="37" t="s">
        <v>159</v>
      </c>
      <c r="E77" s="37" t="str">
        <f t="shared" ref="E77:E105" si="9">IF(D77="--n/a--","",IF(C77="Hyperg","Hypergolic",""))&amp;"-"</f>
        <v>-</v>
      </c>
    </row>
    <row r="78" spans="1:5" x14ac:dyDescent="0.25">
      <c r="A78" s="1" t="s">
        <v>150</v>
      </c>
      <c r="B78" s="1">
        <v>3.75</v>
      </c>
      <c r="C78" s="1" t="s">
        <v>156</v>
      </c>
      <c r="D78" s="1" t="s">
        <v>158</v>
      </c>
      <c r="E78" s="37" t="str">
        <f t="shared" si="9"/>
        <v>-</v>
      </c>
    </row>
    <row r="79" spans="1:5" x14ac:dyDescent="0.25">
      <c r="A79" s="1" t="s">
        <v>150</v>
      </c>
      <c r="B79" s="1">
        <v>3.75</v>
      </c>
      <c r="C79" s="1" t="s">
        <v>155</v>
      </c>
      <c r="D79" s="1" t="s">
        <v>158</v>
      </c>
      <c r="E79" s="37" t="str">
        <f t="shared" si="9"/>
        <v>-</v>
      </c>
    </row>
    <row r="80" spans="1:5" x14ac:dyDescent="0.25">
      <c r="A80" s="1" t="s">
        <v>150</v>
      </c>
      <c r="B80" s="1">
        <v>3.75</v>
      </c>
      <c r="C80" s="1" t="s">
        <v>161</v>
      </c>
      <c r="D80" s="37" t="s">
        <v>159</v>
      </c>
      <c r="E80" s="37" t="str">
        <f t="shared" si="9"/>
        <v>-</v>
      </c>
    </row>
    <row r="81" spans="1:5" x14ac:dyDescent="0.25">
      <c r="A81" s="1" t="s">
        <v>150</v>
      </c>
      <c r="B81" s="1">
        <v>3.75</v>
      </c>
      <c r="C81" s="1" t="s">
        <v>157</v>
      </c>
      <c r="D81" s="37" t="s">
        <v>159</v>
      </c>
      <c r="E81" s="37" t="str">
        <f t="shared" si="9"/>
        <v>-</v>
      </c>
    </row>
    <row r="82" spans="1:5" x14ac:dyDescent="0.25">
      <c r="A82" s="1" t="s">
        <v>152</v>
      </c>
      <c r="B82" s="1">
        <v>3.75</v>
      </c>
      <c r="C82" s="1" t="s">
        <v>156</v>
      </c>
      <c r="D82" s="1" t="s">
        <v>158</v>
      </c>
      <c r="E82" s="37" t="str">
        <f t="shared" si="9"/>
        <v>-</v>
      </c>
    </row>
    <row r="83" spans="1:5" x14ac:dyDescent="0.25">
      <c r="A83" s="1" t="s">
        <v>152</v>
      </c>
      <c r="B83" s="1">
        <v>3.75</v>
      </c>
      <c r="C83" s="1" t="s">
        <v>155</v>
      </c>
      <c r="D83" s="1" t="s">
        <v>158</v>
      </c>
      <c r="E83" s="37" t="str">
        <f t="shared" si="9"/>
        <v>-</v>
      </c>
    </row>
    <row r="84" spans="1:5" x14ac:dyDescent="0.25">
      <c r="A84" s="1" t="s">
        <v>152</v>
      </c>
      <c r="B84" s="1">
        <v>3.75</v>
      </c>
      <c r="C84" s="1" t="s">
        <v>161</v>
      </c>
      <c r="D84" s="37" t="s">
        <v>159</v>
      </c>
      <c r="E84" s="37" t="str">
        <f t="shared" si="9"/>
        <v>-</v>
      </c>
    </row>
    <row r="85" spans="1:5" x14ac:dyDescent="0.25">
      <c r="A85" s="1" t="s">
        <v>152</v>
      </c>
      <c r="B85" s="1">
        <v>3.75</v>
      </c>
      <c r="C85" s="1" t="s">
        <v>157</v>
      </c>
      <c r="D85" s="37" t="s">
        <v>159</v>
      </c>
      <c r="E85" s="37" t="str">
        <f t="shared" si="9"/>
        <v>-</v>
      </c>
    </row>
    <row r="86" spans="1:5" x14ac:dyDescent="0.25">
      <c r="A86" s="1" t="s">
        <v>151</v>
      </c>
      <c r="B86" s="1">
        <v>3.75</v>
      </c>
      <c r="C86" s="1" t="s">
        <v>156</v>
      </c>
      <c r="D86" s="1" t="s">
        <v>158</v>
      </c>
      <c r="E86" s="37" t="str">
        <f t="shared" si="9"/>
        <v>-</v>
      </c>
    </row>
    <row r="87" spans="1:5" x14ac:dyDescent="0.25">
      <c r="A87" s="1" t="s">
        <v>151</v>
      </c>
      <c r="B87" s="1">
        <v>3.75</v>
      </c>
      <c r="C87" s="1" t="s">
        <v>155</v>
      </c>
      <c r="D87" s="1" t="s">
        <v>158</v>
      </c>
      <c r="E87" s="37" t="str">
        <f t="shared" si="9"/>
        <v>-</v>
      </c>
    </row>
    <row r="88" spans="1:5" x14ac:dyDescent="0.25">
      <c r="A88" s="1" t="s">
        <v>151</v>
      </c>
      <c r="B88" s="1">
        <v>3.75</v>
      </c>
      <c r="C88" s="1" t="s">
        <v>161</v>
      </c>
      <c r="D88" s="37" t="s">
        <v>159</v>
      </c>
      <c r="E88" s="37" t="str">
        <f t="shared" si="9"/>
        <v>-</v>
      </c>
    </row>
    <row r="89" spans="1:5" x14ac:dyDescent="0.25">
      <c r="A89" s="1" t="s">
        <v>151</v>
      </c>
      <c r="B89" s="1">
        <v>3.75</v>
      </c>
      <c r="C89" s="1" t="s">
        <v>157</v>
      </c>
      <c r="D89" s="37" t="s">
        <v>159</v>
      </c>
      <c r="E89" s="37" t="str">
        <f t="shared" si="9"/>
        <v>-</v>
      </c>
    </row>
    <row r="90" spans="1:5" x14ac:dyDescent="0.25">
      <c r="A90" s="1" t="s">
        <v>153</v>
      </c>
      <c r="B90" s="1">
        <v>5</v>
      </c>
      <c r="C90" s="1" t="s">
        <v>156</v>
      </c>
      <c r="D90" s="1" t="s">
        <v>158</v>
      </c>
      <c r="E90" s="37" t="str">
        <f t="shared" si="9"/>
        <v>-</v>
      </c>
    </row>
    <row r="91" spans="1:5" x14ac:dyDescent="0.25">
      <c r="A91" s="1" t="s">
        <v>153</v>
      </c>
      <c r="B91" s="1">
        <v>5</v>
      </c>
      <c r="C91" s="1" t="s">
        <v>155</v>
      </c>
      <c r="D91" s="1" t="s">
        <v>158</v>
      </c>
      <c r="E91" s="37" t="str">
        <f t="shared" si="9"/>
        <v>-</v>
      </c>
    </row>
    <row r="92" spans="1:5" x14ac:dyDescent="0.25">
      <c r="A92" s="1" t="s">
        <v>153</v>
      </c>
      <c r="B92" s="1">
        <v>5</v>
      </c>
      <c r="C92" s="1" t="s">
        <v>161</v>
      </c>
      <c r="D92" s="37" t="s">
        <v>159</v>
      </c>
      <c r="E92" s="37" t="str">
        <f t="shared" si="9"/>
        <v>-</v>
      </c>
    </row>
    <row r="93" spans="1:5" x14ac:dyDescent="0.25">
      <c r="A93" s="1" t="s">
        <v>153</v>
      </c>
      <c r="B93" s="1">
        <v>5</v>
      </c>
      <c r="C93" s="1" t="s">
        <v>157</v>
      </c>
      <c r="D93" s="37" t="s">
        <v>159</v>
      </c>
      <c r="E93" s="37" t="str">
        <f t="shared" si="9"/>
        <v>-</v>
      </c>
    </row>
    <row r="94" spans="1:5" x14ac:dyDescent="0.25">
      <c r="A94" s="1" t="s">
        <v>150</v>
      </c>
      <c r="B94" s="1">
        <v>5</v>
      </c>
      <c r="C94" s="1" t="s">
        <v>156</v>
      </c>
      <c r="D94" s="1" t="s">
        <v>158</v>
      </c>
      <c r="E94" s="37" t="str">
        <f t="shared" si="9"/>
        <v>-</v>
      </c>
    </row>
    <row r="95" spans="1:5" x14ac:dyDescent="0.25">
      <c r="A95" s="1" t="s">
        <v>150</v>
      </c>
      <c r="B95" s="1">
        <v>5</v>
      </c>
      <c r="C95" s="1" t="s">
        <v>155</v>
      </c>
      <c r="D95" s="1" t="s">
        <v>158</v>
      </c>
      <c r="E95" s="37" t="str">
        <f t="shared" si="9"/>
        <v>-</v>
      </c>
    </row>
    <row r="96" spans="1:5" x14ac:dyDescent="0.25">
      <c r="A96" s="1" t="s">
        <v>150</v>
      </c>
      <c r="B96" s="1">
        <v>5</v>
      </c>
      <c r="C96" s="1" t="s">
        <v>161</v>
      </c>
      <c r="D96" s="37" t="s">
        <v>159</v>
      </c>
      <c r="E96" s="37" t="str">
        <f t="shared" si="9"/>
        <v>-</v>
      </c>
    </row>
    <row r="97" spans="1:5" x14ac:dyDescent="0.25">
      <c r="A97" s="1" t="s">
        <v>150</v>
      </c>
      <c r="B97" s="1">
        <v>5</v>
      </c>
      <c r="C97" s="1" t="s">
        <v>157</v>
      </c>
      <c r="D97" s="37" t="s">
        <v>159</v>
      </c>
      <c r="E97" s="37" t="str">
        <f t="shared" si="9"/>
        <v>-</v>
      </c>
    </row>
    <row r="98" spans="1:5" x14ac:dyDescent="0.25">
      <c r="A98" s="1" t="s">
        <v>152</v>
      </c>
      <c r="B98" s="1">
        <v>5</v>
      </c>
      <c r="C98" s="1" t="s">
        <v>156</v>
      </c>
      <c r="D98" s="1" t="s">
        <v>158</v>
      </c>
      <c r="E98" s="37" t="str">
        <f t="shared" si="9"/>
        <v>-</v>
      </c>
    </row>
    <row r="99" spans="1:5" x14ac:dyDescent="0.25">
      <c r="A99" s="1" t="s">
        <v>152</v>
      </c>
      <c r="B99" s="1">
        <v>5</v>
      </c>
      <c r="C99" s="1" t="s">
        <v>155</v>
      </c>
      <c r="D99" s="1" t="s">
        <v>158</v>
      </c>
      <c r="E99" s="37" t="str">
        <f t="shared" si="9"/>
        <v>-</v>
      </c>
    </row>
    <row r="100" spans="1:5" x14ac:dyDescent="0.25">
      <c r="A100" s="1" t="s">
        <v>152</v>
      </c>
      <c r="B100" s="1">
        <v>5</v>
      </c>
      <c r="C100" s="1" t="s">
        <v>161</v>
      </c>
      <c r="D100" s="37" t="s">
        <v>159</v>
      </c>
      <c r="E100" s="37" t="str">
        <f t="shared" si="9"/>
        <v>-</v>
      </c>
    </row>
    <row r="101" spans="1:5" x14ac:dyDescent="0.25">
      <c r="A101" s="1" t="s">
        <v>152</v>
      </c>
      <c r="B101" s="1">
        <v>5</v>
      </c>
      <c r="C101" s="1" t="s">
        <v>157</v>
      </c>
      <c r="D101" s="37" t="s">
        <v>159</v>
      </c>
      <c r="E101" s="37" t="str">
        <f t="shared" si="9"/>
        <v>-</v>
      </c>
    </row>
    <row r="102" spans="1:5" x14ac:dyDescent="0.25">
      <c r="A102" s="1" t="s">
        <v>151</v>
      </c>
      <c r="B102" s="1">
        <v>5</v>
      </c>
      <c r="C102" s="1" t="s">
        <v>156</v>
      </c>
      <c r="D102" s="1" t="s">
        <v>158</v>
      </c>
      <c r="E102" s="37" t="str">
        <f t="shared" si="9"/>
        <v>-</v>
      </c>
    </row>
    <row r="103" spans="1:5" x14ac:dyDescent="0.25">
      <c r="A103" s="1" t="s">
        <v>151</v>
      </c>
      <c r="B103" s="1">
        <v>5</v>
      </c>
      <c r="C103" s="1" t="s">
        <v>155</v>
      </c>
      <c r="D103" s="1" t="s">
        <v>158</v>
      </c>
      <c r="E103" s="37" t="str">
        <f t="shared" si="9"/>
        <v>-</v>
      </c>
    </row>
    <row r="104" spans="1:5" x14ac:dyDescent="0.25">
      <c r="A104" s="1" t="s">
        <v>151</v>
      </c>
      <c r="B104" s="1">
        <v>5</v>
      </c>
      <c r="C104" s="1" t="s">
        <v>161</v>
      </c>
      <c r="D104" s="37" t="s">
        <v>159</v>
      </c>
      <c r="E104" s="37" t="str">
        <f t="shared" si="9"/>
        <v>-</v>
      </c>
    </row>
    <row r="105" spans="1:5" x14ac:dyDescent="0.25">
      <c r="A105" s="1" t="s">
        <v>151</v>
      </c>
      <c r="B105" s="1">
        <v>5</v>
      </c>
      <c r="C105" s="1" t="s">
        <v>157</v>
      </c>
      <c r="D105" s="37" t="s">
        <v>159</v>
      </c>
      <c r="E105" s="37" t="str">
        <f t="shared" si="9"/>
        <v>-</v>
      </c>
    </row>
  </sheetData>
  <sortState ref="A10:D105">
    <sortCondition ref="B10"/>
  </sortState>
  <mergeCells count="4">
    <mergeCell ref="L1:R1"/>
    <mergeCell ref="T1:Z1"/>
    <mergeCell ref="AB1:AH1"/>
    <mergeCell ref="AJ1:A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6"/>
  <sheetViews>
    <sheetView workbookViewId="0">
      <selection activeCell="H20" sqref="H20"/>
    </sheetView>
  </sheetViews>
  <sheetFormatPr defaultRowHeight="15" x14ac:dyDescent="0.25"/>
  <cols>
    <col min="1" max="1" width="5.28515625" style="1" bestFit="1" customWidth="1"/>
    <col min="2" max="2" width="8.140625" style="1" bestFit="1" customWidth="1"/>
    <col min="3" max="3" width="8.28515625" style="1" bestFit="1" customWidth="1"/>
    <col min="4" max="4" width="6.140625" style="1" bestFit="1" customWidth="1"/>
    <col min="5" max="5" width="7.5703125" style="1" bestFit="1" customWidth="1"/>
    <col min="6" max="6" width="9.140625" style="1" bestFit="1" customWidth="1"/>
    <col min="7" max="8" width="7.5703125" style="1" bestFit="1" customWidth="1"/>
    <col min="9" max="9" width="5.5703125" style="1" bestFit="1" customWidth="1"/>
    <col min="10" max="10" width="2.7109375" style="1" customWidth="1"/>
    <col min="11" max="11" width="8.28515625" style="1" bestFit="1" customWidth="1"/>
    <col min="12" max="12" width="9.140625" style="1" bestFit="1" customWidth="1"/>
    <col min="13" max="14" width="9.140625" style="1" customWidth="1"/>
    <col min="15" max="15" width="8" style="1" bestFit="1" customWidth="1"/>
    <col min="16" max="16" width="7.28515625" style="1" bestFit="1" customWidth="1"/>
    <col min="17" max="17" width="7.5703125" style="1" bestFit="1" customWidth="1"/>
    <col min="18" max="18" width="7" style="1" bestFit="1" customWidth="1"/>
    <col min="19" max="19" width="5.85546875" style="1" bestFit="1" customWidth="1"/>
    <col min="20" max="20" width="4.7109375" style="1" bestFit="1" customWidth="1"/>
    <col min="21" max="21" width="3.140625" style="1" customWidth="1"/>
    <col min="22" max="22" width="6.85546875" style="1" bestFit="1" customWidth="1"/>
    <col min="23" max="23" width="1.28515625" style="1" customWidth="1"/>
    <col min="24" max="24" width="6.140625" style="1" bestFit="1" customWidth="1"/>
    <col min="25" max="25" width="10.140625" style="1" bestFit="1" customWidth="1"/>
    <col min="26" max="26" width="8.5703125" style="1" bestFit="1" customWidth="1"/>
    <col min="27" max="27" width="0.85546875" style="1" customWidth="1"/>
    <col min="28" max="28" width="8.140625" style="1" bestFit="1" customWidth="1"/>
    <col min="29" max="29" width="6.140625" style="1" bestFit="1" customWidth="1"/>
    <col min="30" max="30" width="10.140625" style="1" bestFit="1" customWidth="1"/>
    <col min="31" max="31" width="8.5703125" style="1" bestFit="1" customWidth="1"/>
    <col min="32" max="32" width="0.85546875" style="1" customWidth="1"/>
    <col min="33" max="33" width="11.140625" style="1" bestFit="1" customWidth="1"/>
    <col min="34" max="34" width="10.85546875" style="1" bestFit="1" customWidth="1"/>
    <col min="35" max="35" width="10.140625" style="1" bestFit="1" customWidth="1"/>
    <col min="36" max="36" width="2.85546875" style="1" customWidth="1"/>
    <col min="37" max="37" width="7" style="1" bestFit="1" customWidth="1"/>
    <col min="38" max="38" width="9.140625" style="1" bestFit="1" customWidth="1"/>
    <col min="39" max="42" width="5.5703125" style="1" bestFit="1" customWidth="1"/>
    <col min="43" max="43" width="6.5703125" style="1" bestFit="1" customWidth="1"/>
    <col min="44" max="45" width="7.5703125" style="1" bestFit="1" customWidth="1"/>
    <col min="46" max="47" width="9.140625" style="1" bestFit="1" customWidth="1"/>
    <col min="48" max="48" width="1.7109375" style="1" customWidth="1"/>
    <col min="49" max="49" width="8.140625" style="1" bestFit="1" customWidth="1"/>
    <col min="50" max="50" width="7.5703125" style="1" bestFit="1" customWidth="1"/>
    <col min="51" max="51" width="9.140625" style="1" bestFit="1" customWidth="1"/>
    <col min="52" max="52" width="14.85546875" style="1" bestFit="1" customWidth="1"/>
    <col min="53" max="53" width="13.85546875" style="1" bestFit="1" customWidth="1"/>
    <col min="54" max="16384" width="9.140625" style="1"/>
  </cols>
  <sheetData>
    <row r="1" spans="1:55" s="13" customFormat="1" x14ac:dyDescent="0.25">
      <c r="A1" s="13" t="s">
        <v>59</v>
      </c>
      <c r="B1" s="13" t="s">
        <v>18</v>
      </c>
      <c r="C1" s="13" t="s">
        <v>79</v>
      </c>
      <c r="D1" s="13" t="s">
        <v>80</v>
      </c>
      <c r="E1" s="13" t="s">
        <v>79</v>
      </c>
      <c r="F1" s="13" t="s">
        <v>80</v>
      </c>
      <c r="G1" s="13" t="s">
        <v>42</v>
      </c>
      <c r="H1" s="13" t="s">
        <v>91</v>
      </c>
      <c r="I1" s="13" t="s">
        <v>47</v>
      </c>
      <c r="K1" s="13" t="s">
        <v>20</v>
      </c>
      <c r="L1" s="13" t="s">
        <v>42</v>
      </c>
      <c r="M1" s="13" t="s">
        <v>117</v>
      </c>
      <c r="N1" s="13" t="s">
        <v>14</v>
      </c>
      <c r="O1" s="13" t="s">
        <v>98</v>
      </c>
      <c r="P1" s="13" t="s">
        <v>99</v>
      </c>
      <c r="Q1" s="13" t="s">
        <v>104</v>
      </c>
      <c r="S1" s="13" t="s">
        <v>9</v>
      </c>
      <c r="T1" s="13" t="s">
        <v>10</v>
      </c>
      <c r="V1" s="13" t="s">
        <v>19</v>
      </c>
      <c r="X1" s="13" t="s">
        <v>20</v>
      </c>
      <c r="Y1" s="13" t="s">
        <v>42</v>
      </c>
      <c r="Z1" s="13" t="s">
        <v>44</v>
      </c>
      <c r="AB1" s="13" t="s">
        <v>21</v>
      </c>
      <c r="AC1" s="13" t="s">
        <v>20</v>
      </c>
      <c r="AD1" s="13" t="s">
        <v>42</v>
      </c>
      <c r="AE1" s="13" t="s">
        <v>44</v>
      </c>
      <c r="AG1" s="13" t="s">
        <v>43</v>
      </c>
      <c r="AH1" s="15" t="s">
        <v>40</v>
      </c>
      <c r="AI1" s="13" t="s">
        <v>47</v>
      </c>
      <c r="AK1" s="13" t="s">
        <v>75</v>
      </c>
      <c r="AL1" s="13" t="s">
        <v>54</v>
      </c>
      <c r="AM1" s="24">
        <f>AL2</f>
        <v>1</v>
      </c>
      <c r="AN1" s="24">
        <f>AL3</f>
        <v>4</v>
      </c>
      <c r="AO1" s="24">
        <f>AL4</f>
        <v>6</v>
      </c>
      <c r="AP1" s="24">
        <f>AL5</f>
        <v>8</v>
      </c>
      <c r="AQ1" s="24">
        <f>AL6</f>
        <v>250</v>
      </c>
      <c r="AR1" s="24">
        <f>AL7</f>
        <v>10000</v>
      </c>
      <c r="AS1" s="24">
        <f>AL8</f>
        <v>65000</v>
      </c>
      <c r="AT1" s="24">
        <f>AL9</f>
        <v>575000</v>
      </c>
      <c r="AU1" s="24">
        <f>AL10</f>
        <v>1000000</v>
      </c>
      <c r="AW1" s="1"/>
      <c r="AX1" s="1"/>
      <c r="AY1" s="1" t="s">
        <v>72</v>
      </c>
      <c r="AZ1" s="1" t="s">
        <v>73</v>
      </c>
      <c r="BA1" s="1" t="s">
        <v>74</v>
      </c>
      <c r="BB1" s="1"/>
      <c r="BC1" s="1"/>
    </row>
    <row r="2" spans="1:55" x14ac:dyDescent="0.25">
      <c r="A2" s="1" t="s">
        <v>61</v>
      </c>
      <c r="B2" s="1" t="s">
        <v>78</v>
      </c>
      <c r="C2" s="2" t="s">
        <v>83</v>
      </c>
      <c r="D2" s="2" t="s">
        <v>82</v>
      </c>
      <c r="E2" s="16">
        <f t="shared" ref="E2:E12" si="0">INDEX(dish_ranges,MATCH(C2,dish_names,))</f>
        <v>1</v>
      </c>
      <c r="F2" s="16">
        <f t="shared" ref="F2:F12" si="1">INDEX(dish_ranges,MATCH(D2,dish_names,))</f>
        <v>1000000</v>
      </c>
      <c r="G2" s="16">
        <f>MIN(E2:F2)+SQRT(E2*F2)</f>
        <v>1001</v>
      </c>
      <c r="H2" s="16">
        <v>1</v>
      </c>
      <c r="I2" s="16">
        <f>MAX(0,H2-G2)</f>
        <v>0</v>
      </c>
      <c r="K2" s="1" t="s">
        <v>83</v>
      </c>
      <c r="L2" s="16">
        <v>1</v>
      </c>
      <c r="M2" s="16">
        <v>-1</v>
      </c>
      <c r="N2" s="16">
        <v>10</v>
      </c>
      <c r="O2" s="16"/>
      <c r="P2" s="1" t="s">
        <v>113</v>
      </c>
      <c r="Q2" s="16">
        <v>5</v>
      </c>
      <c r="R2" s="17">
        <f>Q2</f>
        <v>5</v>
      </c>
      <c r="S2" s="4">
        <f>R2*0.000277778</f>
        <v>1.38889E-3</v>
      </c>
      <c r="T2" s="5">
        <f>60*S2</f>
        <v>8.3333400000000002E-2</v>
      </c>
      <c r="V2" s="2" t="s">
        <v>41</v>
      </c>
      <c r="X2" s="2" t="s">
        <v>48</v>
      </c>
      <c r="Y2" s="17">
        <v>3500000</v>
      </c>
      <c r="Z2" s="19">
        <f>IF(LEFT(X2,1)="o",100,1000)*Y2</f>
        <v>3500000000</v>
      </c>
      <c r="AB2" s="2" t="s">
        <v>41</v>
      </c>
      <c r="AC2" s="2" t="s">
        <v>48</v>
      </c>
      <c r="AD2" s="17">
        <v>3500000</v>
      </c>
      <c r="AE2" s="19">
        <f>IF(LEFT(AC2,1)="o",100,1000)*AD2</f>
        <v>3500000000</v>
      </c>
      <c r="AG2" s="16">
        <f>MIN(Y2,AD2)+SQRT(Y2*AD2)</f>
        <v>7000000</v>
      </c>
      <c r="AH2" s="18" t="s">
        <v>46</v>
      </c>
      <c r="AI2" s="16">
        <f>(2868750+600000)*2</f>
        <v>6937500</v>
      </c>
      <c r="AK2" s="1" t="s">
        <v>76</v>
      </c>
      <c r="AL2" s="17">
        <v>1</v>
      </c>
      <c r="AM2" s="16">
        <f>MIN($AL2,AM$1)+SQRT($AL2*AM$1)</f>
        <v>2</v>
      </c>
      <c r="AN2" s="16"/>
      <c r="AO2" s="16"/>
      <c r="AP2" s="16"/>
      <c r="AQ2" s="16"/>
      <c r="AR2" s="16"/>
      <c r="AS2" s="16"/>
      <c r="AT2" s="16"/>
      <c r="AU2" s="16"/>
      <c r="AW2" s="1" t="s">
        <v>41</v>
      </c>
      <c r="AX2" s="16">
        <f>SUM(AY2:BA2)/1000000</f>
        <v>6.9375</v>
      </c>
      <c r="AY2" s="16">
        <f>600000+2868750</f>
        <v>3468750</v>
      </c>
      <c r="AZ2" s="16">
        <f>600000+2868750</f>
        <v>3468750</v>
      </c>
      <c r="BA2" s="16"/>
    </row>
    <row r="3" spans="1:55" x14ac:dyDescent="0.25">
      <c r="A3" s="1" t="s">
        <v>61</v>
      </c>
      <c r="B3" s="1" t="s">
        <v>41</v>
      </c>
      <c r="C3" s="2" t="s">
        <v>83</v>
      </c>
      <c r="D3" s="2" t="s">
        <v>52</v>
      </c>
      <c r="E3" s="16">
        <f t="shared" si="0"/>
        <v>1</v>
      </c>
      <c r="F3" s="16">
        <f t="shared" si="1"/>
        <v>250</v>
      </c>
      <c r="G3" s="16">
        <f t="shared" ref="G3:G11" si="2">MIN(E3:F3)+SQRT(E3*F3)</f>
        <v>16.811388300841898</v>
      </c>
      <c r="H3" s="16">
        <v>15.668749999999999</v>
      </c>
      <c r="I3" s="16">
        <f t="shared" ref="I3:I12" si="3">MAX(0,H3-G3)</f>
        <v>0</v>
      </c>
      <c r="K3" s="1" t="s">
        <v>81</v>
      </c>
      <c r="L3" s="16">
        <v>4</v>
      </c>
      <c r="M3" s="16">
        <v>-1</v>
      </c>
      <c r="N3" s="16">
        <v>100</v>
      </c>
      <c r="O3" s="1" t="s">
        <v>81</v>
      </c>
      <c r="P3" s="1" t="s">
        <v>103</v>
      </c>
      <c r="Q3" s="16">
        <f>(L3/L2)^2*Q2</f>
        <v>80</v>
      </c>
      <c r="R3" s="17">
        <f t="shared" ref="R3:R9" si="4">Q3</f>
        <v>80</v>
      </c>
      <c r="S3" s="4">
        <f t="shared" ref="S3:S9" si="5">R3*0.000277778</f>
        <v>2.2222240000000001E-2</v>
      </c>
      <c r="T3" s="5">
        <f t="shared" ref="T3:T9" si="6">60*S3</f>
        <v>1.3333344</v>
      </c>
      <c r="V3" s="2" t="s">
        <v>41</v>
      </c>
      <c r="X3" s="2" t="s">
        <v>52</v>
      </c>
      <c r="Y3" s="17">
        <v>50000000</v>
      </c>
      <c r="Z3" s="19">
        <f>IF(LEFT(X3,1)="o",100,1000)*Y3</f>
        <v>50000000000</v>
      </c>
      <c r="AB3" s="2" t="s">
        <v>49</v>
      </c>
      <c r="AC3" s="2" t="s">
        <v>48</v>
      </c>
      <c r="AD3" s="17">
        <v>3500000</v>
      </c>
      <c r="AE3" s="19">
        <f>IF(LEFT(AC3,1)="o",100,1000)*AD3</f>
        <v>3500000000</v>
      </c>
      <c r="AG3" s="16">
        <f>MIN(Y3,AD3)+SQRT(Y3*AD3)</f>
        <v>16728756.555322953</v>
      </c>
      <c r="AH3" s="18" t="s">
        <v>50</v>
      </c>
      <c r="AI3" s="16">
        <f>(2868750+600000)+12000000</f>
        <v>15468750</v>
      </c>
      <c r="AK3" s="1" t="s">
        <v>77</v>
      </c>
      <c r="AL3" s="17">
        <v>4</v>
      </c>
      <c r="AM3" s="16">
        <f t="shared" ref="AM3:AM10" si="7">MIN($AL3,AM$1)+SQRT($AL3*AM$1)</f>
        <v>3</v>
      </c>
      <c r="AN3" s="26">
        <f t="shared" ref="AN3:AN10" si="8">MIN($AL3,AN$1)+SQRT($AL3*AN$1)</f>
        <v>8</v>
      </c>
      <c r="AO3" s="16"/>
      <c r="AP3" s="16"/>
      <c r="AQ3" s="16"/>
      <c r="AR3" s="16"/>
      <c r="AS3" s="16"/>
      <c r="AT3" s="16"/>
      <c r="AU3" s="16"/>
      <c r="AW3" s="1" t="s">
        <v>55</v>
      </c>
      <c r="AX3" s="16">
        <f t="shared" ref="AX3:AX7" si="9">SUM(AY3:BA3)/1000000</f>
        <v>15.668749999999999</v>
      </c>
      <c r="AY3" s="16">
        <f>600000+2868750</f>
        <v>3468750</v>
      </c>
      <c r="AZ3" s="16">
        <v>12000000</v>
      </c>
      <c r="BA3" s="16">
        <v>200000</v>
      </c>
    </row>
    <row r="4" spans="1:55" x14ac:dyDescent="0.25">
      <c r="A4" s="1" t="s">
        <v>41</v>
      </c>
      <c r="B4" s="1" t="s">
        <v>78</v>
      </c>
      <c r="C4" s="2" t="s">
        <v>81</v>
      </c>
      <c r="D4" s="2" t="s">
        <v>82</v>
      </c>
      <c r="E4" s="16">
        <f t="shared" si="0"/>
        <v>4</v>
      </c>
      <c r="F4" s="16">
        <f t="shared" si="1"/>
        <v>1000000</v>
      </c>
      <c r="G4" s="16">
        <f t="shared" si="2"/>
        <v>2004</v>
      </c>
      <c r="H4" s="16">
        <v>4</v>
      </c>
      <c r="I4" s="16">
        <f t="shared" si="3"/>
        <v>0</v>
      </c>
      <c r="K4" s="1" t="s">
        <v>45</v>
      </c>
      <c r="L4" s="16">
        <v>6</v>
      </c>
      <c r="M4" s="16">
        <v>15</v>
      </c>
      <c r="N4" s="16">
        <v>30</v>
      </c>
      <c r="O4" s="16" t="s">
        <v>101</v>
      </c>
      <c r="P4" s="1" t="s">
        <v>102</v>
      </c>
      <c r="Q4" s="16">
        <f>(L4/L3)^2*Q3</f>
        <v>180</v>
      </c>
      <c r="R4" s="17">
        <f t="shared" si="4"/>
        <v>180</v>
      </c>
      <c r="S4" s="4">
        <f t="shared" si="5"/>
        <v>5.0000040000000003E-2</v>
      </c>
      <c r="T4" s="5">
        <f t="shared" si="6"/>
        <v>3.0000024000000001</v>
      </c>
      <c r="V4" s="2" t="s">
        <v>41</v>
      </c>
      <c r="X4" s="2" t="s">
        <v>52</v>
      </c>
      <c r="Y4" s="17">
        <v>50000000</v>
      </c>
      <c r="Z4" s="19">
        <f>IF(LEFT(X4,1)="o",100,1000)*Y4</f>
        <v>50000000000</v>
      </c>
      <c r="AB4" s="2" t="s">
        <v>51</v>
      </c>
      <c r="AC4" s="2" t="s">
        <v>48</v>
      </c>
      <c r="AD4" s="17">
        <v>50000000</v>
      </c>
      <c r="AE4" s="19">
        <f>IF(LEFT(AC4,1)="o",100,1000)*AD4</f>
        <v>50000000000</v>
      </c>
      <c r="AG4" s="16">
        <f>MIN(Y4,AD4)+SQRT(Y4*AD4)</f>
        <v>100000000</v>
      </c>
      <c r="AH4" s="18" t="s">
        <v>50</v>
      </c>
      <c r="AI4" s="16">
        <f>(2868750+600000)+47000000</f>
        <v>50468750</v>
      </c>
      <c r="AL4" s="17">
        <v>6</v>
      </c>
      <c r="AM4" s="16">
        <f t="shared" si="7"/>
        <v>3.4494897427831779</v>
      </c>
      <c r="AN4" s="16">
        <f t="shared" si="8"/>
        <v>8.8989794855663558</v>
      </c>
      <c r="AO4" s="16">
        <f t="shared" ref="AO4:AO10" si="10">MIN($AL4,AO$1)+SQRT($AL4*AO$1)</f>
        <v>12</v>
      </c>
      <c r="AP4" s="16"/>
      <c r="AQ4" s="16"/>
      <c r="AR4" s="16"/>
      <c r="AS4" s="16"/>
      <c r="AT4" s="16"/>
      <c r="AU4" s="16"/>
      <c r="AW4" s="1" t="s">
        <v>56</v>
      </c>
      <c r="AX4" s="16">
        <f t="shared" si="9"/>
        <v>50.528750000000002</v>
      </c>
      <c r="AY4" s="16">
        <f>600000+2868750</f>
        <v>3468750</v>
      </c>
      <c r="AZ4" s="16">
        <v>47000000</v>
      </c>
      <c r="BA4" s="16">
        <v>60000</v>
      </c>
    </row>
    <row r="5" spans="1:55" x14ac:dyDescent="0.25">
      <c r="A5" s="1" t="s">
        <v>41</v>
      </c>
      <c r="B5" s="1" t="s">
        <v>41</v>
      </c>
      <c r="C5" s="2" t="s">
        <v>48</v>
      </c>
      <c r="D5" s="2" t="s">
        <v>48</v>
      </c>
      <c r="E5" s="16">
        <f t="shared" si="0"/>
        <v>8</v>
      </c>
      <c r="F5" s="16">
        <f t="shared" si="1"/>
        <v>8</v>
      </c>
      <c r="G5" s="16">
        <f t="shared" si="2"/>
        <v>16</v>
      </c>
      <c r="H5" s="16">
        <v>16</v>
      </c>
      <c r="I5" s="16">
        <f t="shared" si="3"/>
        <v>0</v>
      </c>
      <c r="K5" s="1" t="s">
        <v>48</v>
      </c>
      <c r="L5" s="16">
        <v>8</v>
      </c>
      <c r="M5" s="16">
        <v>10</v>
      </c>
      <c r="N5" s="16">
        <v>50</v>
      </c>
      <c r="O5" s="16" t="s">
        <v>100</v>
      </c>
      <c r="P5" s="16" t="s">
        <v>94</v>
      </c>
      <c r="Q5" s="16">
        <f>(L5/L4)^2*Q4</f>
        <v>320</v>
      </c>
      <c r="R5" s="17">
        <f t="shared" si="4"/>
        <v>320</v>
      </c>
      <c r="S5" s="4">
        <f t="shared" si="5"/>
        <v>8.8888960000000003E-2</v>
      </c>
      <c r="T5" s="5">
        <f t="shared" si="6"/>
        <v>5.3333376000000001</v>
      </c>
      <c r="AL5" s="17">
        <v>8</v>
      </c>
      <c r="AM5" s="16">
        <f t="shared" si="7"/>
        <v>3.8284271247461903</v>
      </c>
      <c r="AN5" s="16">
        <f t="shared" si="8"/>
        <v>9.6568542494923797</v>
      </c>
      <c r="AO5" s="16">
        <f t="shared" si="10"/>
        <v>12.928203230275509</v>
      </c>
      <c r="AP5" s="25">
        <f t="shared" ref="AP5:AP10" si="11">MIN($AL5,AP$1)+SQRT($AL5*AP$1)</f>
        <v>16</v>
      </c>
      <c r="AQ5" s="16"/>
      <c r="AR5" s="16"/>
      <c r="AS5" s="16"/>
      <c r="AT5" s="16"/>
      <c r="AU5" s="16"/>
      <c r="AW5" s="1" t="s">
        <v>57</v>
      </c>
      <c r="AX5" s="16">
        <f t="shared" si="9"/>
        <v>35386.498168999999</v>
      </c>
      <c r="AY5" s="16">
        <f>600000+2868750</f>
        <v>3468750</v>
      </c>
      <c r="AZ5" s="16">
        <v>21783189163</v>
      </c>
      <c r="BA5" s="16">
        <v>13599840256</v>
      </c>
    </row>
    <row r="6" spans="1:55" x14ac:dyDescent="0.25">
      <c r="A6" s="1" t="s">
        <v>84</v>
      </c>
      <c r="B6" s="1" t="s">
        <v>41</v>
      </c>
      <c r="C6" s="2" t="s">
        <v>86</v>
      </c>
      <c r="D6" s="2" t="s">
        <v>48</v>
      </c>
      <c r="E6" s="16">
        <f t="shared" si="0"/>
        <v>10000</v>
      </c>
      <c r="F6" s="16">
        <f t="shared" si="1"/>
        <v>8</v>
      </c>
      <c r="G6" s="16">
        <f t="shared" si="2"/>
        <v>290.84271247461902</v>
      </c>
      <c r="H6" s="16">
        <v>90</v>
      </c>
      <c r="I6" s="16">
        <f t="shared" si="3"/>
        <v>0</v>
      </c>
      <c r="K6" s="1" t="s">
        <v>52</v>
      </c>
      <c r="L6" s="16">
        <v>250</v>
      </c>
      <c r="M6" s="16">
        <v>5</v>
      </c>
      <c r="N6" s="16">
        <v>120</v>
      </c>
      <c r="O6" s="16" t="s">
        <v>97</v>
      </c>
      <c r="P6" s="16" t="s">
        <v>93</v>
      </c>
      <c r="Q6" s="16">
        <f>1.5*Q5</f>
        <v>480</v>
      </c>
      <c r="R6" s="17">
        <f t="shared" si="4"/>
        <v>480</v>
      </c>
      <c r="S6" s="4">
        <f t="shared" si="5"/>
        <v>0.13333344</v>
      </c>
      <c r="T6" s="5">
        <f t="shared" si="6"/>
        <v>8.0000064000000002</v>
      </c>
      <c r="V6" s="1" t="s">
        <v>9</v>
      </c>
      <c r="AL6" s="17">
        <v>250</v>
      </c>
      <c r="AM6" s="25">
        <f t="shared" si="7"/>
        <v>16.811388300841898</v>
      </c>
      <c r="AN6" s="16">
        <f t="shared" si="8"/>
        <v>35.622776601683796</v>
      </c>
      <c r="AO6" s="16">
        <f t="shared" si="10"/>
        <v>44.729833462074168</v>
      </c>
      <c r="AP6" s="22">
        <f t="shared" si="11"/>
        <v>52.721359549995796</v>
      </c>
      <c r="AQ6" s="16">
        <f>MIN($AL6,AQ$1)+SQRT($AL6*AQ$1)</f>
        <v>500</v>
      </c>
      <c r="AR6" s="16"/>
      <c r="AS6" s="16"/>
      <c r="AT6" s="16"/>
      <c r="AU6" s="16"/>
      <c r="AW6" s="1" t="s">
        <v>58</v>
      </c>
      <c r="AX6" s="16">
        <f t="shared" si="9"/>
        <v>85815.547393000001</v>
      </c>
      <c r="AY6" s="16">
        <f>600000+2868750</f>
        <v>3468750</v>
      </c>
      <c r="AZ6" s="16">
        <v>72212238387</v>
      </c>
      <c r="BA6" s="16">
        <v>13599840256</v>
      </c>
    </row>
    <row r="7" spans="1:55" x14ac:dyDescent="0.25">
      <c r="A7" s="1" t="s">
        <v>84</v>
      </c>
      <c r="B7" s="1" t="s">
        <v>85</v>
      </c>
      <c r="C7" s="2" t="s">
        <v>86</v>
      </c>
      <c r="D7" s="2" t="s">
        <v>86</v>
      </c>
      <c r="E7" s="16">
        <f t="shared" si="0"/>
        <v>10000</v>
      </c>
      <c r="F7" s="16">
        <f t="shared" si="1"/>
        <v>10000</v>
      </c>
      <c r="G7" s="16">
        <f t="shared" si="2"/>
        <v>20000</v>
      </c>
      <c r="H7" s="16">
        <v>20000</v>
      </c>
      <c r="I7" s="16">
        <f t="shared" si="3"/>
        <v>0</v>
      </c>
      <c r="K7" s="1" t="s">
        <v>86</v>
      </c>
      <c r="L7" s="16">
        <v>10000</v>
      </c>
      <c r="M7" s="16">
        <v>1</v>
      </c>
      <c r="N7" s="16">
        <f>N6*1.5</f>
        <v>180</v>
      </c>
      <c r="O7" s="16"/>
      <c r="P7" s="16" t="s">
        <v>96</v>
      </c>
      <c r="Q7" s="16">
        <f>1.5*Q6</f>
        <v>720</v>
      </c>
      <c r="R7" s="17">
        <f t="shared" si="4"/>
        <v>720</v>
      </c>
      <c r="S7" s="4">
        <f t="shared" si="5"/>
        <v>0.20000016000000001</v>
      </c>
      <c r="T7" s="5">
        <f t="shared" si="6"/>
        <v>12.0000096</v>
      </c>
      <c r="V7" s="1" t="s">
        <v>8</v>
      </c>
      <c r="AL7" s="17">
        <v>10000</v>
      </c>
      <c r="AM7" s="22">
        <f t="shared" si="7"/>
        <v>101</v>
      </c>
      <c r="AN7" s="16">
        <f t="shared" si="8"/>
        <v>204</v>
      </c>
      <c r="AO7" s="16">
        <f t="shared" si="10"/>
        <v>250.94897427831782</v>
      </c>
      <c r="AP7" s="16">
        <f t="shared" si="11"/>
        <v>290.84271247461902</v>
      </c>
      <c r="AQ7" s="16">
        <f>MIN($AL7,AQ$1)+SQRT($AL7*AQ$1)</f>
        <v>1831.1388300841897</v>
      </c>
      <c r="AR7" s="16">
        <f>MIN($AL7,AR$1)+SQRT($AL7*AR$1)</f>
        <v>20000</v>
      </c>
      <c r="AS7" s="16"/>
      <c r="AT7" s="16"/>
      <c r="AU7" s="16"/>
      <c r="AW7" s="1" t="s">
        <v>71</v>
      </c>
      <c r="AX7" s="16">
        <f t="shared" si="9"/>
        <v>127153.02220599999</v>
      </c>
      <c r="AY7" s="16">
        <f>600000+2868750</f>
        <v>3468750</v>
      </c>
      <c r="AZ7" s="16">
        <v>113549713200</v>
      </c>
      <c r="BA7" s="16">
        <v>13599840256</v>
      </c>
    </row>
    <row r="8" spans="1:55" x14ac:dyDescent="0.25">
      <c r="A8" s="1" t="s">
        <v>41</v>
      </c>
      <c r="B8" s="1" t="s">
        <v>49</v>
      </c>
      <c r="C8" s="2" t="s">
        <v>52</v>
      </c>
      <c r="D8" s="2" t="s">
        <v>45</v>
      </c>
      <c r="E8" s="16">
        <f t="shared" si="0"/>
        <v>250</v>
      </c>
      <c r="F8" s="16">
        <f t="shared" si="1"/>
        <v>6</v>
      </c>
      <c r="G8" s="16">
        <f t="shared" si="2"/>
        <v>44.729833462074168</v>
      </c>
      <c r="H8" s="16">
        <v>15.668749999999999</v>
      </c>
      <c r="I8" s="16">
        <f t="shared" si="3"/>
        <v>0</v>
      </c>
      <c r="K8" s="1" t="s">
        <v>89</v>
      </c>
      <c r="L8" s="16">
        <v>65000</v>
      </c>
      <c r="M8" s="31">
        <v>0.1</v>
      </c>
      <c r="N8" s="16">
        <v>275</v>
      </c>
      <c r="O8" s="16"/>
      <c r="P8" s="16" t="s">
        <v>95</v>
      </c>
      <c r="Q8" s="16">
        <f>1.5*Q7</f>
        <v>1080</v>
      </c>
      <c r="R8" s="17">
        <f t="shared" si="4"/>
        <v>1080</v>
      </c>
      <c r="S8" s="4">
        <f t="shared" si="5"/>
        <v>0.30000024000000003</v>
      </c>
      <c r="T8" s="5">
        <f t="shared" si="6"/>
        <v>18.000014400000001</v>
      </c>
      <c r="V8" s="1">
        <f>1/3600</f>
        <v>2.7777777777777778E-4</v>
      </c>
      <c r="AL8" s="17">
        <v>65000</v>
      </c>
      <c r="AM8" s="16">
        <f t="shared" si="7"/>
        <v>255.95097567963924</v>
      </c>
      <c r="AN8" s="16">
        <f t="shared" si="8"/>
        <v>513.90195135927843</v>
      </c>
      <c r="AO8" s="16">
        <f t="shared" si="10"/>
        <v>630.49979983983985</v>
      </c>
      <c r="AP8" s="16">
        <f t="shared" si="11"/>
        <v>729.11025509279784</v>
      </c>
      <c r="AQ8" s="16">
        <f>MIN($AL8,AQ$1)+SQRT($AL8*AQ$1)</f>
        <v>4281.1288741492754</v>
      </c>
      <c r="AR8" s="23">
        <f>MIN($AL8,AR$1)+SQRT($AL8*AR$1)</f>
        <v>35495.097567963923</v>
      </c>
      <c r="AS8" s="16">
        <f>MIN($AL8,AS$1)+SQRT($AL8*AS$1)</f>
        <v>130000</v>
      </c>
      <c r="AT8" s="16"/>
      <c r="AU8" s="16"/>
    </row>
    <row r="9" spans="1:55" x14ac:dyDescent="0.25">
      <c r="A9" s="1" t="s">
        <v>41</v>
      </c>
      <c r="B9" s="1" t="s">
        <v>51</v>
      </c>
      <c r="C9" s="2" t="s">
        <v>86</v>
      </c>
      <c r="D9" s="2" t="s">
        <v>45</v>
      </c>
      <c r="E9" s="16">
        <f t="shared" si="0"/>
        <v>10000</v>
      </c>
      <c r="F9" s="16">
        <f t="shared" si="1"/>
        <v>6</v>
      </c>
      <c r="G9" s="16">
        <f t="shared" si="2"/>
        <v>250.94897427831782</v>
      </c>
      <c r="H9" s="16">
        <v>50.528750000000002</v>
      </c>
      <c r="I9" s="16">
        <f t="shared" si="3"/>
        <v>0</v>
      </c>
      <c r="K9" s="1" t="s">
        <v>90</v>
      </c>
      <c r="L9" s="16">
        <v>575000</v>
      </c>
      <c r="M9" s="32">
        <v>0.01</v>
      </c>
      <c r="N9" s="16">
        <v>400</v>
      </c>
      <c r="O9" s="16"/>
      <c r="P9" s="16" t="s">
        <v>92</v>
      </c>
      <c r="Q9" s="16">
        <f>1.5*Q8</f>
        <v>1620</v>
      </c>
      <c r="R9" s="17">
        <f t="shared" si="4"/>
        <v>1620</v>
      </c>
      <c r="S9" s="4">
        <f t="shared" si="5"/>
        <v>0.45000035999999999</v>
      </c>
      <c r="T9" s="5">
        <f t="shared" si="6"/>
        <v>27.0000216</v>
      </c>
      <c r="AL9" s="17">
        <v>575000</v>
      </c>
      <c r="AM9" s="16">
        <f t="shared" si="7"/>
        <v>759.28754440515502</v>
      </c>
      <c r="AN9" s="16">
        <f t="shared" si="8"/>
        <v>1520.57508881031</v>
      </c>
      <c r="AO9" s="16">
        <f t="shared" si="10"/>
        <v>1863.4175621006709</v>
      </c>
      <c r="AP9" s="16">
        <f t="shared" si="11"/>
        <v>2152.7610589527217</v>
      </c>
      <c r="AQ9" s="16">
        <f>MIN($AL9,AQ$1)+SQRT($AL9*AQ$1)</f>
        <v>12239.578808281798</v>
      </c>
      <c r="AR9" s="27">
        <f>MIN($AL9,AR$1)+SQRT($AL9*AR$1)</f>
        <v>85828.754440515506</v>
      </c>
      <c r="AS9" s="16">
        <f>MIN($AL9,AS$1)+SQRT($AL9*AS$1)</f>
        <v>258326.14929181203</v>
      </c>
      <c r="AT9" s="16">
        <f>MIN($AL9,AT$1)+SQRT($AL9*AT$1)</f>
        <v>1150000</v>
      </c>
      <c r="AU9" s="16"/>
    </row>
    <row r="10" spans="1:55" x14ac:dyDescent="0.25">
      <c r="A10" s="1" t="s">
        <v>85</v>
      </c>
      <c r="B10" s="1" t="s">
        <v>87</v>
      </c>
      <c r="C10" s="2" t="s">
        <v>89</v>
      </c>
      <c r="D10" s="2" t="s">
        <v>86</v>
      </c>
      <c r="E10" s="16">
        <f t="shared" si="0"/>
        <v>65000</v>
      </c>
      <c r="F10" s="16">
        <f t="shared" si="1"/>
        <v>10000</v>
      </c>
      <c r="G10" s="16">
        <f t="shared" si="2"/>
        <v>35495.097567963923</v>
      </c>
      <c r="H10" s="16">
        <v>35386.498168999999</v>
      </c>
      <c r="I10" s="16">
        <f t="shared" si="3"/>
        <v>0</v>
      </c>
      <c r="L10" s="16"/>
      <c r="M10" s="16"/>
      <c r="N10" s="16"/>
      <c r="O10" s="16"/>
      <c r="P10" s="16"/>
      <c r="Q10" s="16"/>
      <c r="R10" s="30"/>
      <c r="AL10" s="17">
        <v>1000000</v>
      </c>
      <c r="AM10" s="16">
        <f t="shared" si="7"/>
        <v>1001</v>
      </c>
      <c r="AN10" s="16">
        <f t="shared" si="8"/>
        <v>2004</v>
      </c>
      <c r="AO10" s="16">
        <f t="shared" si="10"/>
        <v>2455.4897427831779</v>
      </c>
      <c r="AP10" s="16">
        <f t="shared" si="11"/>
        <v>2836.4271247461902</v>
      </c>
      <c r="AQ10" s="16">
        <f>MIN($AL10,AQ$1)+SQRT($AL10*AQ$1)</f>
        <v>16061.388300841896</v>
      </c>
      <c r="AR10" s="16">
        <f>MIN($AL10,AR$1)+SQRT($AL10*AR$1)</f>
        <v>110000</v>
      </c>
      <c r="AS10" s="16">
        <f>MIN($AL10,AS$1)+SQRT($AL10*AS$1)</f>
        <v>319950.97567963926</v>
      </c>
      <c r="AT10" s="16">
        <f>MIN($AL10,AT$1)+SQRT($AL10*AT$1)</f>
        <v>1333287.5444051549</v>
      </c>
      <c r="AU10" s="16">
        <f>MIN($AL10,AU$1)+SQRT($AL10*AU$1)</f>
        <v>2000000</v>
      </c>
    </row>
    <row r="11" spans="1:55" x14ac:dyDescent="0.25">
      <c r="A11" s="1" t="s">
        <v>85</v>
      </c>
      <c r="B11" s="1" t="s">
        <v>88</v>
      </c>
      <c r="C11" s="2" t="s">
        <v>90</v>
      </c>
      <c r="D11" s="2" t="s">
        <v>86</v>
      </c>
      <c r="E11" s="16">
        <f t="shared" si="0"/>
        <v>575000</v>
      </c>
      <c r="F11" s="16">
        <f t="shared" si="1"/>
        <v>10000</v>
      </c>
      <c r="G11" s="16">
        <f t="shared" si="2"/>
        <v>85828.754440515506</v>
      </c>
      <c r="H11" s="16">
        <v>85815.547393000001</v>
      </c>
      <c r="I11" s="16">
        <f t="shared" si="3"/>
        <v>0</v>
      </c>
      <c r="K11" s="1" t="s">
        <v>82</v>
      </c>
      <c r="L11" s="16">
        <v>1000000</v>
      </c>
      <c r="M11" s="16"/>
      <c r="N11" s="16"/>
      <c r="O11" s="16"/>
      <c r="P11" s="16"/>
      <c r="Q11" s="16"/>
      <c r="R11" s="16"/>
    </row>
    <row r="12" spans="1:55" x14ac:dyDescent="0.25">
      <c r="A12" s="1" t="s">
        <v>85</v>
      </c>
      <c r="B12" s="1" t="s">
        <v>88</v>
      </c>
      <c r="C12" s="2" t="s">
        <v>90</v>
      </c>
      <c r="D12" s="2" t="s">
        <v>89</v>
      </c>
      <c r="E12" s="16">
        <f t="shared" si="0"/>
        <v>575000</v>
      </c>
      <c r="F12" s="16">
        <f t="shared" si="1"/>
        <v>65000</v>
      </c>
      <c r="G12" s="16">
        <f t="shared" ref="G12" si="12">MIN(E12:F12)+SQRT(E12*F12)</f>
        <v>258326.14929181203</v>
      </c>
      <c r="H12" s="16">
        <v>127153.02220599999</v>
      </c>
      <c r="I12" s="16">
        <f t="shared" si="3"/>
        <v>0</v>
      </c>
      <c r="R12" s="1" t="s">
        <v>54</v>
      </c>
    </row>
    <row r="13" spans="1:55" x14ac:dyDescent="0.25">
      <c r="L13" s="16"/>
      <c r="M13" s="16"/>
      <c r="N13" s="16"/>
      <c r="O13" s="16"/>
      <c r="Q13" s="1" t="s">
        <v>117</v>
      </c>
      <c r="R13" s="1" t="s">
        <v>42</v>
      </c>
      <c r="S13" s="1" t="s">
        <v>118</v>
      </c>
    </row>
    <row r="14" spans="1:55" x14ac:dyDescent="0.25">
      <c r="B14" s="2">
        <v>4.51</v>
      </c>
      <c r="C14" s="1" t="s">
        <v>9</v>
      </c>
      <c r="L14" s="16"/>
      <c r="M14" s="16"/>
      <c r="N14" s="16"/>
      <c r="O14" s="16"/>
      <c r="Q14" s="33">
        <v>0.01</v>
      </c>
      <c r="R14" s="1">
        <v>4</v>
      </c>
      <c r="S14" s="5">
        <f>R14*TAN(RADIANS(Q$14))</f>
        <v>6.9813170788650121E-4</v>
      </c>
    </row>
    <row r="15" spans="1:55" x14ac:dyDescent="0.25">
      <c r="B15" s="1">
        <f>B14*3600</f>
        <v>16236</v>
      </c>
      <c r="C15" s="1" t="s">
        <v>104</v>
      </c>
      <c r="E15" s="1" t="s">
        <v>120</v>
      </c>
      <c r="F15" s="1" t="str">
        <f>K5</f>
        <v>dish 2</v>
      </c>
      <c r="G15" s="1">
        <f>2*R5</f>
        <v>640</v>
      </c>
      <c r="L15" s="16"/>
      <c r="M15" s="16"/>
      <c r="N15" s="16"/>
      <c r="O15" s="16"/>
      <c r="R15" s="1">
        <v>16</v>
      </c>
      <c r="S15" s="5">
        <f t="shared" ref="S15:S21" si="13">R15*TAN(RADIANS(Q$14))</f>
        <v>2.7925268315460048E-3</v>
      </c>
    </row>
    <row r="16" spans="1:55" x14ac:dyDescent="0.25">
      <c r="E16" s="1" t="s">
        <v>120</v>
      </c>
      <c r="F16" s="1" t="str">
        <f t="shared" ref="F16:F17" si="14">K6</f>
        <v>dish 3</v>
      </c>
      <c r="G16" s="1">
        <f>2*R6</f>
        <v>960</v>
      </c>
      <c r="L16" s="16"/>
      <c r="M16" s="16"/>
      <c r="N16" s="16"/>
      <c r="O16" s="16"/>
      <c r="R16" s="1">
        <v>50</v>
      </c>
      <c r="S16" s="5">
        <f t="shared" si="13"/>
        <v>8.7266463485812656E-3</v>
      </c>
    </row>
    <row r="17" spans="2:38" x14ac:dyDescent="0.25">
      <c r="B17" s="2">
        <v>7.5</v>
      </c>
      <c r="C17" s="1" t="s">
        <v>119</v>
      </c>
      <c r="E17" s="1" t="s">
        <v>120</v>
      </c>
      <c r="F17" s="1" t="str">
        <f t="shared" si="14"/>
        <v>dish 4</v>
      </c>
      <c r="G17" s="1">
        <f>2*R7</f>
        <v>1440</v>
      </c>
      <c r="L17" s="16"/>
      <c r="M17" s="16"/>
      <c r="N17" s="16"/>
      <c r="O17" s="16"/>
      <c r="R17" s="1">
        <v>90</v>
      </c>
      <c r="S17" s="5">
        <f t="shared" si="13"/>
        <v>1.5707963427446278E-2</v>
      </c>
    </row>
    <row r="18" spans="2:38" x14ac:dyDescent="0.25">
      <c r="B18" s="1">
        <f>60*B17</f>
        <v>450</v>
      </c>
      <c r="C18" s="1" t="s">
        <v>104</v>
      </c>
      <c r="G18" s="1">
        <f>SUM(G15:G17)</f>
        <v>3040</v>
      </c>
      <c r="L18" s="16"/>
      <c r="M18" s="16"/>
      <c r="N18" s="16"/>
      <c r="O18" s="16"/>
      <c r="R18" s="1">
        <v>20000</v>
      </c>
      <c r="S18" s="5">
        <f t="shared" si="13"/>
        <v>3.490658539432506</v>
      </c>
    </row>
    <row r="19" spans="2:38" x14ac:dyDescent="0.25">
      <c r="F19" s="1" t="s">
        <v>121</v>
      </c>
      <c r="G19" s="1">
        <f>G18+450</f>
        <v>3490</v>
      </c>
      <c r="L19" s="16"/>
      <c r="M19" s="16"/>
      <c r="N19" s="16"/>
      <c r="O19" s="16"/>
      <c r="R19" s="1">
        <v>36000</v>
      </c>
      <c r="S19" s="5">
        <f t="shared" si="13"/>
        <v>6.2831853709785106</v>
      </c>
    </row>
    <row r="20" spans="2:38" x14ac:dyDescent="0.25">
      <c r="F20" s="1" t="s">
        <v>9</v>
      </c>
      <c r="G20" s="4">
        <f>G19/3600</f>
        <v>0.96944444444444444</v>
      </c>
      <c r="L20" s="16"/>
      <c r="M20" s="16"/>
      <c r="N20" s="16"/>
      <c r="O20" s="16"/>
      <c r="R20" s="1">
        <v>86000</v>
      </c>
      <c r="S20" s="5">
        <f t="shared" si="13"/>
        <v>15.009831719559775</v>
      </c>
    </row>
    <row r="21" spans="2:38" x14ac:dyDescent="0.25">
      <c r="R21" s="1">
        <v>128000</v>
      </c>
      <c r="S21" s="5">
        <f t="shared" si="13"/>
        <v>22.34021465236804</v>
      </c>
    </row>
    <row r="22" spans="2:38" x14ac:dyDescent="0.25">
      <c r="S22" s="5"/>
    </row>
    <row r="23" spans="2:38" x14ac:dyDescent="0.25">
      <c r="S23" s="5"/>
      <c r="AJ23" s="16"/>
      <c r="AK23" s="16"/>
    </row>
    <row r="24" spans="2:38" x14ac:dyDescent="0.25">
      <c r="S24" s="5"/>
    </row>
    <row r="25" spans="2:38" x14ac:dyDescent="0.25">
      <c r="S25" s="5"/>
    </row>
    <row r="26" spans="2:38" x14ac:dyDescent="0.25">
      <c r="S26" s="5"/>
    </row>
    <row r="27" spans="2:38" x14ac:dyDescent="0.25">
      <c r="S27" s="5"/>
    </row>
    <row r="28" spans="2:38" x14ac:dyDescent="0.25">
      <c r="S28" s="5"/>
    </row>
    <row r="29" spans="2:38" x14ac:dyDescent="0.25">
      <c r="S29" s="5"/>
    </row>
    <row r="30" spans="2:38" x14ac:dyDescent="0.25">
      <c r="S30" s="5"/>
    </row>
    <row r="31" spans="2:38" x14ac:dyDescent="0.25">
      <c r="S31" s="5"/>
      <c r="AL31" s="16"/>
    </row>
    <row r="32" spans="2:38" x14ac:dyDescent="0.25">
      <c r="S32" s="5"/>
      <c r="AL32" s="16"/>
    </row>
    <row r="33" spans="38:38" x14ac:dyDescent="0.25">
      <c r="AL33" s="16"/>
    </row>
    <row r="34" spans="38:38" x14ac:dyDescent="0.25">
      <c r="AL34" s="16"/>
    </row>
    <row r="35" spans="38:38" x14ac:dyDescent="0.25">
      <c r="AL35" s="16"/>
    </row>
    <row r="36" spans="38:38" x14ac:dyDescent="0.25">
      <c r="AL36" s="16"/>
    </row>
  </sheetData>
  <sortState ref="AL24:AL36">
    <sortCondition ref="AL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opLeftCell="B1" workbookViewId="0">
      <selection activeCell="Q14" sqref="Q14"/>
    </sheetView>
  </sheetViews>
  <sheetFormatPr defaultRowHeight="15" x14ac:dyDescent="0.25"/>
  <cols>
    <col min="1" max="2" width="8.140625" style="1" bestFit="1" customWidth="1"/>
    <col min="3" max="3" width="7.28515625" style="1" bestFit="1" customWidth="1"/>
    <col min="4" max="4" width="5.5703125" style="1" bestFit="1" customWidth="1"/>
    <col min="5" max="6" width="9.140625" style="1"/>
    <col min="7" max="7" width="10.140625" style="1" bestFit="1" customWidth="1"/>
    <col min="8" max="8" width="8" style="1" bestFit="1" customWidth="1"/>
    <col min="9" max="9" width="8.5703125" style="1" bestFit="1" customWidth="1"/>
    <col min="10" max="10" width="6.28515625" style="1" bestFit="1" customWidth="1"/>
    <col min="11" max="11" width="6.5703125" style="1" bestFit="1" customWidth="1"/>
    <col min="12" max="13" width="5.5703125" style="1" bestFit="1" customWidth="1"/>
    <col min="14" max="14" width="7.28515625" style="1" bestFit="1" customWidth="1"/>
    <col min="15" max="16384" width="9.140625" style="1"/>
  </cols>
  <sheetData>
    <row r="1" spans="1:20" x14ac:dyDescent="0.25">
      <c r="A1" s="1" t="s">
        <v>59</v>
      </c>
      <c r="B1" s="1" t="s">
        <v>18</v>
      </c>
      <c r="C1" s="1" t="s">
        <v>64</v>
      </c>
      <c r="D1" s="1" t="s">
        <v>70</v>
      </c>
      <c r="F1" s="1" t="s">
        <v>59</v>
      </c>
      <c r="G1" s="1" t="s">
        <v>18</v>
      </c>
      <c r="H1" s="1" t="s">
        <v>66</v>
      </c>
      <c r="I1" s="1" t="s">
        <v>65</v>
      </c>
      <c r="J1" s="1" t="s">
        <v>67</v>
      </c>
      <c r="K1" s="1" t="s">
        <v>68</v>
      </c>
      <c r="L1" s="1" t="s">
        <v>59</v>
      </c>
      <c r="M1" s="1" t="s">
        <v>18</v>
      </c>
      <c r="N1" s="1" t="s">
        <v>69</v>
      </c>
      <c r="O1" s="1" t="s">
        <v>107</v>
      </c>
      <c r="P1" s="1" t="s">
        <v>142</v>
      </c>
    </row>
    <row r="2" spans="1:20" x14ac:dyDescent="0.25">
      <c r="A2" s="2" t="s">
        <v>60</v>
      </c>
      <c r="B2" s="2" t="s">
        <v>62</v>
      </c>
      <c r="C2" s="21">
        <f>N2+O2</f>
        <v>3321.9595450249772</v>
      </c>
      <c r="D2" s="21">
        <f>C2</f>
        <v>3321.9595450249772</v>
      </c>
      <c r="F2" s="17">
        <v>600000</v>
      </c>
      <c r="G2" s="17">
        <v>670000</v>
      </c>
      <c r="H2" s="1">
        <f>AVERAGE(F2:G2)</f>
        <v>635000</v>
      </c>
      <c r="I2" s="20">
        <v>3531600000000</v>
      </c>
      <c r="J2" s="16">
        <f>SQRT(I2*(2/F2-1/H2))</f>
        <v>2492.0724702244102</v>
      </c>
      <c r="K2" s="16">
        <f>SQRT(I2*(2/G2-1/H2))</f>
        <v>2231.7066897532031</v>
      </c>
      <c r="L2" s="17">
        <v>174.53292519943295</v>
      </c>
      <c r="M2" s="17">
        <f>J2</f>
        <v>2492.0724702244102</v>
      </c>
      <c r="N2" s="16">
        <f>M2-L2</f>
        <v>2317.5395450249771</v>
      </c>
      <c r="O2" s="17">
        <f>200+9.81*82</f>
        <v>1004.4200000000001</v>
      </c>
      <c r="P2" s="16">
        <f>2*PI()*SQRT(H2^3/I2)</f>
        <v>1691.8221328894676</v>
      </c>
      <c r="R2" s="1" t="s">
        <v>64</v>
      </c>
      <c r="S2" s="1" t="s">
        <v>135</v>
      </c>
      <c r="T2" s="1" t="s">
        <v>139</v>
      </c>
    </row>
    <row r="3" spans="1:20" x14ac:dyDescent="0.25">
      <c r="A3" s="2" t="s">
        <v>62</v>
      </c>
      <c r="B3" s="2" t="s">
        <v>61</v>
      </c>
      <c r="C3" s="21">
        <f t="shared" ref="C3:C5" si="0">N3+O3</f>
        <v>64.168911432410368</v>
      </c>
      <c r="D3" s="21">
        <f>C3+D2</f>
        <v>3386.1284564573875</v>
      </c>
      <c r="F3" s="17">
        <v>670000</v>
      </c>
      <c r="G3" s="17">
        <v>670000</v>
      </c>
      <c r="H3" s="1">
        <f>AVERAGE(F3:G3)</f>
        <v>670000</v>
      </c>
      <c r="I3" s="20">
        <v>3531600000000</v>
      </c>
      <c r="J3" s="16">
        <f>SQRT(I3*(2/F3-1/H3))</f>
        <v>2295.8756011856135</v>
      </c>
      <c r="K3" s="16">
        <f>SQRT(I3*(2/G3-1/H3))</f>
        <v>2295.8756011856135</v>
      </c>
      <c r="L3" s="17">
        <f>K2</f>
        <v>2231.7066897532031</v>
      </c>
      <c r="M3" s="17">
        <f>K3</f>
        <v>2295.8756011856135</v>
      </c>
      <c r="N3" s="16">
        <f>M3-L3</f>
        <v>64.168911432410368</v>
      </c>
      <c r="O3" s="17"/>
      <c r="P3" s="16">
        <f t="shared" ref="P3:P5" si="1">2*PI()*SQRT(H3^3/I3)</f>
        <v>1833.6072536492711</v>
      </c>
      <c r="R3" s="40">
        <v>2223</v>
      </c>
      <c r="S3" s="40">
        <v>71</v>
      </c>
      <c r="T3" s="40">
        <v>10</v>
      </c>
    </row>
    <row r="4" spans="1:20" x14ac:dyDescent="0.25">
      <c r="A4" s="2" t="s">
        <v>61</v>
      </c>
      <c r="B4" s="2" t="s">
        <v>63</v>
      </c>
      <c r="C4" s="21">
        <f t="shared" si="0"/>
        <v>676.5791616769734</v>
      </c>
      <c r="D4" s="21">
        <f>C4+D3</f>
        <v>4062.7076181343609</v>
      </c>
      <c r="F4" s="17">
        <v>670000</v>
      </c>
      <c r="G4" s="17">
        <f>600000+2868750</f>
        <v>3468750</v>
      </c>
      <c r="H4" s="1">
        <f>AVERAGE(F4:G4)</f>
        <v>2069375</v>
      </c>
      <c r="I4" s="20">
        <v>3531600000000</v>
      </c>
      <c r="J4" s="16">
        <f>SQRT(I4*(2/F4-1/H4))</f>
        <v>2972.4547628625869</v>
      </c>
      <c r="K4" s="16">
        <f>SQRT(I4*(2/G4-1/H4))</f>
        <v>574.1390100520166</v>
      </c>
      <c r="L4" s="17">
        <f>J3</f>
        <v>2295.8756011856135</v>
      </c>
      <c r="M4" s="17">
        <f>J4</f>
        <v>2972.4547628625869</v>
      </c>
      <c r="N4" s="16">
        <f>M4-L4</f>
        <v>676.5791616769734</v>
      </c>
      <c r="O4" s="17"/>
      <c r="P4" s="16">
        <f t="shared" si="1"/>
        <v>9952.9749592970566</v>
      </c>
      <c r="R4" s="1" t="s">
        <v>136</v>
      </c>
      <c r="S4" s="1" t="s">
        <v>137</v>
      </c>
      <c r="T4" s="1" t="s">
        <v>138</v>
      </c>
    </row>
    <row r="5" spans="1:20" x14ac:dyDescent="0.25">
      <c r="A5" s="2" t="s">
        <v>63</v>
      </c>
      <c r="B5" s="2" t="s">
        <v>41</v>
      </c>
      <c r="C5" s="21">
        <f t="shared" si="0"/>
        <v>434.87978011936514</v>
      </c>
      <c r="D5" s="21">
        <f>C5+D4</f>
        <v>4497.587398253726</v>
      </c>
      <c r="F5" s="17">
        <f>600000+2868750</f>
        <v>3468750</v>
      </c>
      <c r="G5" s="17">
        <f>600000+2868750</f>
        <v>3468750</v>
      </c>
      <c r="H5" s="1">
        <f>AVERAGE(F5:G5)</f>
        <v>3468750</v>
      </c>
      <c r="I5" s="20">
        <v>3531600000000</v>
      </c>
      <c r="J5" s="16">
        <f>SQRT(I5*(2/F5-1/H5))</f>
        <v>1009.0187901713817</v>
      </c>
      <c r="K5" s="16">
        <f>SQRT(I5*(2/G5-1/H5))</f>
        <v>1009.0187901713817</v>
      </c>
      <c r="L5" s="17">
        <f>K4</f>
        <v>574.1390100520166</v>
      </c>
      <c r="M5" s="17">
        <f>J5</f>
        <v>1009.0187901713817</v>
      </c>
      <c r="N5" s="16">
        <f>M5-L5</f>
        <v>434.87978011936514</v>
      </c>
      <c r="O5" s="17"/>
      <c r="P5" s="16">
        <f t="shared" si="1"/>
        <v>21599.993227655697</v>
      </c>
      <c r="R5" s="6">
        <f>9.81*S3*98%</f>
        <v>682.57979999999998</v>
      </c>
      <c r="S5" s="6">
        <f>R3-R5</f>
        <v>1540.4202</v>
      </c>
      <c r="T5" s="6">
        <f>70%*S5</f>
        <v>1078.29414</v>
      </c>
    </row>
    <row r="6" spans="1:20" x14ac:dyDescent="0.25">
      <c r="R6" s="1" t="s">
        <v>140</v>
      </c>
    </row>
    <row r="7" spans="1:20" x14ac:dyDescent="0.25">
      <c r="A7" s="2" t="s">
        <v>61</v>
      </c>
      <c r="B7" s="2" t="s">
        <v>49</v>
      </c>
      <c r="C7" s="21">
        <f>N7+O7</f>
        <v>863.96857272284706</v>
      </c>
      <c r="D7" s="21">
        <f>C7</f>
        <v>863.96857272284706</v>
      </c>
      <c r="F7" s="17">
        <v>670000</v>
      </c>
      <c r="G7" s="17">
        <v>12000000</v>
      </c>
      <c r="H7" s="1">
        <f>AVERAGE(F7:G7)</f>
        <v>6335000</v>
      </c>
      <c r="I7" s="20">
        <v>3531600000000</v>
      </c>
      <c r="J7" s="16">
        <f>SQRT(I7*(2/F7-1/H7))</f>
        <v>3159.8441739084606</v>
      </c>
      <c r="K7" s="16">
        <f>SQRT(I7*(2/G7-1/H7))</f>
        <v>176.42463304322249</v>
      </c>
      <c r="L7" s="17">
        <f>J3</f>
        <v>2295.8756011856135</v>
      </c>
      <c r="M7" s="17">
        <f>J7</f>
        <v>3159.8441739084606</v>
      </c>
      <c r="N7" s="16">
        <f>M7-L7</f>
        <v>863.96857272284706</v>
      </c>
      <c r="O7" s="17"/>
      <c r="P7" s="16">
        <f>2*PI()*SQRT(H7^3/I7)</f>
        <v>53310.658020675924</v>
      </c>
      <c r="R7" s="38">
        <f>T3*S3^2</f>
        <v>50410</v>
      </c>
    </row>
    <row r="9" spans="1:20" x14ac:dyDescent="0.25">
      <c r="A9" s="2" t="s">
        <v>60</v>
      </c>
      <c r="B9" s="2" t="s">
        <v>106</v>
      </c>
      <c r="C9" s="21">
        <f t="shared" ref="C9:C10" si="2">N9+O9</f>
        <v>603.612064514905</v>
      </c>
      <c r="D9" s="21">
        <f>C9</f>
        <v>603.612064514905</v>
      </c>
      <c r="F9" s="17">
        <v>200000</v>
      </c>
      <c r="G9" s="17">
        <v>210000</v>
      </c>
      <c r="H9" s="1">
        <f>AVERAGE(F9:G9)</f>
        <v>205000</v>
      </c>
      <c r="I9" s="20">
        <v>65138398000</v>
      </c>
      <c r="J9" s="16">
        <f>SQRT(I9*(2/F9-1/H9))</f>
        <v>577.612064514905</v>
      </c>
      <c r="K9" s="16">
        <f>SQRT(I9*(2/G9-1/H9))</f>
        <v>550.10672810943322</v>
      </c>
      <c r="L9" s="17">
        <v>9</v>
      </c>
      <c r="M9" s="17">
        <f>J9</f>
        <v>577.612064514905</v>
      </c>
      <c r="N9" s="16">
        <f>M9-L9</f>
        <v>568.612064514905</v>
      </c>
      <c r="O9" s="17">
        <v>35</v>
      </c>
      <c r="P9" s="16">
        <f t="shared" ref="P9:P10" si="3">2*PI()*SQRT(H9^3/I9)</f>
        <v>2285.0311415809701</v>
      </c>
    </row>
    <row r="10" spans="1:20" x14ac:dyDescent="0.25">
      <c r="A10" s="2" t="s">
        <v>106</v>
      </c>
      <c r="B10" s="2" t="s">
        <v>105</v>
      </c>
      <c r="C10" s="21">
        <f t="shared" si="2"/>
        <v>6.8338859770666431</v>
      </c>
      <c r="D10" s="21">
        <f>C10+D9</f>
        <v>610.44595049197164</v>
      </c>
      <c r="F10" s="17">
        <v>210000</v>
      </c>
      <c r="G10" s="17">
        <v>210000</v>
      </c>
      <c r="H10" s="1">
        <f>AVERAGE(F10:G10)</f>
        <v>210000</v>
      </c>
      <c r="I10" s="20">
        <v>65138398000</v>
      </c>
      <c r="J10" s="16">
        <f>SQRT(I10*(2/F10-1/H10))</f>
        <v>556.94061408649986</v>
      </c>
      <c r="K10" s="16">
        <f>SQRT(I10*(2/G10-1/H10))</f>
        <v>556.94061408649986</v>
      </c>
      <c r="L10" s="17">
        <f>K9</f>
        <v>550.10672810943322</v>
      </c>
      <c r="M10" s="17">
        <f>J10</f>
        <v>556.94061408649986</v>
      </c>
      <c r="N10" s="16">
        <f>M10-L10</f>
        <v>6.8338859770666431</v>
      </c>
      <c r="O10" s="17"/>
      <c r="P10" s="16">
        <f t="shared" si="3"/>
        <v>2369.1375366329148</v>
      </c>
    </row>
    <row r="12" spans="1:20" x14ac:dyDescent="0.25">
      <c r="A12" s="2" t="s">
        <v>60</v>
      </c>
      <c r="B12" s="2" t="s">
        <v>108</v>
      </c>
      <c r="C12" s="21">
        <f t="shared" ref="C12" si="4">N12+O12</f>
        <v>6077.7618656919749</v>
      </c>
      <c r="D12" s="21">
        <f>C12</f>
        <v>6077.7618656919749</v>
      </c>
      <c r="F12" s="17">
        <v>700000</v>
      </c>
      <c r="G12" s="17">
        <v>800000</v>
      </c>
      <c r="H12" s="1">
        <f>AVERAGE(F12:G12)</f>
        <v>750000</v>
      </c>
      <c r="I12" s="20">
        <v>8171730200000</v>
      </c>
      <c r="J12" s="16">
        <f>SQRT(I12*(2/F12-1/H12))</f>
        <v>3528.7618656919744</v>
      </c>
      <c r="K12" s="16">
        <f>SQRT(I12*(2/G12-1/H12))</f>
        <v>3087.6666324804778</v>
      </c>
      <c r="L12" s="17">
        <v>55</v>
      </c>
      <c r="M12" s="17">
        <f>J12</f>
        <v>3528.7618656919744</v>
      </c>
      <c r="N12" s="16">
        <f>M12-L12</f>
        <v>3473.7618656919744</v>
      </c>
      <c r="O12" s="17">
        <f>200*3+16.7*120</f>
        <v>2604</v>
      </c>
      <c r="P12" s="16">
        <f t="shared" ref="P12:P13" si="5">2*PI()*SQRT(H12^3/I12)</f>
        <v>1427.6270025663123</v>
      </c>
    </row>
    <row r="13" spans="1:20" x14ac:dyDescent="0.25">
      <c r="A13" s="2" t="s">
        <v>108</v>
      </c>
      <c r="B13" s="2" t="s">
        <v>109</v>
      </c>
      <c r="C13" s="21">
        <f t="shared" ref="C13" si="6">N13+O13</f>
        <v>108.37197022756845</v>
      </c>
      <c r="D13" s="21">
        <f>C13+D12</f>
        <v>6186.1338359195433</v>
      </c>
      <c r="F13" s="17">
        <v>800000</v>
      </c>
      <c r="G13" s="17">
        <v>800000</v>
      </c>
      <c r="H13" s="1">
        <f>AVERAGE(F13:G13)</f>
        <v>800000</v>
      </c>
      <c r="I13" s="20">
        <v>8171730200000</v>
      </c>
      <c r="J13" s="16">
        <f>SQRT(I13*(2/F13-1/H13))</f>
        <v>3196.0386027080463</v>
      </c>
      <c r="K13" s="16">
        <f>SQRT(I13*(2/G13-1/H13))</f>
        <v>3196.0386027080463</v>
      </c>
      <c r="L13" s="17">
        <f>K12</f>
        <v>3087.6666324804778</v>
      </c>
      <c r="M13" s="17">
        <f>J13</f>
        <v>3196.0386027080463</v>
      </c>
      <c r="N13" s="16">
        <f>M13-L13</f>
        <v>108.37197022756845</v>
      </c>
      <c r="O13" s="17"/>
      <c r="P13" s="16">
        <f t="shared" si="5"/>
        <v>1572.7432833522748</v>
      </c>
    </row>
    <row r="15" spans="1:20" x14ac:dyDescent="0.25">
      <c r="A15" s="2" t="s">
        <v>60</v>
      </c>
      <c r="B15" s="2" t="s">
        <v>132</v>
      </c>
      <c r="C15" s="21">
        <f>N15+O15</f>
        <v>3997.8575396817419</v>
      </c>
      <c r="D15" s="21">
        <f>C15</f>
        <v>3997.8575396817419</v>
      </c>
      <c r="F15" s="17">
        <v>600000</v>
      </c>
      <c r="G15" s="17">
        <f>600000+2868750</f>
        <v>3468750</v>
      </c>
      <c r="H15" s="1">
        <f>AVERAGE(F15:G15)</f>
        <v>2034375</v>
      </c>
      <c r="I15" s="20">
        <v>3531600000000</v>
      </c>
      <c r="J15" s="16">
        <f>SQRT(I15*(2/F15-1/H15))</f>
        <v>3167.9704648811748</v>
      </c>
      <c r="K15" s="16">
        <f>SQRT(I15*(2/G15-1/H15))</f>
        <v>547.97326960106784</v>
      </c>
      <c r="L15" s="17">
        <v>174.53292519943295</v>
      </c>
      <c r="M15" s="17">
        <f>J15</f>
        <v>3167.9704648811748</v>
      </c>
      <c r="N15" s="16">
        <f>M15-L15</f>
        <v>2993.4375396817418</v>
      </c>
      <c r="O15" s="17">
        <f>200+9.81*82</f>
        <v>1004.4200000000001</v>
      </c>
      <c r="P15" s="16">
        <f t="shared" ref="P15:P16" si="7">2*PI()*SQRT(H15^3/I15)</f>
        <v>9701.5389058065757</v>
      </c>
    </row>
    <row r="16" spans="1:20" x14ac:dyDescent="0.25">
      <c r="A16" s="2" t="s">
        <v>132</v>
      </c>
      <c r="B16" s="2" t="s">
        <v>41</v>
      </c>
      <c r="C16" s="21">
        <f>N16+O16</f>
        <v>461.0455205703139</v>
      </c>
      <c r="D16" s="21">
        <f>C16</f>
        <v>461.0455205703139</v>
      </c>
      <c r="F16" s="17">
        <f>600000+2868750</f>
        <v>3468750</v>
      </c>
      <c r="G16" s="17">
        <f>600000+2868750</f>
        <v>3468750</v>
      </c>
      <c r="H16" s="1">
        <f>AVERAGE(F16:G16)</f>
        <v>3468750</v>
      </c>
      <c r="I16" s="20">
        <v>3531600000000</v>
      </c>
      <c r="J16" s="16">
        <f>SQRT(I16*(2/F16-1/H16))</f>
        <v>1009.0187901713817</v>
      </c>
      <c r="K16" s="16">
        <f>SQRT(I16*(2/G16-1/H16))</f>
        <v>1009.0187901713817</v>
      </c>
      <c r="L16" s="17">
        <f>K15</f>
        <v>547.97326960106784</v>
      </c>
      <c r="M16" s="17">
        <f>J16</f>
        <v>1009.0187901713817</v>
      </c>
      <c r="N16" s="16">
        <f>M16-L16</f>
        <v>461.0455205703139</v>
      </c>
      <c r="O16" s="17"/>
      <c r="P16" s="16">
        <f t="shared" si="7"/>
        <v>21599.993227655697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Q17" sqref="Q17"/>
    </sheetView>
  </sheetViews>
  <sheetFormatPr defaultRowHeight="15" x14ac:dyDescent="0.25"/>
  <cols>
    <col min="1" max="16384" width="9.140625" style="1"/>
  </cols>
  <sheetData>
    <row r="1" spans="1:17" x14ac:dyDescent="0.25">
      <c r="A1" s="14" t="s">
        <v>115</v>
      </c>
    </row>
    <row r="2" spans="1:17" x14ac:dyDescent="0.25">
      <c r="A2" s="1" t="s">
        <v>53</v>
      </c>
      <c r="B2" s="1" t="s">
        <v>110</v>
      </c>
      <c r="C2" s="1" t="s">
        <v>112</v>
      </c>
      <c r="D2" s="29">
        <v>0.6</v>
      </c>
      <c r="E2" s="29">
        <f t="shared" ref="E2:K2" si="0">5%+D2</f>
        <v>0.65</v>
      </c>
      <c r="F2" s="29">
        <f t="shared" si="0"/>
        <v>0.70000000000000007</v>
      </c>
      <c r="G2" s="29">
        <f t="shared" si="0"/>
        <v>0.75000000000000011</v>
      </c>
      <c r="H2" s="29">
        <f t="shared" si="0"/>
        <v>0.80000000000000016</v>
      </c>
      <c r="I2" s="29">
        <f t="shared" si="0"/>
        <v>0.8500000000000002</v>
      </c>
      <c r="J2" s="29">
        <f t="shared" si="0"/>
        <v>0.90000000000000024</v>
      </c>
      <c r="K2" s="29">
        <f t="shared" si="0"/>
        <v>0.95000000000000029</v>
      </c>
    </row>
    <row r="3" spans="1:17" x14ac:dyDescent="0.25">
      <c r="A3" s="2">
        <v>0.5</v>
      </c>
      <c r="B3" s="1">
        <f>A3/2</f>
        <v>0.25</v>
      </c>
      <c r="C3" s="6">
        <f>4/3*PI()*B3^3*1000</f>
        <v>65.449846949787357</v>
      </c>
      <c r="D3" s="6">
        <f t="shared" ref="D3:K3" si="1">$C3*D2</f>
        <v>39.269908169872416</v>
      </c>
      <c r="E3" s="6">
        <f t="shared" si="1"/>
        <v>42.542400517361784</v>
      </c>
      <c r="F3" s="6">
        <f t="shared" si="1"/>
        <v>45.814892864851153</v>
      </c>
      <c r="G3" s="6">
        <f t="shared" si="1"/>
        <v>49.087385212340529</v>
      </c>
      <c r="H3" s="6">
        <f t="shared" si="1"/>
        <v>52.359877559829897</v>
      </c>
      <c r="I3" s="12">
        <f t="shared" si="1"/>
        <v>55.632369907319266</v>
      </c>
      <c r="J3" s="6">
        <f t="shared" si="1"/>
        <v>58.904862254808634</v>
      </c>
      <c r="K3" s="6">
        <f t="shared" si="1"/>
        <v>62.17735460229801</v>
      </c>
    </row>
    <row r="4" spans="1:17" x14ac:dyDescent="0.25">
      <c r="A4" s="2"/>
      <c r="C4" s="6"/>
      <c r="D4" s="6"/>
      <c r="E4" s="6"/>
      <c r="F4" s="6"/>
      <c r="G4" s="6"/>
      <c r="H4" s="6"/>
      <c r="I4" s="12"/>
      <c r="J4" s="6"/>
      <c r="K4" s="6"/>
    </row>
    <row r="5" spans="1:17" x14ac:dyDescent="0.25">
      <c r="A5" s="14" t="s">
        <v>114</v>
      </c>
    </row>
    <row r="6" spans="1:17" x14ac:dyDescent="0.25">
      <c r="A6" s="1" t="s">
        <v>53</v>
      </c>
      <c r="B6" s="1" t="s">
        <v>111</v>
      </c>
      <c r="C6" s="1" t="s">
        <v>110</v>
      </c>
      <c r="D6" s="1" t="s">
        <v>111</v>
      </c>
      <c r="E6" s="1" t="s">
        <v>115</v>
      </c>
      <c r="F6" s="1" t="s">
        <v>116</v>
      </c>
      <c r="G6" s="1" t="s">
        <v>112</v>
      </c>
      <c r="H6" s="29">
        <v>0.6</v>
      </c>
      <c r="I6" s="29">
        <f t="shared" ref="I6:O6" si="2">5%+H6</f>
        <v>0.65</v>
      </c>
      <c r="J6" s="29">
        <f t="shared" si="2"/>
        <v>0.70000000000000007</v>
      </c>
      <c r="K6" s="29">
        <f t="shared" si="2"/>
        <v>0.75000000000000011</v>
      </c>
      <c r="L6" s="29">
        <f t="shared" si="2"/>
        <v>0.80000000000000016</v>
      </c>
      <c r="M6" s="29">
        <f t="shared" si="2"/>
        <v>0.8500000000000002</v>
      </c>
      <c r="N6" s="29">
        <f t="shared" si="2"/>
        <v>0.90000000000000024</v>
      </c>
      <c r="O6" s="29">
        <f t="shared" si="2"/>
        <v>0.95000000000000029</v>
      </c>
    </row>
    <row r="7" spans="1:17" x14ac:dyDescent="0.25">
      <c r="A7" s="2">
        <v>0.5</v>
      </c>
      <c r="B7" s="2">
        <v>1.5</v>
      </c>
      <c r="C7" s="1">
        <f>A7/2</f>
        <v>0.25</v>
      </c>
      <c r="D7" s="1">
        <f>B7-C7-C7</f>
        <v>1</v>
      </c>
      <c r="E7" s="6">
        <f>4/3*PI()*C7^3*1000</f>
        <v>65.449846949787357</v>
      </c>
      <c r="F7" s="6">
        <f>PI()*C7^2*D7*1000</f>
        <v>196.34954084936206</v>
      </c>
      <c r="G7" s="6">
        <f>E7+F7</f>
        <v>261.79938779914943</v>
      </c>
      <c r="H7" s="6">
        <f>$G7*H$6</f>
        <v>157.07963267948966</v>
      </c>
      <c r="I7" s="6">
        <f t="shared" ref="I7:O8" si="3">$G7*I$6</f>
        <v>170.16960206944714</v>
      </c>
      <c r="J7" s="6">
        <f t="shared" si="3"/>
        <v>183.25957145940461</v>
      </c>
      <c r="K7" s="6">
        <f t="shared" si="3"/>
        <v>196.34954084936211</v>
      </c>
      <c r="L7" s="6">
        <f t="shared" si="3"/>
        <v>209.43951023931959</v>
      </c>
      <c r="M7" s="12">
        <f t="shared" si="3"/>
        <v>222.52947962927706</v>
      </c>
      <c r="N7" s="6">
        <f t="shared" si="3"/>
        <v>235.61944901923454</v>
      </c>
      <c r="O7" s="6">
        <f t="shared" si="3"/>
        <v>248.70941840919204</v>
      </c>
    </row>
    <row r="8" spans="1:17" x14ac:dyDescent="0.25">
      <c r="A8" s="2">
        <v>0.5</v>
      </c>
      <c r="B8" s="2">
        <v>0.6</v>
      </c>
      <c r="C8" s="1">
        <f>A8/2</f>
        <v>0.25</v>
      </c>
      <c r="D8" s="1">
        <f>B8-C8-C8</f>
        <v>9.9999999999999978E-2</v>
      </c>
      <c r="E8" s="6">
        <f>4/3*PI()*C8^3*1000</f>
        <v>65.449846949787357</v>
      </c>
      <c r="F8" s="6">
        <f>PI()*C8^2*D8*1000</f>
        <v>19.634954084936204</v>
      </c>
      <c r="G8" s="6">
        <f>E8+F8</f>
        <v>85.084801034723569</v>
      </c>
      <c r="H8" s="6">
        <f t="shared" ref="H8" si="4">$G8*H$6</f>
        <v>51.050880620834143</v>
      </c>
      <c r="I8" s="6">
        <f t="shared" si="3"/>
        <v>55.305120672570318</v>
      </c>
      <c r="J8" s="6">
        <f t="shared" si="3"/>
        <v>59.559360724306501</v>
      </c>
      <c r="K8" s="6">
        <f t="shared" si="3"/>
        <v>63.813600776042684</v>
      </c>
      <c r="L8" s="6">
        <f t="shared" si="3"/>
        <v>68.067840827778866</v>
      </c>
      <c r="M8" s="12">
        <f t="shared" si="3"/>
        <v>72.322080879515056</v>
      </c>
      <c r="N8" s="6">
        <f t="shared" si="3"/>
        <v>76.576320931251232</v>
      </c>
      <c r="O8" s="6">
        <f t="shared" si="3"/>
        <v>80.830560982987421</v>
      </c>
    </row>
    <row r="9" spans="1:17" x14ac:dyDescent="0.25">
      <c r="Q9" s="4"/>
    </row>
    <row r="10" spans="1:17" x14ac:dyDescent="0.25">
      <c r="A10" s="1" t="s">
        <v>53</v>
      </c>
      <c r="B10" s="1" t="s">
        <v>111</v>
      </c>
      <c r="C10" s="1" t="s">
        <v>110</v>
      </c>
      <c r="D10" s="1" t="s">
        <v>112</v>
      </c>
      <c r="E10" s="29">
        <v>0.6</v>
      </c>
      <c r="F10" s="29">
        <f t="shared" ref="F10:J10" si="5">5%+E10</f>
        <v>0.65</v>
      </c>
      <c r="G10" s="29">
        <f t="shared" si="5"/>
        <v>0.70000000000000007</v>
      </c>
      <c r="H10" s="29">
        <f t="shared" si="5"/>
        <v>0.75000000000000011</v>
      </c>
      <c r="I10" s="29">
        <f t="shared" si="5"/>
        <v>0.80000000000000016</v>
      </c>
      <c r="J10" s="29">
        <f t="shared" si="5"/>
        <v>0.8500000000000002</v>
      </c>
      <c r="K10" s="29">
        <v>0.87</v>
      </c>
      <c r="L10" s="29">
        <f>5%+J10</f>
        <v>0.90000000000000024</v>
      </c>
      <c r="M10" s="29">
        <v>0.92</v>
      </c>
      <c r="N10" s="29">
        <f>5%+L10</f>
        <v>0.95000000000000029</v>
      </c>
      <c r="P10" s="1">
        <v>2.5</v>
      </c>
      <c r="Q10" s="34">
        <f>P10/P11*Q11</f>
        <v>4.3679066666666664</v>
      </c>
    </row>
    <row r="11" spans="1:17" x14ac:dyDescent="0.25">
      <c r="A11" s="2">
        <v>1.25</v>
      </c>
      <c r="B11" s="2">
        <v>0.5</v>
      </c>
      <c r="C11" s="1">
        <f t="shared" ref="C11:C22" si="6">A11/2</f>
        <v>0.625</v>
      </c>
      <c r="D11" s="6">
        <f t="shared" ref="D11:D22" si="7">PI()*C11^2*B11*1000</f>
        <v>613.59231515425654</v>
      </c>
      <c r="E11" s="6">
        <f t="shared" ref="E11:N22" si="8">$D11*E$10</f>
        <v>368.15538909255389</v>
      </c>
      <c r="F11" s="6">
        <f t="shared" si="8"/>
        <v>398.83500485026678</v>
      </c>
      <c r="G11" s="6">
        <f t="shared" si="8"/>
        <v>429.51462060797962</v>
      </c>
      <c r="H11" s="6">
        <f t="shared" si="8"/>
        <v>460.19423636569246</v>
      </c>
      <c r="I11" s="6">
        <f t="shared" si="8"/>
        <v>490.8738521234053</v>
      </c>
      <c r="J11" s="6">
        <f t="shared" si="8"/>
        <v>521.55346788111819</v>
      </c>
      <c r="K11" s="12">
        <f t="shared" si="8"/>
        <v>533.82531418420319</v>
      </c>
      <c r="L11" s="6">
        <f t="shared" si="8"/>
        <v>552.23308363883109</v>
      </c>
      <c r="M11" s="12">
        <f t="shared" si="8"/>
        <v>564.50492994191609</v>
      </c>
      <c r="N11" s="6">
        <f t="shared" si="8"/>
        <v>582.91269939654387</v>
      </c>
      <c r="P11" s="1">
        <v>3.75</v>
      </c>
      <c r="Q11" s="4">
        <v>6.5518599999999996</v>
      </c>
    </row>
    <row r="12" spans="1:17" x14ac:dyDescent="0.25">
      <c r="A12" s="2">
        <v>2.5</v>
      </c>
      <c r="B12" s="2">
        <v>4.75</v>
      </c>
      <c r="C12" s="1">
        <f t="shared" si="6"/>
        <v>1.25</v>
      </c>
      <c r="D12" s="6">
        <f t="shared" si="7"/>
        <v>23316.507975861747</v>
      </c>
      <c r="E12" s="6">
        <f t="shared" si="8"/>
        <v>13989.904785517048</v>
      </c>
      <c r="F12" s="6">
        <f t="shared" si="8"/>
        <v>15155.730184310136</v>
      </c>
      <c r="G12" s="6">
        <f t="shared" si="8"/>
        <v>16321.555583103223</v>
      </c>
      <c r="H12" s="6">
        <f t="shared" si="8"/>
        <v>17487.380981896313</v>
      </c>
      <c r="I12" s="6">
        <f t="shared" si="8"/>
        <v>18653.2063806894</v>
      </c>
      <c r="J12" s="6">
        <f t="shared" si="8"/>
        <v>19819.031779482488</v>
      </c>
      <c r="K12" s="12">
        <f t="shared" si="8"/>
        <v>20285.361938999718</v>
      </c>
      <c r="L12" s="6">
        <f t="shared" si="8"/>
        <v>20984.857178275579</v>
      </c>
      <c r="M12" s="12">
        <f t="shared" si="8"/>
        <v>21451.18733779281</v>
      </c>
      <c r="N12" s="6">
        <f t="shared" si="8"/>
        <v>22150.682577068666</v>
      </c>
      <c r="Q12" s="4">
        <v>-1.5</v>
      </c>
    </row>
    <row r="13" spans="1:17" x14ac:dyDescent="0.25">
      <c r="A13" s="2">
        <v>1.25</v>
      </c>
      <c r="B13" s="41">
        <v>0.5</v>
      </c>
      <c r="C13" s="1">
        <f t="shared" si="6"/>
        <v>0.625</v>
      </c>
      <c r="D13" s="6">
        <f t="shared" si="7"/>
        <v>613.59231515425654</v>
      </c>
      <c r="E13" s="6">
        <f t="shared" si="8"/>
        <v>368.15538909255389</v>
      </c>
      <c r="F13" s="6">
        <f t="shared" si="8"/>
        <v>398.83500485026678</v>
      </c>
      <c r="G13" s="6">
        <f t="shared" si="8"/>
        <v>429.51462060797962</v>
      </c>
      <c r="H13" s="6">
        <f t="shared" si="8"/>
        <v>460.19423636569246</v>
      </c>
      <c r="I13" s="6">
        <f t="shared" si="8"/>
        <v>490.8738521234053</v>
      </c>
      <c r="J13" s="6">
        <f t="shared" si="8"/>
        <v>521.55346788111819</v>
      </c>
      <c r="K13" s="12">
        <f t="shared" si="8"/>
        <v>533.82531418420319</v>
      </c>
      <c r="L13" s="6">
        <f t="shared" si="8"/>
        <v>552.23308363883109</v>
      </c>
      <c r="M13" s="12">
        <f t="shared" si="8"/>
        <v>564.50492994191609</v>
      </c>
      <c r="N13" s="6">
        <f t="shared" si="8"/>
        <v>582.91269939654387</v>
      </c>
      <c r="Q13" s="1">
        <v>1.22</v>
      </c>
    </row>
    <row r="14" spans="1:17" x14ac:dyDescent="0.25">
      <c r="A14" s="2">
        <v>2.5</v>
      </c>
      <c r="B14" s="41">
        <v>1.8</v>
      </c>
      <c r="C14" s="1">
        <f t="shared" si="6"/>
        <v>1.25</v>
      </c>
      <c r="D14" s="6">
        <f t="shared" si="7"/>
        <v>8835.7293382212938</v>
      </c>
      <c r="E14" s="6">
        <f t="shared" si="8"/>
        <v>5301.4376029327759</v>
      </c>
      <c r="F14" s="6">
        <f t="shared" si="8"/>
        <v>5743.2240698438409</v>
      </c>
      <c r="G14" s="6">
        <f t="shared" si="8"/>
        <v>6185.0105367549058</v>
      </c>
      <c r="H14" s="6">
        <f t="shared" si="8"/>
        <v>6626.7970036659717</v>
      </c>
      <c r="I14" s="6">
        <f t="shared" si="8"/>
        <v>7068.5834705770367</v>
      </c>
      <c r="J14" s="6">
        <f t="shared" si="8"/>
        <v>7510.3699374881016</v>
      </c>
      <c r="K14" s="12">
        <f t="shared" si="8"/>
        <v>7687.0845242525256</v>
      </c>
      <c r="L14" s="6">
        <f t="shared" si="8"/>
        <v>7952.1564043991666</v>
      </c>
      <c r="M14" s="12">
        <f t="shared" si="8"/>
        <v>8128.8709911635906</v>
      </c>
      <c r="N14" s="6">
        <f t="shared" si="8"/>
        <v>8393.9428713102316</v>
      </c>
      <c r="Q14" s="4">
        <f>Q12+Q13</f>
        <v>-0.28000000000000003</v>
      </c>
    </row>
    <row r="15" spans="1:17" x14ac:dyDescent="0.25">
      <c r="A15" s="2">
        <v>2.5</v>
      </c>
      <c r="B15" s="41">
        <v>6</v>
      </c>
      <c r="C15" s="1">
        <f t="shared" si="6"/>
        <v>1.25</v>
      </c>
      <c r="D15" s="6">
        <f t="shared" si="7"/>
        <v>29452.43112740431</v>
      </c>
      <c r="E15" s="6">
        <f t="shared" si="8"/>
        <v>17671.458676442584</v>
      </c>
      <c r="F15" s="6">
        <f t="shared" si="8"/>
        <v>19144.080232812801</v>
      </c>
      <c r="G15" s="6">
        <f t="shared" si="8"/>
        <v>20616.701789183018</v>
      </c>
      <c r="H15" s="6">
        <f t="shared" si="8"/>
        <v>22089.323345553235</v>
      </c>
      <c r="I15" s="6">
        <f t="shared" si="8"/>
        <v>23561.944901923453</v>
      </c>
      <c r="J15" s="6">
        <f t="shared" si="8"/>
        <v>25034.56645829367</v>
      </c>
      <c r="K15" s="12">
        <f t="shared" si="8"/>
        <v>25623.615080841751</v>
      </c>
      <c r="L15" s="6">
        <f t="shared" si="8"/>
        <v>26507.188014663887</v>
      </c>
      <c r="M15" s="12">
        <f t="shared" si="8"/>
        <v>27096.236637211965</v>
      </c>
      <c r="N15" s="6">
        <f t="shared" si="8"/>
        <v>27979.809571034104</v>
      </c>
    </row>
    <row r="16" spans="1:17" x14ac:dyDescent="0.25">
      <c r="A16" s="2">
        <v>2.5</v>
      </c>
      <c r="B16" s="41">
        <v>2</v>
      </c>
      <c r="C16" s="1">
        <f t="shared" si="6"/>
        <v>1.25</v>
      </c>
      <c r="D16" s="6">
        <f t="shared" si="7"/>
        <v>9817.4770424681046</v>
      </c>
      <c r="E16" s="6">
        <f t="shared" si="8"/>
        <v>5890.4862254808622</v>
      </c>
      <c r="F16" s="6">
        <f t="shared" si="8"/>
        <v>6381.3600776042686</v>
      </c>
      <c r="G16" s="6">
        <f t="shared" si="8"/>
        <v>6872.233929727674</v>
      </c>
      <c r="H16" s="6">
        <f t="shared" si="8"/>
        <v>7363.1077818510794</v>
      </c>
      <c r="I16" s="6">
        <f t="shared" si="8"/>
        <v>7853.9816339744848</v>
      </c>
      <c r="J16" s="6">
        <f t="shared" si="8"/>
        <v>8344.8554860978911</v>
      </c>
      <c r="K16" s="12">
        <f t="shared" si="8"/>
        <v>8541.2050269472511</v>
      </c>
      <c r="L16" s="6">
        <f t="shared" si="8"/>
        <v>8835.7293382212974</v>
      </c>
      <c r="M16" s="12">
        <f t="shared" si="8"/>
        <v>9032.0788790706574</v>
      </c>
      <c r="N16" s="6">
        <f t="shared" si="8"/>
        <v>9326.6031903447019</v>
      </c>
      <c r="Q16" s="1">
        <v>2.98</v>
      </c>
    </row>
    <row r="17" spans="1:17" x14ac:dyDescent="0.25">
      <c r="A17" s="2">
        <v>2.5</v>
      </c>
      <c r="B17" s="41">
        <v>2.4</v>
      </c>
      <c r="C17" s="1">
        <f t="shared" si="6"/>
        <v>1.25</v>
      </c>
      <c r="D17" s="6">
        <f t="shared" si="7"/>
        <v>11780.972450961724</v>
      </c>
      <c r="E17" s="6">
        <f t="shared" si="8"/>
        <v>7068.5834705770349</v>
      </c>
      <c r="F17" s="6">
        <f t="shared" si="8"/>
        <v>7657.6320931251212</v>
      </c>
      <c r="G17" s="6">
        <f t="shared" si="8"/>
        <v>8246.6807156732084</v>
      </c>
      <c r="H17" s="6">
        <f t="shared" si="8"/>
        <v>8835.7293382212938</v>
      </c>
      <c r="I17" s="6">
        <f t="shared" si="8"/>
        <v>9424.777960769381</v>
      </c>
      <c r="J17" s="6">
        <f t="shared" si="8"/>
        <v>10013.826583317468</v>
      </c>
      <c r="K17" s="12">
        <f t="shared" si="8"/>
        <v>10249.4460323367</v>
      </c>
      <c r="L17" s="6">
        <f t="shared" si="8"/>
        <v>10602.875205865555</v>
      </c>
      <c r="M17" s="12">
        <f t="shared" si="8"/>
        <v>10838.494654884787</v>
      </c>
      <c r="N17" s="6">
        <f t="shared" si="8"/>
        <v>11191.923828413641</v>
      </c>
      <c r="Q17" s="1">
        <f>Q16*2/3</f>
        <v>1.9866666666666666</v>
      </c>
    </row>
    <row r="18" spans="1:17" x14ac:dyDescent="0.25">
      <c r="A18" s="2">
        <v>3.75</v>
      </c>
      <c r="B18" s="41">
        <v>3.5</v>
      </c>
      <c r="C18" s="1">
        <f t="shared" si="6"/>
        <v>1.875</v>
      </c>
      <c r="D18" s="6">
        <f t="shared" si="7"/>
        <v>38656.315854718159</v>
      </c>
      <c r="E18" s="6">
        <f t="shared" si="8"/>
        <v>23193.789512830896</v>
      </c>
      <c r="F18" s="6">
        <f t="shared" si="8"/>
        <v>25126.605305566805</v>
      </c>
      <c r="G18" s="6">
        <f t="shared" si="8"/>
        <v>27059.421098302715</v>
      </c>
      <c r="H18" s="6">
        <f t="shared" si="8"/>
        <v>28992.236891038625</v>
      </c>
      <c r="I18" s="6">
        <f t="shared" si="8"/>
        <v>30925.052683774535</v>
      </c>
      <c r="J18" s="6">
        <f t="shared" si="8"/>
        <v>32857.868476510441</v>
      </c>
      <c r="K18" s="12">
        <f t="shared" si="8"/>
        <v>33630.994793604797</v>
      </c>
      <c r="L18" s="6">
        <f t="shared" si="8"/>
        <v>34790.684269246354</v>
      </c>
      <c r="M18" s="12">
        <f t="shared" si="8"/>
        <v>35563.810586340711</v>
      </c>
      <c r="N18" s="6">
        <f t="shared" si="8"/>
        <v>36723.50006198226</v>
      </c>
    </row>
    <row r="19" spans="1:17" x14ac:dyDescent="0.25">
      <c r="A19" s="2">
        <v>2.5</v>
      </c>
      <c r="B19" s="41">
        <v>1.9</v>
      </c>
      <c r="C19" s="1">
        <f t="shared" si="6"/>
        <v>1.25</v>
      </c>
      <c r="D19" s="6">
        <f t="shared" si="7"/>
        <v>9326.6031903446983</v>
      </c>
      <c r="E19" s="6">
        <f t="shared" si="8"/>
        <v>5595.9619142068186</v>
      </c>
      <c r="F19" s="6">
        <f t="shared" si="8"/>
        <v>6062.2920737240538</v>
      </c>
      <c r="G19" s="6">
        <f t="shared" si="8"/>
        <v>6528.622233241289</v>
      </c>
      <c r="H19" s="6">
        <f t="shared" si="8"/>
        <v>6994.9523927585251</v>
      </c>
      <c r="I19" s="6">
        <f t="shared" si="8"/>
        <v>7461.2825522757603</v>
      </c>
      <c r="J19" s="6">
        <f t="shared" si="8"/>
        <v>7927.6127117929955</v>
      </c>
      <c r="K19" s="12">
        <f t="shared" si="8"/>
        <v>8114.1447755998879</v>
      </c>
      <c r="L19" s="6">
        <f t="shared" si="8"/>
        <v>8393.9428713102316</v>
      </c>
      <c r="M19" s="12">
        <f t="shared" si="8"/>
        <v>8580.4749351171231</v>
      </c>
      <c r="N19" s="6">
        <f t="shared" si="8"/>
        <v>8860.2730308274658</v>
      </c>
    </row>
    <row r="20" spans="1:17" x14ac:dyDescent="0.25">
      <c r="A20" s="2">
        <v>2.5</v>
      </c>
      <c r="B20" s="41">
        <v>4.5999999999999996</v>
      </c>
      <c r="C20" s="1">
        <f t="shared" si="6"/>
        <v>1.25</v>
      </c>
      <c r="D20" s="6">
        <f t="shared" si="7"/>
        <v>22580.197197676636</v>
      </c>
      <c r="E20" s="6">
        <f t="shared" si="8"/>
        <v>13548.118318605981</v>
      </c>
      <c r="F20" s="6">
        <f t="shared" si="8"/>
        <v>14677.128178489815</v>
      </c>
      <c r="G20" s="6">
        <f t="shared" si="8"/>
        <v>15806.138038373647</v>
      </c>
      <c r="H20" s="6">
        <f t="shared" si="8"/>
        <v>16935.147898257481</v>
      </c>
      <c r="I20" s="6">
        <f t="shared" si="8"/>
        <v>18064.157758141311</v>
      </c>
      <c r="J20" s="6">
        <f t="shared" si="8"/>
        <v>19193.167618025145</v>
      </c>
      <c r="K20" s="12">
        <f t="shared" si="8"/>
        <v>19644.771561978672</v>
      </c>
      <c r="L20" s="6">
        <f t="shared" si="8"/>
        <v>20322.177477908979</v>
      </c>
      <c r="M20" s="12">
        <f t="shared" si="8"/>
        <v>20773.781421862506</v>
      </c>
      <c r="N20" s="6">
        <f t="shared" si="8"/>
        <v>21451.18733779281</v>
      </c>
    </row>
    <row r="21" spans="1:17" x14ac:dyDescent="0.25">
      <c r="A21" s="2">
        <v>3.75</v>
      </c>
      <c r="B21" s="41">
        <v>6</v>
      </c>
      <c r="C21" s="1">
        <f t="shared" si="6"/>
        <v>1.875</v>
      </c>
      <c r="D21" s="6">
        <f t="shared" si="7"/>
        <v>66267.97003665971</v>
      </c>
      <c r="E21" s="6">
        <f t="shared" si="8"/>
        <v>39760.782021995823</v>
      </c>
      <c r="F21" s="6">
        <f t="shared" si="8"/>
        <v>43074.180523828814</v>
      </c>
      <c r="G21" s="6">
        <f t="shared" si="8"/>
        <v>46387.579025661798</v>
      </c>
      <c r="H21" s="6">
        <f t="shared" si="8"/>
        <v>49700.97752749479</v>
      </c>
      <c r="I21" s="6">
        <f t="shared" si="8"/>
        <v>53014.376029327781</v>
      </c>
      <c r="J21" s="6">
        <f t="shared" si="8"/>
        <v>56327.774531160765</v>
      </c>
      <c r="K21" s="12">
        <f t="shared" si="8"/>
        <v>57653.13393189395</v>
      </c>
      <c r="L21" s="6">
        <f t="shared" si="8"/>
        <v>59641.173032993756</v>
      </c>
      <c r="M21" s="12">
        <f t="shared" si="8"/>
        <v>60966.532433726934</v>
      </c>
      <c r="N21" s="6">
        <f t="shared" si="8"/>
        <v>62954.57153482674</v>
      </c>
    </row>
    <row r="22" spans="1:17" x14ac:dyDescent="0.25">
      <c r="A22" s="2">
        <v>1.875</v>
      </c>
      <c r="B22" s="41">
        <v>3.5</v>
      </c>
      <c r="C22" s="1">
        <f t="shared" si="6"/>
        <v>0.9375</v>
      </c>
      <c r="D22" s="6">
        <f t="shared" si="7"/>
        <v>9664.0789636795398</v>
      </c>
      <c r="E22" s="6">
        <f t="shared" si="8"/>
        <v>5798.4473782077239</v>
      </c>
      <c r="F22" s="6">
        <f t="shared" si="8"/>
        <v>6281.6513263917013</v>
      </c>
      <c r="G22" s="6">
        <f t="shared" si="8"/>
        <v>6764.8552745756788</v>
      </c>
      <c r="H22" s="6">
        <f t="shared" si="8"/>
        <v>7248.0592227596562</v>
      </c>
      <c r="I22" s="6">
        <f t="shared" si="8"/>
        <v>7731.2631709436337</v>
      </c>
      <c r="J22" s="6">
        <f t="shared" si="8"/>
        <v>8214.4671191276102</v>
      </c>
      <c r="K22" s="12">
        <f t="shared" si="8"/>
        <v>8407.7486984011994</v>
      </c>
      <c r="L22" s="6">
        <f t="shared" si="8"/>
        <v>8697.6710673115886</v>
      </c>
      <c r="M22" s="12">
        <f t="shared" si="8"/>
        <v>8890.9526465851777</v>
      </c>
      <c r="N22" s="6">
        <f t="shared" si="8"/>
        <v>9180.8750154955651</v>
      </c>
    </row>
    <row r="24" spans="1:17" x14ac:dyDescent="0.25">
      <c r="E24" s="1">
        <v>0.96</v>
      </c>
      <c r="F24" s="1">
        <v>3.6</v>
      </c>
      <c r="G24" s="1">
        <f>1.25*F24</f>
        <v>4.5</v>
      </c>
    </row>
    <row r="25" spans="1:17" x14ac:dyDescent="0.25">
      <c r="E25" s="1">
        <f>F24/F25*E24</f>
        <v>1.1771117166212535</v>
      </c>
      <c r="F25" s="1">
        <f>3.67/1.25</f>
        <v>2.9359999999999999</v>
      </c>
      <c r="G25" s="1">
        <f>1.25*F25</f>
        <v>3.67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E2" sqref="E2"/>
    </sheetView>
  </sheetViews>
  <sheetFormatPr defaultRowHeight="15" x14ac:dyDescent="0.25"/>
  <cols>
    <col min="1" max="16384" width="9.140625" style="1"/>
  </cols>
  <sheetData>
    <row r="1" spans="2:4" x14ac:dyDescent="0.25">
      <c r="B1" s="1" t="s">
        <v>141</v>
      </c>
      <c r="C1" s="1" t="s">
        <v>16</v>
      </c>
      <c r="D1" s="1" t="s">
        <v>104</v>
      </c>
    </row>
    <row r="2" spans="2:4" x14ac:dyDescent="0.25">
      <c r="B2" s="38">
        <v>5</v>
      </c>
      <c r="C2" s="38">
        <f>60*B2</f>
        <v>300</v>
      </c>
      <c r="D2" s="38">
        <f>250*B2</f>
        <v>1250</v>
      </c>
    </row>
    <row r="3" spans="2:4" x14ac:dyDescent="0.25">
      <c r="B3" s="38">
        <v>8</v>
      </c>
      <c r="C3" s="38">
        <f>60*B3</f>
        <v>480</v>
      </c>
      <c r="D3" s="38">
        <f>250*B3</f>
        <v>2000</v>
      </c>
    </row>
    <row r="4" spans="2:4" x14ac:dyDescent="0.25">
      <c r="B4" s="38">
        <v>0.5</v>
      </c>
      <c r="C4" s="38">
        <f>60*B4</f>
        <v>30</v>
      </c>
      <c r="D4" s="38">
        <f>250*B4</f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electrical</vt:lpstr>
      <vt:lpstr>engines</vt:lpstr>
      <vt:lpstr>comms</vt:lpstr>
      <vt:lpstr>launches</vt:lpstr>
      <vt:lpstr>fuel</vt:lpstr>
      <vt:lpstr>CMG</vt:lpstr>
      <vt:lpstr>dish_names</vt:lpstr>
      <vt:lpstr>dish_ranges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2015-07-13T03:00:23Z</dcterms:modified>
</cp:coreProperties>
</file>