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2"/>
  </bookViews>
  <sheets>
    <sheet name="electrical" sheetId="1" r:id="rId1"/>
    <sheet name="engines" sheetId="4" r:id="rId2"/>
    <sheet name="comms" sheetId="2" r:id="rId3"/>
    <sheet name="launches" sheetId="5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</sheets>
  <definedNames>
    <definedName name="dish_names">comms!#REF!</definedName>
    <definedName name="dish_ranges">comms!#REF!</definedName>
  </definedNames>
  <calcPr calcId="145621"/>
  <fileRecoveryPr repairLoad="1"/>
</workbook>
</file>

<file path=xl/calcChain.xml><?xml version="1.0" encoding="utf-8"?>
<calcChain xmlns="http://schemas.openxmlformats.org/spreadsheetml/2006/main">
  <c r="W18" i="2" l="1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Q40" i="2"/>
  <c r="Q39" i="2"/>
  <c r="Q38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H43" i="2" l="1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Z9" i="2" l="1"/>
  <c r="H60" i="2"/>
  <c r="I55" i="2"/>
  <c r="H48" i="2"/>
  <c r="I43" i="2"/>
  <c r="Z8" i="2"/>
  <c r="H52" i="2"/>
  <c r="I47" i="2"/>
  <c r="H56" i="2"/>
  <c r="I51" i="2"/>
  <c r="Z10" i="2"/>
  <c r="AA8" i="2"/>
  <c r="H57" i="2" l="1"/>
  <c r="I53" i="2" s="1"/>
  <c r="I52" i="2"/>
  <c r="H53" i="2"/>
  <c r="I49" i="2" s="1"/>
  <c r="I48" i="2"/>
  <c r="H49" i="2"/>
  <c r="I45" i="2" s="1"/>
  <c r="I44" i="2"/>
  <c r="I56" i="2"/>
  <c r="H61" i="2"/>
  <c r="I57" i="2" s="1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Q17" i="6" l="1"/>
  <c r="Q14" i="6"/>
  <c r="Q10" i="6"/>
  <c r="C22" i="6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<sst xmlns="http://schemas.openxmlformats.org/spreadsheetml/2006/main" count="917" uniqueCount="325">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</sst>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9" formatCode="0.00000000000000"/>
    <numFmt numFmtId="171" formatCode="0.000000"/>
    <numFmt numFmtId="175" formatCode="_(* #,##0.000000_);_(* \(#,##0.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175" fontId="0" fillId="0" borderId="0" xfId="2" applyNumberFormat="1" applyFont="1" applyAlignment="1">
      <alignment horizontal="center"/>
    </xf>
    <xf numFmtId="171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66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101</v>
      </c>
      <c r="O2" s="1" t="s">
        <v>100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99</v>
      </c>
      <c r="O4" s="1" t="s">
        <v>102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41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103</v>
      </c>
      <c r="O8" s="1">
        <v>4800</v>
      </c>
      <c r="P8" s="1" t="s">
        <v>104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59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41</v>
      </c>
      <c r="O11" s="2">
        <v>0.14000000000000001</v>
      </c>
      <c r="P11" s="1" t="s">
        <v>9</v>
      </c>
    </row>
    <row r="12" spans="1:20" x14ac:dyDescent="0.25">
      <c r="N12" s="1" t="s">
        <v>103</v>
      </c>
      <c r="O12" s="1">
        <f>10*60</f>
        <v>600</v>
      </c>
      <c r="P12" s="1" t="s">
        <v>104</v>
      </c>
    </row>
    <row r="13" spans="1:20" x14ac:dyDescent="0.25">
      <c r="N13" s="1" t="s">
        <v>59</v>
      </c>
      <c r="O13" s="10">
        <f>O11*O12</f>
        <v>84.000000000000014</v>
      </c>
    </row>
    <row r="14" spans="1:20" x14ac:dyDescent="0.25">
      <c r="D14" s="1" t="s">
        <v>79</v>
      </c>
      <c r="E14" s="1" t="s">
        <v>81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78</v>
      </c>
      <c r="E16" s="1" t="s">
        <v>80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54</v>
      </c>
      <c r="E18" s="1" t="s">
        <v>82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85</v>
      </c>
      <c r="E20" s="1" t="s">
        <v>83</v>
      </c>
    </row>
    <row r="21" spans="4:5" x14ac:dyDescent="0.25">
      <c r="D21" s="29" t="s">
        <v>86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84</v>
      </c>
    </row>
    <row r="23" spans="4:5" x14ac:dyDescent="0.25">
      <c r="D23" s="29" t="s">
        <v>87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41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242</v>
      </c>
      <c r="B1" s="1" t="s">
        <v>140</v>
      </c>
      <c r="C1" s="1" t="s">
        <v>243</v>
      </c>
      <c r="D1" s="1" t="s">
        <v>244</v>
      </c>
      <c r="E1" s="1" t="s">
        <v>66</v>
      </c>
      <c r="F1" s="1" t="s">
        <v>9</v>
      </c>
      <c r="G1" s="1" t="s">
        <v>245</v>
      </c>
      <c r="H1" s="1" t="s">
        <v>246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136</v>
      </c>
      <c r="B1" s="1" t="s">
        <v>140</v>
      </c>
      <c r="C1" s="1" t="s">
        <v>72</v>
      </c>
      <c r="D1" s="1" t="s">
        <v>229</v>
      </c>
      <c r="E1" s="1" t="s">
        <v>14</v>
      </c>
      <c r="F1" s="1" t="s">
        <v>247</v>
      </c>
      <c r="K1" s="36" t="s">
        <v>249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8">
        <f>H2/1000</f>
        <v>6.6666666666666675E-6</v>
      </c>
      <c r="K3" s="1">
        <v>295</v>
      </c>
      <c r="L3" s="1" t="s">
        <v>248</v>
      </c>
    </row>
    <row r="4" spans="1:13" x14ac:dyDescent="0.25">
      <c r="K4" s="1">
        <f>88.3/1000</f>
        <v>8.8300000000000003E-2</v>
      </c>
      <c r="L4" s="1" t="s">
        <v>140</v>
      </c>
    </row>
    <row r="5" spans="1:13" x14ac:dyDescent="0.25">
      <c r="H5" s="1">
        <v>2.1</v>
      </c>
      <c r="K5" s="1">
        <f>54.5/1000</f>
        <v>5.45E-2</v>
      </c>
      <c r="L5" s="1" t="s">
        <v>242</v>
      </c>
    </row>
    <row r="6" spans="1:13" x14ac:dyDescent="0.25">
      <c r="H6" s="1">
        <v>300000</v>
      </c>
      <c r="K6" s="1">
        <f>38/1000</f>
        <v>3.7999999999999999E-2</v>
      </c>
      <c r="L6" s="1" t="s">
        <v>250</v>
      </c>
    </row>
    <row r="7" spans="1:13" x14ac:dyDescent="0.25">
      <c r="H7" s="39">
        <f>H5/H6</f>
        <v>6.9999999999999999E-6</v>
      </c>
      <c r="K7" s="1">
        <f>K4*K5*K6</f>
        <v>1.8286929999999999E-4</v>
      </c>
      <c r="L7" s="1" t="s">
        <v>251</v>
      </c>
    </row>
    <row r="8" spans="1:13" x14ac:dyDescent="0.25">
      <c r="K8" s="1">
        <v>15</v>
      </c>
      <c r="L8" s="1" t="s">
        <v>252</v>
      </c>
    </row>
    <row r="9" spans="1:13" x14ac:dyDescent="0.25">
      <c r="K9" s="1">
        <v>3.6</v>
      </c>
      <c r="L9" s="1" t="s">
        <v>253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254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248</v>
      </c>
    </row>
    <row r="15" spans="1:13" x14ac:dyDescent="0.25">
      <c r="K15" s="1">
        <f>M15/1000</f>
        <v>0.17369999999999999</v>
      </c>
      <c r="L15" s="1" t="s">
        <v>140</v>
      </c>
      <c r="M15" s="1">
        <v>173.7</v>
      </c>
    </row>
    <row r="16" spans="1:13" x14ac:dyDescent="0.25">
      <c r="K16" s="1">
        <f>M16/1000</f>
        <v>8.09E-2</v>
      </c>
      <c r="L16" s="1" t="s">
        <v>242</v>
      </c>
      <c r="M16" s="1">
        <v>80.900000000000006</v>
      </c>
    </row>
    <row r="17" spans="11:13" x14ac:dyDescent="0.25">
      <c r="K17" s="1">
        <f>M17/1000</f>
        <v>5.62E-2</v>
      </c>
      <c r="L17" s="1" t="s">
        <v>250</v>
      </c>
      <c r="M17" s="1">
        <v>56.2</v>
      </c>
    </row>
    <row r="18" spans="11:13" x14ac:dyDescent="0.25">
      <c r="K18" s="1">
        <f>K15*K16*K17</f>
        <v>7.8974094600000005E-4</v>
      </c>
      <c r="L18" s="1" t="s">
        <v>251</v>
      </c>
    </row>
    <row r="19" spans="11:13" x14ac:dyDescent="0.25">
      <c r="K19" s="1">
        <v>72</v>
      </c>
      <c r="L19" s="1" t="s">
        <v>252</v>
      </c>
    </row>
    <row r="20" spans="11:13" x14ac:dyDescent="0.25">
      <c r="K20" s="1">
        <v>3.6</v>
      </c>
      <c r="L20" s="1" t="s">
        <v>253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37" t="s">
        <v>26</v>
      </c>
      <c r="M1" s="37"/>
      <c r="N1" s="37"/>
      <c r="O1" s="37"/>
      <c r="P1" s="37"/>
      <c r="Q1" s="37"/>
      <c r="R1" s="37"/>
      <c r="T1" s="37" t="s">
        <v>32</v>
      </c>
      <c r="U1" s="37"/>
      <c r="V1" s="37"/>
      <c r="W1" s="37"/>
      <c r="X1" s="37"/>
      <c r="Y1" s="37"/>
      <c r="Z1" s="37"/>
      <c r="AB1" s="37" t="s">
        <v>33</v>
      </c>
      <c r="AC1" s="37"/>
      <c r="AD1" s="37"/>
      <c r="AE1" s="37"/>
      <c r="AF1" s="37"/>
      <c r="AG1" s="37"/>
      <c r="AH1" s="37"/>
      <c r="AJ1" s="37" t="s">
        <v>38</v>
      </c>
      <c r="AK1" s="37"/>
      <c r="AL1" s="37"/>
      <c r="AM1" s="37"/>
      <c r="AN1" s="37"/>
      <c r="AO1" s="37"/>
      <c r="AP1" s="37"/>
    </row>
    <row r="2" spans="1:47" s="13" customFormat="1" x14ac:dyDescent="0.25">
      <c r="F2" s="13" t="s">
        <v>31</v>
      </c>
      <c r="G2" s="13" t="s">
        <v>14</v>
      </c>
      <c r="H2" s="13" t="s">
        <v>29</v>
      </c>
      <c r="I2" s="13" t="s">
        <v>28</v>
      </c>
      <c r="J2" s="13" t="s">
        <v>30</v>
      </c>
      <c r="L2" s="13" t="s">
        <v>21</v>
      </c>
      <c r="M2" s="13" t="s">
        <v>22</v>
      </c>
      <c r="N2" s="13" t="s">
        <v>23</v>
      </c>
      <c r="O2" s="13" t="s">
        <v>34</v>
      </c>
      <c r="P2" s="13" t="s">
        <v>35</v>
      </c>
      <c r="Q2" s="13" t="s">
        <v>24</v>
      </c>
      <c r="R2" s="13" t="s">
        <v>25</v>
      </c>
      <c r="T2" s="13" t="s">
        <v>21</v>
      </c>
      <c r="U2" s="13" t="s">
        <v>22</v>
      </c>
      <c r="V2" s="13" t="s">
        <v>23</v>
      </c>
      <c r="W2" s="13" t="s">
        <v>34</v>
      </c>
      <c r="X2" s="13" t="s">
        <v>35</v>
      </c>
      <c r="Y2" s="13" t="s">
        <v>24</v>
      </c>
      <c r="Z2" s="13" t="s">
        <v>25</v>
      </c>
      <c r="AB2" s="13" t="s">
        <v>21</v>
      </c>
      <c r="AC2" s="13" t="s">
        <v>22</v>
      </c>
      <c r="AD2" s="13" t="s">
        <v>23</v>
      </c>
      <c r="AE2" s="13" t="s">
        <v>34</v>
      </c>
      <c r="AF2" s="13" t="s">
        <v>35</v>
      </c>
      <c r="AG2" s="13" t="s">
        <v>24</v>
      </c>
      <c r="AH2" s="13" t="s">
        <v>25</v>
      </c>
      <c r="AJ2" s="13" t="s">
        <v>21</v>
      </c>
      <c r="AK2" s="13" t="s">
        <v>22</v>
      </c>
      <c r="AL2" s="13" t="s">
        <v>23</v>
      </c>
      <c r="AM2" s="13" t="s">
        <v>34</v>
      </c>
      <c r="AN2" s="13" t="s">
        <v>35</v>
      </c>
      <c r="AO2" s="13" t="s">
        <v>24</v>
      </c>
      <c r="AP2" s="13" t="s">
        <v>25</v>
      </c>
    </row>
    <row r="3" spans="1:47" x14ac:dyDescent="0.25">
      <c r="F3" s="1" t="s">
        <v>27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36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31</v>
      </c>
      <c r="AS4" s="30">
        <v>1.5</v>
      </c>
      <c r="AT4" s="1" t="s">
        <v>29</v>
      </c>
      <c r="AU4" s="4">
        <f>AS6/AS4/9.81</f>
        <v>15.630309208290861</v>
      </c>
    </row>
    <row r="5" spans="1:47" x14ac:dyDescent="0.25">
      <c r="F5" s="1" t="s">
        <v>37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21</v>
      </c>
      <c r="AS5" s="1">
        <f>AS3+AS4</f>
        <v>14.315</v>
      </c>
    </row>
    <row r="6" spans="1:47" x14ac:dyDescent="0.25">
      <c r="F6" s="1" t="s">
        <v>89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90</v>
      </c>
      <c r="AS6" s="30">
        <v>230</v>
      </c>
      <c r="AT6" s="1">
        <f>AS6/9.81/60</f>
        <v>0.39075773020727145</v>
      </c>
    </row>
    <row r="7" spans="1:47" x14ac:dyDescent="0.25">
      <c r="AR7" s="1" t="s">
        <v>29</v>
      </c>
      <c r="AS7" s="4">
        <f>AS6/AS5/9.81</f>
        <v>1.6378249257727062</v>
      </c>
    </row>
    <row r="8" spans="1:47" x14ac:dyDescent="0.25">
      <c r="A8" s="13" t="s">
        <v>105</v>
      </c>
      <c r="B8" s="13" t="s">
        <v>60</v>
      </c>
      <c r="C8" s="13" t="s">
        <v>23</v>
      </c>
      <c r="D8" s="13" t="s">
        <v>110</v>
      </c>
      <c r="E8" s="13" t="s">
        <v>123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109</v>
      </c>
      <c r="B10" s="1">
        <v>0.625</v>
      </c>
      <c r="C10" s="1" t="s">
        <v>112</v>
      </c>
      <c r="D10" s="27" t="s">
        <v>115</v>
      </c>
      <c r="E10" s="27" t="str">
        <f>IF(D10="--n/a--","",IF(C10="Hyperg","Hypergolic",C10))&amp;"-"</f>
        <v>-</v>
      </c>
      <c r="AR10" s="1" t="s">
        <v>31</v>
      </c>
      <c r="AS10" s="30">
        <v>1.5</v>
      </c>
      <c r="AT10" s="1" t="s">
        <v>29</v>
      </c>
      <c r="AU10" s="4">
        <f>AS12/AS10/9.81</f>
        <v>15.630309208290861</v>
      </c>
    </row>
    <row r="11" spans="1:47" x14ac:dyDescent="0.25">
      <c r="A11" s="1" t="s">
        <v>109</v>
      </c>
      <c r="B11" s="1">
        <v>0.625</v>
      </c>
      <c r="C11" s="1" t="s">
        <v>111</v>
      </c>
      <c r="D11" s="27" t="s">
        <v>115</v>
      </c>
      <c r="E11" s="27" t="str">
        <f t="shared" ref="E11:E74" si="1">IF(D11="--n/a--","",IF(C11="Hyperg","Hypergolic",C11))&amp;"-"</f>
        <v>-</v>
      </c>
      <c r="AR11" s="1" t="s">
        <v>21</v>
      </c>
      <c r="AS11" s="1">
        <f>AS9+AS10</f>
        <v>26.5</v>
      </c>
    </row>
    <row r="12" spans="1:47" x14ac:dyDescent="0.25">
      <c r="A12" s="1" t="s">
        <v>109</v>
      </c>
      <c r="B12" s="1">
        <v>0.625</v>
      </c>
      <c r="C12" s="1" t="s">
        <v>124</v>
      </c>
      <c r="D12" s="1" t="s">
        <v>114</v>
      </c>
      <c r="E12" s="27" t="str">
        <f t="shared" si="1"/>
        <v>Hypergolic-</v>
      </c>
      <c r="AR12" s="1" t="s">
        <v>90</v>
      </c>
      <c r="AS12" s="30">
        <v>230</v>
      </c>
      <c r="AT12" s="1">
        <f>AS12/9.81/60</f>
        <v>0.39075773020727145</v>
      </c>
    </row>
    <row r="13" spans="1:47" x14ac:dyDescent="0.25">
      <c r="A13" s="1" t="s">
        <v>109</v>
      </c>
      <c r="B13" s="1">
        <v>0.625</v>
      </c>
      <c r="C13" s="1" t="s">
        <v>113</v>
      </c>
      <c r="D13" s="1" t="s">
        <v>114</v>
      </c>
      <c r="E13" s="27" t="str">
        <f t="shared" si="1"/>
        <v>Hydraz-</v>
      </c>
      <c r="AR13" s="1" t="s">
        <v>29</v>
      </c>
      <c r="AS13" s="4">
        <f>AS12/AS11/9.81</f>
        <v>0.88473448348816186</v>
      </c>
    </row>
    <row r="14" spans="1:47" x14ac:dyDescent="0.25">
      <c r="A14" s="1" t="s">
        <v>106</v>
      </c>
      <c r="B14" s="1">
        <v>0.625</v>
      </c>
      <c r="C14" s="1" t="s">
        <v>112</v>
      </c>
      <c r="D14" s="27" t="s">
        <v>115</v>
      </c>
      <c r="E14" s="27" t="str">
        <f t="shared" si="1"/>
        <v>-</v>
      </c>
    </row>
    <row r="15" spans="1:47" x14ac:dyDescent="0.25">
      <c r="A15" s="1" t="s">
        <v>106</v>
      </c>
      <c r="B15" s="1">
        <v>0.625</v>
      </c>
      <c r="C15" s="1" t="s">
        <v>111</v>
      </c>
      <c r="D15" s="27" t="s">
        <v>115</v>
      </c>
      <c r="E15" s="27" t="str">
        <f t="shared" si="1"/>
        <v>-</v>
      </c>
    </row>
    <row r="16" spans="1:47" x14ac:dyDescent="0.25">
      <c r="A16" s="1" t="s">
        <v>106</v>
      </c>
      <c r="B16" s="1">
        <v>0.625</v>
      </c>
      <c r="C16" s="1" t="s">
        <v>124</v>
      </c>
      <c r="D16" s="1" t="s">
        <v>114</v>
      </c>
      <c r="E16" s="27" t="str">
        <f t="shared" si="1"/>
        <v>Hypergolic-</v>
      </c>
    </row>
    <row r="17" spans="1:45" x14ac:dyDescent="0.25">
      <c r="A17" s="1" t="s">
        <v>106</v>
      </c>
      <c r="B17" s="1">
        <v>0.625</v>
      </c>
      <c r="C17" s="1" t="s">
        <v>113</v>
      </c>
      <c r="D17" s="1" t="s">
        <v>114</v>
      </c>
      <c r="E17" s="27" t="str">
        <f t="shared" si="1"/>
        <v>Hydraz-</v>
      </c>
    </row>
    <row r="18" spans="1:45" x14ac:dyDescent="0.25">
      <c r="A18" s="1" t="s">
        <v>108</v>
      </c>
      <c r="B18" s="1">
        <v>0.625</v>
      </c>
      <c r="C18" s="1" t="s">
        <v>112</v>
      </c>
      <c r="D18" s="27" t="s">
        <v>115</v>
      </c>
      <c r="E18" s="27" t="str">
        <f t="shared" si="1"/>
        <v>-</v>
      </c>
    </row>
    <row r="19" spans="1:45" x14ac:dyDescent="0.25">
      <c r="A19" s="1" t="s">
        <v>108</v>
      </c>
      <c r="B19" s="1">
        <v>0.625</v>
      </c>
      <c r="C19" s="1" t="s">
        <v>111</v>
      </c>
      <c r="D19" s="27" t="s">
        <v>115</v>
      </c>
      <c r="E19" s="27" t="str">
        <f t="shared" si="1"/>
        <v>-</v>
      </c>
    </row>
    <row r="20" spans="1:45" x14ac:dyDescent="0.25">
      <c r="A20" s="1" t="s">
        <v>108</v>
      </c>
      <c r="B20" s="1">
        <v>0.625</v>
      </c>
      <c r="C20" s="1" t="s">
        <v>124</v>
      </c>
      <c r="D20" s="1" t="s">
        <v>114</v>
      </c>
      <c r="E20" s="27" t="str">
        <f t="shared" si="1"/>
        <v>Hypergolic-</v>
      </c>
    </row>
    <row r="21" spans="1:45" x14ac:dyDescent="0.25">
      <c r="A21" s="1" t="s">
        <v>108</v>
      </c>
      <c r="B21" s="1">
        <v>0.625</v>
      </c>
      <c r="C21" s="1" t="s">
        <v>113</v>
      </c>
      <c r="D21" s="1" t="s">
        <v>114</v>
      </c>
      <c r="E21" s="27" t="str">
        <f t="shared" si="1"/>
        <v>Hydraz-</v>
      </c>
    </row>
    <row r="22" spans="1:45" x14ac:dyDescent="0.25">
      <c r="A22" s="1" t="s">
        <v>107</v>
      </c>
      <c r="B22" s="1">
        <v>0.625</v>
      </c>
      <c r="C22" s="1" t="s">
        <v>112</v>
      </c>
      <c r="D22" s="27" t="s">
        <v>115</v>
      </c>
      <c r="E22" s="27" t="str">
        <f t="shared" si="1"/>
        <v>-</v>
      </c>
    </row>
    <row r="23" spans="1:45" x14ac:dyDescent="0.25">
      <c r="A23" s="1" t="s">
        <v>107</v>
      </c>
      <c r="B23" s="1">
        <v>0.625</v>
      </c>
      <c r="C23" s="1" t="s">
        <v>111</v>
      </c>
      <c r="D23" s="27" t="s">
        <v>115</v>
      </c>
      <c r="E23" s="27" t="str">
        <f t="shared" si="1"/>
        <v>-</v>
      </c>
    </row>
    <row r="24" spans="1:45" x14ac:dyDescent="0.25">
      <c r="A24" s="1" t="s">
        <v>107</v>
      </c>
      <c r="B24" s="1">
        <v>0.625</v>
      </c>
      <c r="C24" s="1" t="s">
        <v>124</v>
      </c>
      <c r="D24" s="1" t="s">
        <v>114</v>
      </c>
      <c r="E24" s="27" t="str">
        <f t="shared" si="1"/>
        <v>Hypergolic-</v>
      </c>
      <c r="AS24" s="3"/>
    </row>
    <row r="25" spans="1:45" x14ac:dyDescent="0.25">
      <c r="A25" s="1" t="s">
        <v>107</v>
      </c>
      <c r="B25" s="1">
        <v>0.625</v>
      </c>
      <c r="C25" s="1" t="s">
        <v>113</v>
      </c>
      <c r="D25" s="1" t="s">
        <v>114</v>
      </c>
      <c r="E25" s="27" t="str">
        <f t="shared" si="1"/>
        <v>Hydraz-</v>
      </c>
    </row>
    <row r="26" spans="1:45" x14ac:dyDescent="0.25">
      <c r="A26" s="1" t="s">
        <v>109</v>
      </c>
      <c r="B26" s="1">
        <v>1.25</v>
      </c>
      <c r="C26" s="1" t="s">
        <v>112</v>
      </c>
      <c r="D26" s="1" t="s">
        <v>114</v>
      </c>
      <c r="E26" s="27" t="str">
        <f t="shared" si="1"/>
        <v>Hydrolox-</v>
      </c>
    </row>
    <row r="27" spans="1:45" x14ac:dyDescent="0.25">
      <c r="A27" s="1" t="s">
        <v>109</v>
      </c>
      <c r="B27" s="1">
        <v>1.25</v>
      </c>
      <c r="C27" s="1" t="s">
        <v>111</v>
      </c>
      <c r="D27" s="1" t="s">
        <v>114</v>
      </c>
      <c r="E27" s="27" t="str">
        <f t="shared" si="1"/>
        <v>Kerolox-</v>
      </c>
    </row>
    <row r="28" spans="1:45" x14ac:dyDescent="0.25">
      <c r="A28" s="1" t="s">
        <v>109</v>
      </c>
      <c r="B28" s="1">
        <v>1.25</v>
      </c>
      <c r="C28" s="1" t="s">
        <v>124</v>
      </c>
      <c r="D28" s="1" t="s">
        <v>114</v>
      </c>
      <c r="E28" s="27" t="str">
        <f t="shared" si="1"/>
        <v>Hypergolic-</v>
      </c>
    </row>
    <row r="29" spans="1:45" x14ac:dyDescent="0.25">
      <c r="A29" s="1" t="s">
        <v>109</v>
      </c>
      <c r="B29" s="1">
        <v>1.25</v>
      </c>
      <c r="C29" s="1" t="s">
        <v>113</v>
      </c>
      <c r="D29" s="1" t="s">
        <v>114</v>
      </c>
      <c r="E29" s="27" t="str">
        <f t="shared" si="1"/>
        <v>Hydraz-</v>
      </c>
    </row>
    <row r="30" spans="1:45" x14ac:dyDescent="0.25">
      <c r="A30" s="1" t="s">
        <v>106</v>
      </c>
      <c r="B30" s="1">
        <v>1.25</v>
      </c>
      <c r="C30" s="1" t="s">
        <v>112</v>
      </c>
      <c r="D30" s="1" t="s">
        <v>114</v>
      </c>
      <c r="E30" s="27" t="str">
        <f t="shared" si="1"/>
        <v>Hydrolox-</v>
      </c>
    </row>
    <row r="31" spans="1:45" x14ac:dyDescent="0.25">
      <c r="A31" s="1" t="s">
        <v>106</v>
      </c>
      <c r="B31" s="1">
        <v>1.25</v>
      </c>
      <c r="C31" s="1" t="s">
        <v>111</v>
      </c>
      <c r="D31" s="1" t="s">
        <v>114</v>
      </c>
      <c r="E31" s="27" t="str">
        <f t="shared" si="1"/>
        <v>Kerolox-</v>
      </c>
    </row>
    <row r="32" spans="1:45" x14ac:dyDescent="0.25">
      <c r="A32" s="1" t="s">
        <v>106</v>
      </c>
      <c r="B32" s="1">
        <v>1.25</v>
      </c>
      <c r="C32" s="1" t="s">
        <v>124</v>
      </c>
      <c r="D32" s="1" t="s">
        <v>114</v>
      </c>
      <c r="E32" s="27" t="str">
        <f t="shared" si="1"/>
        <v>Hypergolic-</v>
      </c>
    </row>
    <row r="33" spans="1:15" x14ac:dyDescent="0.25">
      <c r="A33" s="1" t="s">
        <v>106</v>
      </c>
      <c r="B33" s="1">
        <v>1.25</v>
      </c>
      <c r="C33" s="1" t="s">
        <v>113</v>
      </c>
      <c r="D33" s="1" t="s">
        <v>114</v>
      </c>
      <c r="E33" s="27" t="str">
        <f t="shared" si="1"/>
        <v>Hydraz-</v>
      </c>
    </row>
    <row r="34" spans="1:15" x14ac:dyDescent="0.25">
      <c r="A34" s="1" t="s">
        <v>108</v>
      </c>
      <c r="B34" s="1">
        <v>1.25</v>
      </c>
      <c r="C34" s="1" t="s">
        <v>112</v>
      </c>
      <c r="D34" s="1" t="s">
        <v>114</v>
      </c>
      <c r="E34" s="27" t="str">
        <f t="shared" si="1"/>
        <v>Hydrolox-</v>
      </c>
    </row>
    <row r="35" spans="1:15" x14ac:dyDescent="0.25">
      <c r="A35" s="1" t="s">
        <v>108</v>
      </c>
      <c r="B35" s="1">
        <v>1.25</v>
      </c>
      <c r="C35" s="1" t="s">
        <v>111</v>
      </c>
      <c r="D35" s="1" t="s">
        <v>114</v>
      </c>
      <c r="E35" s="27" t="str">
        <f t="shared" si="1"/>
        <v>Kerolox-</v>
      </c>
    </row>
    <row r="36" spans="1:15" x14ac:dyDescent="0.25">
      <c r="A36" s="1" t="s">
        <v>108</v>
      </c>
      <c r="B36" s="1">
        <v>1.25</v>
      </c>
      <c r="C36" s="1" t="s">
        <v>124</v>
      </c>
      <c r="D36" s="1" t="s">
        <v>114</v>
      </c>
      <c r="E36" s="27" t="str">
        <f t="shared" si="1"/>
        <v>Hypergolic-</v>
      </c>
    </row>
    <row r="37" spans="1:15" x14ac:dyDescent="0.25">
      <c r="A37" s="1" t="s">
        <v>108</v>
      </c>
      <c r="B37" s="1">
        <v>1.25</v>
      </c>
      <c r="C37" s="1" t="s">
        <v>113</v>
      </c>
      <c r="D37" s="1" t="s">
        <v>114</v>
      </c>
      <c r="E37" s="27" t="str">
        <f t="shared" si="1"/>
        <v>Hydraz-</v>
      </c>
    </row>
    <row r="38" spans="1:15" x14ac:dyDescent="0.25">
      <c r="A38" s="1" t="s">
        <v>107</v>
      </c>
      <c r="B38" s="1">
        <v>1.25</v>
      </c>
      <c r="C38" s="1" t="s">
        <v>112</v>
      </c>
      <c r="D38" s="1" t="s">
        <v>114</v>
      </c>
      <c r="E38" s="27" t="str">
        <f t="shared" si="1"/>
        <v>Hydrolox-</v>
      </c>
    </row>
    <row r="39" spans="1:15" x14ac:dyDescent="0.25">
      <c r="A39" s="1" t="s">
        <v>107</v>
      </c>
      <c r="B39" s="1">
        <v>1.25</v>
      </c>
      <c r="C39" s="1" t="s">
        <v>111</v>
      </c>
      <c r="D39" s="1" t="s">
        <v>114</v>
      </c>
      <c r="E39" s="27" t="str">
        <f t="shared" si="1"/>
        <v>Kerolox-</v>
      </c>
    </row>
    <row r="40" spans="1:15" x14ac:dyDescent="0.25">
      <c r="A40" s="1" t="s">
        <v>107</v>
      </c>
      <c r="B40" s="1">
        <v>1.25</v>
      </c>
      <c r="C40" s="1" t="s">
        <v>124</v>
      </c>
      <c r="D40" s="1" t="s">
        <v>114</v>
      </c>
      <c r="E40" s="27" t="str">
        <f t="shared" si="1"/>
        <v>Hypergolic-</v>
      </c>
    </row>
    <row r="41" spans="1:15" x14ac:dyDescent="0.25">
      <c r="A41" s="1" t="s">
        <v>107</v>
      </c>
      <c r="B41" s="1">
        <v>1.25</v>
      </c>
      <c r="C41" s="1" t="s">
        <v>113</v>
      </c>
      <c r="D41" s="1" t="s">
        <v>114</v>
      </c>
      <c r="E41" s="27" t="str">
        <f t="shared" si="1"/>
        <v>Hydraz-</v>
      </c>
    </row>
    <row r="42" spans="1:15" x14ac:dyDescent="0.25">
      <c r="A42" s="1" t="s">
        <v>109</v>
      </c>
      <c r="B42" s="1">
        <v>1.875</v>
      </c>
      <c r="C42" s="1" t="s">
        <v>112</v>
      </c>
      <c r="D42" s="1" t="s">
        <v>114</v>
      </c>
      <c r="E42" s="27" t="str">
        <f t="shared" si="1"/>
        <v>Hydrolox-</v>
      </c>
    </row>
    <row r="43" spans="1:15" x14ac:dyDescent="0.25">
      <c r="A43" s="1" t="s">
        <v>109</v>
      </c>
      <c r="B43" s="1">
        <v>1.875</v>
      </c>
      <c r="C43" s="1" t="s">
        <v>111</v>
      </c>
      <c r="D43" s="1" t="s">
        <v>114</v>
      </c>
      <c r="E43" s="27" t="str">
        <f t="shared" si="1"/>
        <v>Kerolox-</v>
      </c>
    </row>
    <row r="44" spans="1:15" x14ac:dyDescent="0.25">
      <c r="A44" s="1" t="s">
        <v>109</v>
      </c>
      <c r="B44" s="1">
        <v>1.875</v>
      </c>
      <c r="C44" s="1" t="s">
        <v>124</v>
      </c>
      <c r="D44" s="1" t="s">
        <v>114</v>
      </c>
      <c r="E44" s="27" t="str">
        <f t="shared" si="1"/>
        <v>Hypergolic-</v>
      </c>
      <c r="O44" s="32"/>
    </row>
    <row r="45" spans="1:15" x14ac:dyDescent="0.25">
      <c r="A45" s="1" t="s">
        <v>109</v>
      </c>
      <c r="B45" s="1">
        <v>1.875</v>
      </c>
      <c r="C45" s="1" t="s">
        <v>113</v>
      </c>
      <c r="D45" s="27" t="s">
        <v>115</v>
      </c>
      <c r="E45" s="27" t="str">
        <f t="shared" si="1"/>
        <v>-</v>
      </c>
    </row>
    <row r="46" spans="1:15" x14ac:dyDescent="0.25">
      <c r="A46" s="1" t="s">
        <v>106</v>
      </c>
      <c r="B46" s="1">
        <v>1.875</v>
      </c>
      <c r="C46" s="1" t="s">
        <v>112</v>
      </c>
      <c r="D46" s="1" t="s">
        <v>114</v>
      </c>
      <c r="E46" s="27" t="str">
        <f t="shared" si="1"/>
        <v>Hydrolox-</v>
      </c>
    </row>
    <row r="47" spans="1:15" x14ac:dyDescent="0.25">
      <c r="A47" s="1" t="s">
        <v>106</v>
      </c>
      <c r="B47" s="1">
        <v>1.875</v>
      </c>
      <c r="C47" s="1" t="s">
        <v>111</v>
      </c>
      <c r="D47" s="1" t="s">
        <v>114</v>
      </c>
      <c r="E47" s="27" t="str">
        <f t="shared" si="1"/>
        <v>Kerolox-</v>
      </c>
    </row>
    <row r="48" spans="1:15" x14ac:dyDescent="0.25">
      <c r="A48" s="1" t="s">
        <v>106</v>
      </c>
      <c r="B48" s="1">
        <v>1.875</v>
      </c>
      <c r="C48" s="1" t="s">
        <v>124</v>
      </c>
      <c r="D48" s="1" t="s">
        <v>114</v>
      </c>
      <c r="E48" s="27" t="str">
        <f t="shared" si="1"/>
        <v>Hypergolic-</v>
      </c>
    </row>
    <row r="49" spans="1:5" x14ac:dyDescent="0.25">
      <c r="A49" s="1" t="s">
        <v>106</v>
      </c>
      <c r="B49" s="1">
        <v>1.875</v>
      </c>
      <c r="C49" s="1" t="s">
        <v>113</v>
      </c>
      <c r="D49" s="27" t="s">
        <v>115</v>
      </c>
      <c r="E49" s="27" t="str">
        <f t="shared" si="1"/>
        <v>-</v>
      </c>
    </row>
    <row r="50" spans="1:5" x14ac:dyDescent="0.25">
      <c r="A50" s="1" t="s">
        <v>108</v>
      </c>
      <c r="B50" s="1">
        <v>1.875</v>
      </c>
      <c r="C50" s="1" t="s">
        <v>112</v>
      </c>
      <c r="D50" s="1" t="s">
        <v>114</v>
      </c>
      <c r="E50" s="27" t="str">
        <f t="shared" si="1"/>
        <v>Hydrolox-</v>
      </c>
    </row>
    <row r="51" spans="1:5" x14ac:dyDescent="0.25">
      <c r="A51" s="1" t="s">
        <v>108</v>
      </c>
      <c r="B51" s="1">
        <v>1.875</v>
      </c>
      <c r="C51" s="1" t="s">
        <v>111</v>
      </c>
      <c r="D51" s="1" t="s">
        <v>114</v>
      </c>
      <c r="E51" s="27" t="str">
        <f t="shared" si="1"/>
        <v>Kerolox-</v>
      </c>
    </row>
    <row r="52" spans="1:5" x14ac:dyDescent="0.25">
      <c r="A52" s="1" t="s">
        <v>108</v>
      </c>
      <c r="B52" s="1">
        <v>1.875</v>
      </c>
      <c r="C52" s="1" t="s">
        <v>124</v>
      </c>
      <c r="D52" s="1" t="s">
        <v>114</v>
      </c>
      <c r="E52" s="27" t="str">
        <f t="shared" si="1"/>
        <v>Hypergolic-</v>
      </c>
    </row>
    <row r="53" spans="1:5" x14ac:dyDescent="0.25">
      <c r="A53" s="1" t="s">
        <v>108</v>
      </c>
      <c r="B53" s="1">
        <v>1.875</v>
      </c>
      <c r="C53" s="1" t="s">
        <v>113</v>
      </c>
      <c r="D53" s="27" t="s">
        <v>115</v>
      </c>
      <c r="E53" s="27" t="str">
        <f t="shared" si="1"/>
        <v>-</v>
      </c>
    </row>
    <row r="54" spans="1:5" x14ac:dyDescent="0.25">
      <c r="A54" s="1" t="s">
        <v>107</v>
      </c>
      <c r="B54" s="1">
        <v>1.875</v>
      </c>
      <c r="C54" s="1" t="s">
        <v>112</v>
      </c>
      <c r="D54" s="1" t="s">
        <v>114</v>
      </c>
      <c r="E54" s="27" t="str">
        <f t="shared" si="1"/>
        <v>Hydrolox-</v>
      </c>
    </row>
    <row r="55" spans="1:5" x14ac:dyDescent="0.25">
      <c r="A55" s="1" t="s">
        <v>107</v>
      </c>
      <c r="B55" s="1">
        <v>1.875</v>
      </c>
      <c r="C55" s="1" t="s">
        <v>111</v>
      </c>
      <c r="D55" s="1" t="s">
        <v>114</v>
      </c>
      <c r="E55" s="27" t="str">
        <f t="shared" si="1"/>
        <v>Kerolox-</v>
      </c>
    </row>
    <row r="56" spans="1:5" x14ac:dyDescent="0.25">
      <c r="A56" s="1" t="s">
        <v>107</v>
      </c>
      <c r="B56" s="1">
        <v>1.875</v>
      </c>
      <c r="C56" s="1" t="s">
        <v>124</v>
      </c>
      <c r="D56" s="27" t="s">
        <v>115</v>
      </c>
      <c r="E56" s="27" t="str">
        <f t="shared" si="1"/>
        <v>-</v>
      </c>
    </row>
    <row r="57" spans="1:5" x14ac:dyDescent="0.25">
      <c r="A57" s="1" t="s">
        <v>107</v>
      </c>
      <c r="B57" s="1">
        <v>1.875</v>
      </c>
      <c r="C57" s="1" t="s">
        <v>113</v>
      </c>
      <c r="D57" s="27" t="s">
        <v>115</v>
      </c>
      <c r="E57" s="27" t="str">
        <f t="shared" si="1"/>
        <v>-</v>
      </c>
    </row>
    <row r="58" spans="1:5" x14ac:dyDescent="0.25">
      <c r="A58" s="1" t="s">
        <v>109</v>
      </c>
      <c r="B58" s="1">
        <v>2.5</v>
      </c>
      <c r="C58" s="1" t="s">
        <v>112</v>
      </c>
      <c r="D58" s="1" t="s">
        <v>114</v>
      </c>
      <c r="E58" s="27" t="str">
        <f t="shared" si="1"/>
        <v>Hydrolox-</v>
      </c>
    </row>
    <row r="59" spans="1:5" x14ac:dyDescent="0.25">
      <c r="A59" s="1" t="s">
        <v>109</v>
      </c>
      <c r="B59" s="1">
        <v>2.5</v>
      </c>
      <c r="C59" s="1" t="s">
        <v>111</v>
      </c>
      <c r="D59" s="1" t="s">
        <v>114</v>
      </c>
      <c r="E59" s="27" t="str">
        <f t="shared" si="1"/>
        <v>Kerolox-</v>
      </c>
    </row>
    <row r="60" spans="1:5" x14ac:dyDescent="0.25">
      <c r="A60" s="1" t="s">
        <v>109</v>
      </c>
      <c r="B60" s="1">
        <v>2.5</v>
      </c>
      <c r="C60" s="1" t="s">
        <v>124</v>
      </c>
      <c r="D60" s="27" t="s">
        <v>115</v>
      </c>
      <c r="E60" s="27" t="str">
        <f t="shared" si="1"/>
        <v>-</v>
      </c>
    </row>
    <row r="61" spans="1:5" x14ac:dyDescent="0.25">
      <c r="A61" s="1" t="s">
        <v>109</v>
      </c>
      <c r="B61" s="1">
        <v>2.5</v>
      </c>
      <c r="C61" s="1" t="s">
        <v>113</v>
      </c>
      <c r="D61" s="27" t="s">
        <v>115</v>
      </c>
      <c r="E61" s="27" t="str">
        <f t="shared" si="1"/>
        <v>-</v>
      </c>
    </row>
    <row r="62" spans="1:5" x14ac:dyDescent="0.25">
      <c r="A62" s="1" t="s">
        <v>106</v>
      </c>
      <c r="B62" s="1">
        <v>2.5</v>
      </c>
      <c r="C62" s="1" t="s">
        <v>112</v>
      </c>
      <c r="D62" s="1" t="s">
        <v>114</v>
      </c>
      <c r="E62" s="27" t="str">
        <f t="shared" si="1"/>
        <v>Hydrolox-</v>
      </c>
    </row>
    <row r="63" spans="1:5" x14ac:dyDescent="0.25">
      <c r="A63" s="1" t="s">
        <v>106</v>
      </c>
      <c r="B63" s="1">
        <v>2.5</v>
      </c>
      <c r="C63" s="1" t="s">
        <v>111</v>
      </c>
      <c r="D63" s="1" t="s">
        <v>114</v>
      </c>
      <c r="E63" s="27" t="str">
        <f t="shared" si="1"/>
        <v>Kerolox-</v>
      </c>
    </row>
    <row r="64" spans="1:5" x14ac:dyDescent="0.25">
      <c r="A64" s="1" t="s">
        <v>106</v>
      </c>
      <c r="B64" s="1">
        <v>2.5</v>
      </c>
      <c r="C64" s="1" t="s">
        <v>124</v>
      </c>
      <c r="D64" s="27" t="s">
        <v>115</v>
      </c>
      <c r="E64" s="27" t="str">
        <f t="shared" si="1"/>
        <v>-</v>
      </c>
    </row>
    <row r="65" spans="1:5" x14ac:dyDescent="0.25">
      <c r="A65" s="1" t="s">
        <v>106</v>
      </c>
      <c r="B65" s="1">
        <v>2.5</v>
      </c>
      <c r="C65" s="1" t="s">
        <v>113</v>
      </c>
      <c r="D65" s="27" t="s">
        <v>115</v>
      </c>
      <c r="E65" s="27" t="str">
        <f t="shared" si="1"/>
        <v>-</v>
      </c>
    </row>
    <row r="66" spans="1:5" x14ac:dyDescent="0.25">
      <c r="A66" s="1" t="s">
        <v>108</v>
      </c>
      <c r="B66" s="1">
        <v>2.5</v>
      </c>
      <c r="C66" s="1" t="s">
        <v>112</v>
      </c>
      <c r="D66" s="1" t="s">
        <v>114</v>
      </c>
      <c r="E66" s="27" t="str">
        <f t="shared" si="1"/>
        <v>Hydrolox-</v>
      </c>
    </row>
    <row r="67" spans="1:5" x14ac:dyDescent="0.25">
      <c r="A67" s="1" t="s">
        <v>108</v>
      </c>
      <c r="B67" s="1">
        <v>2.5</v>
      </c>
      <c r="C67" s="1" t="s">
        <v>111</v>
      </c>
      <c r="D67" s="1" t="s">
        <v>114</v>
      </c>
      <c r="E67" s="27" t="str">
        <f t="shared" si="1"/>
        <v>Kerolox-</v>
      </c>
    </row>
    <row r="68" spans="1:5" x14ac:dyDescent="0.25">
      <c r="A68" s="1" t="s">
        <v>108</v>
      </c>
      <c r="B68" s="1">
        <v>2.5</v>
      </c>
      <c r="C68" s="1" t="s">
        <v>124</v>
      </c>
      <c r="D68" s="27" t="s">
        <v>115</v>
      </c>
      <c r="E68" s="27" t="str">
        <f t="shared" si="1"/>
        <v>-</v>
      </c>
    </row>
    <row r="69" spans="1:5" x14ac:dyDescent="0.25">
      <c r="A69" s="1" t="s">
        <v>108</v>
      </c>
      <c r="B69" s="1">
        <v>2.5</v>
      </c>
      <c r="C69" s="1" t="s">
        <v>113</v>
      </c>
      <c r="D69" s="27" t="s">
        <v>115</v>
      </c>
      <c r="E69" s="27" t="str">
        <f t="shared" si="1"/>
        <v>-</v>
      </c>
    </row>
    <row r="70" spans="1:5" x14ac:dyDescent="0.25">
      <c r="A70" s="1" t="s">
        <v>107</v>
      </c>
      <c r="B70" s="1">
        <v>2.5</v>
      </c>
      <c r="C70" s="1" t="s">
        <v>112</v>
      </c>
      <c r="D70" s="1" t="s">
        <v>114</v>
      </c>
      <c r="E70" s="27" t="str">
        <f t="shared" si="1"/>
        <v>Hydrolox-</v>
      </c>
    </row>
    <row r="71" spans="1:5" x14ac:dyDescent="0.25">
      <c r="A71" s="1" t="s">
        <v>107</v>
      </c>
      <c r="B71" s="1">
        <v>2.5</v>
      </c>
      <c r="C71" s="1" t="s">
        <v>111</v>
      </c>
      <c r="D71" s="1" t="s">
        <v>114</v>
      </c>
      <c r="E71" s="27" t="str">
        <f t="shared" si="1"/>
        <v>Kerolox-</v>
      </c>
    </row>
    <row r="72" spans="1:5" x14ac:dyDescent="0.25">
      <c r="A72" s="1" t="s">
        <v>107</v>
      </c>
      <c r="B72" s="1">
        <v>2.5</v>
      </c>
      <c r="C72" s="1" t="s">
        <v>124</v>
      </c>
      <c r="D72" s="27" t="s">
        <v>115</v>
      </c>
      <c r="E72" s="27" t="str">
        <f t="shared" si="1"/>
        <v>-</v>
      </c>
    </row>
    <row r="73" spans="1:5" x14ac:dyDescent="0.25">
      <c r="A73" s="1" t="s">
        <v>107</v>
      </c>
      <c r="B73" s="1">
        <v>2.5</v>
      </c>
      <c r="C73" s="1" t="s">
        <v>113</v>
      </c>
      <c r="D73" s="27" t="s">
        <v>115</v>
      </c>
      <c r="E73" s="27" t="str">
        <f t="shared" si="1"/>
        <v>-</v>
      </c>
    </row>
    <row r="74" spans="1:5" x14ac:dyDescent="0.25">
      <c r="A74" s="1" t="s">
        <v>109</v>
      </c>
      <c r="B74" s="1">
        <v>3.75</v>
      </c>
      <c r="C74" s="1" t="s">
        <v>112</v>
      </c>
      <c r="D74" s="1" t="s">
        <v>114</v>
      </c>
      <c r="E74" s="27" t="str">
        <f t="shared" si="1"/>
        <v>Hydrolox-</v>
      </c>
    </row>
    <row r="75" spans="1:5" x14ac:dyDescent="0.25">
      <c r="A75" s="1" t="s">
        <v>109</v>
      </c>
      <c r="B75" s="1">
        <v>3.75</v>
      </c>
      <c r="C75" s="1" t="s">
        <v>111</v>
      </c>
      <c r="D75" s="1" t="s">
        <v>114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109</v>
      </c>
      <c r="B76" s="1">
        <v>3.75</v>
      </c>
      <c r="C76" s="1" t="s">
        <v>124</v>
      </c>
      <c r="D76" s="27" t="s">
        <v>115</v>
      </c>
      <c r="E76" s="27" t="str">
        <f t="shared" si="2"/>
        <v>-</v>
      </c>
    </row>
    <row r="77" spans="1:5" x14ac:dyDescent="0.25">
      <c r="A77" s="1" t="s">
        <v>109</v>
      </c>
      <c r="B77" s="1">
        <v>3.75</v>
      </c>
      <c r="C77" s="1" t="s">
        <v>113</v>
      </c>
      <c r="D77" s="27" t="s">
        <v>115</v>
      </c>
      <c r="E77" s="27" t="str">
        <f t="shared" si="2"/>
        <v>-</v>
      </c>
    </row>
    <row r="78" spans="1:5" x14ac:dyDescent="0.25">
      <c r="A78" s="1" t="s">
        <v>106</v>
      </c>
      <c r="B78" s="1">
        <v>3.75</v>
      </c>
      <c r="C78" s="1" t="s">
        <v>112</v>
      </c>
      <c r="D78" s="1" t="s">
        <v>114</v>
      </c>
      <c r="E78" s="27" t="str">
        <f t="shared" si="2"/>
        <v>Hydrolox-</v>
      </c>
    </row>
    <row r="79" spans="1:5" x14ac:dyDescent="0.25">
      <c r="A79" s="1" t="s">
        <v>106</v>
      </c>
      <c r="B79" s="1">
        <v>3.75</v>
      </c>
      <c r="C79" s="1" t="s">
        <v>111</v>
      </c>
      <c r="D79" s="1" t="s">
        <v>114</v>
      </c>
      <c r="E79" s="27" t="str">
        <f t="shared" si="2"/>
        <v>Kerolox-</v>
      </c>
    </row>
    <row r="80" spans="1:5" x14ac:dyDescent="0.25">
      <c r="A80" s="1" t="s">
        <v>106</v>
      </c>
      <c r="B80" s="1">
        <v>3.75</v>
      </c>
      <c r="C80" s="1" t="s">
        <v>124</v>
      </c>
      <c r="D80" s="27" t="s">
        <v>115</v>
      </c>
      <c r="E80" s="27" t="str">
        <f t="shared" si="2"/>
        <v>-</v>
      </c>
    </row>
    <row r="81" spans="1:5" x14ac:dyDescent="0.25">
      <c r="A81" s="1" t="s">
        <v>106</v>
      </c>
      <c r="B81" s="1">
        <v>3.75</v>
      </c>
      <c r="C81" s="1" t="s">
        <v>113</v>
      </c>
      <c r="D81" s="27" t="s">
        <v>115</v>
      </c>
      <c r="E81" s="27" t="str">
        <f t="shared" si="2"/>
        <v>-</v>
      </c>
    </row>
    <row r="82" spans="1:5" x14ac:dyDescent="0.25">
      <c r="A82" s="1" t="s">
        <v>108</v>
      </c>
      <c r="B82" s="1">
        <v>3.75</v>
      </c>
      <c r="C82" s="1" t="s">
        <v>112</v>
      </c>
      <c r="D82" s="1" t="s">
        <v>114</v>
      </c>
      <c r="E82" s="27" t="str">
        <f t="shared" si="2"/>
        <v>Hydrolox-</v>
      </c>
    </row>
    <row r="83" spans="1:5" x14ac:dyDescent="0.25">
      <c r="A83" s="1" t="s">
        <v>108</v>
      </c>
      <c r="B83" s="1">
        <v>3.75</v>
      </c>
      <c r="C83" s="1" t="s">
        <v>111</v>
      </c>
      <c r="D83" s="1" t="s">
        <v>114</v>
      </c>
      <c r="E83" s="27" t="str">
        <f t="shared" si="2"/>
        <v>Kerolox-</v>
      </c>
    </row>
    <row r="84" spans="1:5" x14ac:dyDescent="0.25">
      <c r="A84" s="1" t="s">
        <v>108</v>
      </c>
      <c r="B84" s="1">
        <v>3.75</v>
      </c>
      <c r="C84" s="1" t="s">
        <v>124</v>
      </c>
      <c r="D84" s="27" t="s">
        <v>115</v>
      </c>
      <c r="E84" s="27" t="str">
        <f t="shared" si="2"/>
        <v>-</v>
      </c>
    </row>
    <row r="85" spans="1:5" x14ac:dyDescent="0.25">
      <c r="A85" s="1" t="s">
        <v>108</v>
      </c>
      <c r="B85" s="1">
        <v>3.75</v>
      </c>
      <c r="C85" s="1" t="s">
        <v>113</v>
      </c>
      <c r="D85" s="27" t="s">
        <v>115</v>
      </c>
      <c r="E85" s="27" t="str">
        <f t="shared" si="2"/>
        <v>-</v>
      </c>
    </row>
    <row r="86" spans="1:5" x14ac:dyDescent="0.25">
      <c r="A86" s="1" t="s">
        <v>107</v>
      </c>
      <c r="B86" s="1">
        <v>3.75</v>
      </c>
      <c r="C86" s="1" t="s">
        <v>112</v>
      </c>
      <c r="D86" s="1" t="s">
        <v>114</v>
      </c>
      <c r="E86" s="27" t="str">
        <f t="shared" si="2"/>
        <v>Hydrolox-</v>
      </c>
    </row>
    <row r="87" spans="1:5" x14ac:dyDescent="0.25">
      <c r="A87" s="1" t="s">
        <v>107</v>
      </c>
      <c r="B87" s="1">
        <v>3.75</v>
      </c>
      <c r="C87" s="1" t="s">
        <v>111</v>
      </c>
      <c r="D87" s="1" t="s">
        <v>114</v>
      </c>
      <c r="E87" s="27" t="str">
        <f t="shared" si="2"/>
        <v>Kerolox-</v>
      </c>
    </row>
    <row r="88" spans="1:5" x14ac:dyDescent="0.25">
      <c r="A88" s="1" t="s">
        <v>107</v>
      </c>
      <c r="B88" s="1">
        <v>3.75</v>
      </c>
      <c r="C88" s="1" t="s">
        <v>124</v>
      </c>
      <c r="D88" s="27" t="s">
        <v>115</v>
      </c>
      <c r="E88" s="27" t="str">
        <f t="shared" si="2"/>
        <v>-</v>
      </c>
    </row>
    <row r="89" spans="1:5" x14ac:dyDescent="0.25">
      <c r="A89" s="1" t="s">
        <v>107</v>
      </c>
      <c r="B89" s="1">
        <v>3.75</v>
      </c>
      <c r="C89" s="1" t="s">
        <v>113</v>
      </c>
      <c r="D89" s="27" t="s">
        <v>115</v>
      </c>
      <c r="E89" s="27" t="str">
        <f t="shared" si="2"/>
        <v>-</v>
      </c>
    </row>
    <row r="90" spans="1:5" x14ac:dyDescent="0.25">
      <c r="A90" s="1" t="s">
        <v>109</v>
      </c>
      <c r="B90" s="1">
        <v>5</v>
      </c>
      <c r="C90" s="1" t="s">
        <v>112</v>
      </c>
      <c r="D90" s="1" t="s">
        <v>114</v>
      </c>
      <c r="E90" s="27" t="str">
        <f t="shared" si="2"/>
        <v>Hydrolox-</v>
      </c>
    </row>
    <row r="91" spans="1:5" x14ac:dyDescent="0.25">
      <c r="A91" s="1" t="s">
        <v>109</v>
      </c>
      <c r="B91" s="1">
        <v>5</v>
      </c>
      <c r="C91" s="1" t="s">
        <v>111</v>
      </c>
      <c r="D91" s="1" t="s">
        <v>114</v>
      </c>
      <c r="E91" s="27" t="str">
        <f t="shared" si="2"/>
        <v>Kerolox-</v>
      </c>
    </row>
    <row r="92" spans="1:5" x14ac:dyDescent="0.25">
      <c r="A92" s="1" t="s">
        <v>109</v>
      </c>
      <c r="B92" s="1">
        <v>5</v>
      </c>
      <c r="C92" s="1" t="s">
        <v>124</v>
      </c>
      <c r="D92" s="27" t="s">
        <v>115</v>
      </c>
      <c r="E92" s="27" t="str">
        <f t="shared" si="2"/>
        <v>-</v>
      </c>
    </row>
    <row r="93" spans="1:5" x14ac:dyDescent="0.25">
      <c r="A93" s="1" t="s">
        <v>109</v>
      </c>
      <c r="B93" s="1">
        <v>5</v>
      </c>
      <c r="C93" s="1" t="s">
        <v>113</v>
      </c>
      <c r="D93" s="27" t="s">
        <v>115</v>
      </c>
      <c r="E93" s="27" t="str">
        <f t="shared" si="2"/>
        <v>-</v>
      </c>
    </row>
    <row r="94" spans="1:5" x14ac:dyDescent="0.25">
      <c r="A94" s="1" t="s">
        <v>106</v>
      </c>
      <c r="B94" s="1">
        <v>5</v>
      </c>
      <c r="C94" s="1" t="s">
        <v>112</v>
      </c>
      <c r="D94" s="1" t="s">
        <v>114</v>
      </c>
      <c r="E94" s="27" t="str">
        <f t="shared" si="2"/>
        <v>Hydrolox-</v>
      </c>
    </row>
    <row r="95" spans="1:5" x14ac:dyDescent="0.25">
      <c r="A95" s="1" t="s">
        <v>106</v>
      </c>
      <c r="B95" s="1">
        <v>5</v>
      </c>
      <c r="C95" s="1" t="s">
        <v>111</v>
      </c>
      <c r="D95" s="1" t="s">
        <v>114</v>
      </c>
      <c r="E95" s="27" t="str">
        <f t="shared" si="2"/>
        <v>Kerolox-</v>
      </c>
    </row>
    <row r="96" spans="1:5" x14ac:dyDescent="0.25">
      <c r="A96" s="1" t="s">
        <v>106</v>
      </c>
      <c r="B96" s="1">
        <v>5</v>
      </c>
      <c r="C96" s="1" t="s">
        <v>124</v>
      </c>
      <c r="D96" s="27" t="s">
        <v>115</v>
      </c>
      <c r="E96" s="27" t="str">
        <f t="shared" si="2"/>
        <v>-</v>
      </c>
    </row>
    <row r="97" spans="1:5" x14ac:dyDescent="0.25">
      <c r="A97" s="1" t="s">
        <v>106</v>
      </c>
      <c r="B97" s="1">
        <v>5</v>
      </c>
      <c r="C97" s="1" t="s">
        <v>113</v>
      </c>
      <c r="D97" s="27" t="s">
        <v>115</v>
      </c>
      <c r="E97" s="27" t="str">
        <f t="shared" si="2"/>
        <v>-</v>
      </c>
    </row>
    <row r="98" spans="1:5" x14ac:dyDescent="0.25">
      <c r="A98" s="1" t="s">
        <v>108</v>
      </c>
      <c r="B98" s="1">
        <v>5</v>
      </c>
      <c r="C98" s="1" t="s">
        <v>112</v>
      </c>
      <c r="D98" s="1" t="s">
        <v>114</v>
      </c>
      <c r="E98" s="27" t="str">
        <f t="shared" si="2"/>
        <v>Hydrolox-</v>
      </c>
    </row>
    <row r="99" spans="1:5" x14ac:dyDescent="0.25">
      <c r="A99" s="1" t="s">
        <v>108</v>
      </c>
      <c r="B99" s="1">
        <v>5</v>
      </c>
      <c r="C99" s="1" t="s">
        <v>111</v>
      </c>
      <c r="D99" s="1" t="s">
        <v>114</v>
      </c>
      <c r="E99" s="27" t="str">
        <f t="shared" si="2"/>
        <v>Kerolox-</v>
      </c>
    </row>
    <row r="100" spans="1:5" x14ac:dyDescent="0.25">
      <c r="A100" s="1" t="s">
        <v>108</v>
      </c>
      <c r="B100" s="1">
        <v>5</v>
      </c>
      <c r="C100" s="1" t="s">
        <v>124</v>
      </c>
      <c r="D100" s="27" t="s">
        <v>115</v>
      </c>
      <c r="E100" s="27" t="str">
        <f t="shared" si="2"/>
        <v>-</v>
      </c>
    </row>
    <row r="101" spans="1:5" x14ac:dyDescent="0.25">
      <c r="A101" s="1" t="s">
        <v>108</v>
      </c>
      <c r="B101" s="1">
        <v>5</v>
      </c>
      <c r="C101" s="1" t="s">
        <v>113</v>
      </c>
      <c r="D101" s="27" t="s">
        <v>115</v>
      </c>
      <c r="E101" s="27" t="str">
        <f t="shared" si="2"/>
        <v>-</v>
      </c>
    </row>
    <row r="102" spans="1:5" x14ac:dyDescent="0.25">
      <c r="A102" s="1" t="s">
        <v>107</v>
      </c>
      <c r="B102" s="1">
        <v>5</v>
      </c>
      <c r="C102" s="1" t="s">
        <v>112</v>
      </c>
      <c r="D102" s="1" t="s">
        <v>114</v>
      </c>
      <c r="E102" s="27" t="str">
        <f t="shared" si="2"/>
        <v>Hydrolox-</v>
      </c>
    </row>
    <row r="103" spans="1:5" x14ac:dyDescent="0.25">
      <c r="A103" s="1" t="s">
        <v>107</v>
      </c>
      <c r="B103" s="1">
        <v>5</v>
      </c>
      <c r="C103" s="1" t="s">
        <v>111</v>
      </c>
      <c r="D103" s="1" t="s">
        <v>114</v>
      </c>
      <c r="E103" s="27" t="str">
        <f t="shared" si="2"/>
        <v>Kerolox-</v>
      </c>
    </row>
    <row r="104" spans="1:5" x14ac:dyDescent="0.25">
      <c r="A104" s="1" t="s">
        <v>107</v>
      </c>
      <c r="B104" s="1">
        <v>5</v>
      </c>
      <c r="C104" s="1" t="s">
        <v>124</v>
      </c>
      <c r="D104" s="27" t="s">
        <v>115</v>
      </c>
      <c r="E104" s="27" t="str">
        <f t="shared" si="2"/>
        <v>-</v>
      </c>
    </row>
    <row r="105" spans="1:5" x14ac:dyDescent="0.25">
      <c r="A105" s="1" t="s">
        <v>107</v>
      </c>
      <c r="B105" s="1">
        <v>5</v>
      </c>
      <c r="C105" s="1" t="s">
        <v>113</v>
      </c>
      <c r="D105" s="27" t="s">
        <v>115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workbookViewId="0">
      <selection activeCell="M19" sqref="M19"/>
    </sheetView>
  </sheetViews>
  <sheetFormatPr defaultRowHeight="11.25" x14ac:dyDescent="0.2"/>
  <cols>
    <col min="1" max="1" width="9.85546875" style="40" bestFit="1" customWidth="1"/>
    <col min="2" max="2" width="10.42578125" style="40" bestFit="1" customWidth="1"/>
    <col min="3" max="3" width="5.28515625" style="40" bestFit="1" customWidth="1"/>
    <col min="4" max="4" width="6.5703125" style="40" bestFit="1" customWidth="1"/>
    <col min="5" max="5" width="5.5703125" style="40" bestFit="1" customWidth="1"/>
    <col min="6" max="6" width="10.42578125" style="40" bestFit="1" customWidth="1"/>
    <col min="7" max="7" width="6.140625" style="40" bestFit="1" customWidth="1"/>
    <col min="8" max="8" width="5.85546875" style="40" bestFit="1" customWidth="1"/>
    <col min="9" max="10" width="5.5703125" style="40" bestFit="1" customWidth="1"/>
    <col min="11" max="11" width="4.85546875" style="40" bestFit="1" customWidth="1"/>
    <col min="12" max="12" width="4.42578125" style="40" bestFit="1" customWidth="1"/>
    <col min="13" max="13" width="11.85546875" style="40" customWidth="1"/>
    <col min="14" max="15" width="6.140625" style="40" bestFit="1" customWidth="1"/>
    <col min="16" max="16" width="6" style="40" bestFit="1" customWidth="1"/>
    <col min="17" max="17" width="9" style="40" bestFit="1" customWidth="1"/>
    <col min="18" max="19" width="5.28515625" style="40" bestFit="1" customWidth="1"/>
    <col min="20" max="20" width="10.42578125" style="40" bestFit="1" customWidth="1"/>
    <col min="21" max="21" width="6.140625" style="40" bestFit="1" customWidth="1"/>
    <col min="22" max="22" width="7.42578125" style="40" bestFit="1" customWidth="1"/>
    <col min="23" max="23" width="8.140625" style="40" bestFit="1" customWidth="1"/>
    <col min="24" max="24" width="6.140625" style="40" bestFit="1" customWidth="1"/>
    <col min="25" max="27" width="10.42578125" style="40" bestFit="1" customWidth="1"/>
    <col min="28" max="28" width="7.140625" style="40" bestFit="1" customWidth="1"/>
    <col min="29" max="29" width="3.140625" style="40" customWidth="1"/>
    <col min="30" max="30" width="12.140625" style="40" bestFit="1" customWidth="1"/>
    <col min="31" max="31" width="1.28515625" style="40" customWidth="1"/>
    <col min="32" max="32" width="6.140625" style="40" bestFit="1" customWidth="1"/>
    <col min="33" max="33" width="11.28515625" style="40" bestFit="1" customWidth="1"/>
    <col min="34" max="34" width="10" style="40" bestFit="1" customWidth="1"/>
    <col min="35" max="35" width="0.85546875" style="40" customWidth="1"/>
    <col min="36" max="36" width="8.140625" style="40" bestFit="1" customWidth="1"/>
    <col min="37" max="37" width="6.140625" style="40" bestFit="1" customWidth="1"/>
    <col min="38" max="38" width="11.28515625" style="40" bestFit="1" customWidth="1"/>
    <col min="39" max="39" width="10" style="40" bestFit="1" customWidth="1"/>
    <col min="40" max="40" width="0.85546875" style="40" customWidth="1"/>
    <col min="41" max="41" width="12.42578125" style="40" bestFit="1" customWidth="1"/>
    <col min="42" max="42" width="10.85546875" style="40" bestFit="1" customWidth="1"/>
    <col min="43" max="43" width="11.28515625" style="40" bestFit="1" customWidth="1"/>
    <col min="44" max="44" width="2.85546875" style="40" customWidth="1"/>
    <col min="45" max="45" width="7.42578125" style="40" bestFit="1" customWidth="1"/>
    <col min="46" max="46" width="10.140625" style="40" bestFit="1" customWidth="1"/>
    <col min="47" max="48" width="4.42578125" style="40" bestFit="1" customWidth="1"/>
    <col min="49" max="49" width="6.140625" style="40" bestFit="1" customWidth="1"/>
    <col min="50" max="50" width="6.7109375" style="40" bestFit="1" customWidth="1"/>
    <col min="51" max="51" width="7.85546875" style="40" bestFit="1" customWidth="1"/>
    <col min="52" max="53" width="10.140625" style="40" bestFit="1" customWidth="1"/>
    <col min="54" max="54" width="11.28515625" style="40" bestFit="1" customWidth="1"/>
    <col min="55" max="55" width="12.42578125" style="40" bestFit="1" customWidth="1"/>
    <col min="56" max="56" width="1.7109375" style="40" customWidth="1"/>
    <col min="57" max="57" width="12.42578125" style="40" bestFit="1" customWidth="1"/>
    <col min="58" max="58" width="8.140625" style="40" bestFit="1" customWidth="1"/>
    <col min="59" max="59" width="8.42578125" style="40" bestFit="1" customWidth="1"/>
    <col min="60" max="60" width="10.140625" style="40" bestFit="1" customWidth="1"/>
    <col min="61" max="61" width="16.5703125" style="40" bestFit="1" customWidth="1"/>
    <col min="62" max="62" width="15.42578125" style="40" bestFit="1" customWidth="1"/>
    <col min="63" max="63" width="9.140625" style="40"/>
    <col min="64" max="64" width="8.140625" style="40" bestFit="1" customWidth="1"/>
    <col min="65" max="65" width="7.28515625" style="40" bestFit="1" customWidth="1"/>
    <col min="66" max="66" width="8.28515625" style="40" bestFit="1" customWidth="1"/>
    <col min="67" max="67" width="7.28515625" style="40" bestFit="1" customWidth="1"/>
    <col min="68" max="70" width="6.140625" style="40" bestFit="1" customWidth="1"/>
    <col min="71" max="73" width="5.5703125" style="40" bestFit="1" customWidth="1"/>
    <col min="74" max="74" width="5" style="40" bestFit="1" customWidth="1"/>
    <col min="75" max="16384" width="9.140625" style="40"/>
  </cols>
  <sheetData>
    <row r="1" spans="1:27" x14ac:dyDescent="0.2">
      <c r="A1" s="41" t="s">
        <v>283</v>
      </c>
      <c r="B1" s="41" t="s">
        <v>65</v>
      </c>
      <c r="C1" s="41" t="s">
        <v>40</v>
      </c>
      <c r="D1" s="41" t="s">
        <v>289</v>
      </c>
      <c r="E1" s="41" t="s">
        <v>296</v>
      </c>
      <c r="F1" s="41" t="s">
        <v>297</v>
      </c>
      <c r="G1" s="41" t="s">
        <v>298</v>
      </c>
      <c r="H1" s="41" t="s">
        <v>299</v>
      </c>
      <c r="I1" s="41" t="s">
        <v>300</v>
      </c>
      <c r="J1" s="41" t="s">
        <v>301</v>
      </c>
      <c r="K1" s="41" t="s">
        <v>302</v>
      </c>
      <c r="L1" s="41" t="s">
        <v>303</v>
      </c>
      <c r="M1" s="41"/>
      <c r="N1" s="41" t="s">
        <v>48</v>
      </c>
      <c r="O1" s="41" t="s">
        <v>18</v>
      </c>
      <c r="P1" s="41" t="s">
        <v>48</v>
      </c>
      <c r="Q1" s="41" t="s">
        <v>18</v>
      </c>
      <c r="R1" s="41" t="s">
        <v>48</v>
      </c>
      <c r="S1" s="41" t="s">
        <v>18</v>
      </c>
      <c r="T1" s="41" t="s">
        <v>40</v>
      </c>
      <c r="U1" s="41" t="s">
        <v>41</v>
      </c>
      <c r="V1" s="41" t="s">
        <v>291</v>
      </c>
      <c r="X1" s="40">
        <v>1.06</v>
      </c>
      <c r="Y1" s="40">
        <f>X1/3</f>
        <v>0.35333333333333333</v>
      </c>
    </row>
    <row r="2" spans="1:27" x14ac:dyDescent="0.2">
      <c r="A2" s="40" t="s">
        <v>261</v>
      </c>
      <c r="B2" s="40" t="s">
        <v>210</v>
      </c>
      <c r="C2" s="40">
        <v>93000</v>
      </c>
      <c r="D2" s="40" t="s">
        <v>257</v>
      </c>
      <c r="E2" s="40">
        <v>0.01</v>
      </c>
      <c r="F2" s="40" t="s">
        <v>210</v>
      </c>
      <c r="G2" s="40">
        <v>3600</v>
      </c>
      <c r="H2" s="40" t="s">
        <v>210</v>
      </c>
      <c r="I2" s="46">
        <v>2</v>
      </c>
      <c r="J2" s="40" t="s">
        <v>210</v>
      </c>
      <c r="K2" s="44">
        <f>2*C2*TAN(RADIANS(E2/2))</f>
        <v>16.231562084750738</v>
      </c>
      <c r="L2" s="44" t="s">
        <v>210</v>
      </c>
      <c r="N2" s="40" t="s">
        <v>61</v>
      </c>
      <c r="O2" s="40" t="s">
        <v>39</v>
      </c>
      <c r="P2" s="47" t="s">
        <v>292</v>
      </c>
      <c r="Q2" s="47" t="s">
        <v>62</v>
      </c>
      <c r="R2" s="40">
        <f>INDEX($O$12:$O$33,MATCH(P2,$N$12:$N$33,0))</f>
        <v>100000000000</v>
      </c>
      <c r="S2" s="40">
        <f>INDEX($O$12:$O$33,MATCH(Q2,$N$12:$N$33,0))</f>
        <v>3.5</v>
      </c>
      <c r="T2" s="45">
        <f>MIN(R2,S2)+SQRT(R2*S2)</f>
        <v>591611.47830996162</v>
      </c>
      <c r="U2" s="44">
        <f>2.86875-0.6+1.2</f>
        <v>3.46875</v>
      </c>
      <c r="V2" s="44">
        <f>T2-U2</f>
        <v>591608.00955996162</v>
      </c>
    </row>
    <row r="3" spans="1:27" x14ac:dyDescent="0.2">
      <c r="A3" s="40" t="s">
        <v>262</v>
      </c>
      <c r="B3" s="40" t="s">
        <v>259</v>
      </c>
      <c r="C3" s="40">
        <v>32000</v>
      </c>
      <c r="D3" s="40" t="s">
        <v>47</v>
      </c>
      <c r="E3" s="40">
        <v>0.2</v>
      </c>
      <c r="F3" s="40">
        <f>E3/100</f>
        <v>2E-3</v>
      </c>
      <c r="G3" s="45">
        <v>2100</v>
      </c>
      <c r="H3" s="45">
        <v>275</v>
      </c>
      <c r="I3" s="45">
        <v>1300</v>
      </c>
      <c r="J3" s="45">
        <f>I3/1.6</f>
        <v>812.5</v>
      </c>
      <c r="K3" s="44">
        <f t="shared" ref="K3:K6" si="0">2*C3*TAN(RADIANS(E3/2))</f>
        <v>111.70118554808323</v>
      </c>
      <c r="L3" s="44">
        <f t="shared" ref="L3:L6" si="1">2*C3*TAN(RADIANS(F3/2))</f>
        <v>1.1170107213897913</v>
      </c>
      <c r="N3" s="40" t="s">
        <v>39</v>
      </c>
      <c r="O3" s="40" t="s">
        <v>39</v>
      </c>
      <c r="P3" s="47" t="s">
        <v>268</v>
      </c>
      <c r="Q3" s="47" t="s">
        <v>268</v>
      </c>
      <c r="R3" s="40">
        <f>INDEX($O$12:$O$33,MATCH(P3,$N$12:$N$33,0))</f>
        <v>3.5</v>
      </c>
      <c r="S3" s="40">
        <f>INDEX($O$12:$O$33,MATCH(Q3,$N$12:$N$33,0))</f>
        <v>3.5</v>
      </c>
      <c r="T3" s="40">
        <f t="shared" ref="T3:T10" si="2">MIN(R3,S3)+SQRT(R3*S3)</f>
        <v>7</v>
      </c>
      <c r="U3" s="44">
        <f>2.86875*2+0.6*2</f>
        <v>6.9375</v>
      </c>
      <c r="V3" s="44">
        <f t="shared" ref="V3:V10" si="3">T3-U3</f>
        <v>6.25E-2</v>
      </c>
    </row>
    <row r="4" spans="1:27" x14ac:dyDescent="0.2">
      <c r="A4" s="40" t="s">
        <v>263</v>
      </c>
      <c r="B4" s="40" t="s">
        <v>260</v>
      </c>
      <c r="C4" s="40">
        <v>15000</v>
      </c>
      <c r="D4" s="40" t="s">
        <v>290</v>
      </c>
      <c r="E4" s="40">
        <v>0.4</v>
      </c>
      <c r="F4" s="40">
        <f t="shared" ref="F4:F6" si="4">E4/100</f>
        <v>4.0000000000000001E-3</v>
      </c>
      <c r="G4" s="45">
        <v>1200</v>
      </c>
      <c r="H4" s="45">
        <f t="shared" ref="H4" si="5">G4/8</f>
        <v>150</v>
      </c>
      <c r="I4" s="45">
        <v>900</v>
      </c>
      <c r="J4" s="45">
        <f t="shared" ref="J4:J6" si="6">I4/1.6</f>
        <v>562.5</v>
      </c>
      <c r="K4" s="44">
        <f t="shared" si="0"/>
        <v>104.7201804478875</v>
      </c>
      <c r="L4" s="44">
        <f t="shared" si="1"/>
        <v>1.0471975516219239</v>
      </c>
      <c r="N4" s="40" t="s">
        <v>39</v>
      </c>
      <c r="O4" s="40" t="s">
        <v>42</v>
      </c>
      <c r="P4" s="47" t="s">
        <v>267</v>
      </c>
      <c r="Q4" s="47" t="s">
        <v>269</v>
      </c>
      <c r="R4" s="40">
        <f>INDEX($O$12:$O$33,MATCH(P4,$N$12:$N$33,0))</f>
        <v>45</v>
      </c>
      <c r="S4" s="40">
        <f>INDEX($O$12:$O$33,MATCH(Q4,$N$12:$N$33,0))</f>
        <v>8</v>
      </c>
      <c r="T4" s="44">
        <f t="shared" si="2"/>
        <v>26.973665961010276</v>
      </c>
      <c r="U4" s="40">
        <f>12+0.3-0.6+1</f>
        <v>12.700000000000001</v>
      </c>
      <c r="V4" s="44">
        <f t="shared" si="3"/>
        <v>14.273665961010275</v>
      </c>
    </row>
    <row r="5" spans="1:27" x14ac:dyDescent="0.2">
      <c r="A5" s="40" t="s">
        <v>265</v>
      </c>
      <c r="B5" s="40" t="s">
        <v>264</v>
      </c>
      <c r="C5" s="40">
        <v>8500</v>
      </c>
      <c r="D5" s="40" t="s">
        <v>258</v>
      </c>
      <c r="E5" s="40">
        <v>1</v>
      </c>
      <c r="F5" s="40">
        <f t="shared" si="4"/>
        <v>0.01</v>
      </c>
      <c r="G5" s="45">
        <v>675</v>
      </c>
      <c r="H5" s="45">
        <v>85</v>
      </c>
      <c r="I5" s="45">
        <v>600</v>
      </c>
      <c r="J5" s="45">
        <f t="shared" si="6"/>
        <v>375</v>
      </c>
      <c r="K5" s="44">
        <f t="shared" si="0"/>
        <v>148.35675244289942</v>
      </c>
      <c r="L5" s="44">
        <f t="shared" si="1"/>
        <v>1.4835298679610889</v>
      </c>
      <c r="N5" s="40" t="s">
        <v>39</v>
      </c>
      <c r="O5" s="40" t="s">
        <v>43</v>
      </c>
      <c r="P5" s="47" t="s">
        <v>267</v>
      </c>
      <c r="Q5" s="47" t="s">
        <v>270</v>
      </c>
      <c r="R5" s="40">
        <f>INDEX($O$12:$O$33,MATCH(P5,$N$12:$N$33,0))</f>
        <v>45</v>
      </c>
      <c r="S5" s="40">
        <f>INDEX($O$12:$O$33,MATCH(Q5,$N$12:$N$33,0))</f>
        <v>20</v>
      </c>
      <c r="T5" s="40">
        <f t="shared" si="2"/>
        <v>50</v>
      </c>
      <c r="U5" s="40">
        <f>47+0.2-0.6+1</f>
        <v>47.6</v>
      </c>
      <c r="V5" s="44">
        <f t="shared" si="3"/>
        <v>2.3999999999999986</v>
      </c>
    </row>
    <row r="6" spans="1:27" x14ac:dyDescent="0.2">
      <c r="A6" s="40" t="s">
        <v>267</v>
      </c>
      <c r="B6" s="40" t="s">
        <v>266</v>
      </c>
      <c r="C6" s="40">
        <v>45</v>
      </c>
      <c r="D6" s="40" t="s">
        <v>39</v>
      </c>
      <c r="E6" s="40">
        <v>10</v>
      </c>
      <c r="F6" s="40">
        <f t="shared" si="4"/>
        <v>0.1</v>
      </c>
      <c r="G6" s="45">
        <v>375</v>
      </c>
      <c r="H6" s="45">
        <v>50</v>
      </c>
      <c r="I6" s="45">
        <v>400</v>
      </c>
      <c r="J6" s="45">
        <f t="shared" si="6"/>
        <v>250</v>
      </c>
      <c r="K6" s="44">
        <f t="shared" si="0"/>
        <v>7.8739797173331603</v>
      </c>
      <c r="L6" s="44">
        <f t="shared" si="1"/>
        <v>7.853983627691441E-2</v>
      </c>
      <c r="N6" s="40" t="s">
        <v>39</v>
      </c>
      <c r="O6" s="40" t="s">
        <v>258</v>
      </c>
      <c r="P6" s="47" t="s">
        <v>295</v>
      </c>
      <c r="Q6" s="47" t="s">
        <v>268</v>
      </c>
      <c r="R6" s="40">
        <f>INDEX($O$12:$O$33,MATCH(P6,$N$12:$N$33,0))</f>
        <v>8000</v>
      </c>
      <c r="S6" s="40">
        <f>INDEX($O$12:$O$33,MATCH(Q6,$N$12:$N$33,0))</f>
        <v>3.5</v>
      </c>
      <c r="T6" s="45">
        <f t="shared" si="2"/>
        <v>170.83200530681512</v>
      </c>
      <c r="U6" s="40">
        <v>85</v>
      </c>
      <c r="V6" s="44">
        <f t="shared" si="3"/>
        <v>85.83200530681512</v>
      </c>
      <c r="AA6" s="40">
        <f>AVERAGE(X7,Y8)</f>
        <v>16811.599999999999</v>
      </c>
    </row>
    <row r="7" spans="1:27" x14ac:dyDescent="0.2">
      <c r="N7" s="40" t="s">
        <v>258</v>
      </c>
      <c r="O7" s="40" t="s">
        <v>282</v>
      </c>
      <c r="P7" s="47" t="s">
        <v>278</v>
      </c>
      <c r="Q7" s="47" t="s">
        <v>295</v>
      </c>
      <c r="R7" s="40">
        <f>INDEX($O$12:$O$33,MATCH(P7,$N$12:$N$33,0))</f>
        <v>15000</v>
      </c>
      <c r="S7" s="40">
        <f>INDEX($O$12:$O$33,MATCH(Q7,$N$12:$N$33,0))</f>
        <v>8000</v>
      </c>
      <c r="T7" s="45">
        <f t="shared" si="2"/>
        <v>18954.451150103323</v>
      </c>
      <c r="U7" s="40">
        <v>19000</v>
      </c>
      <c r="V7" s="44">
        <f t="shared" si="3"/>
        <v>-45.548849896676984</v>
      </c>
      <c r="X7" s="40">
        <f>U7*X$1</f>
        <v>20140</v>
      </c>
      <c r="Y7" s="40">
        <f>X7*Y$1</f>
        <v>7116.1333333333332</v>
      </c>
      <c r="Z7" s="40">
        <f t="shared" ref="Z7:Z10" si="7">MIN(X7,Y7)+SQRT(X7*Y7)</f>
        <v>19087.721587751934</v>
      </c>
      <c r="AA7" s="40">
        <f>AVERAGE(X8,Y9)</f>
        <v>35184.933333333334</v>
      </c>
    </row>
    <row r="8" spans="1:27" x14ac:dyDescent="0.2">
      <c r="A8" s="41" t="s">
        <v>19</v>
      </c>
      <c r="B8" s="41" t="s">
        <v>255</v>
      </c>
      <c r="C8" s="41" t="s">
        <v>40</v>
      </c>
      <c r="D8" s="41" t="s">
        <v>289</v>
      </c>
      <c r="E8" s="41" t="s">
        <v>296</v>
      </c>
      <c r="F8" s="41" t="s">
        <v>297</v>
      </c>
      <c r="G8" s="41" t="s">
        <v>298</v>
      </c>
      <c r="H8" s="41" t="s">
        <v>299</v>
      </c>
      <c r="I8" s="41" t="s">
        <v>300</v>
      </c>
      <c r="J8" s="41" t="s">
        <v>301</v>
      </c>
      <c r="K8" s="41" t="s">
        <v>302</v>
      </c>
      <c r="L8" s="41" t="s">
        <v>303</v>
      </c>
      <c r="M8" s="41"/>
      <c r="N8" s="40" t="s">
        <v>282</v>
      </c>
      <c r="O8" s="40" t="s">
        <v>63</v>
      </c>
      <c r="P8" s="47" t="s">
        <v>276</v>
      </c>
      <c r="Q8" s="47" t="s">
        <v>256</v>
      </c>
      <c r="R8" s="40">
        <f>INDEX($O$12:$O$33,MATCH(P8,$N$12:$N$33,0))</f>
        <v>32000</v>
      </c>
      <c r="S8" s="40">
        <f>INDEX($O$12:$O$33,MATCH(Q8,$N$12:$N$33,0))</f>
        <v>15000</v>
      </c>
      <c r="T8" s="45">
        <f t="shared" si="2"/>
        <v>36908.902300206646</v>
      </c>
      <c r="U8" s="40">
        <v>36000</v>
      </c>
      <c r="V8" s="44">
        <f t="shared" si="3"/>
        <v>908.90230020664603</v>
      </c>
      <c r="X8" s="40">
        <f t="shared" ref="X8:X10" si="8">U8*X$1</f>
        <v>38160</v>
      </c>
      <c r="Y8" s="40">
        <f t="shared" ref="Y8:Y10" si="9">X8*Y$1</f>
        <v>13483.2</v>
      </c>
      <c r="Z8" s="40">
        <f t="shared" si="7"/>
        <v>36166.209324161551</v>
      </c>
      <c r="AA8" s="40">
        <f>AVERAGE(X9,Y10)</f>
        <v>80411.600000000006</v>
      </c>
    </row>
    <row r="9" spans="1:27" x14ac:dyDescent="0.2">
      <c r="A9" s="40" t="s">
        <v>284</v>
      </c>
      <c r="B9" s="40" t="s">
        <v>210</v>
      </c>
      <c r="C9" s="40">
        <v>20</v>
      </c>
      <c r="D9" s="40" t="s">
        <v>46</v>
      </c>
      <c r="E9" s="40">
        <v>20</v>
      </c>
      <c r="F9" s="40" t="s">
        <v>210</v>
      </c>
      <c r="G9" s="45">
        <v>275</v>
      </c>
      <c r="H9" s="40" t="s">
        <v>210</v>
      </c>
      <c r="I9" s="45">
        <v>275</v>
      </c>
      <c r="J9" s="40" t="s">
        <v>210</v>
      </c>
      <c r="K9" s="44">
        <f t="shared" ref="K9:K11" si="10">2*C9*TAN(RADIANS(E9/2))</f>
        <v>7.053079228338599</v>
      </c>
      <c r="L9" s="44" t="s">
        <v>210</v>
      </c>
      <c r="N9" s="40" t="s">
        <v>282</v>
      </c>
      <c r="O9" s="40" t="s">
        <v>64</v>
      </c>
      <c r="P9" s="47" t="s">
        <v>275</v>
      </c>
      <c r="Q9" s="47" t="s">
        <v>277</v>
      </c>
      <c r="R9" s="40">
        <f>INDEX($O$12:$O$33,MATCH(P9,$N$12:$N$33,0))</f>
        <v>93000</v>
      </c>
      <c r="S9" s="40">
        <f>INDEX($O$12:$O$33,MATCH(Q9,$N$12:$N$33,0))</f>
        <v>32000</v>
      </c>
      <c r="T9" s="45">
        <f t="shared" si="2"/>
        <v>86552.726787943422</v>
      </c>
      <c r="U9" s="40">
        <v>86000</v>
      </c>
      <c r="V9" s="44">
        <f t="shared" si="3"/>
        <v>552.7267879434221</v>
      </c>
      <c r="X9" s="40">
        <f t="shared" si="8"/>
        <v>91160</v>
      </c>
      <c r="Y9" s="40">
        <f t="shared" si="9"/>
        <v>32209.866666666665</v>
      </c>
      <c r="Z9" s="40">
        <f t="shared" si="7"/>
        <v>86397.05560771926</v>
      </c>
    </row>
    <row r="10" spans="1:27" x14ac:dyDescent="0.2">
      <c r="A10" s="40" t="s">
        <v>285</v>
      </c>
      <c r="B10" s="40" t="s">
        <v>210</v>
      </c>
      <c r="C10" s="40">
        <v>8</v>
      </c>
      <c r="D10" s="40" t="s">
        <v>45</v>
      </c>
      <c r="E10" s="40">
        <v>50</v>
      </c>
      <c r="F10" s="40" t="s">
        <v>210</v>
      </c>
      <c r="G10" s="45">
        <v>175</v>
      </c>
      <c r="H10" s="40" t="s">
        <v>210</v>
      </c>
      <c r="I10" s="45">
        <v>175</v>
      </c>
      <c r="J10" s="40" t="s">
        <v>210</v>
      </c>
      <c r="K10" s="44">
        <f t="shared" si="10"/>
        <v>7.4609225304799773</v>
      </c>
      <c r="L10" s="44" t="s">
        <v>210</v>
      </c>
      <c r="N10" s="40" t="s">
        <v>282</v>
      </c>
      <c r="O10" s="40" t="s">
        <v>257</v>
      </c>
      <c r="P10" s="47" t="s">
        <v>275</v>
      </c>
      <c r="Q10" s="47" t="s">
        <v>275</v>
      </c>
      <c r="R10" s="40">
        <f>INDEX($O$12:$O$33,MATCH(P10,$N$12:$N$33,0))</f>
        <v>93000</v>
      </c>
      <c r="S10" s="40">
        <f>INDEX($O$12:$O$33,MATCH(Q10,$N$12:$N$33,0))</f>
        <v>93000</v>
      </c>
      <c r="T10" s="40">
        <f t="shared" si="2"/>
        <v>186000</v>
      </c>
      <c r="U10" s="40">
        <f>186000</f>
        <v>186000</v>
      </c>
      <c r="V10" s="45">
        <f t="shared" si="3"/>
        <v>0</v>
      </c>
      <c r="X10" s="40">
        <f t="shared" si="8"/>
        <v>197160</v>
      </c>
      <c r="Y10" s="40">
        <f t="shared" si="9"/>
        <v>69663.199999999997</v>
      </c>
      <c r="Z10" s="40">
        <f t="shared" si="7"/>
        <v>186858.74817483471</v>
      </c>
    </row>
    <row r="11" spans="1:27" x14ac:dyDescent="0.2">
      <c r="A11" s="40" t="s">
        <v>286</v>
      </c>
      <c r="B11" s="40" t="s">
        <v>62</v>
      </c>
      <c r="C11" s="40">
        <v>3.5</v>
      </c>
      <c r="D11" s="40" t="s">
        <v>39</v>
      </c>
      <c r="E11" s="40">
        <v>90</v>
      </c>
      <c r="F11" s="40" t="s">
        <v>210</v>
      </c>
      <c r="G11" s="45">
        <v>125</v>
      </c>
      <c r="H11" s="40">
        <f>G11*10</f>
        <v>1250</v>
      </c>
      <c r="I11" s="45">
        <v>125</v>
      </c>
      <c r="J11" s="45">
        <f t="shared" ref="J11" si="11">I11/1.6</f>
        <v>78.125</v>
      </c>
      <c r="K11" s="44">
        <f t="shared" si="10"/>
        <v>6.9999999999999991</v>
      </c>
      <c r="L11" s="44" t="s">
        <v>210</v>
      </c>
    </row>
    <row r="12" spans="1:27" x14ac:dyDescent="0.2">
      <c r="K12" s="44"/>
      <c r="N12" s="42" t="s">
        <v>273</v>
      </c>
      <c r="O12" s="42">
        <v>7.4999999999999997E-2</v>
      </c>
      <c r="Q12" s="40" t="s">
        <v>311</v>
      </c>
    </row>
    <row r="13" spans="1:27" x14ac:dyDescent="0.2">
      <c r="A13" s="41" t="s">
        <v>283</v>
      </c>
      <c r="B13" s="41" t="s">
        <v>65</v>
      </c>
      <c r="C13" s="41" t="s">
        <v>40</v>
      </c>
      <c r="D13" s="41" t="s">
        <v>289</v>
      </c>
      <c r="E13" s="41" t="s">
        <v>296</v>
      </c>
      <c r="F13" s="41" t="s">
        <v>297</v>
      </c>
      <c r="G13" s="41" t="s">
        <v>298</v>
      </c>
      <c r="H13" s="41" t="s">
        <v>299</v>
      </c>
      <c r="I13" s="41" t="s">
        <v>300</v>
      </c>
      <c r="J13" s="41" t="s">
        <v>301</v>
      </c>
      <c r="K13" s="41" t="s">
        <v>302</v>
      </c>
      <c r="L13" s="41" t="s">
        <v>303</v>
      </c>
      <c r="M13" s="41"/>
      <c r="N13" s="42" t="s">
        <v>281</v>
      </c>
      <c r="O13" s="42">
        <v>0.25</v>
      </c>
      <c r="Q13" s="41" t="s">
        <v>20</v>
      </c>
      <c r="R13" s="41" t="s">
        <v>312</v>
      </c>
      <c r="S13" s="41" t="s">
        <v>20</v>
      </c>
      <c r="T13" s="41" t="s">
        <v>312</v>
      </c>
      <c r="U13" s="41" t="s">
        <v>20</v>
      </c>
      <c r="V13" s="41" t="s">
        <v>40</v>
      </c>
      <c r="W13" s="41" t="s">
        <v>41</v>
      </c>
      <c r="X13" s="41" t="s">
        <v>291</v>
      </c>
    </row>
    <row r="14" spans="1:27" x14ac:dyDescent="0.2">
      <c r="A14" s="40" t="s">
        <v>271</v>
      </c>
      <c r="B14" s="40" t="s">
        <v>210</v>
      </c>
      <c r="C14" s="40">
        <v>1</v>
      </c>
      <c r="E14" s="40" t="s">
        <v>210</v>
      </c>
      <c r="F14" s="40" t="s">
        <v>210</v>
      </c>
      <c r="G14" s="45">
        <v>50</v>
      </c>
      <c r="H14" s="40" t="s">
        <v>210</v>
      </c>
      <c r="I14" s="45">
        <v>80</v>
      </c>
      <c r="J14" s="40" t="s">
        <v>210</v>
      </c>
      <c r="K14" s="44"/>
      <c r="L14" s="44"/>
      <c r="N14" s="42" t="s">
        <v>279</v>
      </c>
      <c r="O14" s="42">
        <v>0.25</v>
      </c>
      <c r="Q14" s="49" t="s">
        <v>61</v>
      </c>
      <c r="R14" s="40" t="s">
        <v>62</v>
      </c>
      <c r="S14" s="40" t="s">
        <v>292</v>
      </c>
      <c r="T14" s="40">
        <f>INDEX($O$12:$O$33,MATCH(R14,$N$12:$N$33,0))</f>
        <v>3.5</v>
      </c>
      <c r="U14" s="40">
        <f>INDEX($O$12:$O$33,MATCH(S14,$N$12:$N$33,0))</f>
        <v>100000000000</v>
      </c>
      <c r="V14" s="45">
        <f t="shared" ref="V14:V19" si="12">MIN(T14,U14)+SQRT(T14*U14)</f>
        <v>591611.47830996162</v>
      </c>
      <c r="W14" s="44">
        <f>2.86875-0.6+1.2</f>
        <v>3.46875</v>
      </c>
      <c r="X14" s="45">
        <f t="shared" ref="X14:X19" si="13">V14-W14</f>
        <v>591608.00955996162</v>
      </c>
    </row>
    <row r="15" spans="1:27" x14ac:dyDescent="0.2">
      <c r="A15" s="40" t="s">
        <v>272</v>
      </c>
      <c r="B15" s="40" t="s">
        <v>288</v>
      </c>
      <c r="C15" s="46">
        <v>0.25</v>
      </c>
      <c r="E15" s="40" t="s">
        <v>210</v>
      </c>
      <c r="F15" s="40" t="s">
        <v>210</v>
      </c>
      <c r="G15" s="45">
        <v>25</v>
      </c>
      <c r="H15" s="40">
        <f t="shared" ref="H15:H16" si="14">G15*10</f>
        <v>250</v>
      </c>
      <c r="I15" s="45">
        <v>50</v>
      </c>
      <c r="J15" s="45">
        <f t="shared" ref="J15:J16" si="15">I15/1.6</f>
        <v>31.25</v>
      </c>
      <c r="K15" s="44"/>
      <c r="L15" s="44"/>
      <c r="N15" s="42" t="s">
        <v>318</v>
      </c>
      <c r="O15" s="42">
        <v>1</v>
      </c>
      <c r="Q15" s="40" t="s">
        <v>313</v>
      </c>
      <c r="R15" s="40" t="s">
        <v>62</v>
      </c>
      <c r="S15" s="40" t="s">
        <v>324</v>
      </c>
      <c r="T15" s="40">
        <f>INDEX($O$12:$O$33,MATCH(R15,$N$12:$N$33,0))</f>
        <v>3.5</v>
      </c>
      <c r="U15" s="40">
        <f>INDEX($O$12:$O$33,MATCH(S15,$N$12:$N$33,0))</f>
        <v>45</v>
      </c>
      <c r="V15" s="45">
        <f t="shared" si="12"/>
        <v>16.049900398011133</v>
      </c>
      <c r="W15" s="44">
        <v>3.8</v>
      </c>
      <c r="X15" s="45">
        <f t="shared" si="13"/>
        <v>12.249900398011132</v>
      </c>
    </row>
    <row r="16" spans="1:27" x14ac:dyDescent="0.2">
      <c r="A16" s="40" t="s">
        <v>210</v>
      </c>
      <c r="B16" s="40" t="s">
        <v>273</v>
      </c>
      <c r="C16" s="46">
        <v>7.4999999999999997E-2</v>
      </c>
      <c r="E16" s="40" t="s">
        <v>210</v>
      </c>
      <c r="F16" s="40" t="s">
        <v>210</v>
      </c>
      <c r="G16" s="45">
        <v>10</v>
      </c>
      <c r="H16" s="40">
        <f t="shared" si="14"/>
        <v>100</v>
      </c>
      <c r="I16" s="45">
        <v>35</v>
      </c>
      <c r="J16" s="45">
        <f t="shared" si="15"/>
        <v>21.875</v>
      </c>
      <c r="K16" s="40" t="s">
        <v>210</v>
      </c>
      <c r="L16" s="44"/>
      <c r="N16" s="42" t="s">
        <v>323</v>
      </c>
      <c r="O16" s="42">
        <v>1</v>
      </c>
      <c r="Q16" s="40" t="s">
        <v>314</v>
      </c>
      <c r="R16" s="40" t="s">
        <v>293</v>
      </c>
      <c r="S16" s="40" t="s">
        <v>281</v>
      </c>
      <c r="T16" s="40">
        <f>INDEX($O$12:$O$33,MATCH(R16,$N$12:$N$33,0))</f>
        <v>8</v>
      </c>
      <c r="U16" s="40">
        <f>INDEX($O$12:$O$33,MATCH(S16,$N$12:$N$33,0))</f>
        <v>0.25</v>
      </c>
      <c r="V16" s="45">
        <f t="shared" si="12"/>
        <v>1.6642135623730951</v>
      </c>
      <c r="W16" s="44">
        <v>3.8</v>
      </c>
      <c r="X16" s="45">
        <f t="shared" si="13"/>
        <v>-2.1357864376269049</v>
      </c>
    </row>
    <row r="17" spans="1:24" x14ac:dyDescent="0.2">
      <c r="N17" s="42" t="s">
        <v>294</v>
      </c>
      <c r="O17" s="42">
        <v>3.5</v>
      </c>
      <c r="Q17" s="40" t="s">
        <v>315</v>
      </c>
      <c r="R17" s="40" t="s">
        <v>319</v>
      </c>
      <c r="S17" s="40" t="s">
        <v>320</v>
      </c>
      <c r="T17" s="40">
        <f>INDEX($O$12:$O$33,MATCH(R17,$N$12:$N$33,0))</f>
        <v>45</v>
      </c>
      <c r="U17" s="40">
        <f>INDEX($O$12:$O$33,MATCH(S17,$N$12:$N$33,0))</f>
        <v>3.5</v>
      </c>
      <c r="V17" s="45">
        <f t="shared" si="12"/>
        <v>16.049900398011133</v>
      </c>
      <c r="W17" s="40">
        <f>12+0.3-0.6+1</f>
        <v>12.700000000000001</v>
      </c>
      <c r="X17" s="45">
        <f t="shared" si="13"/>
        <v>3.3499003980111315</v>
      </c>
    </row>
    <row r="18" spans="1:24" x14ac:dyDescent="0.2">
      <c r="A18" s="40" t="s">
        <v>305</v>
      </c>
      <c r="B18" s="40" t="s">
        <v>304</v>
      </c>
      <c r="C18" s="45"/>
      <c r="D18" s="45">
        <v>1</v>
      </c>
      <c r="E18" s="46">
        <f>E19-MIN(0.1,E19*G$20)</f>
        <v>3.0067787272855528E-3</v>
      </c>
      <c r="H18" s="46">
        <f t="shared" ref="H18:H36" si="16">H19-MAX(0.001,H19*I$37)</f>
        <v>2.647685136156706E-3</v>
      </c>
      <c r="I18" s="40" t="s">
        <v>307</v>
      </c>
      <c r="J18" s="46">
        <v>1E-3</v>
      </c>
      <c r="N18" s="42" t="s">
        <v>62</v>
      </c>
      <c r="O18" s="42">
        <v>3.5</v>
      </c>
      <c r="Q18" s="40" t="s">
        <v>316</v>
      </c>
      <c r="R18" s="40" t="s">
        <v>321</v>
      </c>
      <c r="S18" s="40" t="s">
        <v>320</v>
      </c>
      <c r="T18" s="40">
        <f>INDEX($O$12:$O$33,MATCH(R18,$N$12:$N$33,0))</f>
        <v>8000</v>
      </c>
      <c r="U18" s="40">
        <f>INDEX($O$12:$O$33,MATCH(S18,$N$12:$N$33,0))</f>
        <v>3.5</v>
      </c>
      <c r="V18" s="45">
        <f t="shared" si="12"/>
        <v>170.83200530681512</v>
      </c>
      <c r="W18" s="40">
        <f>47+0.2-0.6+1</f>
        <v>47.6</v>
      </c>
      <c r="X18" s="45">
        <f t="shared" si="13"/>
        <v>123.23200530681513</v>
      </c>
    </row>
    <row r="19" spans="1:24" x14ac:dyDescent="0.2">
      <c r="A19" s="40" t="s">
        <v>287</v>
      </c>
      <c r="B19" s="40" t="s">
        <v>271</v>
      </c>
      <c r="C19" s="45"/>
      <c r="D19" s="45">
        <v>1</v>
      </c>
      <c r="E19" s="46">
        <f>E20-MIN(0.1,E20*G$20)</f>
        <v>4.0090383030474035E-3</v>
      </c>
      <c r="H19" s="46">
        <f t="shared" si="16"/>
        <v>3.647685136156706E-3</v>
      </c>
      <c r="I19" s="40" t="s">
        <v>308</v>
      </c>
      <c r="J19" s="46">
        <f>J18+0.001</f>
        <v>2E-3</v>
      </c>
      <c r="N19" s="42" t="s">
        <v>269</v>
      </c>
      <c r="O19" s="42">
        <v>8</v>
      </c>
      <c r="Q19" s="40" t="s">
        <v>317</v>
      </c>
      <c r="R19" s="40" t="s">
        <v>319</v>
      </c>
      <c r="S19" s="40" t="s">
        <v>324</v>
      </c>
      <c r="T19" s="40">
        <f>INDEX($O$12:$O$33,MATCH(R19,$N$12:$N$33,0))</f>
        <v>45</v>
      </c>
      <c r="U19" s="40">
        <f>INDEX($O$12:$O$33,MATCH(S19,$N$12:$N$33,0))</f>
        <v>45</v>
      </c>
      <c r="V19" s="45">
        <f t="shared" si="12"/>
        <v>90</v>
      </c>
      <c r="W19" s="40">
        <v>85</v>
      </c>
      <c r="X19" s="45">
        <f t="shared" si="13"/>
        <v>5</v>
      </c>
    </row>
    <row r="20" spans="1:24" x14ac:dyDescent="0.2">
      <c r="A20" s="40" t="s">
        <v>274</v>
      </c>
      <c r="B20" s="40" t="s">
        <v>284</v>
      </c>
      <c r="C20" s="45"/>
      <c r="D20" s="45">
        <v>1</v>
      </c>
      <c r="E20" s="46">
        <f>E21-MIN(0.1,E21*G$20)</f>
        <v>5.3453844040632047E-3</v>
      </c>
      <c r="F20" s="40" t="s">
        <v>306</v>
      </c>
      <c r="G20" s="40">
        <v>0.25</v>
      </c>
      <c r="H20" s="46">
        <f t="shared" si="16"/>
        <v>4.6476851361567061E-3</v>
      </c>
      <c r="I20" s="40" t="s">
        <v>309</v>
      </c>
      <c r="J20" s="46">
        <f t="shared" ref="J20:J36" si="17">J19+0.001</f>
        <v>3.0000000000000001E-3</v>
      </c>
      <c r="N20" s="42" t="s">
        <v>322</v>
      </c>
      <c r="O20" s="42">
        <v>20</v>
      </c>
    </row>
    <row r="21" spans="1:24" ht="12" thickBot="1" x14ac:dyDescent="0.25">
      <c r="C21" s="45"/>
      <c r="D21" s="45">
        <v>1</v>
      </c>
      <c r="E21" s="48">
        <f>E22-MIN(0.1,E22*G$20)</f>
        <v>7.1271792054176056E-3</v>
      </c>
      <c r="H21" s="48">
        <f t="shared" si="16"/>
        <v>5.6476851361567061E-3</v>
      </c>
      <c r="I21" s="40" t="s">
        <v>310</v>
      </c>
      <c r="J21" s="46">
        <f t="shared" si="17"/>
        <v>4.0000000000000001E-3</v>
      </c>
      <c r="N21" s="42" t="s">
        <v>270</v>
      </c>
      <c r="O21" s="42">
        <v>20</v>
      </c>
    </row>
    <row r="22" spans="1:24" x14ac:dyDescent="0.2">
      <c r="C22" s="45"/>
      <c r="D22" s="45">
        <f t="shared" ref="D22:D61" si="18">1+D18</f>
        <v>2</v>
      </c>
      <c r="E22" s="46">
        <f>E23-MIN(0.1,E23*G$20)</f>
        <v>9.5029056072234736E-3</v>
      </c>
      <c r="H22" s="46">
        <f t="shared" si="16"/>
        <v>6.6476851361567061E-3</v>
      </c>
      <c r="J22" s="46">
        <f t="shared" si="17"/>
        <v>5.0000000000000001E-3</v>
      </c>
      <c r="N22" s="42" t="s">
        <v>267</v>
      </c>
      <c r="O22" s="42">
        <v>45</v>
      </c>
    </row>
    <row r="23" spans="1:24" x14ac:dyDescent="0.2">
      <c r="D23" s="45">
        <f t="shared" si="18"/>
        <v>2</v>
      </c>
      <c r="E23" s="46">
        <f>E24-MIN(0.1,E24*G$20)</f>
        <v>1.2670540809631299E-2</v>
      </c>
      <c r="H23" s="46">
        <f t="shared" si="16"/>
        <v>7.6476851361567061E-3</v>
      </c>
      <c r="J23" s="46">
        <f t="shared" si="17"/>
        <v>6.0000000000000001E-3</v>
      </c>
      <c r="N23" s="42" t="s">
        <v>324</v>
      </c>
      <c r="O23" s="42">
        <v>45</v>
      </c>
    </row>
    <row r="24" spans="1:24" x14ac:dyDescent="0.2">
      <c r="D24" s="45">
        <f t="shared" si="18"/>
        <v>2</v>
      </c>
      <c r="E24" s="46">
        <f>E25-MIN(0.1,E25*G$20)</f>
        <v>1.6894054412841732E-2</v>
      </c>
      <c r="H24" s="46">
        <f t="shared" si="16"/>
        <v>8.6476851361567061E-3</v>
      </c>
      <c r="J24" s="46">
        <f t="shared" si="17"/>
        <v>7.0000000000000001E-3</v>
      </c>
      <c r="N24" s="42" t="s">
        <v>295</v>
      </c>
      <c r="O24" s="42">
        <v>8000</v>
      </c>
    </row>
    <row r="25" spans="1:24" ht="12" thickBot="1" x14ac:dyDescent="0.25">
      <c r="D25" s="45">
        <f t="shared" si="18"/>
        <v>2</v>
      </c>
      <c r="E25" s="48">
        <f>E26-MIN(0.1,E26*G$20)</f>
        <v>2.2525405883788978E-2</v>
      </c>
      <c r="H25" s="48">
        <f t="shared" si="16"/>
        <v>9.647685136156707E-3</v>
      </c>
      <c r="J25" s="46">
        <f t="shared" si="17"/>
        <v>8.0000000000000002E-3</v>
      </c>
      <c r="N25" s="42" t="s">
        <v>280</v>
      </c>
      <c r="O25" s="42">
        <v>8000</v>
      </c>
    </row>
    <row r="26" spans="1:24" x14ac:dyDescent="0.2">
      <c r="D26" s="45">
        <f t="shared" si="18"/>
        <v>3</v>
      </c>
      <c r="E26" s="46">
        <f>E27-MIN(0.1,E27*G$20)</f>
        <v>3.0033874511718635E-2</v>
      </c>
      <c r="H26" s="46">
        <f t="shared" si="16"/>
        <v>1.0647685136156708E-2</v>
      </c>
      <c r="J26" s="46">
        <f t="shared" si="17"/>
        <v>9.0000000000000011E-3</v>
      </c>
      <c r="N26" s="42" t="s">
        <v>256</v>
      </c>
      <c r="O26" s="42">
        <v>15000</v>
      </c>
    </row>
    <row r="27" spans="1:24" x14ac:dyDescent="0.2">
      <c r="D27" s="45">
        <f t="shared" si="18"/>
        <v>3</v>
      </c>
      <c r="E27" s="46">
        <f>E28-MIN(0.1,E28*G$20)</f>
        <v>4.0045166015624849E-2</v>
      </c>
      <c r="H27" s="46">
        <f t="shared" si="16"/>
        <v>1.1647685136156707E-2</v>
      </c>
      <c r="J27" s="46">
        <f t="shared" si="17"/>
        <v>1.0000000000000002E-2</v>
      </c>
      <c r="N27" s="42" t="s">
        <v>278</v>
      </c>
      <c r="O27" s="42">
        <v>15000</v>
      </c>
    </row>
    <row r="28" spans="1:24" x14ac:dyDescent="0.2">
      <c r="D28" s="45">
        <f t="shared" si="18"/>
        <v>3</v>
      </c>
      <c r="E28" s="46">
        <f>E29-MIN(0.1,E29*G$20)</f>
        <v>5.3393554687499796E-2</v>
      </c>
      <c r="H28" s="46">
        <f t="shared" si="16"/>
        <v>1.2660527321909464E-2</v>
      </c>
      <c r="J28" s="46">
        <f t="shared" si="17"/>
        <v>1.1000000000000003E-2</v>
      </c>
      <c r="N28" s="42" t="s">
        <v>277</v>
      </c>
      <c r="O28" s="42">
        <v>32000</v>
      </c>
    </row>
    <row r="29" spans="1:24" ht="12" thickBot="1" x14ac:dyDescent="0.25">
      <c r="D29" s="45">
        <f t="shared" si="18"/>
        <v>3</v>
      </c>
      <c r="E29" s="48">
        <f>E30-MIN(0.1,E30*G$20)</f>
        <v>7.1191406249999728E-2</v>
      </c>
      <c r="H29" s="48">
        <f t="shared" si="16"/>
        <v>1.3761442741205939E-2</v>
      </c>
      <c r="J29" s="46">
        <f t="shared" si="17"/>
        <v>1.2000000000000004E-2</v>
      </c>
      <c r="N29" s="42" t="s">
        <v>276</v>
      </c>
      <c r="O29" s="42">
        <v>32000</v>
      </c>
    </row>
    <row r="30" spans="1:24" x14ac:dyDescent="0.2">
      <c r="D30" s="45">
        <f t="shared" si="18"/>
        <v>4</v>
      </c>
      <c r="E30" s="46">
        <f>E31-MIN(0.1,E31*G$20)</f>
        <v>9.4921874999999642E-2</v>
      </c>
      <c r="H30" s="46">
        <f t="shared" si="16"/>
        <v>1.4958089936093412E-2</v>
      </c>
      <c r="J30" s="46">
        <f t="shared" si="17"/>
        <v>1.3000000000000005E-2</v>
      </c>
      <c r="N30" s="42" t="s">
        <v>275</v>
      </c>
      <c r="O30" s="42">
        <v>93000</v>
      </c>
    </row>
    <row r="31" spans="1:24" x14ac:dyDescent="0.2">
      <c r="D31" s="45">
        <f t="shared" si="18"/>
        <v>4</v>
      </c>
      <c r="E31" s="46">
        <f>E32-MIN(0.1,E32*G$20)</f>
        <v>0.12656249999999952</v>
      </c>
      <c r="H31" s="46">
        <f t="shared" si="16"/>
        <v>1.6258793408797188E-2</v>
      </c>
      <c r="J31" s="46">
        <f t="shared" si="17"/>
        <v>1.4000000000000005E-2</v>
      </c>
      <c r="N31" s="42" t="s">
        <v>292</v>
      </c>
      <c r="O31" s="42">
        <v>100000000000</v>
      </c>
    </row>
    <row r="32" spans="1:24" x14ac:dyDescent="0.2">
      <c r="D32" s="45">
        <f t="shared" si="18"/>
        <v>4</v>
      </c>
      <c r="E32" s="46">
        <f>E33-MIN(0.1,E33*G$20)</f>
        <v>0.16874999999999934</v>
      </c>
      <c r="H32" s="46">
        <f t="shared" si="16"/>
        <v>1.7672601531301291E-2</v>
      </c>
      <c r="J32" s="46">
        <f t="shared" si="17"/>
        <v>1.5000000000000006E-2</v>
      </c>
      <c r="N32" s="42"/>
      <c r="O32" s="42"/>
    </row>
    <row r="33" spans="4:17" ht="12" thickBot="1" x14ac:dyDescent="0.25">
      <c r="D33" s="45">
        <f t="shared" si="18"/>
        <v>4</v>
      </c>
      <c r="E33" s="48">
        <f>E34-MIN(0.1,E34*G$20)</f>
        <v>0.22499999999999912</v>
      </c>
      <c r="H33" s="48">
        <f t="shared" si="16"/>
        <v>1.9209349490544883E-2</v>
      </c>
      <c r="J33" s="46">
        <f t="shared" si="17"/>
        <v>1.6000000000000007E-2</v>
      </c>
      <c r="N33" s="42"/>
      <c r="O33" s="42"/>
    </row>
    <row r="34" spans="4:17" x14ac:dyDescent="0.2">
      <c r="D34" s="45">
        <f t="shared" si="18"/>
        <v>5</v>
      </c>
      <c r="E34" s="46">
        <f>E35-MIN(0.1,E35*G$20)</f>
        <v>0.29999999999999882</v>
      </c>
      <c r="H34" s="46">
        <f t="shared" si="16"/>
        <v>2.0879727707114003E-2</v>
      </c>
      <c r="J34" s="46">
        <f t="shared" si="17"/>
        <v>1.7000000000000008E-2</v>
      </c>
    </row>
    <row r="35" spans="4:17" x14ac:dyDescent="0.2">
      <c r="D35" s="45">
        <f t="shared" si="18"/>
        <v>5</v>
      </c>
      <c r="E35" s="46">
        <f>E36-MIN(0.1,E36*G$20)</f>
        <v>0.39999999999999847</v>
      </c>
      <c r="H35" s="46">
        <f t="shared" si="16"/>
        <v>2.2695356203384788E-2</v>
      </c>
      <c r="J35" s="46">
        <f t="shared" si="17"/>
        <v>1.8000000000000009E-2</v>
      </c>
    </row>
    <row r="36" spans="4:17" x14ac:dyDescent="0.2">
      <c r="D36" s="45">
        <f t="shared" si="18"/>
        <v>5</v>
      </c>
      <c r="E36" s="46">
        <f>E37-MIN(0.1,E37*G$20)</f>
        <v>0.49999999999999845</v>
      </c>
      <c r="H36" s="46">
        <f t="shared" si="16"/>
        <v>2.4668865438461727E-2</v>
      </c>
      <c r="J36" s="46">
        <f t="shared" si="17"/>
        <v>1.900000000000001E-2</v>
      </c>
      <c r="N36" s="41" t="s">
        <v>298</v>
      </c>
      <c r="O36" s="41" t="s">
        <v>299</v>
      </c>
    </row>
    <row r="37" spans="4:17" ht="12" thickBot="1" x14ac:dyDescent="0.25">
      <c r="D37" s="45">
        <f t="shared" si="18"/>
        <v>5</v>
      </c>
      <c r="E37" s="48">
        <f>E38-MIN(0.1,E38*G$20)</f>
        <v>0.59999999999999842</v>
      </c>
      <c r="H37" s="48">
        <f>H38-MAX(0.001,H38*I$37)</f>
        <v>2.6813984172241009E-2</v>
      </c>
      <c r="I37" s="40">
        <v>0.08</v>
      </c>
      <c r="J37" s="46">
        <f>J36+0.001</f>
        <v>2.0000000000000011E-2</v>
      </c>
      <c r="N37" s="40">
        <v>3600</v>
      </c>
      <c r="O37" s="40" t="s">
        <v>210</v>
      </c>
      <c r="P37" s="43">
        <f>N37/3600</f>
        <v>1</v>
      </c>
      <c r="Q37" s="43" t="s">
        <v>210</v>
      </c>
    </row>
    <row r="38" spans="4:17" x14ac:dyDescent="0.2">
      <c r="D38" s="45">
        <f t="shared" si="18"/>
        <v>6</v>
      </c>
      <c r="E38" s="46">
        <f>E39-MIN(0.1,E39*G$20)</f>
        <v>0.6999999999999984</v>
      </c>
      <c r="F38" s="40">
        <v>0.625</v>
      </c>
      <c r="G38" s="40">
        <f>F38/2</f>
        <v>0.3125</v>
      </c>
      <c r="H38" s="46">
        <f>F39*0.95</f>
        <v>2.9145634969827184E-2</v>
      </c>
      <c r="I38" s="46"/>
      <c r="J38" s="46">
        <f>J37+0.001</f>
        <v>2.1000000000000012E-2</v>
      </c>
      <c r="N38" s="45">
        <v>2100</v>
      </c>
      <c r="O38" s="45">
        <v>275</v>
      </c>
      <c r="P38" s="43">
        <f t="shared" ref="P38:Q41" si="19">N38/3600</f>
        <v>0.58333333333333337</v>
      </c>
      <c r="Q38" s="43">
        <f t="shared" si="19"/>
        <v>7.6388888888888895E-2</v>
      </c>
    </row>
    <row r="39" spans="4:17" x14ac:dyDescent="0.2">
      <c r="D39" s="45">
        <f t="shared" si="18"/>
        <v>6</v>
      </c>
      <c r="E39" s="46">
        <f>E40-MIN(0.1,E40*G$20)</f>
        <v>0.79999999999999838</v>
      </c>
      <c r="F39" s="40">
        <f>PI()*G38^2*0.1</f>
        <v>3.0679615757712827E-2</v>
      </c>
      <c r="H39" s="46">
        <f>F39</f>
        <v>3.0679615757712827E-2</v>
      </c>
      <c r="I39" s="46"/>
      <c r="J39" s="46">
        <f>J38+0.001</f>
        <v>2.2000000000000013E-2</v>
      </c>
      <c r="N39" s="45">
        <v>1200</v>
      </c>
      <c r="O39" s="45">
        <v>150</v>
      </c>
      <c r="P39" s="43">
        <f t="shared" si="19"/>
        <v>0.33333333333333331</v>
      </c>
      <c r="Q39" s="43">
        <f t="shared" si="19"/>
        <v>4.1666666666666664E-2</v>
      </c>
    </row>
    <row r="40" spans="4:17" x14ac:dyDescent="0.2">
      <c r="D40" s="45">
        <f t="shared" si="18"/>
        <v>6</v>
      </c>
      <c r="E40" s="46">
        <f>E41-MIN(0.1,E41*G$20)</f>
        <v>0.89999999999999836</v>
      </c>
      <c r="H40" s="46">
        <f>H39*1.05</f>
        <v>3.2213596545598466E-2</v>
      </c>
      <c r="I40" s="46"/>
      <c r="J40" s="46">
        <f>J39+0.001</f>
        <v>2.3000000000000013E-2</v>
      </c>
      <c r="N40" s="45">
        <v>675</v>
      </c>
      <c r="O40" s="45">
        <v>85</v>
      </c>
      <c r="P40" s="43">
        <f t="shared" si="19"/>
        <v>0.1875</v>
      </c>
      <c r="Q40" s="43">
        <f t="shared" si="19"/>
        <v>2.361111111111111E-2</v>
      </c>
    </row>
    <row r="41" spans="4:17" ht="12" thickBot="1" x14ac:dyDescent="0.25">
      <c r="D41" s="45">
        <f t="shared" si="18"/>
        <v>6</v>
      </c>
      <c r="E41" s="48">
        <f>E42-MIN(0.1,E42*G$20)</f>
        <v>0.99999999999999833</v>
      </c>
      <c r="H41" s="48">
        <f>H40*1.05</f>
        <v>3.3824276372878388E-2</v>
      </c>
      <c r="I41" s="46"/>
      <c r="J41" s="46">
        <f>J40+0.001</f>
        <v>2.4000000000000014E-2</v>
      </c>
      <c r="N41" s="45">
        <v>375</v>
      </c>
      <c r="O41" s="45">
        <v>50</v>
      </c>
      <c r="P41" s="43">
        <f t="shared" si="19"/>
        <v>0.10416666666666667</v>
      </c>
      <c r="Q41" s="43">
        <f t="shared" si="19"/>
        <v>1.3888888888888888E-2</v>
      </c>
    </row>
    <row r="42" spans="4:17" x14ac:dyDescent="0.2">
      <c r="D42" s="45">
        <f t="shared" si="18"/>
        <v>7</v>
      </c>
      <c r="E42" s="46">
        <f>E43-MIN(0.1,E43*G$20)</f>
        <v>1.0999999999999983</v>
      </c>
      <c r="F42" s="40">
        <v>1.25</v>
      </c>
      <c r="G42" s="40">
        <f>F42/2</f>
        <v>0.625</v>
      </c>
      <c r="H42" s="46">
        <f>F43*0.95</f>
        <v>0.11658253987930874</v>
      </c>
      <c r="I42" s="46">
        <f>(F42/F46)^3*H46</f>
        <v>7.7721693252872481E-2</v>
      </c>
      <c r="P42" s="43"/>
      <c r="Q42" s="43"/>
    </row>
    <row r="43" spans="4:17" x14ac:dyDescent="0.2">
      <c r="D43" s="45">
        <f t="shared" si="18"/>
        <v>7</v>
      </c>
      <c r="E43" s="46">
        <f>E44-MIN(0.1,E44*G$20)</f>
        <v>1.1999999999999984</v>
      </c>
      <c r="F43" s="40">
        <f>PI()*G42^2*0.1</f>
        <v>0.12271846303085131</v>
      </c>
      <c r="H43" s="46">
        <f>F43</f>
        <v>0.12271846303085131</v>
      </c>
      <c r="I43" s="46">
        <f>(F42/F46)^3*H47</f>
        <v>8.1812308687234186E-2</v>
      </c>
      <c r="N43" s="41" t="s">
        <v>298</v>
      </c>
      <c r="O43" s="41" t="s">
        <v>299</v>
      </c>
      <c r="P43" s="43"/>
      <c r="Q43" s="43"/>
    </row>
    <row r="44" spans="4:17" x14ac:dyDescent="0.2">
      <c r="D44" s="45">
        <f t="shared" si="18"/>
        <v>7</v>
      </c>
      <c r="E44" s="46">
        <f>E45-MIN(0.1,E45*G$20)</f>
        <v>1.2999999999999985</v>
      </c>
      <c r="H44" s="46">
        <f>H43*1.05</f>
        <v>0.12885438618239387</v>
      </c>
      <c r="I44" s="46">
        <f>(F42/F46)^3*H48</f>
        <v>8.5902924121595906E-2</v>
      </c>
      <c r="N44" s="45">
        <v>275</v>
      </c>
      <c r="O44" s="40" t="s">
        <v>210</v>
      </c>
      <c r="P44" s="43">
        <f t="shared" ref="P44:Q46" si="20">N44/3600</f>
        <v>7.6388888888888895E-2</v>
      </c>
      <c r="Q44" s="43" t="s">
        <v>210</v>
      </c>
    </row>
    <row r="45" spans="4:17" ht="12" thickBot="1" x14ac:dyDescent="0.25">
      <c r="D45" s="45">
        <f t="shared" si="18"/>
        <v>7</v>
      </c>
      <c r="E45" s="48">
        <f>E46-MIN(0.1,E46*G$20)</f>
        <v>1.3999999999999986</v>
      </c>
      <c r="H45" s="48">
        <f>H44*1.05</f>
        <v>0.13529710549151355</v>
      </c>
      <c r="I45" s="46">
        <f>(F42/F46)^3*H49</f>
        <v>9.0198070327675711E-2</v>
      </c>
      <c r="N45" s="45">
        <v>175</v>
      </c>
      <c r="O45" s="40" t="s">
        <v>210</v>
      </c>
      <c r="P45" s="43">
        <f t="shared" si="20"/>
        <v>4.8611111111111112E-2</v>
      </c>
      <c r="Q45" s="43" t="s">
        <v>210</v>
      </c>
    </row>
    <row r="46" spans="4:17" x14ac:dyDescent="0.2">
      <c r="D46" s="45">
        <f t="shared" si="18"/>
        <v>8</v>
      </c>
      <c r="E46" s="46">
        <f>E47-MIN(0.1,E47*G$20)</f>
        <v>1.4999999999999987</v>
      </c>
      <c r="F46" s="40">
        <v>1.875</v>
      </c>
      <c r="G46" s="40">
        <f>F46/2</f>
        <v>0.9375</v>
      </c>
      <c r="H46" s="46">
        <f>F47*0.95</f>
        <v>0.26231071472844464</v>
      </c>
      <c r="I46" s="46">
        <f>(F46/F50)^3*H50</f>
        <v>0.19673303604633349</v>
      </c>
      <c r="N46" s="45">
        <v>125</v>
      </c>
      <c r="O46" s="40">
        <v>1250</v>
      </c>
      <c r="P46" s="43">
        <f t="shared" si="20"/>
        <v>3.4722222222222224E-2</v>
      </c>
      <c r="Q46" s="43">
        <f t="shared" si="20"/>
        <v>0.34722222222222221</v>
      </c>
    </row>
    <row r="47" spans="4:17" x14ac:dyDescent="0.2">
      <c r="D47" s="45">
        <f t="shared" si="18"/>
        <v>8</v>
      </c>
      <c r="E47" s="46">
        <f>E48-MIN(0.1,E48*G$20)</f>
        <v>1.5999999999999988</v>
      </c>
      <c r="F47" s="40">
        <f>PI()*G46^2*0.1</f>
        <v>0.27611654181941542</v>
      </c>
      <c r="H47" s="46">
        <f>F47</f>
        <v>0.27611654181941542</v>
      </c>
      <c r="I47" s="46">
        <f>(F46/F50)^3*H51</f>
        <v>0.20708740636456158</v>
      </c>
      <c r="P47" s="43"/>
      <c r="Q47" s="43"/>
    </row>
    <row r="48" spans="4:17" x14ac:dyDescent="0.2">
      <c r="D48" s="45">
        <f t="shared" si="18"/>
        <v>8</v>
      </c>
      <c r="E48" s="46">
        <f>E49-MIN(0.1,E49*G$20)</f>
        <v>1.6999999999999988</v>
      </c>
      <c r="H48" s="46">
        <f>H47*1.05</f>
        <v>0.2899223689103862</v>
      </c>
      <c r="I48" s="46">
        <f>(F46/F50)^3*H52</f>
        <v>0.21744177668278963</v>
      </c>
      <c r="N48" s="41" t="s">
        <v>298</v>
      </c>
      <c r="O48" s="41" t="s">
        <v>299</v>
      </c>
      <c r="P48" s="43"/>
      <c r="Q48" s="43"/>
    </row>
    <row r="49" spans="4:17" ht="12" thickBot="1" x14ac:dyDescent="0.25">
      <c r="D49" s="45">
        <f t="shared" si="18"/>
        <v>8</v>
      </c>
      <c r="E49" s="48">
        <f>E50-MIN(0.1,E50*G$20)</f>
        <v>1.7999999999999989</v>
      </c>
      <c r="H49" s="48">
        <f>H48*1.05</f>
        <v>0.30441848735590554</v>
      </c>
      <c r="I49" s="46">
        <f>(F46/F50)^3*H53</f>
        <v>0.22831386551692912</v>
      </c>
      <c r="N49" s="45">
        <v>50</v>
      </c>
      <c r="O49" s="40" t="s">
        <v>210</v>
      </c>
      <c r="P49" s="43">
        <f t="shared" ref="P49:Q51" si="21">N49/3600</f>
        <v>1.3888888888888888E-2</v>
      </c>
      <c r="Q49" s="43" t="s">
        <v>210</v>
      </c>
    </row>
    <row r="50" spans="4:17" x14ac:dyDescent="0.2">
      <c r="D50" s="45">
        <f t="shared" si="18"/>
        <v>9</v>
      </c>
      <c r="E50" s="46">
        <f>E51-MIN(0.1,E51*G$20)</f>
        <v>1.899999999999999</v>
      </c>
      <c r="F50" s="40">
        <v>2.5</v>
      </c>
      <c r="G50" s="40">
        <f>F50/2</f>
        <v>1.25</v>
      </c>
      <c r="H50" s="46">
        <f>F51*0.95</f>
        <v>0.46633015951723494</v>
      </c>
      <c r="I50" s="46">
        <f>(F50/F54)^3*H54</f>
        <v>0.31088677301148993</v>
      </c>
      <c r="N50" s="45">
        <v>25</v>
      </c>
      <c r="O50" s="40">
        <v>250</v>
      </c>
      <c r="P50" s="43">
        <f t="shared" si="21"/>
        <v>6.9444444444444441E-3</v>
      </c>
      <c r="Q50" s="43">
        <f t="shared" si="21"/>
        <v>6.9444444444444448E-2</v>
      </c>
    </row>
    <row r="51" spans="4:17" x14ac:dyDescent="0.2">
      <c r="D51" s="45">
        <f t="shared" si="18"/>
        <v>9</v>
      </c>
      <c r="E51" s="46">
        <f>E52-MIN(0.1,E52*G$20)</f>
        <v>1.9999999999999991</v>
      </c>
      <c r="F51" s="40">
        <f>PI()*G50^2*0.1</f>
        <v>0.49087385212340523</v>
      </c>
      <c r="H51" s="46">
        <f>F51</f>
        <v>0.49087385212340523</v>
      </c>
      <c r="I51" s="46">
        <f>(F50/F54)^3*H55</f>
        <v>0.32724923474893675</v>
      </c>
      <c r="N51" s="45">
        <v>10</v>
      </c>
      <c r="O51" s="40">
        <v>100</v>
      </c>
      <c r="P51" s="43">
        <f t="shared" si="21"/>
        <v>2.7777777777777779E-3</v>
      </c>
      <c r="Q51" s="43">
        <f t="shared" si="21"/>
        <v>2.7777777777777776E-2</v>
      </c>
    </row>
    <row r="52" spans="4:17" x14ac:dyDescent="0.2">
      <c r="D52" s="45">
        <f t="shared" si="18"/>
        <v>9</v>
      </c>
      <c r="E52" s="46">
        <f>E53-MIN(0.1,E53*G$20)</f>
        <v>2.0999999999999992</v>
      </c>
      <c r="H52" s="46">
        <f>H51*1.05</f>
        <v>0.51541754472957546</v>
      </c>
      <c r="I52" s="46">
        <f>(F50/F54)^3*H56</f>
        <v>0.34361169648638362</v>
      </c>
      <c r="P52" s="43"/>
      <c r="Q52" s="43"/>
    </row>
    <row r="53" spans="4:17" ht="12" thickBot="1" x14ac:dyDescent="0.25">
      <c r="D53" s="45">
        <f t="shared" si="18"/>
        <v>9</v>
      </c>
      <c r="E53" s="48">
        <f>E54-MIN(0.1,E54*G$20)</f>
        <v>2.1999999999999993</v>
      </c>
      <c r="H53" s="48">
        <f>H52*1.05</f>
        <v>0.54118842196605421</v>
      </c>
      <c r="I53" s="46">
        <f>(F50/F54)^3*H57</f>
        <v>0.36079228131070284</v>
      </c>
    </row>
    <row r="54" spans="4:17" x14ac:dyDescent="0.2">
      <c r="D54" s="45">
        <f t="shared" si="18"/>
        <v>10</v>
      </c>
      <c r="E54" s="46">
        <f>E55-MIN(0.1,E55*G$20)</f>
        <v>2.2999999999999994</v>
      </c>
      <c r="F54" s="40">
        <v>3.75</v>
      </c>
      <c r="G54" s="40">
        <f>F54/2</f>
        <v>1.875</v>
      </c>
      <c r="H54" s="46">
        <f>F55*0.95</f>
        <v>1.0492428589137786</v>
      </c>
      <c r="I54" s="46">
        <f>(F54/F58)^3*H58</f>
        <v>0.78693214418533397</v>
      </c>
    </row>
    <row r="55" spans="4:17" x14ac:dyDescent="0.2">
      <c r="D55" s="45">
        <f t="shared" si="18"/>
        <v>10</v>
      </c>
      <c r="E55" s="46">
        <f>E56-MIN(0.1,E56*G$20)</f>
        <v>2.3999999999999995</v>
      </c>
      <c r="F55" s="40">
        <f>PI()*G54^2*0.1</f>
        <v>1.1044661672776617</v>
      </c>
      <c r="H55" s="46">
        <f>F55</f>
        <v>1.1044661672776617</v>
      </c>
      <c r="I55" s="46">
        <f>(F54/F58)^3*H59</f>
        <v>0.82834962545824631</v>
      </c>
    </row>
    <row r="56" spans="4:17" x14ac:dyDescent="0.2">
      <c r="D56" s="45">
        <f t="shared" si="18"/>
        <v>10</v>
      </c>
      <c r="E56" s="46">
        <f>E57-MIN(0.1,E57*G$20)</f>
        <v>2.4999999999999996</v>
      </c>
      <c r="H56" s="46">
        <f>H55*1.05</f>
        <v>1.1596894756415448</v>
      </c>
      <c r="I56" s="46">
        <f>(F54/F58)^3*H60</f>
        <v>0.86976710673115853</v>
      </c>
    </row>
    <row r="57" spans="4:17" ht="12" thickBot="1" x14ac:dyDescent="0.25">
      <c r="D57" s="45">
        <f t="shared" si="18"/>
        <v>10</v>
      </c>
      <c r="E57" s="48">
        <f>E58-MIN(0.1,E58*G$20)</f>
        <v>2.5999999999999996</v>
      </c>
      <c r="H57" s="48">
        <f>H56*1.05</f>
        <v>1.2176739494236222</v>
      </c>
      <c r="I57" s="46">
        <f>(F54/F58)^3*H61</f>
        <v>0.91325546206771646</v>
      </c>
    </row>
    <row r="58" spans="4:17" x14ac:dyDescent="0.2">
      <c r="D58" s="45">
        <f t="shared" si="18"/>
        <v>11</v>
      </c>
      <c r="E58" s="46">
        <f>E59-MIN(0.1,E59*G$20)</f>
        <v>2.6999999999999997</v>
      </c>
      <c r="F58" s="40">
        <v>5</v>
      </c>
      <c r="G58" s="40">
        <f>F58/2</f>
        <v>2.5</v>
      </c>
      <c r="H58" s="46">
        <f>F59*0.95</f>
        <v>1.8653206380689398</v>
      </c>
    </row>
    <row r="59" spans="4:17" x14ac:dyDescent="0.2">
      <c r="D59" s="45">
        <f t="shared" si="18"/>
        <v>11</v>
      </c>
      <c r="E59" s="46">
        <f>E60-MIN(0.1,E60*G$20)</f>
        <v>2.8</v>
      </c>
      <c r="F59" s="40">
        <f>PI()*G58^2*0.1</f>
        <v>1.9634954084936209</v>
      </c>
      <c r="H59" s="46">
        <f>F59</f>
        <v>1.9634954084936209</v>
      </c>
    </row>
    <row r="60" spans="4:17" x14ac:dyDescent="0.2">
      <c r="D60" s="45">
        <f t="shared" si="18"/>
        <v>11</v>
      </c>
      <c r="E60" s="46">
        <f>E61-MIN(0.1,E61*G$20)</f>
        <v>2.9</v>
      </c>
      <c r="H60" s="46">
        <f>H59*1.05</f>
        <v>2.0616701789183018</v>
      </c>
    </row>
    <row r="61" spans="4:17" ht="12" thickBot="1" x14ac:dyDescent="0.25">
      <c r="D61" s="45">
        <f t="shared" si="18"/>
        <v>11</v>
      </c>
      <c r="E61" s="48">
        <v>3</v>
      </c>
      <c r="H61" s="48">
        <f>H60*1.05</f>
        <v>2.1647536878642168</v>
      </c>
    </row>
  </sheetData>
  <sortState ref="N89:O98">
    <sortCondition ref="O8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Q14" sqref="Q14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0" x14ac:dyDescent="0.25">
      <c r="A1" s="1" t="s">
        <v>48</v>
      </c>
      <c r="B1" s="1" t="s">
        <v>18</v>
      </c>
      <c r="C1" s="1" t="s">
        <v>53</v>
      </c>
      <c r="D1" s="1" t="s">
        <v>59</v>
      </c>
      <c r="F1" s="1" t="s">
        <v>48</v>
      </c>
      <c r="G1" s="1" t="s">
        <v>18</v>
      </c>
      <c r="H1" s="1" t="s">
        <v>55</v>
      </c>
      <c r="I1" s="1" t="s">
        <v>54</v>
      </c>
      <c r="J1" s="1" t="s">
        <v>56</v>
      </c>
      <c r="K1" s="1" t="s">
        <v>57</v>
      </c>
      <c r="L1" s="1" t="s">
        <v>48</v>
      </c>
      <c r="M1" s="1" t="s">
        <v>18</v>
      </c>
      <c r="N1" s="1" t="s">
        <v>58</v>
      </c>
      <c r="O1" s="1" t="s">
        <v>69</v>
      </c>
      <c r="P1" s="1" t="s">
        <v>98</v>
      </c>
    </row>
    <row r="2" spans="1:20" x14ac:dyDescent="0.25">
      <c r="A2" s="2" t="s">
        <v>49</v>
      </c>
      <c r="B2" s="2" t="s">
        <v>51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53</v>
      </c>
      <c r="S2" s="1" t="s">
        <v>91</v>
      </c>
      <c r="T2" s="1" t="s">
        <v>95</v>
      </c>
    </row>
    <row r="3" spans="1:20" x14ac:dyDescent="0.25">
      <c r="A3" s="2" t="s">
        <v>51</v>
      </c>
      <c r="B3" s="2" t="s">
        <v>50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0" x14ac:dyDescent="0.25">
      <c r="A4" s="2" t="s">
        <v>50</v>
      </c>
      <c r="B4" s="2" t="s">
        <v>52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92</v>
      </c>
      <c r="S4" s="1" t="s">
        <v>93</v>
      </c>
      <c r="T4" s="1" t="s">
        <v>94</v>
      </c>
    </row>
    <row r="5" spans="1:20" x14ac:dyDescent="0.25">
      <c r="A5" s="2" t="s">
        <v>52</v>
      </c>
      <c r="B5" s="2" t="s">
        <v>39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0" x14ac:dyDescent="0.25">
      <c r="R6" s="1" t="s">
        <v>96</v>
      </c>
    </row>
    <row r="7" spans="1:20" x14ac:dyDescent="0.25">
      <c r="A7" s="2" t="s">
        <v>50</v>
      </c>
      <c r="B7" s="2" t="s">
        <v>42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0" x14ac:dyDescent="0.25">
      <c r="A9" s="2" t="s">
        <v>49</v>
      </c>
      <c r="B9" s="2" t="s">
        <v>68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0" x14ac:dyDescent="0.25">
      <c r="A10" s="2" t="s">
        <v>68</v>
      </c>
      <c r="B10" s="2" t="s">
        <v>67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</row>
    <row r="12" spans="1:20" x14ac:dyDescent="0.25">
      <c r="A12" s="2" t="s">
        <v>49</v>
      </c>
      <c r="B12" s="2" t="s">
        <v>70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</row>
    <row r="13" spans="1:20" x14ac:dyDescent="0.25">
      <c r="A13" s="2" t="s">
        <v>70</v>
      </c>
      <c r="B13" s="2" t="s">
        <v>71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</row>
    <row r="15" spans="1:20" x14ac:dyDescent="0.25">
      <c r="A15" s="2" t="s">
        <v>49</v>
      </c>
      <c r="B15" s="2" t="s">
        <v>88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0" x14ac:dyDescent="0.25">
      <c r="A16" s="2" t="s">
        <v>88</v>
      </c>
      <c r="B16" s="2" t="s">
        <v>39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Q17" sqref="Q17"/>
    </sheetView>
  </sheetViews>
  <sheetFormatPr defaultRowHeight="15" x14ac:dyDescent="0.25"/>
  <cols>
    <col min="1" max="16384" width="9.140625" style="1"/>
  </cols>
  <sheetData>
    <row r="1" spans="1:17" x14ac:dyDescent="0.25">
      <c r="A1" s="14" t="s">
        <v>76</v>
      </c>
    </row>
    <row r="2" spans="1:17" x14ac:dyDescent="0.25">
      <c r="A2" s="1" t="s">
        <v>44</v>
      </c>
      <c r="B2" s="1" t="s">
        <v>72</v>
      </c>
      <c r="C2" s="1" t="s">
        <v>74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</row>
    <row r="3" spans="1:17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</row>
    <row r="4" spans="1:17" x14ac:dyDescent="0.25">
      <c r="A4" s="2"/>
      <c r="C4" s="6"/>
      <c r="D4" s="6"/>
      <c r="E4" s="6"/>
      <c r="F4" s="6"/>
      <c r="G4" s="6"/>
      <c r="H4" s="6"/>
      <c r="I4" s="12"/>
      <c r="J4" s="6"/>
      <c r="K4" s="6"/>
    </row>
    <row r="5" spans="1:17" x14ac:dyDescent="0.25">
      <c r="A5" s="14" t="s">
        <v>75</v>
      </c>
    </row>
    <row r="6" spans="1:17" x14ac:dyDescent="0.25">
      <c r="A6" s="1" t="s">
        <v>44</v>
      </c>
      <c r="B6" s="1" t="s">
        <v>73</v>
      </c>
      <c r="C6" s="1" t="s">
        <v>72</v>
      </c>
      <c r="D6" s="1" t="s">
        <v>73</v>
      </c>
      <c r="E6" s="1" t="s">
        <v>76</v>
      </c>
      <c r="F6" s="1" t="s">
        <v>77</v>
      </c>
      <c r="G6" s="1" t="s">
        <v>74</v>
      </c>
      <c r="H6" s="22">
        <v>0.6</v>
      </c>
      <c r="I6" s="22">
        <f t="shared" ref="I6:O6" si="2">5%+H6</f>
        <v>0.65</v>
      </c>
      <c r="J6" s="22">
        <f t="shared" si="2"/>
        <v>0.70000000000000007</v>
      </c>
      <c r="K6" s="22">
        <f t="shared" si="2"/>
        <v>0.75000000000000011</v>
      </c>
      <c r="L6" s="22">
        <f t="shared" si="2"/>
        <v>0.80000000000000016</v>
      </c>
      <c r="M6" s="22">
        <f t="shared" si="2"/>
        <v>0.8500000000000002</v>
      </c>
      <c r="N6" s="22">
        <f t="shared" si="2"/>
        <v>0.90000000000000024</v>
      </c>
      <c r="O6" s="22">
        <f t="shared" si="2"/>
        <v>0.95000000000000029</v>
      </c>
    </row>
    <row r="7" spans="1:17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3">$G7*I$6</f>
        <v>170.16960206944714</v>
      </c>
      <c r="J7" s="6">
        <f t="shared" si="3"/>
        <v>183.25957145940461</v>
      </c>
      <c r="K7" s="6">
        <f t="shared" si="3"/>
        <v>196.34954084936211</v>
      </c>
      <c r="L7" s="6">
        <f t="shared" si="3"/>
        <v>209.43951023931959</v>
      </c>
      <c r="M7" s="12">
        <f t="shared" si="3"/>
        <v>222.52947962927706</v>
      </c>
      <c r="N7" s="6">
        <f t="shared" si="3"/>
        <v>235.61944901923454</v>
      </c>
      <c r="O7" s="6">
        <f t="shared" si="3"/>
        <v>248.70941840919204</v>
      </c>
    </row>
    <row r="8" spans="1:17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3"/>
        <v>55.305120672570318</v>
      </c>
      <c r="J8" s="6">
        <f t="shared" si="3"/>
        <v>59.559360724306501</v>
      </c>
      <c r="K8" s="6">
        <f t="shared" si="3"/>
        <v>63.813600776042684</v>
      </c>
      <c r="L8" s="6">
        <f t="shared" si="3"/>
        <v>68.067840827778866</v>
      </c>
      <c r="M8" s="12">
        <f t="shared" si="3"/>
        <v>72.322080879515056</v>
      </c>
      <c r="N8" s="6">
        <f t="shared" si="3"/>
        <v>76.576320931251232</v>
      </c>
      <c r="O8" s="6">
        <f t="shared" si="3"/>
        <v>80.830560982987421</v>
      </c>
    </row>
    <row r="9" spans="1:17" x14ac:dyDescent="0.25">
      <c r="Q9" s="4"/>
    </row>
    <row r="10" spans="1:17" x14ac:dyDescent="0.25">
      <c r="A10" s="1" t="s">
        <v>44</v>
      </c>
      <c r="B10" s="1" t="s">
        <v>73</v>
      </c>
      <c r="C10" s="1" t="s">
        <v>72</v>
      </c>
      <c r="D10" s="1" t="s">
        <v>74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1">
        <v>2.5</v>
      </c>
      <c r="Q10" s="24">
        <f>P10/P11*Q11</f>
        <v>4.3679066666666664</v>
      </c>
    </row>
    <row r="11" spans="1:17" x14ac:dyDescent="0.25">
      <c r="A11" s="2">
        <v>1.25</v>
      </c>
      <c r="B11" s="2">
        <v>0.5</v>
      </c>
      <c r="C11" s="1">
        <f t="shared" ref="C11:C22" si="4">A11/2</f>
        <v>0.625</v>
      </c>
      <c r="D11" s="6">
        <f t="shared" ref="D11:D22" si="5">PI()*C11^2*B11*1000</f>
        <v>613.59231515425654</v>
      </c>
      <c r="E11" s="6">
        <f t="shared" ref="E11:N22" si="6">$D11*E$10</f>
        <v>368.15538909255389</v>
      </c>
      <c r="F11" s="6">
        <f t="shared" si="6"/>
        <v>398.83500485026678</v>
      </c>
      <c r="G11" s="6">
        <f t="shared" si="6"/>
        <v>429.51462060797962</v>
      </c>
      <c r="H11" s="6">
        <f t="shared" si="6"/>
        <v>460.19423636569246</v>
      </c>
      <c r="I11" s="6">
        <f t="shared" si="6"/>
        <v>490.8738521234053</v>
      </c>
      <c r="J11" s="6">
        <f t="shared" si="6"/>
        <v>521.55346788111819</v>
      </c>
      <c r="K11" s="12">
        <f t="shared" si="6"/>
        <v>533.82531418420319</v>
      </c>
      <c r="L11" s="6">
        <f t="shared" si="6"/>
        <v>552.23308363883109</v>
      </c>
      <c r="M11" s="12">
        <f t="shared" si="6"/>
        <v>564.50492994191609</v>
      </c>
      <c r="N11" s="6">
        <f t="shared" si="6"/>
        <v>582.91269939654387</v>
      </c>
      <c r="P11" s="1">
        <v>3.75</v>
      </c>
      <c r="Q11" s="4">
        <v>6.5518599999999996</v>
      </c>
    </row>
    <row r="12" spans="1:17" x14ac:dyDescent="0.25">
      <c r="A12" s="2">
        <v>2.5</v>
      </c>
      <c r="B12" s="2">
        <v>4.75</v>
      </c>
      <c r="C12" s="1">
        <f t="shared" si="4"/>
        <v>1.25</v>
      </c>
      <c r="D12" s="6">
        <f t="shared" si="5"/>
        <v>23316.507975861747</v>
      </c>
      <c r="E12" s="6">
        <f t="shared" si="6"/>
        <v>13989.904785517048</v>
      </c>
      <c r="F12" s="6">
        <f t="shared" si="6"/>
        <v>15155.730184310136</v>
      </c>
      <c r="G12" s="6">
        <f t="shared" si="6"/>
        <v>16321.555583103223</v>
      </c>
      <c r="H12" s="6">
        <f t="shared" si="6"/>
        <v>17487.380981896313</v>
      </c>
      <c r="I12" s="6">
        <f t="shared" si="6"/>
        <v>18653.2063806894</v>
      </c>
      <c r="J12" s="6">
        <f t="shared" si="6"/>
        <v>19819.031779482488</v>
      </c>
      <c r="K12" s="12">
        <f t="shared" si="6"/>
        <v>20285.361938999718</v>
      </c>
      <c r="L12" s="6">
        <f t="shared" si="6"/>
        <v>20984.857178275579</v>
      </c>
      <c r="M12" s="12">
        <f t="shared" si="6"/>
        <v>21451.18733779281</v>
      </c>
      <c r="N12" s="6">
        <f t="shared" si="6"/>
        <v>22150.682577068666</v>
      </c>
      <c r="Q12" s="4">
        <v>-1.5</v>
      </c>
    </row>
    <row r="13" spans="1:17" x14ac:dyDescent="0.25">
      <c r="A13" s="2">
        <v>1.25</v>
      </c>
      <c r="B13" s="31">
        <v>0.5</v>
      </c>
      <c r="C13" s="1">
        <f t="shared" si="4"/>
        <v>0.625</v>
      </c>
      <c r="D13" s="6">
        <f t="shared" si="5"/>
        <v>613.59231515425654</v>
      </c>
      <c r="E13" s="6">
        <f t="shared" si="6"/>
        <v>368.15538909255389</v>
      </c>
      <c r="F13" s="6">
        <f t="shared" si="6"/>
        <v>398.83500485026678</v>
      </c>
      <c r="G13" s="6">
        <f t="shared" si="6"/>
        <v>429.51462060797962</v>
      </c>
      <c r="H13" s="6">
        <f t="shared" si="6"/>
        <v>460.19423636569246</v>
      </c>
      <c r="I13" s="6">
        <f t="shared" si="6"/>
        <v>490.8738521234053</v>
      </c>
      <c r="J13" s="6">
        <f t="shared" si="6"/>
        <v>521.55346788111819</v>
      </c>
      <c r="K13" s="12">
        <f t="shared" si="6"/>
        <v>533.82531418420319</v>
      </c>
      <c r="L13" s="6">
        <f t="shared" si="6"/>
        <v>552.23308363883109</v>
      </c>
      <c r="M13" s="12">
        <f t="shared" si="6"/>
        <v>564.50492994191609</v>
      </c>
      <c r="N13" s="6">
        <f t="shared" si="6"/>
        <v>582.91269939654387</v>
      </c>
      <c r="Q13" s="1">
        <v>1.22</v>
      </c>
    </row>
    <row r="14" spans="1:17" x14ac:dyDescent="0.25">
      <c r="A14" s="2">
        <v>2.5</v>
      </c>
      <c r="B14" s="31">
        <v>1.8</v>
      </c>
      <c r="C14" s="1">
        <f t="shared" si="4"/>
        <v>1.25</v>
      </c>
      <c r="D14" s="6">
        <f t="shared" si="5"/>
        <v>8835.7293382212938</v>
      </c>
      <c r="E14" s="6">
        <f t="shared" si="6"/>
        <v>5301.4376029327759</v>
      </c>
      <c r="F14" s="6">
        <f t="shared" si="6"/>
        <v>5743.2240698438409</v>
      </c>
      <c r="G14" s="6">
        <f t="shared" si="6"/>
        <v>6185.0105367549058</v>
      </c>
      <c r="H14" s="6">
        <f t="shared" si="6"/>
        <v>6626.7970036659717</v>
      </c>
      <c r="I14" s="6">
        <f t="shared" si="6"/>
        <v>7068.5834705770367</v>
      </c>
      <c r="J14" s="6">
        <f t="shared" si="6"/>
        <v>7510.3699374881016</v>
      </c>
      <c r="K14" s="12">
        <f t="shared" si="6"/>
        <v>7687.0845242525256</v>
      </c>
      <c r="L14" s="6">
        <f t="shared" si="6"/>
        <v>7952.1564043991666</v>
      </c>
      <c r="M14" s="12">
        <f t="shared" si="6"/>
        <v>8128.8709911635906</v>
      </c>
      <c r="N14" s="6">
        <f t="shared" si="6"/>
        <v>8393.9428713102316</v>
      </c>
      <c r="Q14" s="4">
        <f>Q12+Q13</f>
        <v>-0.28000000000000003</v>
      </c>
    </row>
    <row r="15" spans="1:17" x14ac:dyDescent="0.25">
      <c r="A15" s="2">
        <v>2.5</v>
      </c>
      <c r="B15" s="31">
        <v>6</v>
      </c>
      <c r="C15" s="1">
        <f t="shared" si="4"/>
        <v>1.25</v>
      </c>
      <c r="D15" s="6">
        <f t="shared" si="5"/>
        <v>29452.43112740431</v>
      </c>
      <c r="E15" s="6">
        <f t="shared" si="6"/>
        <v>17671.458676442584</v>
      </c>
      <c r="F15" s="6">
        <f t="shared" si="6"/>
        <v>19144.080232812801</v>
      </c>
      <c r="G15" s="6">
        <f t="shared" si="6"/>
        <v>20616.701789183018</v>
      </c>
      <c r="H15" s="6">
        <f t="shared" si="6"/>
        <v>22089.323345553235</v>
      </c>
      <c r="I15" s="6">
        <f t="shared" si="6"/>
        <v>23561.944901923453</v>
      </c>
      <c r="J15" s="6">
        <f t="shared" si="6"/>
        <v>25034.56645829367</v>
      </c>
      <c r="K15" s="12">
        <f t="shared" si="6"/>
        <v>25623.615080841751</v>
      </c>
      <c r="L15" s="6">
        <f t="shared" si="6"/>
        <v>26507.188014663887</v>
      </c>
      <c r="M15" s="12">
        <f t="shared" si="6"/>
        <v>27096.236637211965</v>
      </c>
      <c r="N15" s="6">
        <f t="shared" si="6"/>
        <v>27979.809571034104</v>
      </c>
    </row>
    <row r="16" spans="1:17" x14ac:dyDescent="0.25">
      <c r="A16" s="2">
        <v>2.5</v>
      </c>
      <c r="B16" s="31">
        <v>2</v>
      </c>
      <c r="C16" s="1">
        <f t="shared" si="4"/>
        <v>1.25</v>
      </c>
      <c r="D16" s="6">
        <f t="shared" si="5"/>
        <v>9817.4770424681046</v>
      </c>
      <c r="E16" s="6">
        <f t="shared" si="6"/>
        <v>5890.4862254808622</v>
      </c>
      <c r="F16" s="6">
        <f t="shared" si="6"/>
        <v>6381.3600776042686</v>
      </c>
      <c r="G16" s="6">
        <f t="shared" si="6"/>
        <v>6872.233929727674</v>
      </c>
      <c r="H16" s="6">
        <f t="shared" si="6"/>
        <v>7363.1077818510794</v>
      </c>
      <c r="I16" s="6">
        <f t="shared" si="6"/>
        <v>7853.9816339744848</v>
      </c>
      <c r="J16" s="6">
        <f t="shared" si="6"/>
        <v>8344.8554860978911</v>
      </c>
      <c r="K16" s="12">
        <f t="shared" si="6"/>
        <v>8541.2050269472511</v>
      </c>
      <c r="L16" s="6">
        <f t="shared" si="6"/>
        <v>8835.7293382212974</v>
      </c>
      <c r="M16" s="12">
        <f t="shared" si="6"/>
        <v>9032.0788790706574</v>
      </c>
      <c r="N16" s="6">
        <f t="shared" si="6"/>
        <v>9326.6031903447019</v>
      </c>
      <c r="Q16" s="1">
        <v>2.98</v>
      </c>
    </row>
    <row r="17" spans="1:17" x14ac:dyDescent="0.25">
      <c r="A17" s="2">
        <v>2.5</v>
      </c>
      <c r="B17" s="31">
        <v>2.4</v>
      </c>
      <c r="C17" s="1">
        <f t="shared" si="4"/>
        <v>1.25</v>
      </c>
      <c r="D17" s="6">
        <f t="shared" si="5"/>
        <v>11780.972450961724</v>
      </c>
      <c r="E17" s="6">
        <f t="shared" si="6"/>
        <v>7068.5834705770349</v>
      </c>
      <c r="F17" s="6">
        <f t="shared" si="6"/>
        <v>7657.6320931251212</v>
      </c>
      <c r="G17" s="6">
        <f t="shared" si="6"/>
        <v>8246.6807156732084</v>
      </c>
      <c r="H17" s="6">
        <f t="shared" si="6"/>
        <v>8835.7293382212938</v>
      </c>
      <c r="I17" s="6">
        <f t="shared" si="6"/>
        <v>9424.777960769381</v>
      </c>
      <c r="J17" s="6">
        <f t="shared" si="6"/>
        <v>10013.826583317468</v>
      </c>
      <c r="K17" s="12">
        <f t="shared" si="6"/>
        <v>10249.4460323367</v>
      </c>
      <c r="L17" s="6">
        <f t="shared" si="6"/>
        <v>10602.875205865555</v>
      </c>
      <c r="M17" s="12">
        <f t="shared" si="6"/>
        <v>10838.494654884787</v>
      </c>
      <c r="N17" s="6">
        <f t="shared" si="6"/>
        <v>11191.923828413641</v>
      </c>
      <c r="Q17" s="1">
        <f>Q16*2/3</f>
        <v>1.9866666666666666</v>
      </c>
    </row>
    <row r="18" spans="1:17" x14ac:dyDescent="0.25">
      <c r="A18" s="2">
        <v>3.75</v>
      </c>
      <c r="B18" s="31">
        <v>3.5</v>
      </c>
      <c r="C18" s="1">
        <f t="shared" si="4"/>
        <v>1.875</v>
      </c>
      <c r="D18" s="6">
        <f t="shared" si="5"/>
        <v>38656.315854718159</v>
      </c>
      <c r="E18" s="6">
        <f t="shared" si="6"/>
        <v>23193.789512830896</v>
      </c>
      <c r="F18" s="6">
        <f t="shared" si="6"/>
        <v>25126.605305566805</v>
      </c>
      <c r="G18" s="6">
        <f t="shared" si="6"/>
        <v>27059.421098302715</v>
      </c>
      <c r="H18" s="6">
        <f t="shared" si="6"/>
        <v>28992.236891038625</v>
      </c>
      <c r="I18" s="6">
        <f t="shared" si="6"/>
        <v>30925.052683774535</v>
      </c>
      <c r="J18" s="6">
        <f t="shared" si="6"/>
        <v>32857.868476510441</v>
      </c>
      <c r="K18" s="12">
        <f t="shared" si="6"/>
        <v>33630.994793604797</v>
      </c>
      <c r="L18" s="6">
        <f t="shared" si="6"/>
        <v>34790.684269246354</v>
      </c>
      <c r="M18" s="12">
        <f t="shared" si="6"/>
        <v>35563.810586340711</v>
      </c>
      <c r="N18" s="6">
        <f t="shared" si="6"/>
        <v>36723.50006198226</v>
      </c>
    </row>
    <row r="19" spans="1:17" x14ac:dyDescent="0.25">
      <c r="A19" s="2">
        <v>2.5</v>
      </c>
      <c r="B19" s="31">
        <v>1.9</v>
      </c>
      <c r="C19" s="1">
        <f t="shared" si="4"/>
        <v>1.25</v>
      </c>
      <c r="D19" s="6">
        <f t="shared" si="5"/>
        <v>9326.6031903446983</v>
      </c>
      <c r="E19" s="6">
        <f t="shared" si="6"/>
        <v>5595.9619142068186</v>
      </c>
      <c r="F19" s="6">
        <f t="shared" si="6"/>
        <v>6062.2920737240538</v>
      </c>
      <c r="G19" s="6">
        <f t="shared" si="6"/>
        <v>6528.622233241289</v>
      </c>
      <c r="H19" s="6">
        <f t="shared" si="6"/>
        <v>6994.9523927585251</v>
      </c>
      <c r="I19" s="6">
        <f t="shared" si="6"/>
        <v>7461.2825522757603</v>
      </c>
      <c r="J19" s="6">
        <f t="shared" si="6"/>
        <v>7927.6127117929955</v>
      </c>
      <c r="K19" s="12">
        <f t="shared" si="6"/>
        <v>8114.1447755998879</v>
      </c>
      <c r="L19" s="6">
        <f t="shared" si="6"/>
        <v>8393.9428713102316</v>
      </c>
      <c r="M19" s="12">
        <f t="shared" si="6"/>
        <v>8580.4749351171231</v>
      </c>
      <c r="N19" s="6">
        <f t="shared" si="6"/>
        <v>8860.2730308274658</v>
      </c>
    </row>
    <row r="20" spans="1:17" x14ac:dyDescent="0.25">
      <c r="A20" s="2">
        <v>2.5</v>
      </c>
      <c r="B20" s="31">
        <v>4.5999999999999996</v>
      </c>
      <c r="C20" s="1">
        <f t="shared" si="4"/>
        <v>1.25</v>
      </c>
      <c r="D20" s="6">
        <f t="shared" si="5"/>
        <v>22580.197197676636</v>
      </c>
      <c r="E20" s="6">
        <f t="shared" si="6"/>
        <v>13548.118318605981</v>
      </c>
      <c r="F20" s="6">
        <f t="shared" si="6"/>
        <v>14677.128178489815</v>
      </c>
      <c r="G20" s="6">
        <f t="shared" si="6"/>
        <v>15806.138038373647</v>
      </c>
      <c r="H20" s="6">
        <f t="shared" si="6"/>
        <v>16935.147898257481</v>
      </c>
      <c r="I20" s="6">
        <f t="shared" si="6"/>
        <v>18064.157758141311</v>
      </c>
      <c r="J20" s="6">
        <f t="shared" si="6"/>
        <v>19193.167618025145</v>
      </c>
      <c r="K20" s="12">
        <f t="shared" si="6"/>
        <v>19644.771561978672</v>
      </c>
      <c r="L20" s="6">
        <f t="shared" si="6"/>
        <v>20322.177477908979</v>
      </c>
      <c r="M20" s="12">
        <f t="shared" si="6"/>
        <v>20773.781421862506</v>
      </c>
      <c r="N20" s="6">
        <f t="shared" si="6"/>
        <v>21451.18733779281</v>
      </c>
    </row>
    <row r="21" spans="1:17" x14ac:dyDescent="0.25">
      <c r="A21" s="2">
        <v>3.75</v>
      </c>
      <c r="B21" s="31">
        <v>6</v>
      </c>
      <c r="C21" s="1">
        <f t="shared" si="4"/>
        <v>1.875</v>
      </c>
      <c r="D21" s="6">
        <f t="shared" si="5"/>
        <v>66267.97003665971</v>
      </c>
      <c r="E21" s="6">
        <f t="shared" si="6"/>
        <v>39760.782021995823</v>
      </c>
      <c r="F21" s="6">
        <f t="shared" si="6"/>
        <v>43074.180523828814</v>
      </c>
      <c r="G21" s="6">
        <f t="shared" si="6"/>
        <v>46387.579025661798</v>
      </c>
      <c r="H21" s="6">
        <f t="shared" si="6"/>
        <v>49700.97752749479</v>
      </c>
      <c r="I21" s="6">
        <f t="shared" si="6"/>
        <v>53014.376029327781</v>
      </c>
      <c r="J21" s="6">
        <f t="shared" si="6"/>
        <v>56327.774531160765</v>
      </c>
      <c r="K21" s="12">
        <f t="shared" si="6"/>
        <v>57653.13393189395</v>
      </c>
      <c r="L21" s="6">
        <f t="shared" si="6"/>
        <v>59641.173032993756</v>
      </c>
      <c r="M21" s="12">
        <f t="shared" si="6"/>
        <v>60966.532433726934</v>
      </c>
      <c r="N21" s="6">
        <f t="shared" si="6"/>
        <v>62954.57153482674</v>
      </c>
    </row>
    <row r="22" spans="1:17" x14ac:dyDescent="0.25">
      <c r="A22" s="2">
        <v>1.875</v>
      </c>
      <c r="B22" s="31">
        <v>3.5</v>
      </c>
      <c r="C22" s="1">
        <f t="shared" si="4"/>
        <v>0.9375</v>
      </c>
      <c r="D22" s="6">
        <f t="shared" si="5"/>
        <v>9664.0789636795398</v>
      </c>
      <c r="E22" s="6">
        <f t="shared" si="6"/>
        <v>5798.4473782077239</v>
      </c>
      <c r="F22" s="6">
        <f t="shared" si="6"/>
        <v>6281.6513263917013</v>
      </c>
      <c r="G22" s="6">
        <f t="shared" si="6"/>
        <v>6764.8552745756788</v>
      </c>
      <c r="H22" s="6">
        <f t="shared" si="6"/>
        <v>7248.0592227596562</v>
      </c>
      <c r="I22" s="6">
        <f t="shared" si="6"/>
        <v>7731.2631709436337</v>
      </c>
      <c r="J22" s="6">
        <f t="shared" si="6"/>
        <v>8214.4671191276102</v>
      </c>
      <c r="K22" s="12">
        <f t="shared" si="6"/>
        <v>8407.7486984011994</v>
      </c>
      <c r="L22" s="6">
        <f t="shared" si="6"/>
        <v>8697.6710673115886</v>
      </c>
      <c r="M22" s="12">
        <f t="shared" si="6"/>
        <v>8890.9526465851777</v>
      </c>
      <c r="N22" s="6">
        <f t="shared" si="6"/>
        <v>9180.8750154955651</v>
      </c>
    </row>
    <row r="24" spans="1:17" x14ac:dyDescent="0.25">
      <c r="E24" s="1">
        <v>0.96</v>
      </c>
      <c r="F24" s="1">
        <v>3.6</v>
      </c>
      <c r="G24" s="1">
        <f>1.25*F24</f>
        <v>4.5</v>
      </c>
    </row>
    <row r="25" spans="1:17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97</v>
      </c>
      <c r="C1" s="1" t="s">
        <v>16</v>
      </c>
      <c r="D1" s="1" t="s">
        <v>66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7" sqref="J17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154</v>
      </c>
      <c r="D1" s="1" t="s">
        <v>155</v>
      </c>
      <c r="F1" s="1" t="s">
        <v>156</v>
      </c>
      <c r="I1" s="1" t="s">
        <v>160</v>
      </c>
    </row>
    <row r="2" spans="1:10" x14ac:dyDescent="0.25">
      <c r="A2" s="23" t="s">
        <v>147</v>
      </c>
      <c r="B2" s="23"/>
      <c r="C2" s="1">
        <v>1.25</v>
      </c>
      <c r="D2" s="1">
        <f>2*PI()*C2/2*C3</f>
        <v>4.908738521234052</v>
      </c>
      <c r="F2" s="23" t="s">
        <v>157</v>
      </c>
      <c r="G2" s="23"/>
      <c r="H2" s="1">
        <v>0.54</v>
      </c>
      <c r="I2" s="1">
        <f>H2/2</f>
        <v>0.27</v>
      </c>
    </row>
    <row r="3" spans="1:10" x14ac:dyDescent="0.25">
      <c r="A3" s="23" t="s">
        <v>148</v>
      </c>
      <c r="B3" s="23"/>
      <c r="C3" s="1">
        <v>1.25</v>
      </c>
      <c r="F3" s="23" t="s">
        <v>158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149</v>
      </c>
      <c r="B4" s="23"/>
      <c r="C4" s="1">
        <v>3.7499999999999999E-3</v>
      </c>
      <c r="D4" s="1">
        <f>C4*D2</f>
        <v>1.8407769454627694E-2</v>
      </c>
      <c r="F4" s="23" t="s">
        <v>159</v>
      </c>
      <c r="G4" s="23"/>
      <c r="H4" s="1">
        <v>0.28000000000000003</v>
      </c>
    </row>
    <row r="5" spans="1:10" x14ac:dyDescent="0.25">
      <c r="A5" s="23" t="s">
        <v>150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132</v>
      </c>
      <c r="B6" s="23"/>
      <c r="C6" s="1">
        <v>2</v>
      </c>
      <c r="D6" s="33">
        <f>D5/2</f>
        <v>5.5223308363883082E-3</v>
      </c>
      <c r="F6" s="23" t="s">
        <v>200</v>
      </c>
    </row>
    <row r="7" spans="1:10" x14ac:dyDescent="0.25">
      <c r="A7" s="23" t="s">
        <v>137</v>
      </c>
      <c r="B7" s="23"/>
      <c r="F7" s="23" t="s">
        <v>133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138</v>
      </c>
      <c r="B8" s="23"/>
      <c r="F8" s="23" t="s">
        <v>134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151</v>
      </c>
      <c r="B9" s="23"/>
      <c r="F9" s="23" t="s">
        <v>135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152</v>
      </c>
      <c r="B10" s="23"/>
      <c r="F10" s="23" t="s">
        <v>139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153</v>
      </c>
      <c r="B11" s="23"/>
      <c r="F11" s="23" t="s">
        <v>194</v>
      </c>
      <c r="I11" s="28">
        <f>I10*H9*H10*PI()/3</f>
        <v>6.5143050792210236E-2</v>
      </c>
    </row>
    <row r="12" spans="1:10" x14ac:dyDescent="0.25">
      <c r="F12" s="23" t="s">
        <v>195</v>
      </c>
    </row>
    <row r="13" spans="1:10" x14ac:dyDescent="0.25">
      <c r="A13" s="23" t="s">
        <v>129</v>
      </c>
      <c r="C13" s="1">
        <v>5</v>
      </c>
      <c r="D13" s="1">
        <f>2*PI()*C13/2*C14</f>
        <v>98.174770424681029</v>
      </c>
      <c r="F13" s="23" t="s">
        <v>196</v>
      </c>
    </row>
    <row r="14" spans="1:10" x14ac:dyDescent="0.25">
      <c r="A14" s="23" t="s">
        <v>130</v>
      </c>
      <c r="C14" s="1">
        <v>6.25</v>
      </c>
      <c r="D14" s="1">
        <f>C15*D13</f>
        <v>1.4726215563702154</v>
      </c>
      <c r="F14" s="23" t="s">
        <v>197</v>
      </c>
    </row>
    <row r="15" spans="1:10" x14ac:dyDescent="0.25">
      <c r="A15" s="23" t="s">
        <v>131</v>
      </c>
      <c r="C15" s="1">
        <v>1.4999999999999999E-2</v>
      </c>
      <c r="F15" s="23" t="s">
        <v>198</v>
      </c>
    </row>
    <row r="16" spans="1:10" x14ac:dyDescent="0.25">
      <c r="A16" s="23" t="s">
        <v>150</v>
      </c>
      <c r="C16" s="1">
        <v>0.6</v>
      </c>
      <c r="D16" s="1">
        <f>C16*D14</f>
        <v>0.8835729338221292</v>
      </c>
      <c r="F16" s="23" t="s">
        <v>199</v>
      </c>
    </row>
    <row r="17" spans="1:7" x14ac:dyDescent="0.25">
      <c r="A17" s="23" t="s">
        <v>132</v>
      </c>
      <c r="C17" s="1">
        <v>2</v>
      </c>
      <c r="D17" s="33">
        <f>D16/2</f>
        <v>0.4417864669110646</v>
      </c>
    </row>
    <row r="18" spans="1:7" x14ac:dyDescent="0.25">
      <c r="A18" s="23" t="s">
        <v>137</v>
      </c>
    </row>
    <row r="20" spans="1:7" x14ac:dyDescent="0.25">
      <c r="A20" s="23" t="s">
        <v>161</v>
      </c>
      <c r="C20" s="1">
        <v>5.2</v>
      </c>
      <c r="D20" s="1">
        <f>C20/2</f>
        <v>2.6</v>
      </c>
    </row>
    <row r="21" spans="1:7" x14ac:dyDescent="0.25">
      <c r="A21" s="23" t="s">
        <v>162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131</v>
      </c>
      <c r="C22" s="1">
        <v>1.4999999999999999E-2</v>
      </c>
    </row>
    <row r="23" spans="1:7" x14ac:dyDescent="0.25">
      <c r="A23" s="23" t="s">
        <v>150</v>
      </c>
      <c r="C23" s="1">
        <v>0.6</v>
      </c>
    </row>
    <row r="24" spans="1:7" x14ac:dyDescent="0.25">
      <c r="A24" s="23" t="s">
        <v>163</v>
      </c>
      <c r="C24" s="1">
        <v>4</v>
      </c>
    </row>
    <row r="25" spans="1:7" x14ac:dyDescent="0.25">
      <c r="A25" s="23" t="s">
        <v>137</v>
      </c>
    </row>
    <row r="27" spans="1:7" x14ac:dyDescent="0.25">
      <c r="A27" s="23" t="s">
        <v>177</v>
      </c>
    </row>
    <row r="28" spans="1:7" x14ac:dyDescent="0.25">
      <c r="A28" s="23" t="s">
        <v>125</v>
      </c>
      <c r="C28" s="1">
        <v>1.25</v>
      </c>
      <c r="D28" s="1" t="s">
        <v>117</v>
      </c>
      <c r="E28" s="1" t="s">
        <v>121</v>
      </c>
      <c r="F28" s="1" t="s">
        <v>118</v>
      </c>
      <c r="G28" s="1" t="s">
        <v>119</v>
      </c>
    </row>
    <row r="29" spans="1:7" x14ac:dyDescent="0.25">
      <c r="A29" s="23" t="s">
        <v>126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127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128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164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165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166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167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168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169</v>
      </c>
    </row>
    <row r="38" spans="1:7" x14ac:dyDescent="0.25">
      <c r="A38" s="23" t="s">
        <v>170</v>
      </c>
      <c r="E38" s="1" t="s">
        <v>122</v>
      </c>
    </row>
    <row r="39" spans="1:7" x14ac:dyDescent="0.25">
      <c r="A39" s="23" t="s">
        <v>171</v>
      </c>
      <c r="E39" s="1">
        <f>E29</f>
        <v>0.300480769230769</v>
      </c>
    </row>
    <row r="40" spans="1:7" x14ac:dyDescent="0.25">
      <c r="A40" s="23" t="s">
        <v>172</v>
      </c>
      <c r="E40" s="1">
        <f>E39^2</f>
        <v>9.0288692677514645E-2</v>
      </c>
    </row>
    <row r="41" spans="1:7" x14ac:dyDescent="0.25">
      <c r="A41" s="23" t="s">
        <v>173</v>
      </c>
      <c r="E41" s="1">
        <f>E40-C32</f>
        <v>-3.8159613073224854</v>
      </c>
    </row>
    <row r="42" spans="1:7" x14ac:dyDescent="0.25">
      <c r="A42" s="23" t="s">
        <v>174</v>
      </c>
      <c r="E42" s="1">
        <f>E41/E29</f>
        <v>-12.699519230769241</v>
      </c>
    </row>
    <row r="43" spans="1:7" x14ac:dyDescent="0.25">
      <c r="A43" s="23" t="s">
        <v>175</v>
      </c>
      <c r="E43" s="1">
        <f>E42*-0.5</f>
        <v>6.3497596153846203</v>
      </c>
    </row>
    <row r="44" spans="1:7" x14ac:dyDescent="0.25">
      <c r="A44" s="23" t="s">
        <v>176</v>
      </c>
    </row>
    <row r="46" spans="1:7" x14ac:dyDescent="0.25">
      <c r="A46" s="23" t="s">
        <v>178</v>
      </c>
      <c r="C46" s="1">
        <v>6.5</v>
      </c>
      <c r="D46" s="1" t="s">
        <v>117</v>
      </c>
      <c r="E46" s="1" t="s">
        <v>121</v>
      </c>
      <c r="F46" s="1" t="s">
        <v>118</v>
      </c>
      <c r="G46" s="1" t="s">
        <v>119</v>
      </c>
    </row>
    <row r="47" spans="1:7" x14ac:dyDescent="0.25">
      <c r="A47" s="23" t="s">
        <v>179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180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128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181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182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183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184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185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186</v>
      </c>
    </row>
    <row r="56" spans="1:7" x14ac:dyDescent="0.25">
      <c r="A56" s="23" t="s">
        <v>187</v>
      </c>
    </row>
    <row r="57" spans="1:7" x14ac:dyDescent="0.25">
      <c r="A57" s="23" t="s">
        <v>188</v>
      </c>
    </row>
    <row r="58" spans="1:7" x14ac:dyDescent="0.25">
      <c r="A58" s="23" t="s">
        <v>189</v>
      </c>
    </row>
    <row r="59" spans="1:7" x14ac:dyDescent="0.25">
      <c r="A59" s="23" t="s">
        <v>190</v>
      </c>
    </row>
    <row r="60" spans="1:7" x14ac:dyDescent="0.25">
      <c r="A60" s="23" t="s">
        <v>191</v>
      </c>
    </row>
    <row r="61" spans="1:7" x14ac:dyDescent="0.25">
      <c r="A61" s="23" t="s">
        <v>192</v>
      </c>
    </row>
    <row r="62" spans="1:7" x14ac:dyDescent="0.25">
      <c r="A62" s="23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200</v>
      </c>
      <c r="C1" s="23" t="s">
        <v>233</v>
      </c>
    </row>
    <row r="2" spans="1:8" x14ac:dyDescent="0.25">
      <c r="A2" s="1" t="s">
        <v>206</v>
      </c>
      <c r="B2" s="1">
        <v>0.625</v>
      </c>
      <c r="C2" s="1">
        <f>B2/2</f>
        <v>0.3125</v>
      </c>
    </row>
    <row r="3" spans="1:8" x14ac:dyDescent="0.25">
      <c r="A3" s="1" t="s">
        <v>208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140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211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234</v>
      </c>
      <c r="C7" s="23" t="s">
        <v>233</v>
      </c>
    </row>
    <row r="8" spans="1:8" x14ac:dyDescent="0.25">
      <c r="A8" s="1" t="s">
        <v>206</v>
      </c>
      <c r="B8" s="1">
        <v>5.2</v>
      </c>
      <c r="C8" s="1">
        <f>B8/2</f>
        <v>2.6</v>
      </c>
    </row>
    <row r="9" spans="1:8" x14ac:dyDescent="0.25">
      <c r="A9" s="1" t="s">
        <v>208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140</v>
      </c>
      <c r="B10" s="1">
        <v>1.7</v>
      </c>
      <c r="D10" s="1">
        <f>D9/3*PI()*B10</f>
        <v>34.732401180537558</v>
      </c>
    </row>
    <row r="11" spans="1:8" x14ac:dyDescent="0.25">
      <c r="A11" s="1" t="s">
        <v>211</v>
      </c>
      <c r="B11" s="1">
        <v>0.04</v>
      </c>
      <c r="D11" s="33">
        <f>D10*B11</f>
        <v>1.3892960472215024</v>
      </c>
    </row>
    <row r="13" spans="1:8" x14ac:dyDescent="0.25">
      <c r="A13" s="23" t="s">
        <v>235</v>
      </c>
    </row>
    <row r="14" spans="1:8" x14ac:dyDescent="0.25">
      <c r="A14" s="1" t="s">
        <v>206</v>
      </c>
      <c r="B14" s="1">
        <v>1.5</v>
      </c>
      <c r="C14" s="1">
        <f>B14/2</f>
        <v>0.75</v>
      </c>
      <c r="H14" s="3"/>
    </row>
    <row r="15" spans="1:8" x14ac:dyDescent="0.25">
      <c r="A15" s="1" t="s">
        <v>208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140</v>
      </c>
      <c r="B16" s="1">
        <v>0.75</v>
      </c>
      <c r="D16" s="1">
        <f>D15/3*PI()*B16</f>
        <v>2.4052818754046852</v>
      </c>
    </row>
    <row r="17" spans="1:4" x14ac:dyDescent="0.25">
      <c r="A17" s="1" t="s">
        <v>211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136</v>
      </c>
      <c r="B21" s="1">
        <v>0.625</v>
      </c>
    </row>
    <row r="22" spans="1:4" x14ac:dyDescent="0.25">
      <c r="A22" s="1" t="s">
        <v>140</v>
      </c>
      <c r="B22" s="1">
        <v>0.83</v>
      </c>
    </row>
    <row r="23" spans="1:4" x14ac:dyDescent="0.25">
      <c r="A23" s="1" t="s">
        <v>229</v>
      </c>
      <c r="B23" s="1">
        <f>PI()*(B21/2)^2*B22</f>
        <v>0.25464081078901646</v>
      </c>
    </row>
    <row r="24" spans="1:4" x14ac:dyDescent="0.25">
      <c r="A24" s="1" t="s">
        <v>66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3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201</v>
      </c>
      <c r="B1" s="34" t="s">
        <v>216</v>
      </c>
    </row>
    <row r="2" spans="1:18" x14ac:dyDescent="0.25">
      <c r="A2" s="13" t="s">
        <v>202</v>
      </c>
      <c r="B2" s="13" t="s">
        <v>206</v>
      </c>
      <c r="C2" s="13" t="s">
        <v>207</v>
      </c>
      <c r="D2" s="13" t="s">
        <v>208</v>
      </c>
      <c r="E2" s="13" t="s">
        <v>209</v>
      </c>
      <c r="F2" s="13" t="s">
        <v>140</v>
      </c>
      <c r="G2" s="13" t="s">
        <v>203</v>
      </c>
      <c r="H2" s="13" t="s">
        <v>14</v>
      </c>
      <c r="I2" s="13" t="s">
        <v>141</v>
      </c>
      <c r="J2" s="13" t="s">
        <v>116</v>
      </c>
      <c r="K2" s="13" t="s">
        <v>120</v>
      </c>
      <c r="L2" s="13" t="s">
        <v>213</v>
      </c>
      <c r="M2" s="13" t="s">
        <v>214</v>
      </c>
    </row>
    <row r="3" spans="1:18" x14ac:dyDescent="0.25">
      <c r="A3" s="1" t="s">
        <v>142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204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143</v>
      </c>
      <c r="B4" s="1">
        <v>0.65</v>
      </c>
      <c r="C4" s="1">
        <f>B4/2</f>
        <v>0.32500000000000001</v>
      </c>
      <c r="D4" s="1" t="s">
        <v>210</v>
      </c>
      <c r="E4" s="1" t="s">
        <v>210</v>
      </c>
      <c r="F4" s="1">
        <v>3.05</v>
      </c>
      <c r="G4" s="1" t="s">
        <v>205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144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204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145</v>
      </c>
      <c r="B6" s="1">
        <v>3.83</v>
      </c>
      <c r="C6" s="1">
        <f>B6/2</f>
        <v>1.915</v>
      </c>
      <c r="D6" s="1" t="s">
        <v>210</v>
      </c>
      <c r="E6" s="1" t="s">
        <v>210</v>
      </c>
      <c r="F6" s="1">
        <v>3.81</v>
      </c>
      <c r="G6" s="1" t="s">
        <v>205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146</v>
      </c>
      <c r="B7" s="1">
        <v>3.83</v>
      </c>
      <c r="C7" s="1">
        <f>B7/2</f>
        <v>1.915</v>
      </c>
      <c r="D7" s="1" t="s">
        <v>210</v>
      </c>
      <c r="E7" s="1" t="s">
        <v>210</v>
      </c>
      <c r="F7" s="1">
        <v>0.32</v>
      </c>
      <c r="G7" s="1" t="s">
        <v>205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204</v>
      </c>
      <c r="B9" s="1" t="s">
        <v>212</v>
      </c>
      <c r="L9" s="1" t="s">
        <v>145</v>
      </c>
      <c r="M9" s="24">
        <f>AVERAGE(M3,M5,M6)</f>
        <v>1.3771710530963608E-2</v>
      </c>
    </row>
    <row r="10" spans="1:18" x14ac:dyDescent="0.25">
      <c r="A10" s="1" t="s">
        <v>206</v>
      </c>
      <c r="B10" s="1">
        <v>5.4</v>
      </c>
      <c r="C10" s="1">
        <f>B10/2</f>
        <v>2.7</v>
      </c>
    </row>
    <row r="11" spans="1:18" x14ac:dyDescent="0.25">
      <c r="A11" s="1" t="s">
        <v>208</v>
      </c>
      <c r="B11" s="1">
        <v>3.81</v>
      </c>
      <c r="C11" s="1">
        <f>B11/2</f>
        <v>1.905</v>
      </c>
      <c r="F11" s="1" t="s">
        <v>236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204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140</v>
      </c>
      <c r="B12" s="1">
        <v>3.81</v>
      </c>
    </row>
    <row r="13" spans="1:18" x14ac:dyDescent="0.25">
      <c r="A13" s="1" t="s">
        <v>211</v>
      </c>
      <c r="B13" s="1">
        <v>1</v>
      </c>
    </row>
    <row r="14" spans="1:18" x14ac:dyDescent="0.25">
      <c r="A14" s="1" t="s">
        <v>74</v>
      </c>
      <c r="B14" s="5">
        <f>(C10^2+C10*C11+C11^2)/3*PI()*B12</f>
        <v>64.086626383390055</v>
      </c>
    </row>
    <row r="16" spans="1:18" x14ac:dyDescent="0.25">
      <c r="A16" s="34" t="s">
        <v>201</v>
      </c>
      <c r="B16" s="34" t="s">
        <v>215</v>
      </c>
      <c r="F16" s="13"/>
    </row>
    <row r="17" spans="1:18" x14ac:dyDescent="0.25">
      <c r="A17" s="13" t="s">
        <v>202</v>
      </c>
      <c r="B17" s="13" t="s">
        <v>136</v>
      </c>
      <c r="C17" s="13" t="s">
        <v>72</v>
      </c>
      <c r="D17" s="13" t="s">
        <v>140</v>
      </c>
      <c r="E17" s="13" t="s">
        <v>14</v>
      </c>
      <c r="F17" s="13" t="s">
        <v>237</v>
      </c>
      <c r="G17" s="13" t="s">
        <v>238</v>
      </c>
      <c r="H17" s="13" t="s">
        <v>228</v>
      </c>
      <c r="I17" s="13" t="s">
        <v>227</v>
      </c>
      <c r="J17" s="13" t="s">
        <v>59</v>
      </c>
      <c r="K17" s="13" t="s">
        <v>116</v>
      </c>
      <c r="M17" s="1">
        <v>3.75</v>
      </c>
      <c r="O17" s="1" t="s">
        <v>230</v>
      </c>
    </row>
    <row r="18" spans="1:18" x14ac:dyDescent="0.25">
      <c r="A18" s="1" t="s">
        <v>217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231</v>
      </c>
    </row>
    <row r="19" spans="1:18" x14ac:dyDescent="0.25">
      <c r="A19" s="1" t="s">
        <v>218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232</v>
      </c>
    </row>
    <row r="20" spans="1:18" x14ac:dyDescent="0.25">
      <c r="A20" s="1" t="s">
        <v>219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239</v>
      </c>
    </row>
    <row r="21" spans="1:18" x14ac:dyDescent="0.25">
      <c r="A21" s="1" t="s">
        <v>220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132</v>
      </c>
    </row>
    <row r="22" spans="1:18" x14ac:dyDescent="0.25">
      <c r="A22" s="1" t="s">
        <v>221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137</v>
      </c>
    </row>
    <row r="23" spans="1:18" x14ac:dyDescent="0.25">
      <c r="A23" s="1" t="s">
        <v>222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223</v>
      </c>
      <c r="B25" s="34" t="s">
        <v>224</v>
      </c>
      <c r="F25" s="23" t="s">
        <v>235</v>
      </c>
    </row>
    <row r="26" spans="1:18" x14ac:dyDescent="0.25">
      <c r="A26" s="1" t="s">
        <v>206</v>
      </c>
      <c r="B26" s="1">
        <v>0.94530000000000003</v>
      </c>
      <c r="C26" s="1">
        <f>B26/2</f>
        <v>0.47265000000000001</v>
      </c>
      <c r="D26" s="1" t="s">
        <v>227</v>
      </c>
      <c r="F26" s="1" t="s">
        <v>206</v>
      </c>
      <c r="G26" s="1">
        <v>1.5</v>
      </c>
      <c r="H26" s="1">
        <f>G26/2</f>
        <v>0.75</v>
      </c>
      <c r="I26" s="1" t="s">
        <v>227</v>
      </c>
      <c r="L26" s="1">
        <v>0.625</v>
      </c>
      <c r="M26" s="1">
        <v>1.25</v>
      </c>
    </row>
    <row r="27" spans="1:18" x14ac:dyDescent="0.25">
      <c r="A27" s="1" t="s">
        <v>208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208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225</v>
      </c>
      <c r="B28" s="1">
        <v>0.40639999999999998</v>
      </c>
      <c r="D28" s="1" t="s">
        <v>228</v>
      </c>
      <c r="E28" s="1" t="s">
        <v>211</v>
      </c>
      <c r="F28" s="1" t="s">
        <v>225</v>
      </c>
      <c r="G28" s="1">
        <v>0.75</v>
      </c>
      <c r="I28" s="1" t="s">
        <v>229</v>
      </c>
      <c r="J28" s="1" t="s">
        <v>211</v>
      </c>
    </row>
    <row r="29" spans="1:18" x14ac:dyDescent="0.25">
      <c r="A29" s="1" t="s">
        <v>226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120</v>
      </c>
      <c r="B30" s="1">
        <v>2.5000000000000001E-2</v>
      </c>
      <c r="D30" s="1" t="s">
        <v>229</v>
      </c>
      <c r="E30" s="1" t="s">
        <v>14</v>
      </c>
      <c r="F30" s="1" t="s">
        <v>120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240</v>
      </c>
      <c r="Q30" s="1">
        <v>1</v>
      </c>
      <c r="R30" s="1" t="s">
        <v>240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241</v>
      </c>
      <c r="Q31" s="1" t="s">
        <v>117</v>
      </c>
      <c r="R31" s="1" t="s">
        <v>241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206</v>
      </c>
      <c r="B33" s="1">
        <v>0.94530000000000003</v>
      </c>
      <c r="C33" s="1">
        <f>B33/2</f>
        <v>0.47265000000000001</v>
      </c>
      <c r="D33" s="1" t="s">
        <v>227</v>
      </c>
      <c r="L33" s="1">
        <f>1/1.4</f>
        <v>0.7142857142857143</v>
      </c>
      <c r="P33" s="1">
        <v>1E-3</v>
      </c>
    </row>
    <row r="34" spans="1:16" x14ac:dyDescent="0.25">
      <c r="A34" s="1" t="s">
        <v>208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225</v>
      </c>
      <c r="B35" s="1">
        <v>0.40639999999999998</v>
      </c>
      <c r="D35" s="1" t="s">
        <v>228</v>
      </c>
      <c r="E35" s="1" t="s">
        <v>211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226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120</v>
      </c>
      <c r="B37" s="1">
        <v>2.5000000000000001E-2</v>
      </c>
      <c r="D37" s="1" t="s">
        <v>229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electrical</vt:lpstr>
      <vt:lpstr>engines</vt:lpstr>
      <vt:lpstr>comms</vt:lpstr>
      <vt:lpstr>launches</vt:lpstr>
      <vt:lpstr>fuel</vt:lpstr>
      <vt:lpstr>CMG</vt:lpstr>
      <vt:lpstr>temp</vt:lpstr>
      <vt:lpstr>mass</vt:lpstr>
      <vt:lpstr>Atlas V</vt:lpstr>
      <vt:lpstr>solar</vt:lpstr>
      <vt:lpstr>battery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2015-07-20T13:32:00Z</dcterms:modified>
</cp:coreProperties>
</file>