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4"/>
  </bookViews>
  <sheets>
    <sheet name="electrical" sheetId="1" r:id="rId1"/>
    <sheet name="engines" sheetId="4" r:id="rId2"/>
    <sheet name="launches" sheetId="5" r:id="rId3"/>
    <sheet name="comms" sheetId="2" r:id="rId4"/>
    <sheet name="fuel" sheetId="6" r:id="rId5"/>
    <sheet name="CMG" sheetId="7" r:id="rId6"/>
    <sheet name="temp" sheetId="9" r:id="rId7"/>
    <sheet name="mass" sheetId="10" r:id="rId8"/>
    <sheet name="Atlas V" sheetId="11" r:id="rId9"/>
    <sheet name="solar" sheetId="12" r:id="rId10"/>
    <sheet name="battery" sheetId="13" r:id="rId11"/>
    <sheet name="Inconel" sheetId="15" r:id="rId12"/>
  </sheets>
  <definedNames>
    <definedName name="dish_names">comms!#REF!</definedName>
    <definedName name="dish_ranges">comms!#REF!</definedName>
  </definedNames>
  <calcPr calcId="145621"/>
  <fileRecoveryPr repairLoad="1"/>
</workbook>
</file>

<file path=xl/calcChain.xml><?xml version="1.0" encoding="utf-8"?>
<calcChain xmlns="http://schemas.openxmlformats.org/spreadsheetml/2006/main">
  <c r="S21" i="6" l="1"/>
  <c r="S20" i="6"/>
  <c r="S19" i="6"/>
  <c r="S18" i="6"/>
  <c r="S17" i="6"/>
  <c r="S16" i="6"/>
  <c r="S15" i="6"/>
  <c r="U13" i="5"/>
  <c r="S12" i="5"/>
  <c r="R12" i="5"/>
  <c r="R8" i="6"/>
  <c r="U8" i="6"/>
  <c r="T8" i="6"/>
  <c r="S8" i="6"/>
  <c r="Q7" i="6"/>
  <c r="Q6" i="6" s="1"/>
  <c r="Q5" i="6" s="1"/>
  <c r="Q4" i="6" s="1"/>
  <c r="S4" i="6" s="1"/>
  <c r="Q9" i="6"/>
  <c r="Q10" i="6" s="1"/>
  <c r="S10" i="6" s="1"/>
  <c r="M19" i="15"/>
  <c r="M18" i="15"/>
  <c r="A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C12" i="15"/>
  <c r="Q12" i="15"/>
  <c r="T57" i="2"/>
  <c r="S57" i="2"/>
  <c r="R57" i="2"/>
  <c r="Q57" i="2"/>
  <c r="P57" i="2"/>
  <c r="O57" i="2"/>
  <c r="N57" i="2"/>
  <c r="V41" i="2"/>
  <c r="T41" i="2"/>
  <c r="V40" i="2"/>
  <c r="U40" i="2"/>
  <c r="T40" i="2"/>
  <c r="S38" i="2"/>
  <c r="V39" i="2"/>
  <c r="U39" i="2"/>
  <c r="T39" i="2"/>
  <c r="B40" i="2"/>
  <c r="B45" i="2" s="1"/>
  <c r="B46" i="2" s="1"/>
  <c r="B44" i="2"/>
  <c r="B43" i="2"/>
  <c r="B42" i="2"/>
  <c r="B41" i="2"/>
  <c r="B29" i="2"/>
  <c r="B30" i="2" s="1"/>
  <c r="B31" i="2" s="1"/>
  <c r="B32" i="2" s="1"/>
  <c r="B33" i="2" s="1"/>
  <c r="B34" i="2" s="1"/>
  <c r="B35" i="2" s="1"/>
  <c r="B36" i="2" s="1"/>
  <c r="B37" i="2" s="1"/>
  <c r="B38" i="2" s="1"/>
  <c r="U30" i="2"/>
  <c r="T30" i="2"/>
  <c r="V30" i="2" s="1"/>
  <c r="X30" i="2" s="1"/>
  <c r="T29" i="2"/>
  <c r="V29" i="2" s="1"/>
  <c r="X29" i="2" s="1"/>
  <c r="U29" i="2"/>
  <c r="V25" i="2"/>
  <c r="V24" i="2"/>
  <c r="T28" i="2"/>
  <c r="U28" i="2"/>
  <c r="W27" i="2"/>
  <c r="W26" i="2"/>
  <c r="U27" i="2"/>
  <c r="T27" i="2"/>
  <c r="V27" i="2" s="1"/>
  <c r="U26" i="2"/>
  <c r="T26" i="2"/>
  <c r="V26" i="2" s="1"/>
  <c r="X25" i="2"/>
  <c r="U25" i="2"/>
  <c r="T25" i="2"/>
  <c r="U24" i="2"/>
  <c r="T24" i="2"/>
  <c r="U23" i="2"/>
  <c r="T23" i="2"/>
  <c r="M21" i="2"/>
  <c r="W18" i="2"/>
  <c r="W17" i="2"/>
  <c r="W14" i="2"/>
  <c r="U19" i="2"/>
  <c r="T19" i="2"/>
  <c r="U18" i="2"/>
  <c r="T18" i="2"/>
  <c r="U17" i="2"/>
  <c r="T17" i="2"/>
  <c r="U16" i="2"/>
  <c r="T16" i="2"/>
  <c r="U15" i="2"/>
  <c r="T15" i="2"/>
  <c r="U14" i="2"/>
  <c r="T14" i="2"/>
  <c r="V14" i="2" s="1"/>
  <c r="X14" i="2" s="1"/>
  <c r="J19" i="2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Q51" i="2"/>
  <c r="Q50" i="2"/>
  <c r="Q46" i="2"/>
  <c r="Q41" i="2"/>
  <c r="P51" i="2"/>
  <c r="P50" i="2"/>
  <c r="P49" i="2"/>
  <c r="P46" i="2"/>
  <c r="P45" i="2"/>
  <c r="P44" i="2"/>
  <c r="P41" i="2"/>
  <c r="P40" i="2"/>
  <c r="P39" i="2"/>
  <c r="P38" i="2"/>
  <c r="P37" i="2"/>
  <c r="F59" i="2"/>
  <c r="H58" i="2" s="1"/>
  <c r="I54" i="2" s="1"/>
  <c r="G38" i="2"/>
  <c r="F39" i="2" s="1"/>
  <c r="H39" i="2" s="1"/>
  <c r="H40" i="2" s="1"/>
  <c r="H41" i="2" s="1"/>
  <c r="G42" i="2"/>
  <c r="F43" i="2" s="1"/>
  <c r="G46" i="2"/>
  <c r="F47" i="2" s="1"/>
  <c r="G50" i="2"/>
  <c r="F51" i="2" s="1"/>
  <c r="G54" i="2"/>
  <c r="F55" i="2" s="1"/>
  <c r="G58" i="2"/>
  <c r="E60" i="2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D25" i="2"/>
  <c r="D29" i="2" s="1"/>
  <c r="D33" i="2" s="1"/>
  <c r="D37" i="2" s="1"/>
  <c r="D41" i="2" s="1"/>
  <c r="D45" i="2" s="1"/>
  <c r="D49" i="2" s="1"/>
  <c r="D53" i="2" s="1"/>
  <c r="D57" i="2" s="1"/>
  <c r="D61" i="2" s="1"/>
  <c r="D24" i="2"/>
  <c r="D28" i="2" s="1"/>
  <c r="D32" i="2" s="1"/>
  <c r="D36" i="2" s="1"/>
  <c r="D40" i="2" s="1"/>
  <c r="D44" i="2" s="1"/>
  <c r="D48" i="2" s="1"/>
  <c r="D52" i="2" s="1"/>
  <c r="D56" i="2" s="1"/>
  <c r="D60" i="2" s="1"/>
  <c r="D23" i="2"/>
  <c r="D27" i="2" s="1"/>
  <c r="D31" i="2" s="1"/>
  <c r="D35" i="2" s="1"/>
  <c r="D39" i="2" s="1"/>
  <c r="D43" i="2" s="1"/>
  <c r="D47" i="2" s="1"/>
  <c r="D51" i="2" s="1"/>
  <c r="D55" i="2" s="1"/>
  <c r="D59" i="2" s="1"/>
  <c r="D22" i="2"/>
  <c r="D26" i="2" s="1"/>
  <c r="D30" i="2" s="1"/>
  <c r="D34" i="2" s="1"/>
  <c r="D38" i="2" s="1"/>
  <c r="D42" i="2" s="1"/>
  <c r="D46" i="2" s="1"/>
  <c r="D50" i="2" s="1"/>
  <c r="D54" i="2" s="1"/>
  <c r="D58" i="2" s="1"/>
  <c r="J3" i="2"/>
  <c r="J16" i="2"/>
  <c r="J15" i="2"/>
  <c r="J11" i="2"/>
  <c r="J6" i="2"/>
  <c r="J5" i="2"/>
  <c r="J4" i="2"/>
  <c r="H16" i="2"/>
  <c r="H15" i="2"/>
  <c r="H11" i="2"/>
  <c r="H4" i="2"/>
  <c r="F6" i="2"/>
  <c r="F5" i="2"/>
  <c r="L5" i="2" s="1"/>
  <c r="F4" i="2"/>
  <c r="L4" i="2" s="1"/>
  <c r="F3" i="2"/>
  <c r="L3" i="2" s="1"/>
  <c r="K11" i="2"/>
  <c r="K10" i="2"/>
  <c r="K9" i="2"/>
  <c r="K3" i="2"/>
  <c r="K5" i="2"/>
  <c r="K4" i="2"/>
  <c r="K2" i="2"/>
  <c r="U10" i="2"/>
  <c r="X10" i="2" s="1"/>
  <c r="X9" i="2"/>
  <c r="X8" i="2"/>
  <c r="X7" i="2"/>
  <c r="Y1" i="2"/>
  <c r="R3" i="2"/>
  <c r="R6" i="2"/>
  <c r="R5" i="2"/>
  <c r="R4" i="2"/>
  <c r="R2" i="2"/>
  <c r="S7" i="2"/>
  <c r="S6" i="2"/>
  <c r="S5" i="2"/>
  <c r="S4" i="2"/>
  <c r="S3" i="2"/>
  <c r="S2" i="2"/>
  <c r="U2" i="2"/>
  <c r="U3" i="2"/>
  <c r="U4" i="2"/>
  <c r="U5" i="2"/>
  <c r="E13" i="13"/>
  <c r="E12" i="13"/>
  <c r="E11" i="13"/>
  <c r="H7" i="13"/>
  <c r="H3" i="13"/>
  <c r="H2" i="13"/>
  <c r="H5" i="10"/>
  <c r="R7" i="6" l="1"/>
  <c r="V7" i="6" s="1"/>
  <c r="R4" i="6"/>
  <c r="V4" i="6" s="1"/>
  <c r="R5" i="6"/>
  <c r="W5" i="6" s="1"/>
  <c r="R6" i="6"/>
  <c r="V6" i="6" s="1"/>
  <c r="R9" i="6"/>
  <c r="V9" i="6" s="1"/>
  <c r="R10" i="6"/>
  <c r="W10" i="6" s="1"/>
  <c r="S7" i="6"/>
  <c r="U9" i="6"/>
  <c r="T9" i="6"/>
  <c r="U10" i="6"/>
  <c r="S9" i="6"/>
  <c r="T10" i="6"/>
  <c r="V8" i="6"/>
  <c r="U4" i="6"/>
  <c r="W8" i="6"/>
  <c r="T4" i="6"/>
  <c r="U5" i="6"/>
  <c r="T5" i="6"/>
  <c r="U6" i="6"/>
  <c r="W9" i="6"/>
  <c r="S5" i="6"/>
  <c r="T6" i="6"/>
  <c r="U7" i="6"/>
  <c r="V10" i="6"/>
  <c r="S6" i="6"/>
  <c r="T7" i="6"/>
  <c r="W6" i="6"/>
  <c r="V28" i="2"/>
  <c r="X28" i="2" s="1"/>
  <c r="X26" i="2"/>
  <c r="X27" i="2"/>
  <c r="V23" i="2"/>
  <c r="X23" i="2" s="1"/>
  <c r="X24" i="2"/>
  <c r="H43" i="2"/>
  <c r="H44" i="2" s="1"/>
  <c r="H45" i="2" s="1"/>
  <c r="H42" i="2"/>
  <c r="H55" i="2"/>
  <c r="H54" i="2"/>
  <c r="I50" i="2" s="1"/>
  <c r="H51" i="2"/>
  <c r="H50" i="2"/>
  <c r="I46" i="2" s="1"/>
  <c r="H46" i="2"/>
  <c r="I42" i="2" s="1"/>
  <c r="H47" i="2"/>
  <c r="H59" i="2"/>
  <c r="H38" i="2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V15" i="2"/>
  <c r="X15" i="2" s="1"/>
  <c r="V18" i="2"/>
  <c r="X18" i="2" s="1"/>
  <c r="V17" i="2"/>
  <c r="X17" i="2" s="1"/>
  <c r="V16" i="2"/>
  <c r="X16" i="2" s="1"/>
  <c r="V19" i="2"/>
  <c r="X19" i="2" s="1"/>
  <c r="Y7" i="2"/>
  <c r="Z7" i="2" s="1"/>
  <c r="Y8" i="2"/>
  <c r="AA6" i="2" s="1"/>
  <c r="Y10" i="2"/>
  <c r="Y9" i="2"/>
  <c r="AA7" i="2" s="1"/>
  <c r="R9" i="2"/>
  <c r="T3" i="2"/>
  <c r="V3" i="2" s="1"/>
  <c r="T4" i="2"/>
  <c r="V4" i="2" s="1"/>
  <c r="T5" i="2"/>
  <c r="V5" i="2" s="1"/>
  <c r="T6" i="2"/>
  <c r="V6" i="2" s="1"/>
  <c r="T2" i="2"/>
  <c r="V2" i="2" s="1"/>
  <c r="W7" i="6" l="1"/>
  <c r="W4" i="6"/>
  <c r="V5" i="6"/>
  <c r="Z9" i="2"/>
  <c r="H60" i="2"/>
  <c r="I55" i="2"/>
  <c r="H48" i="2"/>
  <c r="I43" i="2"/>
  <c r="Z8" i="2"/>
  <c r="H52" i="2"/>
  <c r="I47" i="2"/>
  <c r="H56" i="2"/>
  <c r="I51" i="2"/>
  <c r="Z10" i="2"/>
  <c r="AA8" i="2"/>
  <c r="H57" i="2" l="1"/>
  <c r="I53" i="2" s="1"/>
  <c r="I52" i="2"/>
  <c r="H53" i="2"/>
  <c r="I49" i="2" s="1"/>
  <c r="I48" i="2"/>
  <c r="H49" i="2"/>
  <c r="I45" i="2" s="1"/>
  <c r="I44" i="2"/>
  <c r="I56" i="2"/>
  <c r="H61" i="2"/>
  <c r="I57" i="2" s="1"/>
  <c r="B25" i="10" l="1"/>
  <c r="B24" i="10"/>
  <c r="B23" i="10"/>
  <c r="F2" i="13"/>
  <c r="F3" i="13"/>
  <c r="E3" i="13"/>
  <c r="C3" i="13"/>
  <c r="D3" i="13"/>
  <c r="K21" i="13"/>
  <c r="K10" i="13"/>
  <c r="K17" i="13"/>
  <c r="K16" i="13"/>
  <c r="K15" i="13"/>
  <c r="K18" i="13" s="1"/>
  <c r="K7" i="13"/>
  <c r="K6" i="13"/>
  <c r="K5" i="13"/>
  <c r="K4" i="13"/>
  <c r="E2" i="13"/>
  <c r="D2" i="13"/>
  <c r="C2" i="13"/>
  <c r="H2" i="12"/>
  <c r="G2" i="12"/>
  <c r="F2" i="12"/>
  <c r="E2" i="12"/>
  <c r="D2" i="12"/>
  <c r="P34" i="11"/>
  <c r="N35" i="11"/>
  <c r="N34" i="11"/>
  <c r="L35" i="11"/>
  <c r="L34" i="11"/>
  <c r="L33" i="11"/>
  <c r="L30" i="11"/>
  <c r="L31" i="11" s="1"/>
  <c r="M31" i="11"/>
  <c r="M30" i="11"/>
  <c r="M29" i="11"/>
  <c r="L29" i="11"/>
  <c r="M23" i="11"/>
  <c r="M22" i="11"/>
  <c r="M21" i="11"/>
  <c r="M20" i="11"/>
  <c r="M19" i="11"/>
  <c r="M18" i="11"/>
  <c r="K20" i="11"/>
  <c r="K19" i="11"/>
  <c r="K18" i="11"/>
  <c r="J20" i="11"/>
  <c r="J19" i="11"/>
  <c r="J18" i="11"/>
  <c r="I20" i="11"/>
  <c r="I19" i="11"/>
  <c r="I18" i="11"/>
  <c r="H20" i="11"/>
  <c r="H19" i="11"/>
  <c r="H18" i="11"/>
  <c r="G20" i="11"/>
  <c r="G19" i="11"/>
  <c r="G18" i="11"/>
  <c r="F19" i="11"/>
  <c r="F18" i="11"/>
  <c r="F20" i="11"/>
  <c r="D15" i="10"/>
  <c r="D16" i="10" s="1"/>
  <c r="D17" i="10" s="1"/>
  <c r="C15" i="10"/>
  <c r="C14" i="10"/>
  <c r="J11" i="11"/>
  <c r="H11" i="11"/>
  <c r="J31" i="11"/>
  <c r="I29" i="11"/>
  <c r="I27" i="11"/>
  <c r="H27" i="11"/>
  <c r="H26" i="11"/>
  <c r="C9" i="10"/>
  <c r="C8" i="10"/>
  <c r="D5" i="10"/>
  <c r="D4" i="10"/>
  <c r="D3" i="10"/>
  <c r="C3" i="10"/>
  <c r="C2" i="10"/>
  <c r="Q11" i="11" l="1"/>
  <c r="R11" i="11" s="1"/>
  <c r="N11" i="11"/>
  <c r="O11" i="11" s="1"/>
  <c r="D9" i="10"/>
  <c r="D10" i="10" s="1"/>
  <c r="D11" i="10" s="1"/>
  <c r="D36" i="11" l="1"/>
  <c r="D38" i="11" s="1"/>
  <c r="E38" i="11" s="1"/>
  <c r="D31" i="11"/>
  <c r="E31" i="11" s="1"/>
  <c r="D34" i="11"/>
  <c r="D29" i="11"/>
  <c r="D27" i="11"/>
  <c r="C34" i="11"/>
  <c r="C33" i="11"/>
  <c r="C27" i="11"/>
  <c r="C26" i="11"/>
  <c r="C23" i="11"/>
  <c r="C22" i="11"/>
  <c r="C21" i="11"/>
  <c r="C20" i="11"/>
  <c r="C19" i="11"/>
  <c r="C18" i="11"/>
  <c r="M7" i="11"/>
  <c r="M6" i="11"/>
  <c r="M4" i="11"/>
  <c r="M3" i="11"/>
  <c r="L7" i="11"/>
  <c r="L6" i="11"/>
  <c r="L4" i="11"/>
  <c r="L5" i="11"/>
  <c r="M5" i="11" s="1"/>
  <c r="M9" i="11" s="1"/>
  <c r="L3" i="11"/>
  <c r="B14" i="11"/>
  <c r="C11" i="11"/>
  <c r="C10" i="11"/>
  <c r="J7" i="11"/>
  <c r="J6" i="11"/>
  <c r="J5" i="11"/>
  <c r="J4" i="11"/>
  <c r="J3" i="11"/>
  <c r="I4" i="11"/>
  <c r="E5" i="11"/>
  <c r="E3" i="11"/>
  <c r="C7" i="11"/>
  <c r="I7" i="11" s="1"/>
  <c r="C6" i="11"/>
  <c r="I6" i="11" s="1"/>
  <c r="C5" i="11"/>
  <c r="I5" i="11" s="1"/>
  <c r="C4" i="11"/>
  <c r="C3" i="11"/>
  <c r="I3" i="11" s="1"/>
  <c r="I11" i="9"/>
  <c r="I10" i="9"/>
  <c r="J10" i="9"/>
  <c r="J9" i="9"/>
  <c r="J8" i="9"/>
  <c r="J7" i="9"/>
  <c r="I8" i="9"/>
  <c r="I7" i="9"/>
  <c r="F47" i="9"/>
  <c r="E47" i="9"/>
  <c r="G47" i="9" s="1"/>
  <c r="D48" i="9"/>
  <c r="D49" i="9" s="1"/>
  <c r="D50" i="9" s="1"/>
  <c r="D51" i="9" s="1"/>
  <c r="D52" i="9" s="1"/>
  <c r="D53" i="9" s="1"/>
  <c r="D54" i="9" s="1"/>
  <c r="E43" i="9"/>
  <c r="E42" i="9"/>
  <c r="E41" i="9"/>
  <c r="E40" i="9"/>
  <c r="E39" i="9"/>
  <c r="E36" i="9"/>
  <c r="G36" i="9" s="1"/>
  <c r="D36" i="9"/>
  <c r="E35" i="9"/>
  <c r="G35" i="9" s="1"/>
  <c r="D35" i="9"/>
  <c r="E34" i="9"/>
  <c r="G34" i="9" s="1"/>
  <c r="D34" i="9"/>
  <c r="E33" i="9"/>
  <c r="G33" i="9" s="1"/>
  <c r="D33" i="9"/>
  <c r="E32" i="9"/>
  <c r="G32" i="9" s="1"/>
  <c r="D32" i="9"/>
  <c r="E31" i="9"/>
  <c r="G31" i="9" s="1"/>
  <c r="D31" i="9"/>
  <c r="G30" i="9"/>
  <c r="F30" i="9"/>
  <c r="E30" i="9"/>
  <c r="D30" i="9"/>
  <c r="G29" i="9"/>
  <c r="F29" i="9"/>
  <c r="D20" i="9"/>
  <c r="D21" i="9" s="1"/>
  <c r="D17" i="9"/>
  <c r="D16" i="9"/>
  <c r="D14" i="9"/>
  <c r="D13" i="9"/>
  <c r="D6" i="9"/>
  <c r="I3" i="9"/>
  <c r="I2" i="9"/>
  <c r="D5" i="9"/>
  <c r="D4" i="9"/>
  <c r="D2" i="9"/>
  <c r="E34" i="11" l="1"/>
  <c r="E48" i="9"/>
  <c r="F36" i="9"/>
  <c r="F35" i="9"/>
  <c r="F34" i="9"/>
  <c r="F33" i="9"/>
  <c r="F32" i="9"/>
  <c r="F31" i="9"/>
  <c r="G48" i="9" l="1"/>
  <c r="F48" i="9"/>
  <c r="E49" i="9" s="1"/>
  <c r="G49" i="9" l="1"/>
  <c r="F49" i="9"/>
  <c r="E50" i="9" s="1"/>
  <c r="G50" i="9" l="1"/>
  <c r="F50" i="9"/>
  <c r="E51" i="9" s="1"/>
  <c r="G51" i="9" l="1"/>
  <c r="F51" i="9"/>
  <c r="E52" i="9" s="1"/>
  <c r="G52" i="9" l="1"/>
  <c r="F52" i="9"/>
  <c r="E53" i="9"/>
  <c r="G53" i="9" l="1"/>
  <c r="F53" i="9"/>
  <c r="E54" i="9" s="1"/>
  <c r="F54" i="9" l="1"/>
  <c r="G54" i="9"/>
  <c r="E105" i="4" l="1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C22" i="6" l="1"/>
  <c r="D22" i="6" s="1"/>
  <c r="E25" i="6"/>
  <c r="G25" i="6"/>
  <c r="F25" i="6"/>
  <c r="G24" i="6"/>
  <c r="C21" i="6"/>
  <c r="D21" i="6" s="1"/>
  <c r="M20" i="6"/>
  <c r="M19" i="6"/>
  <c r="M18" i="6"/>
  <c r="M17" i="6"/>
  <c r="M16" i="6"/>
  <c r="M15" i="6"/>
  <c r="M14" i="6"/>
  <c r="M13" i="6"/>
  <c r="M12" i="6"/>
  <c r="M11" i="6"/>
  <c r="J20" i="6"/>
  <c r="J19" i="6"/>
  <c r="J18" i="6"/>
  <c r="J17" i="6"/>
  <c r="J16" i="6"/>
  <c r="J15" i="6"/>
  <c r="J14" i="6"/>
  <c r="J13" i="6"/>
  <c r="J12" i="6"/>
  <c r="J11" i="6"/>
  <c r="K20" i="6"/>
  <c r="K19" i="6"/>
  <c r="K18" i="6"/>
  <c r="K17" i="6"/>
  <c r="K16" i="6"/>
  <c r="K15" i="6"/>
  <c r="K14" i="6"/>
  <c r="K13" i="6"/>
  <c r="K12" i="6"/>
  <c r="K11" i="6"/>
  <c r="C20" i="6"/>
  <c r="D20" i="6" s="1"/>
  <c r="C19" i="6"/>
  <c r="D19" i="6" s="1"/>
  <c r="L22" i="6" l="1"/>
  <c r="K22" i="6"/>
  <c r="J22" i="6"/>
  <c r="I22" i="6"/>
  <c r="H22" i="6"/>
  <c r="G22" i="6"/>
  <c r="N22" i="6"/>
  <c r="F22" i="6"/>
  <c r="M22" i="6"/>
  <c r="E22" i="6"/>
  <c r="M21" i="6"/>
  <c r="E21" i="6"/>
  <c r="K21" i="6"/>
  <c r="L21" i="6"/>
  <c r="J21" i="6"/>
  <c r="I21" i="6"/>
  <c r="H21" i="6"/>
  <c r="N21" i="6"/>
  <c r="G21" i="6"/>
  <c r="F21" i="6"/>
  <c r="E20" i="6"/>
  <c r="E19" i="6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T15" i="1"/>
  <c r="T16" i="1"/>
  <c r="O12" i="1"/>
  <c r="O13" i="1" s="1"/>
  <c r="O9" i="1"/>
  <c r="O5" i="1"/>
  <c r="N5" i="1"/>
  <c r="P16" i="5"/>
  <c r="P15" i="5"/>
  <c r="P13" i="5"/>
  <c r="P12" i="5"/>
  <c r="P10" i="5"/>
  <c r="P9" i="5"/>
  <c r="P7" i="5"/>
  <c r="P5" i="5"/>
  <c r="P4" i="5"/>
  <c r="P3" i="5"/>
  <c r="P2" i="5"/>
  <c r="C4" i="7"/>
  <c r="D4" i="7"/>
  <c r="C3" i="7"/>
  <c r="C2" i="7"/>
  <c r="D2" i="7"/>
  <c r="E18" i="6" l="1"/>
  <c r="E17" i="6"/>
  <c r="E16" i="6"/>
  <c r="E15" i="6"/>
  <c r="E14" i="6"/>
  <c r="E13" i="6"/>
  <c r="D3" i="7"/>
  <c r="R5" i="5" l="1"/>
  <c r="S5" i="5" s="1"/>
  <c r="T5" i="5" s="1"/>
  <c r="R7" i="5"/>
  <c r="AT12" i="4"/>
  <c r="AS11" i="4"/>
  <c r="AS13" i="4" s="1"/>
  <c r="AU10" i="4"/>
  <c r="AT6" i="4"/>
  <c r="AU4" i="4"/>
  <c r="AS5" i="4"/>
  <c r="AS7" i="4" s="1"/>
  <c r="AL6" i="4"/>
  <c r="AD6" i="4"/>
  <c r="V6" i="4"/>
  <c r="P6" i="4"/>
  <c r="AN6" i="4" s="1"/>
  <c r="AP6" i="4" s="1"/>
  <c r="O6" i="4"/>
  <c r="W6" i="4" s="1"/>
  <c r="N6" i="4"/>
  <c r="C12" i="6"/>
  <c r="D12" i="6" s="1"/>
  <c r="F16" i="5"/>
  <c r="L16" i="5"/>
  <c r="G16" i="5"/>
  <c r="G15" i="5"/>
  <c r="H15" i="5" s="1"/>
  <c r="K15" i="5" s="1"/>
  <c r="O15" i="5"/>
  <c r="D15" i="1"/>
  <c r="E12" i="6" l="1"/>
  <c r="E15" i="1"/>
  <c r="AE6" i="4"/>
  <c r="Y6" i="4"/>
  <c r="Q6" i="4"/>
  <c r="R6" i="4"/>
  <c r="X6" i="4"/>
  <c r="H16" i="5"/>
  <c r="J16" i="5" s="1"/>
  <c r="M16" i="5" s="1"/>
  <c r="N16" i="5" s="1"/>
  <c r="C16" i="5" s="1"/>
  <c r="D16" i="5" s="1"/>
  <c r="J15" i="5"/>
  <c r="M15" i="5" s="1"/>
  <c r="N15" i="5" s="1"/>
  <c r="C15" i="5" s="1"/>
  <c r="D15" i="5" s="1"/>
  <c r="O12" i="5"/>
  <c r="C8" i="6"/>
  <c r="B3" i="6"/>
  <c r="C3" i="6" s="1"/>
  <c r="E2" i="6"/>
  <c r="F2" i="6" s="1"/>
  <c r="G2" i="6" s="1"/>
  <c r="H2" i="6" s="1"/>
  <c r="I2" i="6" s="1"/>
  <c r="J2" i="6" s="1"/>
  <c r="K2" i="6" s="1"/>
  <c r="C7" i="6"/>
  <c r="D7" i="6" s="1"/>
  <c r="F7" i="6" s="1"/>
  <c r="I6" i="6"/>
  <c r="J6" i="6" s="1"/>
  <c r="K6" i="6" s="1"/>
  <c r="L6" i="6" s="1"/>
  <c r="M6" i="6" s="1"/>
  <c r="N6" i="6" s="1"/>
  <c r="O6" i="6" s="1"/>
  <c r="F10" i="6"/>
  <c r="C11" i="6"/>
  <c r="D11" i="6" s="1"/>
  <c r="AN5" i="4"/>
  <c r="AP5" i="4" s="1"/>
  <c r="AM5" i="4"/>
  <c r="AO5" i="4" s="1"/>
  <c r="AN4" i="4"/>
  <c r="AP4" i="4" s="1"/>
  <c r="AM4" i="4"/>
  <c r="AO4" i="4" s="1"/>
  <c r="AM3" i="4"/>
  <c r="AN3" i="4"/>
  <c r="AP3" i="4" s="1"/>
  <c r="AG3" i="4"/>
  <c r="AE3" i="4"/>
  <c r="AL3" i="4"/>
  <c r="AC3" i="4"/>
  <c r="AH5" i="4"/>
  <c r="AG5" i="4"/>
  <c r="R3" i="4"/>
  <c r="Q3" i="4"/>
  <c r="Z3" i="4"/>
  <c r="Y3" i="4"/>
  <c r="O2" i="5"/>
  <c r="C2" i="5" s="1"/>
  <c r="D2" i="5" s="1"/>
  <c r="D3" i="5" s="1"/>
  <c r="D4" i="5" s="1"/>
  <c r="D5" i="5" s="1"/>
  <c r="L13" i="5"/>
  <c r="H13" i="5"/>
  <c r="K13" i="5" s="1"/>
  <c r="H12" i="5"/>
  <c r="K12" i="5" s="1"/>
  <c r="C9" i="5"/>
  <c r="D9" i="5" s="1"/>
  <c r="D10" i="5" s="1"/>
  <c r="C10" i="5"/>
  <c r="C7" i="5"/>
  <c r="D7" i="5" s="1"/>
  <c r="C5" i="5"/>
  <c r="C4" i="5"/>
  <c r="C3" i="5"/>
  <c r="L10" i="5"/>
  <c r="H10" i="5"/>
  <c r="K10" i="5" s="1"/>
  <c r="H9" i="5"/>
  <c r="K9" i="5" s="1"/>
  <c r="L7" i="5"/>
  <c r="AH4" i="4"/>
  <c r="AG4" i="4"/>
  <c r="Z5" i="4"/>
  <c r="Y5" i="4"/>
  <c r="Y4" i="4"/>
  <c r="R5" i="4"/>
  <c r="Q5" i="4"/>
  <c r="R4" i="4"/>
  <c r="Q4" i="4"/>
  <c r="L5" i="5"/>
  <c r="F5" i="5"/>
  <c r="G5" i="5"/>
  <c r="M4" i="5"/>
  <c r="L4" i="5"/>
  <c r="G4" i="5"/>
  <c r="H4" i="5"/>
  <c r="K4" i="5" s="1"/>
  <c r="M3" i="5"/>
  <c r="L3" i="5"/>
  <c r="N2" i="5"/>
  <c r="M2" i="5"/>
  <c r="H3" i="5"/>
  <c r="J3" i="5" s="1"/>
  <c r="H2" i="5"/>
  <c r="K2" i="5" s="1"/>
  <c r="AL5" i="4"/>
  <c r="AL4" i="4"/>
  <c r="AF5" i="4"/>
  <c r="AE5" i="4"/>
  <c r="AD5" i="4"/>
  <c r="P3" i="4"/>
  <c r="O3" i="4"/>
  <c r="N3" i="4"/>
  <c r="V5" i="4"/>
  <c r="P5" i="4"/>
  <c r="X5" i="4" s="1"/>
  <c r="O5" i="4"/>
  <c r="W5" i="4" s="1"/>
  <c r="N5" i="4"/>
  <c r="W4" i="4"/>
  <c r="AE4" i="4" s="1"/>
  <c r="AF4" i="4"/>
  <c r="Z4" i="4"/>
  <c r="X4" i="4"/>
  <c r="AD4" i="4"/>
  <c r="V4" i="4"/>
  <c r="P4" i="4"/>
  <c r="O4" i="4"/>
  <c r="N4" i="4"/>
  <c r="X3" i="4"/>
  <c r="AF3" i="4" s="1"/>
  <c r="W3" i="4"/>
  <c r="V3" i="4"/>
  <c r="G7" i="1"/>
  <c r="G8" i="1" s="1"/>
  <c r="G9" i="1" s="1"/>
  <c r="G10" i="1" s="1"/>
  <c r="D8" i="1"/>
  <c r="L5" i="1" s="1"/>
  <c r="A5" i="1"/>
  <c r="J7" i="1" s="1"/>
  <c r="J8" i="1" s="1"/>
  <c r="F19" i="6" l="1"/>
  <c r="F20" i="6"/>
  <c r="F12" i="6"/>
  <c r="F15" i="6"/>
  <c r="F16" i="6"/>
  <c r="F18" i="6"/>
  <c r="F17" i="6"/>
  <c r="F13" i="6"/>
  <c r="F14" i="6"/>
  <c r="G7" i="6"/>
  <c r="E7" i="6"/>
  <c r="F11" i="6"/>
  <c r="E11" i="6"/>
  <c r="E23" i="1"/>
  <c r="E21" i="1"/>
  <c r="E17" i="1"/>
  <c r="E19" i="1" s="1"/>
  <c r="K3" i="6"/>
  <c r="D3" i="6"/>
  <c r="AG6" i="4"/>
  <c r="AM6" i="4"/>
  <c r="AO6" i="4" s="1"/>
  <c r="Z6" i="4"/>
  <c r="AF6" i="4"/>
  <c r="AH6" i="4" s="1"/>
  <c r="K16" i="5"/>
  <c r="D8" i="6"/>
  <c r="F8" i="6" s="1"/>
  <c r="E8" i="6"/>
  <c r="E3" i="6"/>
  <c r="F3" i="6"/>
  <c r="G3" i="6"/>
  <c r="H3" i="6"/>
  <c r="I3" i="6"/>
  <c r="J3" i="6"/>
  <c r="G10" i="6"/>
  <c r="AO3" i="4"/>
  <c r="J13" i="5"/>
  <c r="M13" i="5" s="1"/>
  <c r="N13" i="5" s="1"/>
  <c r="C13" i="5" s="1"/>
  <c r="J12" i="5"/>
  <c r="M12" i="5" s="1"/>
  <c r="N12" i="5" s="1"/>
  <c r="C12" i="5" s="1"/>
  <c r="D12" i="5" s="1"/>
  <c r="J10" i="5"/>
  <c r="M10" i="5" s="1"/>
  <c r="N10" i="5" s="1"/>
  <c r="J9" i="5"/>
  <c r="M9" i="5" s="1"/>
  <c r="N9" i="5" s="1"/>
  <c r="H7" i="5"/>
  <c r="J7" i="5" s="1"/>
  <c r="M7" i="5" s="1"/>
  <c r="N7" i="5" s="1"/>
  <c r="D9" i="1"/>
  <c r="D10" i="1" s="1"/>
  <c r="D11" i="1" s="1"/>
  <c r="H5" i="5"/>
  <c r="J5" i="5" s="1"/>
  <c r="M5" i="5" s="1"/>
  <c r="N5" i="5" s="1"/>
  <c r="N4" i="5"/>
  <c r="J4" i="5"/>
  <c r="N3" i="5"/>
  <c r="K3" i="5"/>
  <c r="J2" i="5"/>
  <c r="G20" i="6" l="1"/>
  <c r="G19" i="6"/>
  <c r="I7" i="6"/>
  <c r="H7" i="6"/>
  <c r="O7" i="6"/>
  <c r="L7" i="6"/>
  <c r="J7" i="6"/>
  <c r="N7" i="6"/>
  <c r="K7" i="6"/>
  <c r="M7" i="6"/>
  <c r="G14" i="6"/>
  <c r="G17" i="6"/>
  <c r="G16" i="6"/>
  <c r="G18" i="6"/>
  <c r="G15" i="6"/>
  <c r="G13" i="6"/>
  <c r="H10" i="6"/>
  <c r="G12" i="6"/>
  <c r="G11" i="6"/>
  <c r="D22" i="1"/>
  <c r="D27" i="1" s="1"/>
  <c r="G8" i="6"/>
  <c r="D13" i="5"/>
  <c r="K7" i="5"/>
  <c r="K5" i="5"/>
  <c r="H19" i="6" l="1"/>
  <c r="H20" i="6"/>
  <c r="L8" i="6"/>
  <c r="K8" i="6"/>
  <c r="O8" i="6"/>
  <c r="J8" i="6"/>
  <c r="N8" i="6"/>
  <c r="I8" i="6"/>
  <c r="M8" i="6"/>
  <c r="H8" i="6"/>
  <c r="H16" i="6"/>
  <c r="H14" i="6"/>
  <c r="H17" i="6"/>
  <c r="H13" i="6"/>
  <c r="H15" i="6"/>
  <c r="H18" i="6"/>
  <c r="I10" i="6"/>
  <c r="H12" i="6"/>
  <c r="H11" i="6"/>
  <c r="J10" i="6" l="1"/>
  <c r="I19" i="6"/>
  <c r="I20" i="6"/>
  <c r="I14" i="6"/>
  <c r="I15" i="6"/>
  <c r="I13" i="6"/>
  <c r="I18" i="6"/>
  <c r="I17" i="6"/>
  <c r="I16" i="6"/>
  <c r="I12" i="6"/>
  <c r="I11" i="6"/>
  <c r="L10" i="6" l="1"/>
  <c r="L19" i="6" l="1"/>
  <c r="L20" i="6"/>
  <c r="L18" i="6"/>
  <c r="L17" i="6"/>
  <c r="L16" i="6"/>
  <c r="L13" i="6"/>
  <c r="L15" i="6"/>
  <c r="L14" i="6"/>
  <c r="N10" i="6"/>
  <c r="L12" i="6"/>
  <c r="L11" i="6"/>
  <c r="N20" i="6" l="1"/>
  <c r="N19" i="6"/>
  <c r="N18" i="6"/>
  <c r="N17" i="6"/>
  <c r="N16" i="6"/>
  <c r="N15" i="6"/>
  <c r="N13" i="6"/>
  <c r="N14" i="6"/>
  <c r="N12" i="6"/>
  <c r="N11" i="6"/>
  <c r="AH3" i="4" l="1"/>
  <c r="AD3" i="4"/>
  <c r="R10" i="2"/>
  <c r="S10" i="2"/>
  <c r="S9" i="2"/>
  <c r="T9" i="2" s="1"/>
  <c r="V9" i="2" s="1"/>
  <c r="R8" i="2" l="1"/>
  <c r="T10" i="2"/>
  <c r="V10" i="2" s="1"/>
  <c r="S8" i="2" l="1"/>
  <c r="T8" i="2" s="1"/>
  <c r="V8" i="2" s="1"/>
  <c r="R7" i="2"/>
  <c r="T7" i="2" s="1"/>
  <c r="V7" i="2" s="1"/>
  <c r="K6" i="2"/>
  <c r="L6" i="2"/>
</calcChain>
</file>

<file path=xl/sharedStrings.xml><?xml version="1.0" encoding="utf-8"?>
<sst xmlns="http://schemas.openxmlformats.org/spreadsheetml/2006/main" count="1013" uniqueCount="377">
  <si>
    <t>W/m2</t>
  </si>
  <si>
    <t>solar</t>
  </si>
  <si>
    <t>battery</t>
  </si>
  <si>
    <t>Wh/kg</t>
  </si>
  <si>
    <t>1 e = 1 Wh</t>
  </si>
  <si>
    <t>math</t>
  </si>
  <si>
    <t>wide</t>
  </si>
  <si>
    <t>tall</t>
  </si>
  <si>
    <t>factor</t>
  </si>
  <si>
    <t>e/s</t>
  </si>
  <si>
    <t>e/m</t>
  </si>
  <si>
    <t>e/h</t>
  </si>
  <si>
    <t>drain</t>
  </si>
  <si>
    <t>Watts</t>
  </si>
  <si>
    <t>mass</t>
  </si>
  <si>
    <t>Wh</t>
  </si>
  <si>
    <t>kg</t>
  </si>
  <si>
    <t>tons</t>
  </si>
  <si>
    <t>to</t>
  </si>
  <si>
    <t>dish</t>
  </si>
  <si>
    <t>target</t>
  </si>
  <si>
    <t>wet</t>
  </si>
  <si>
    <t>dry</t>
  </si>
  <si>
    <t>fuel</t>
  </si>
  <si>
    <t>isp sl</t>
  </si>
  <si>
    <t>isp v</t>
  </si>
  <si>
    <t>kerolox</t>
  </si>
  <si>
    <t>Spark</t>
  </si>
  <si>
    <t>atmo</t>
  </si>
  <si>
    <t>TWR</t>
  </si>
  <si>
    <t>vac</t>
  </si>
  <si>
    <t>engine</t>
  </si>
  <si>
    <t>hydrolox</t>
  </si>
  <si>
    <t>hypergolic</t>
  </si>
  <si>
    <t>T sl</t>
  </si>
  <si>
    <t>T v</t>
  </si>
  <si>
    <t>Terrier</t>
  </si>
  <si>
    <t>Mainsail</t>
  </si>
  <si>
    <t>monoprop</t>
  </si>
  <si>
    <t>reason</t>
  </si>
  <si>
    <t>KSO</t>
  </si>
  <si>
    <t>range</t>
  </si>
  <si>
    <t>need</t>
  </si>
  <si>
    <t>Mun</t>
  </si>
  <si>
    <t>Minmus</t>
  </si>
  <si>
    <t>diam</t>
  </si>
  <si>
    <t>mun</t>
  </si>
  <si>
    <t>minmus</t>
  </si>
  <si>
    <t>jool</t>
  </si>
  <si>
    <t>from</t>
  </si>
  <si>
    <t>surface</t>
  </si>
  <si>
    <t>LKO</t>
  </si>
  <si>
    <t>sub LKO</t>
  </si>
  <si>
    <t>sub KSO</t>
  </si>
  <si>
    <t>delta V</t>
  </si>
  <si>
    <t>GM</t>
  </si>
  <si>
    <t>sma</t>
  </si>
  <si>
    <t>PE vel</t>
  </si>
  <si>
    <t>AP vel</t>
  </si>
  <si>
    <t>change</t>
  </si>
  <si>
    <t>total</t>
  </si>
  <si>
    <t>size</t>
  </si>
  <si>
    <t>ground</t>
  </si>
  <si>
    <t>figaro</t>
  </si>
  <si>
    <t>Duna</t>
  </si>
  <si>
    <t>Jool</t>
  </si>
  <si>
    <t>fixed</t>
  </si>
  <si>
    <t>watts</t>
  </si>
  <si>
    <t>LMO</t>
  </si>
  <si>
    <t>sub LMO</t>
  </si>
  <si>
    <t>extra</t>
  </si>
  <si>
    <t>sub Eve</t>
  </si>
  <si>
    <t>LEO</t>
  </si>
  <si>
    <t>rad</t>
  </si>
  <si>
    <t>height</t>
  </si>
  <si>
    <t>volume</t>
  </si>
  <si>
    <t>round cyl</t>
  </si>
  <si>
    <t>sphere</t>
  </si>
  <si>
    <t>cyl</t>
  </si>
  <si>
    <t>2x</t>
  </si>
  <si>
    <t>altitude</t>
  </si>
  <si>
    <t>body R</t>
  </si>
  <si>
    <t>R/ra</t>
  </si>
  <si>
    <t>ra</t>
  </si>
  <si>
    <t>sin</t>
  </si>
  <si>
    <t>2ra^2</t>
  </si>
  <si>
    <t>h</t>
  </si>
  <si>
    <t>dark</t>
  </si>
  <si>
    <t>time</t>
  </si>
  <si>
    <t>seconds</t>
  </si>
  <si>
    <t>KTO</t>
  </si>
  <si>
    <t>Wildcat5</t>
  </si>
  <si>
    <t>thrust</t>
  </si>
  <si>
    <t>burn</t>
  </si>
  <si>
    <t>g loss</t>
  </si>
  <si>
    <t>speed</t>
  </si>
  <si>
    <t>upward</t>
  </si>
  <si>
    <t>accel</t>
  </si>
  <si>
    <t>burnout</t>
  </si>
  <si>
    <t>power</t>
  </si>
  <si>
    <t>period</t>
  </si>
  <si>
    <t>watts is</t>
  </si>
  <si>
    <t>if W is</t>
  </si>
  <si>
    <t>if e/s is</t>
  </si>
  <si>
    <t>e/s is</t>
  </si>
  <si>
    <t>for</t>
  </si>
  <si>
    <t>s</t>
  </si>
  <si>
    <t>stage</t>
  </si>
  <si>
    <t>lower</t>
  </si>
  <si>
    <t>upper</t>
  </si>
  <si>
    <t>orbital</t>
  </si>
  <si>
    <t>IP</t>
  </si>
  <si>
    <t>name</t>
  </si>
  <si>
    <t>Kerolox</t>
  </si>
  <si>
    <t>Hydrolox</t>
  </si>
  <si>
    <t>Hydraz</t>
  </si>
  <si>
    <t>?</t>
  </si>
  <si>
    <t>--n/a--</t>
  </si>
  <si>
    <t>kg/m2</t>
  </si>
  <si>
    <t>x</t>
  </si>
  <si>
    <t>f(x)</t>
  </si>
  <si>
    <t>f'(x)</t>
  </si>
  <si>
    <t>dep</t>
  </si>
  <si>
    <t>value</t>
  </si>
  <si>
    <t>fx</t>
  </si>
  <si>
    <t>plume</t>
  </si>
  <si>
    <t>Hypergolic</t>
  </si>
  <si>
    <t>FairingCone_dia = 1.25</t>
  </si>
  <si>
    <t>FairingCone_hgt = 1.875</t>
  </si>
  <si>
    <t>FairingCone_dep = 0.00375</t>
  </si>
  <si>
    <t>FairingCone_arcs = 2</t>
  </si>
  <si>
    <t>Can_dia = 5</t>
  </si>
  <si>
    <t>Can_hgt = 6.25</t>
  </si>
  <si>
    <t>Can_dep = 0.015</t>
  </si>
  <si>
    <t>Can_arcs = 2</t>
  </si>
  <si>
    <t>TruncCone_diaTop = 0.625</t>
  </si>
  <si>
    <t>TruncCone_diaBot = 1.25</t>
  </si>
  <si>
    <t>TruncCone_hgt = 0.325</t>
  </si>
  <si>
    <t>dia</t>
  </si>
  <si>
    <t>Can_ends = 0</t>
  </si>
  <si>
    <t>Can_arcs = 1</t>
  </si>
  <si>
    <t>TruncCone_density = 0.28</t>
  </si>
  <si>
    <t>hgt</t>
  </si>
  <si>
    <t>area</t>
  </si>
  <si>
    <t>boatttail</t>
  </si>
  <si>
    <t>stub</t>
  </si>
  <si>
    <t>canonical</t>
  </si>
  <si>
    <t>ISA</t>
  </si>
  <si>
    <t>core</t>
  </si>
  <si>
    <t>Can_dia = 1.25</t>
  </si>
  <si>
    <t>Can_hgt = 1.25</t>
  </si>
  <si>
    <t>Can_dep = 0.00375</t>
  </si>
  <si>
    <t>Can_density = 0.60</t>
  </si>
  <si>
    <t>change = 0.0055223308363883</t>
  </si>
  <si>
    <t>midChange = 0</t>
  </si>
  <si>
    <t>lateral = 0.0110446616727766</t>
  </si>
  <si>
    <t>1mfairingwall</t>
  </si>
  <si>
    <t>2pi r h</t>
  </si>
  <si>
    <t>octoStrut</t>
  </si>
  <si>
    <t>Can_dia = 0.54</t>
  </si>
  <si>
    <t>Can_hgt = 0.26</t>
  </si>
  <si>
    <t>Can_density = 0.28</t>
  </si>
  <si>
    <t>pir^2 h</t>
  </si>
  <si>
    <t>Can_dia = 5.2</t>
  </si>
  <si>
    <t>Can_hgt = 5</t>
  </si>
  <si>
    <t>Can_arcs = 4</t>
  </si>
  <si>
    <t>sqrt_calc = 3.90625</t>
  </si>
  <si>
    <t>sqrt_x0 = 0.300480769230769</t>
  </si>
  <si>
    <t>step1 = 0.300480769230769</t>
  </si>
  <si>
    <t>step2 = 0.0902886926775146</t>
  </si>
  <si>
    <t>step3 = -3.81596130732249</t>
  </si>
  <si>
    <t>step4 = -12.6995192307693</t>
  </si>
  <si>
    <t>step5 = -12.6995192307693</t>
  </si>
  <si>
    <t>sqrt_fx0 = -12.3990384615385</t>
  </si>
  <si>
    <t>sqrt_fx1 = -25.0912757814598</t>
  </si>
  <si>
    <t>sqrt_fx2 = -31.3558690829032</t>
  </si>
  <si>
    <t>sqrt_fx3 = -32.4828950677055</t>
  </si>
  <si>
    <t>sqrt_fx4 = -32.4017427435643</t>
  </si>
  <si>
    <t>sqrt_is = -32.4017427435643</t>
  </si>
  <si>
    <t>1m fairing cone</t>
  </si>
  <si>
    <t>FairingCone_dia = 6.5</t>
  </si>
  <si>
    <t>FairingCone_hgt = 6.8</t>
  </si>
  <si>
    <t>FairingCone_dep = 0.015</t>
  </si>
  <si>
    <t>sqrt_calc = 56.8025</t>
  </si>
  <si>
    <t>sqrt_x0 = 4.36942307692308</t>
  </si>
  <si>
    <t>step1 = 4.36942307692308</t>
  </si>
  <si>
    <t>step2 = 19.091858025148</t>
  </si>
  <si>
    <t>step3 = -37.710641974852</t>
  </si>
  <si>
    <t>step4 = -8.6305769230769</t>
  </si>
  <si>
    <t>step5 = 4.31528846153845</t>
  </si>
  <si>
    <t>sqrt_fx0 = 8.68471153846153</t>
  </si>
  <si>
    <t>sqrt_fx1 = 4.2883898731277</t>
  </si>
  <si>
    <t>sqrt_fx2 = -4.4502875614369</t>
  </si>
  <si>
    <t>sqrt_fx3 = -8.845954815589</t>
  </si>
  <si>
    <t>sqrt_fx4 = -4.60892103324096</t>
  </si>
  <si>
    <t>sqrt_is = -4.60892103324096</t>
  </si>
  <si>
    <t>topRadius = 0.3125</t>
  </si>
  <si>
    <t>topRadius2 = 0.09765625</t>
  </si>
  <si>
    <t>botRadius = 0.625</t>
  </si>
  <si>
    <t>botRadius2 = 0.390625</t>
  </si>
  <si>
    <t>step1 = 0.227864583333333</t>
  </si>
  <si>
    <t>step2 = 0.0651430507922102</t>
  </si>
  <si>
    <t>1m fairing base</t>
  </si>
  <si>
    <t>Atlas V</t>
  </si>
  <si>
    <t>item</t>
  </si>
  <si>
    <t>type</t>
  </si>
  <si>
    <t>t cone</t>
  </si>
  <si>
    <t>can</t>
  </si>
  <si>
    <t>dia1</t>
  </si>
  <si>
    <t>rad1</t>
  </si>
  <si>
    <t>dia2</t>
  </si>
  <si>
    <t>rad2</t>
  </si>
  <si>
    <t>-</t>
  </si>
  <si>
    <t>density</t>
  </si>
  <si>
    <t>trusst vol</t>
  </si>
  <si>
    <t>as vol</t>
  </si>
  <si>
    <t>ton/m3</t>
  </si>
  <si>
    <t>fairing</t>
  </si>
  <si>
    <t>ISAs</t>
  </si>
  <si>
    <t>5 short</t>
  </si>
  <si>
    <t>5 med</t>
  </si>
  <si>
    <t>5 long</t>
  </si>
  <si>
    <t>4 short</t>
  </si>
  <si>
    <t>4 med</t>
  </si>
  <si>
    <t>4 long</t>
  </si>
  <si>
    <t>A937</t>
  </si>
  <si>
    <t>adapter</t>
  </si>
  <si>
    <t>hgt1</t>
  </si>
  <si>
    <t>hgt2</t>
  </si>
  <si>
    <t>top area</t>
  </si>
  <si>
    <t>bot area</t>
  </si>
  <si>
    <t>vol</t>
  </si>
  <si>
    <t>Can_dia = 3.75</t>
  </si>
  <si>
    <t>Can_hgt = 0.2</t>
  </si>
  <si>
    <t>Can_dep = 0.625</t>
  </si>
  <si>
    <t>t cone = (r^2+rR+R^2)/2 pi h</t>
  </si>
  <si>
    <t>5m fairing base</t>
  </si>
  <si>
    <t>PayloadDec</t>
  </si>
  <si>
    <t>m5 KW</t>
  </si>
  <si>
    <t>bot hgt</t>
  </si>
  <si>
    <t>top hgt</t>
  </si>
  <si>
    <t>Can_density = 0.47</t>
  </si>
  <si>
    <t>wh</t>
  </si>
  <si>
    <t>t</t>
  </si>
  <si>
    <t>wid</t>
  </si>
  <si>
    <t>panels</t>
  </si>
  <si>
    <t>m^2</t>
  </si>
  <si>
    <t>static</t>
  </si>
  <si>
    <t>tracking</t>
  </si>
  <si>
    <t>charge</t>
  </si>
  <si>
    <t>Wh/L</t>
  </si>
  <si>
    <t>http://www.quallion.com/sub-sp-ql015ka.asp</t>
  </si>
  <si>
    <t>thich</t>
  </si>
  <si>
    <t>m^3</t>
  </si>
  <si>
    <t>Ah</t>
  </si>
  <si>
    <t>V</t>
  </si>
  <si>
    <t>http://www.quallion.com/sub-sp-ql075ka.asp</t>
  </si>
  <si>
    <t>omni</t>
  </si>
  <si>
    <t>dish2</t>
  </si>
  <si>
    <t>deep</t>
  </si>
  <si>
    <t>molniya</t>
  </si>
  <si>
    <t>RTGigaDish2</t>
  </si>
  <si>
    <t>RTLongDish2</t>
  </si>
  <si>
    <t>RTGigaDish1</t>
  </si>
  <si>
    <t>ORI350</t>
  </si>
  <si>
    <t>ORI69</t>
  </si>
  <si>
    <t>Fomal</t>
  </si>
  <si>
    <t>commDish</t>
  </si>
  <si>
    <t>RTShortDish2</t>
  </si>
  <si>
    <t>HGA</t>
  </si>
  <si>
    <t>TantA</t>
  </si>
  <si>
    <t>VegaC</t>
  </si>
  <si>
    <t>Alnair</t>
  </si>
  <si>
    <t>RTLongAnt3</t>
  </si>
  <si>
    <t>RTLongAnt2</t>
  </si>
  <si>
    <t>DF2</t>
  </si>
  <si>
    <t>medDishAnt</t>
  </si>
  <si>
    <t>KSO link</t>
  </si>
  <si>
    <t>giga1</t>
  </si>
  <si>
    <t>ori350</t>
  </si>
  <si>
    <t>giga2</t>
  </si>
  <si>
    <t>ori69</t>
  </si>
  <si>
    <t>long2</t>
  </si>
  <si>
    <t>fomal</t>
  </si>
  <si>
    <t>libra</t>
  </si>
  <si>
    <t>L4</t>
  </si>
  <si>
    <t>animated</t>
  </si>
  <si>
    <t>alnair</t>
  </si>
  <si>
    <t>Vega C</t>
  </si>
  <si>
    <t>Tant A</t>
  </si>
  <si>
    <t>Vega A</t>
  </si>
  <si>
    <t>Libra</t>
  </si>
  <si>
    <t>usage</t>
  </si>
  <si>
    <t>duna/L4</t>
  </si>
  <si>
    <t>diff</t>
  </si>
  <si>
    <t>DSN</t>
  </si>
  <si>
    <t>vegaC</t>
  </si>
  <si>
    <t>tantA</t>
  </si>
  <si>
    <t>commD</t>
  </si>
  <si>
    <t>angle1</t>
  </si>
  <si>
    <t>angle2</t>
  </si>
  <si>
    <t>watts1</t>
  </si>
  <si>
    <t>watts2</t>
  </si>
  <si>
    <t>mass1</t>
  </si>
  <si>
    <t>mass2</t>
  </si>
  <si>
    <t>wid1</t>
  </si>
  <si>
    <t>wid2</t>
  </si>
  <si>
    <t>same as:</t>
  </si>
  <si>
    <t>this:</t>
  </si>
  <si>
    <t>&lt;--</t>
  </si>
  <si>
    <t>fd</t>
  </si>
  <si>
    <t>ad</t>
  </si>
  <si>
    <t>fo</t>
  </si>
  <si>
    <t>ao</t>
  </si>
  <si>
    <t>TDRS-L</t>
  </si>
  <si>
    <t>mine</t>
  </si>
  <si>
    <t>LKO station</t>
  </si>
  <si>
    <t>LKO ship</t>
  </si>
  <si>
    <t>Mun net</t>
  </si>
  <si>
    <t>Minmus net</t>
  </si>
  <si>
    <t>Molniya L4</t>
  </si>
  <si>
    <t>long3</t>
  </si>
  <si>
    <t>hga</t>
  </si>
  <si>
    <t>tanta</t>
  </si>
  <si>
    <t>commd</t>
  </si>
  <si>
    <t>medish</t>
  </si>
  <si>
    <t>vegaA</t>
  </si>
  <si>
    <t>short2</t>
  </si>
  <si>
    <t>gnd link</t>
  </si>
  <si>
    <t>mun net</t>
  </si>
  <si>
    <t>minmus net</t>
  </si>
  <si>
    <t>hga x2</t>
  </si>
  <si>
    <t>com</t>
  </si>
  <si>
    <t>ant</t>
  </si>
  <si>
    <t>600 [4]</t>
  </si>
  <si>
    <t>14.0-17.0</t>
  </si>
  <si>
    <t>6.0-10.0</t>
  </si>
  <si>
    <t>617 [5]</t>
  </si>
  <si>
    <t>44.2-56.0</t>
  </si>
  <si>
    <t>20.0-24.0</t>
  </si>
  <si>
    <t>8.0-10.0</t>
  </si>
  <si>
    <t>10.0-15.0</t>
  </si>
  <si>
    <t>0.8-1.5</t>
  </si>
  <si>
    <t>625 [6]</t>
  </si>
  <si>
    <t>20.0-23.0</t>
  </si>
  <si>
    <t>3.15-4.15</t>
  </si>
  <si>
    <t>690 [7]</t>
  </si>
  <si>
    <t>718 [8]</t>
  </si>
  <si>
    <t>50.0-55.0</t>
  </si>
  <si>
    <t>17.0-21.0</t>
  </si>
  <si>
    <t>balance</t>
  </si>
  <si>
    <t>2.8-3.3</t>
  </si>
  <si>
    <t>4.75-5.5</t>
  </si>
  <si>
    <t>0.2-0.8</t>
  </si>
  <si>
    <t>0.65-1.15</t>
  </si>
  <si>
    <t>X-750 [9]</t>
  </si>
  <si>
    <t>5.0-9.0</t>
  </si>
  <si>
    <t>0.7-1.2</t>
  </si>
  <si>
    <t>0.4-1.0</t>
  </si>
  <si>
    <t>2.25-2.75</t>
  </si>
  <si>
    <t>Ni</t>
  </si>
  <si>
    <t>Cr</t>
  </si>
  <si>
    <t>Fe</t>
  </si>
  <si>
    <t>Mo</t>
  </si>
  <si>
    <t>Nb</t>
  </si>
  <si>
    <t>Co</t>
  </si>
  <si>
    <t>Mn</t>
  </si>
  <si>
    <t>Cu</t>
  </si>
  <si>
    <t>Al</t>
  </si>
  <si>
    <t>Ti</t>
  </si>
  <si>
    <t>Si</t>
  </si>
  <si>
    <t>C</t>
  </si>
  <si>
    <t>S</t>
  </si>
  <si>
    <t>P</t>
  </si>
  <si>
    <t>B</t>
  </si>
  <si>
    <t>5x</t>
  </si>
  <si>
    <t>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</si>
</sst>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"/>
    <numFmt numFmtId="165" formatCode="0.000"/>
    <numFmt numFmtId="166" formatCode="0.0"/>
    <numFmt numFmtId="169" formatCode="0.00000000000000"/>
    <numFmt numFmtId="171" formatCode="0.000000"/>
    <numFmt numFmtId="175" formatCode="_(* #,##0.000000_);_(* \(#,##0.000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3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0" borderId="0" xfId="1" applyAlignment="1">
      <alignment horizontal="left"/>
    </xf>
    <xf numFmtId="0" fontId="0" fillId="0" borderId="0" xfId="0" applyAlignment="1">
      <alignment horizontal="left"/>
    </xf>
    <xf numFmtId="175" fontId="0" fillId="0" borderId="0" xfId="2" applyNumberFormat="1" applyFont="1" applyAlignment="1">
      <alignment horizontal="center"/>
    </xf>
    <xf numFmtId="171" fontId="0" fillId="0" borderId="0" xfId="0" applyNumberFormat="1" applyAlignment="1">
      <alignment horizontal="right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4" fillId="9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3" fillId="10" borderId="0" xfId="0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quallion.com/sub-sp-ql075ka.asp" TargetMode="External"/><Relationship Id="rId1" Type="http://schemas.openxmlformats.org/officeDocument/2006/relationships/hyperlink" Target="http://www.quallion.com/sub-sp-ql015ka.asp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hromium" TargetMode="External"/><Relationship Id="rId13" Type="http://schemas.openxmlformats.org/officeDocument/2006/relationships/hyperlink" Target="https://en.wikipedia.org/wiki/Manganese" TargetMode="External"/><Relationship Id="rId18" Type="http://schemas.openxmlformats.org/officeDocument/2006/relationships/hyperlink" Target="https://en.wikipedia.org/wiki/Carbon" TargetMode="External"/><Relationship Id="rId3" Type="http://schemas.openxmlformats.org/officeDocument/2006/relationships/hyperlink" Target="https://en.wikipedia.org/wiki/Inconel" TargetMode="External"/><Relationship Id="rId21" Type="http://schemas.openxmlformats.org/officeDocument/2006/relationships/hyperlink" Target="https://en.wikipedia.org/wiki/Boron" TargetMode="External"/><Relationship Id="rId7" Type="http://schemas.openxmlformats.org/officeDocument/2006/relationships/hyperlink" Target="https://en.wikipedia.org/wiki/Nickel" TargetMode="External"/><Relationship Id="rId12" Type="http://schemas.openxmlformats.org/officeDocument/2006/relationships/hyperlink" Target="https://en.wikipedia.org/wiki/Cobalt" TargetMode="External"/><Relationship Id="rId17" Type="http://schemas.openxmlformats.org/officeDocument/2006/relationships/hyperlink" Target="https://en.wikipedia.org/wiki/Silicon" TargetMode="External"/><Relationship Id="rId2" Type="http://schemas.openxmlformats.org/officeDocument/2006/relationships/hyperlink" Target="https://en.wikipedia.org/wiki/Inconel" TargetMode="External"/><Relationship Id="rId16" Type="http://schemas.openxmlformats.org/officeDocument/2006/relationships/hyperlink" Target="https://en.wikipedia.org/wiki/Titanium" TargetMode="External"/><Relationship Id="rId20" Type="http://schemas.openxmlformats.org/officeDocument/2006/relationships/hyperlink" Target="https://en.wikipedia.org/wiki/Phosphorus" TargetMode="External"/><Relationship Id="rId1" Type="http://schemas.openxmlformats.org/officeDocument/2006/relationships/hyperlink" Target="https://en.wikipedia.org/wiki/Inconel" TargetMode="External"/><Relationship Id="rId6" Type="http://schemas.openxmlformats.org/officeDocument/2006/relationships/hyperlink" Target="https://en.wikipedia.org/wiki/Inconel" TargetMode="External"/><Relationship Id="rId11" Type="http://schemas.openxmlformats.org/officeDocument/2006/relationships/hyperlink" Target="https://en.wikipedia.org/wiki/Niobium" TargetMode="External"/><Relationship Id="rId5" Type="http://schemas.openxmlformats.org/officeDocument/2006/relationships/hyperlink" Target="https://en.wikipedia.org/wiki/Inconel" TargetMode="External"/><Relationship Id="rId15" Type="http://schemas.openxmlformats.org/officeDocument/2006/relationships/hyperlink" Target="https://en.wikipedia.org/wiki/Aluminium" TargetMode="External"/><Relationship Id="rId10" Type="http://schemas.openxmlformats.org/officeDocument/2006/relationships/hyperlink" Target="https://en.wikipedia.org/wiki/Molybdenum" TargetMode="External"/><Relationship Id="rId19" Type="http://schemas.openxmlformats.org/officeDocument/2006/relationships/hyperlink" Target="https://en.wikipedia.org/wiki/Sulfur" TargetMode="External"/><Relationship Id="rId4" Type="http://schemas.openxmlformats.org/officeDocument/2006/relationships/hyperlink" Target="https://en.wikipedia.org/wiki/Inconel" TargetMode="External"/><Relationship Id="rId9" Type="http://schemas.openxmlformats.org/officeDocument/2006/relationships/hyperlink" Target="https://en.wikipedia.org/wiki/Iron" TargetMode="External"/><Relationship Id="rId14" Type="http://schemas.openxmlformats.org/officeDocument/2006/relationships/hyperlink" Target="https://en.wikipedia.org/wiki/Copper" TargetMode="External"/><Relationship Id="rId22" Type="http://schemas.openxmlformats.org/officeDocument/2006/relationships/hyperlink" Target="https://en.wikipedia.org/wiki/Incone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T15" sqref="T15"/>
    </sheetView>
  </sheetViews>
  <sheetFormatPr defaultRowHeight="15" x14ac:dyDescent="0.25"/>
  <cols>
    <col min="1" max="1" width="7.42578125" style="1" bestFit="1" customWidth="1"/>
    <col min="2" max="2" width="6.85546875" style="1" bestFit="1" customWidth="1"/>
    <col min="3" max="3" width="1.85546875" style="1" customWidth="1"/>
    <col min="4" max="4" width="10.140625" style="1" bestFit="1" customWidth="1"/>
    <col min="5" max="5" width="12" style="1" bestFit="1" customWidth="1"/>
    <col min="6" max="6" width="1.7109375" style="1" customWidth="1"/>
    <col min="7" max="7" width="7.5703125" style="1" bestFit="1" customWidth="1"/>
    <col min="8" max="8" width="6.140625" style="1" bestFit="1" customWidth="1"/>
    <col min="9" max="9" width="1.42578125" style="1" customWidth="1"/>
    <col min="10" max="11" width="9.140625" style="1"/>
    <col min="12" max="12" width="6.140625" style="1" bestFit="1" customWidth="1"/>
    <col min="13" max="16384" width="9.140625" style="1"/>
  </cols>
  <sheetData>
    <row r="1" spans="1:20" x14ac:dyDescent="0.25">
      <c r="A1" s="1" t="s">
        <v>1</v>
      </c>
      <c r="L1" s="1" t="s">
        <v>67</v>
      </c>
    </row>
    <row r="2" spans="1:20" x14ac:dyDescent="0.25">
      <c r="A2" s="1">
        <v>250</v>
      </c>
      <c r="B2" s="1" t="s">
        <v>0</v>
      </c>
      <c r="D2" s="1" t="s">
        <v>4</v>
      </c>
      <c r="L2" s="1" t="s">
        <v>18</v>
      </c>
      <c r="N2" s="1" t="s">
        <v>103</v>
      </c>
      <c r="O2" s="1" t="s">
        <v>102</v>
      </c>
    </row>
    <row r="3" spans="1:20" x14ac:dyDescent="0.25">
      <c r="L3" s="1" t="s">
        <v>9</v>
      </c>
      <c r="N3" s="2">
        <v>1.78</v>
      </c>
      <c r="O3" s="2">
        <v>6400</v>
      </c>
    </row>
    <row r="4" spans="1:20" x14ac:dyDescent="0.25">
      <c r="A4" s="1" t="s">
        <v>2</v>
      </c>
      <c r="D4" s="1" t="s">
        <v>1</v>
      </c>
      <c r="G4" s="1" t="s">
        <v>12</v>
      </c>
      <c r="J4" s="1" t="s">
        <v>2</v>
      </c>
      <c r="L4" s="1" t="s">
        <v>8</v>
      </c>
      <c r="N4" s="1" t="s">
        <v>101</v>
      </c>
      <c r="O4" s="1" t="s">
        <v>104</v>
      </c>
    </row>
    <row r="5" spans="1:20" x14ac:dyDescent="0.25">
      <c r="A5" s="1">
        <f>100/5</f>
        <v>20</v>
      </c>
      <c r="B5" s="1" t="s">
        <v>3</v>
      </c>
      <c r="D5" s="1" t="s">
        <v>5</v>
      </c>
      <c r="G5" s="1" t="s">
        <v>5</v>
      </c>
      <c r="J5" s="1" t="s">
        <v>14</v>
      </c>
      <c r="L5" s="21">
        <f>D8</f>
        <v>6.9444444444444448E-2</v>
      </c>
      <c r="N5" s="21">
        <f>N3*3600</f>
        <v>6408</v>
      </c>
      <c r="O5" s="8">
        <f>O3/3600</f>
        <v>1.7777777777777777</v>
      </c>
    </row>
    <row r="6" spans="1:20" x14ac:dyDescent="0.25">
      <c r="D6" s="2">
        <v>2</v>
      </c>
      <c r="E6" s="1" t="s">
        <v>6</v>
      </c>
      <c r="G6" s="2">
        <v>150</v>
      </c>
      <c r="H6" s="1" t="s">
        <v>13</v>
      </c>
      <c r="J6" s="2">
        <v>150</v>
      </c>
      <c r="K6" s="1" t="s">
        <v>15</v>
      </c>
    </row>
    <row r="7" spans="1:20" x14ac:dyDescent="0.25">
      <c r="D7" s="2">
        <v>4</v>
      </c>
      <c r="E7" s="1" t="s">
        <v>7</v>
      </c>
      <c r="G7" s="3">
        <f>1/3600</f>
        <v>2.7777777777777778E-4</v>
      </c>
      <c r="H7" s="1" t="s">
        <v>8</v>
      </c>
      <c r="J7" s="10">
        <f>J6/A5</f>
        <v>7.5</v>
      </c>
      <c r="K7" s="1" t="s">
        <v>16</v>
      </c>
      <c r="N7" s="1" t="s">
        <v>42</v>
      </c>
      <c r="O7" s="2">
        <v>1.78</v>
      </c>
      <c r="P7" s="1" t="s">
        <v>9</v>
      </c>
    </row>
    <row r="8" spans="1:20" x14ac:dyDescent="0.25">
      <c r="D8" s="3">
        <f>250/3600</f>
        <v>6.9444444444444448E-2</v>
      </c>
      <c r="E8" s="1" t="s">
        <v>8</v>
      </c>
      <c r="G8" s="7">
        <f>G7*G6</f>
        <v>4.1666666666666664E-2</v>
      </c>
      <c r="H8" s="1" t="s">
        <v>9</v>
      </c>
      <c r="J8" s="7">
        <f>J7/1000</f>
        <v>7.4999999999999997E-3</v>
      </c>
      <c r="K8" s="1" t="s">
        <v>17</v>
      </c>
      <c r="N8" s="1" t="s">
        <v>105</v>
      </c>
      <c r="O8" s="1">
        <v>4800</v>
      </c>
      <c r="P8" s="1" t="s">
        <v>106</v>
      </c>
    </row>
    <row r="9" spans="1:20" x14ac:dyDescent="0.25">
      <c r="D9" s="7">
        <f>D8*D7*D6</f>
        <v>0.55555555555555558</v>
      </c>
      <c r="E9" s="1" t="s">
        <v>9</v>
      </c>
      <c r="G9" s="8">
        <f>60*G8</f>
        <v>2.5</v>
      </c>
      <c r="H9" s="1" t="s">
        <v>10</v>
      </c>
      <c r="N9" s="1" t="s">
        <v>60</v>
      </c>
      <c r="O9" s="10">
        <f>O7*O8</f>
        <v>8544</v>
      </c>
    </row>
    <row r="10" spans="1:20" x14ac:dyDescent="0.25">
      <c r="D10" s="8">
        <f>60*D9</f>
        <v>33.333333333333336</v>
      </c>
      <c r="E10" s="1" t="s">
        <v>10</v>
      </c>
      <c r="G10" s="9">
        <f>60*G9</f>
        <v>150</v>
      </c>
      <c r="H10" s="1" t="s">
        <v>11</v>
      </c>
    </row>
    <row r="11" spans="1:20" x14ac:dyDescent="0.25">
      <c r="D11" s="9">
        <f>60*D10</f>
        <v>2000.0000000000002</v>
      </c>
      <c r="E11" s="1" t="s">
        <v>11</v>
      </c>
      <c r="N11" s="1" t="s">
        <v>42</v>
      </c>
      <c r="O11" s="2">
        <v>0.14000000000000001</v>
      </c>
      <c r="P11" s="1" t="s">
        <v>9</v>
      </c>
    </row>
    <row r="12" spans="1:20" x14ac:dyDescent="0.25">
      <c r="N12" s="1" t="s">
        <v>105</v>
      </c>
      <c r="O12" s="1">
        <f>10*60</f>
        <v>600</v>
      </c>
      <c r="P12" s="1" t="s">
        <v>106</v>
      </c>
    </row>
    <row r="13" spans="1:20" x14ac:dyDescent="0.25">
      <c r="N13" s="1" t="s">
        <v>60</v>
      </c>
      <c r="O13" s="10">
        <f>O11*O12</f>
        <v>84.000000000000014</v>
      </c>
    </row>
    <row r="14" spans="1:20" x14ac:dyDescent="0.25">
      <c r="D14" s="1" t="s">
        <v>81</v>
      </c>
      <c r="E14" s="1" t="s">
        <v>83</v>
      </c>
    </row>
    <row r="15" spans="1:20" x14ac:dyDescent="0.25">
      <c r="D15" s="25">
        <f>600000</f>
        <v>600000</v>
      </c>
      <c r="E15" s="15">
        <f>D15+D17</f>
        <v>3468750</v>
      </c>
      <c r="R15" s="1">
        <v>0.33</v>
      </c>
      <c r="S15" s="1">
        <v>0.76</v>
      </c>
      <c r="T15" s="1">
        <f>R15*S15</f>
        <v>0.25080000000000002</v>
      </c>
    </row>
    <row r="16" spans="1:20" x14ac:dyDescent="0.25">
      <c r="D16" s="1" t="s">
        <v>80</v>
      </c>
      <c r="E16" s="1" t="s">
        <v>82</v>
      </c>
      <c r="R16" s="1">
        <v>0.05</v>
      </c>
      <c r="S16" s="1">
        <v>0.76</v>
      </c>
      <c r="T16" s="1">
        <f>R16*S16</f>
        <v>3.8000000000000006E-2</v>
      </c>
    </row>
    <row r="17" spans="4:5" x14ac:dyDescent="0.25">
      <c r="D17" s="25">
        <v>2868750</v>
      </c>
      <c r="E17" s="1">
        <f>D15/E15</f>
        <v>0.17297297297297298</v>
      </c>
    </row>
    <row r="18" spans="4:5" x14ac:dyDescent="0.25">
      <c r="D18" s="1" t="s">
        <v>55</v>
      </c>
      <c r="E18" s="1" t="s">
        <v>84</v>
      </c>
    </row>
    <row r="19" spans="4:5" x14ac:dyDescent="0.25">
      <c r="D19" s="26">
        <v>3531600000000</v>
      </c>
      <c r="E19" s="17">
        <f>ASIN(E17)</f>
        <v>0.17384734576954017</v>
      </c>
    </row>
    <row r="20" spans="4:5" x14ac:dyDescent="0.25">
      <c r="D20" s="29" t="s">
        <v>87</v>
      </c>
      <c r="E20" s="1" t="s">
        <v>85</v>
      </c>
    </row>
    <row r="21" spans="4:5" x14ac:dyDescent="0.25">
      <c r="D21" s="29" t="s">
        <v>88</v>
      </c>
      <c r="E21" s="17">
        <f>2*E15^2</f>
        <v>24064453125000</v>
      </c>
    </row>
    <row r="22" spans="4:5" x14ac:dyDescent="0.25">
      <c r="D22" s="20">
        <f>E21/E23*E19</f>
        <v>1195.2859282940951</v>
      </c>
      <c r="E22" s="1" t="s">
        <v>86</v>
      </c>
    </row>
    <row r="23" spans="4:5" x14ac:dyDescent="0.25">
      <c r="D23" s="29" t="s">
        <v>89</v>
      </c>
      <c r="E23" s="17">
        <f>SQRT(E15*D19)</f>
        <v>3500033928.4069805</v>
      </c>
    </row>
    <row r="24" spans="4:5" x14ac:dyDescent="0.25">
      <c r="D24" s="1" t="s">
        <v>12</v>
      </c>
    </row>
    <row r="25" spans="4:5" x14ac:dyDescent="0.25">
      <c r="D25" s="30">
        <v>0.19</v>
      </c>
    </row>
    <row r="26" spans="4:5" x14ac:dyDescent="0.25">
      <c r="D26" s="1" t="s">
        <v>42</v>
      </c>
    </row>
    <row r="27" spans="4:5" x14ac:dyDescent="0.25">
      <c r="D27" s="1">
        <f>D25*D22</f>
        <v>227.10432637587809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5" sqref="A5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244</v>
      </c>
      <c r="B1" s="1" t="s">
        <v>142</v>
      </c>
      <c r="C1" s="1" t="s">
        <v>245</v>
      </c>
      <c r="D1" s="1" t="s">
        <v>246</v>
      </c>
      <c r="E1" s="1" t="s">
        <v>67</v>
      </c>
      <c r="F1" s="1" t="s">
        <v>9</v>
      </c>
      <c r="G1" s="1" t="s">
        <v>247</v>
      </c>
      <c r="H1" s="1" t="s">
        <v>248</v>
      </c>
    </row>
    <row r="2" spans="1:8" x14ac:dyDescent="0.25">
      <c r="A2" s="2">
        <v>0.9</v>
      </c>
      <c r="B2" s="2">
        <v>0.8</v>
      </c>
      <c r="C2" s="2">
        <v>4</v>
      </c>
      <c r="D2" s="1">
        <f>A2*B2*C2</f>
        <v>2.8800000000000003</v>
      </c>
      <c r="E2" s="1">
        <f>250*D2</f>
        <v>720.00000000000011</v>
      </c>
      <c r="F2" s="7">
        <f>E2/3600</f>
        <v>0.20000000000000004</v>
      </c>
      <c r="G2" s="29">
        <f>A2*B2*C2*1*0.03</f>
        <v>8.6400000000000005E-2</v>
      </c>
      <c r="H2" s="35">
        <f>G2*1.25</f>
        <v>0.10800000000000001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13" sqref="E13"/>
    </sheetView>
  </sheetViews>
  <sheetFormatPr defaultColWidth="8.42578125" defaultRowHeight="15" x14ac:dyDescent="0.25"/>
  <cols>
    <col min="1" max="4" width="8.42578125" style="1"/>
    <col min="5" max="5" width="12.5703125" style="1" bestFit="1" customWidth="1"/>
    <col min="6" max="7" width="8.42578125" style="1"/>
    <col min="8" max="8" width="28.5703125" style="1" bestFit="1" customWidth="1"/>
    <col min="9" max="16384" width="8.42578125" style="1"/>
  </cols>
  <sheetData>
    <row r="1" spans="1:13" x14ac:dyDescent="0.25">
      <c r="A1" s="1" t="s">
        <v>138</v>
      </c>
      <c r="B1" s="1" t="s">
        <v>142</v>
      </c>
      <c r="C1" s="1" t="s">
        <v>73</v>
      </c>
      <c r="D1" s="1" t="s">
        <v>231</v>
      </c>
      <c r="E1" s="1" t="s">
        <v>14</v>
      </c>
      <c r="F1" s="1" t="s">
        <v>249</v>
      </c>
      <c r="K1" s="36" t="s">
        <v>251</v>
      </c>
    </row>
    <row r="2" spans="1:13" x14ac:dyDescent="0.25">
      <c r="A2" s="2">
        <v>0.625</v>
      </c>
      <c r="B2" s="2">
        <v>0.83</v>
      </c>
      <c r="C2" s="1">
        <f>A2/2</f>
        <v>0.3125</v>
      </c>
      <c r="D2" s="1">
        <f>PI()*C2^2*B2</f>
        <v>0.25464081078901646</v>
      </c>
      <c r="E2" s="35">
        <f>D2*2.4</f>
        <v>0.61113794589363946</v>
      </c>
      <c r="F2" s="10">
        <f>D2*30000</f>
        <v>7639.2243236704935</v>
      </c>
      <c r="H2" s="1">
        <f>1/150</f>
        <v>6.6666666666666671E-3</v>
      </c>
      <c r="K2" s="1">
        <v>150</v>
      </c>
      <c r="L2" s="1" t="s">
        <v>3</v>
      </c>
    </row>
    <row r="3" spans="1:13" x14ac:dyDescent="0.25">
      <c r="A3" s="2">
        <v>0.25</v>
      </c>
      <c r="B3" s="2">
        <v>0.25</v>
      </c>
      <c r="C3" s="1">
        <f>A3/2</f>
        <v>0.125</v>
      </c>
      <c r="D3" s="1">
        <f>PI()*C3^2*B3</f>
        <v>1.2271846303085129E-2</v>
      </c>
      <c r="E3" s="35">
        <f>D3*2.1</f>
        <v>2.5770877236478772E-2</v>
      </c>
      <c r="F3" s="10">
        <f>D3*30000</f>
        <v>368.15538909255389</v>
      </c>
      <c r="H3" s="38">
        <f>H2/1000</f>
        <v>6.6666666666666675E-6</v>
      </c>
      <c r="K3" s="1">
        <v>295</v>
      </c>
      <c r="L3" s="1" t="s">
        <v>250</v>
      </c>
    </row>
    <row r="4" spans="1:13" x14ac:dyDescent="0.25">
      <c r="K4" s="1">
        <f>88.3/1000</f>
        <v>8.8300000000000003E-2</v>
      </c>
      <c r="L4" s="1" t="s">
        <v>142</v>
      </c>
    </row>
    <row r="5" spans="1:13" x14ac:dyDescent="0.25">
      <c r="H5" s="1">
        <v>2.1</v>
      </c>
      <c r="K5" s="1">
        <f>54.5/1000</f>
        <v>5.45E-2</v>
      </c>
      <c r="L5" s="1" t="s">
        <v>244</v>
      </c>
    </row>
    <row r="6" spans="1:13" x14ac:dyDescent="0.25">
      <c r="H6" s="1">
        <v>300000</v>
      </c>
      <c r="K6" s="1">
        <f>38/1000</f>
        <v>3.7999999999999999E-2</v>
      </c>
      <c r="L6" s="1" t="s">
        <v>252</v>
      </c>
    </row>
    <row r="7" spans="1:13" x14ac:dyDescent="0.25">
      <c r="H7" s="39">
        <f>H5/H6</f>
        <v>6.9999999999999999E-6</v>
      </c>
      <c r="K7" s="1">
        <f>K4*K5*K6</f>
        <v>1.8286929999999999E-4</v>
      </c>
      <c r="L7" s="1" t="s">
        <v>253</v>
      </c>
    </row>
    <row r="8" spans="1:13" x14ac:dyDescent="0.25">
      <c r="K8" s="1">
        <v>15</v>
      </c>
      <c r="L8" s="1" t="s">
        <v>254</v>
      </c>
    </row>
    <row r="9" spans="1:13" x14ac:dyDescent="0.25">
      <c r="K9" s="1">
        <v>3.6</v>
      </c>
      <c r="L9" s="1" t="s">
        <v>255</v>
      </c>
    </row>
    <row r="10" spans="1:13" x14ac:dyDescent="0.25">
      <c r="E10" s="1">
        <v>1</v>
      </c>
      <c r="K10" s="1">
        <f>K8*K9</f>
        <v>54</v>
      </c>
      <c r="L10" s="1" t="s">
        <v>15</v>
      </c>
    </row>
    <row r="11" spans="1:13" x14ac:dyDescent="0.25">
      <c r="E11" s="1">
        <f>E10/250</f>
        <v>4.0000000000000001E-3</v>
      </c>
    </row>
    <row r="12" spans="1:13" x14ac:dyDescent="0.25">
      <c r="E12" s="1">
        <f>E11*3600</f>
        <v>14.4</v>
      </c>
      <c r="K12" s="36" t="s">
        <v>256</v>
      </c>
    </row>
    <row r="13" spans="1:13" x14ac:dyDescent="0.25">
      <c r="E13" s="24">
        <f>E12*0.02</f>
        <v>0.28800000000000003</v>
      </c>
      <c r="K13" s="1">
        <v>142</v>
      </c>
      <c r="L13" s="1" t="s">
        <v>3</v>
      </c>
    </row>
    <row r="14" spans="1:13" x14ac:dyDescent="0.25">
      <c r="K14" s="1">
        <v>330</v>
      </c>
      <c r="L14" s="1" t="s">
        <v>250</v>
      </c>
    </row>
    <row r="15" spans="1:13" x14ac:dyDescent="0.25">
      <c r="K15" s="1">
        <f>M15/1000</f>
        <v>0.17369999999999999</v>
      </c>
      <c r="L15" s="1" t="s">
        <v>142</v>
      </c>
      <c r="M15" s="1">
        <v>173.7</v>
      </c>
    </row>
    <row r="16" spans="1:13" x14ac:dyDescent="0.25">
      <c r="K16" s="1">
        <f>M16/1000</f>
        <v>8.09E-2</v>
      </c>
      <c r="L16" s="1" t="s">
        <v>244</v>
      </c>
      <c r="M16" s="1">
        <v>80.900000000000006</v>
      </c>
    </row>
    <row r="17" spans="11:13" x14ac:dyDescent="0.25">
      <c r="K17" s="1">
        <f>M17/1000</f>
        <v>5.62E-2</v>
      </c>
      <c r="L17" s="1" t="s">
        <v>252</v>
      </c>
      <c r="M17" s="1">
        <v>56.2</v>
      </c>
    </row>
    <row r="18" spans="11:13" x14ac:dyDescent="0.25">
      <c r="K18" s="1">
        <f>K15*K16*K17</f>
        <v>7.8974094600000005E-4</v>
      </c>
      <c r="L18" s="1" t="s">
        <v>253</v>
      </c>
    </row>
    <row r="19" spans="11:13" x14ac:dyDescent="0.25">
      <c r="K19" s="1">
        <v>72</v>
      </c>
      <c r="L19" s="1" t="s">
        <v>254</v>
      </c>
    </row>
    <row r="20" spans="11:13" x14ac:dyDescent="0.25">
      <c r="K20" s="1">
        <v>3.6</v>
      </c>
      <c r="L20" s="1" t="s">
        <v>255</v>
      </c>
    </row>
    <row r="21" spans="11:13" x14ac:dyDescent="0.25">
      <c r="K21" s="1">
        <f>K19*K20</f>
        <v>259.2</v>
      </c>
      <c r="L21" s="1" t="s">
        <v>15</v>
      </c>
    </row>
  </sheetData>
  <hyperlinks>
    <hyperlink ref="K1" r:id="rId1"/>
    <hyperlink ref="K1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M18" sqref="M18:M19"/>
    </sheetView>
  </sheetViews>
  <sheetFormatPr defaultRowHeight="15" x14ac:dyDescent="0.25"/>
  <cols>
    <col min="1" max="16384" width="9.140625" style="1"/>
  </cols>
  <sheetData>
    <row r="1" spans="1:17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7" ht="15.75" thickBo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7" ht="15.75" thickBot="1" x14ac:dyDescent="0.3">
      <c r="A3" s="53"/>
      <c r="B3" s="54" t="s">
        <v>360</v>
      </c>
      <c r="C3" s="54" t="s">
        <v>361</v>
      </c>
      <c r="D3" s="54" t="s">
        <v>362</v>
      </c>
      <c r="E3" s="54" t="s">
        <v>363</v>
      </c>
      <c r="F3" s="54" t="s">
        <v>364</v>
      </c>
      <c r="G3" s="54" t="s">
        <v>365</v>
      </c>
      <c r="H3" s="54" t="s">
        <v>366</v>
      </c>
      <c r="I3" s="54" t="s">
        <v>367</v>
      </c>
      <c r="J3" s="54" t="s">
        <v>368</v>
      </c>
      <c r="K3" s="54" t="s">
        <v>369</v>
      </c>
      <c r="L3" s="54" t="s">
        <v>370</v>
      </c>
      <c r="M3" s="54" t="s">
        <v>371</v>
      </c>
      <c r="N3" s="54" t="s">
        <v>372</v>
      </c>
      <c r="O3" s="54" t="s">
        <v>373</v>
      </c>
      <c r="P3" s="54" t="s">
        <v>374</v>
      </c>
    </row>
    <row r="4" spans="1:17" ht="15.75" thickBot="1" x14ac:dyDescent="0.3">
      <c r="A4" s="55" t="s">
        <v>334</v>
      </c>
      <c r="B4" s="56">
        <v>72</v>
      </c>
      <c r="C4" s="56" t="s">
        <v>335</v>
      </c>
      <c r="D4" s="56" t="s">
        <v>336</v>
      </c>
      <c r="E4" s="56"/>
      <c r="F4" s="56"/>
      <c r="G4" s="56"/>
      <c r="H4" s="56">
        <v>1</v>
      </c>
      <c r="I4" s="56">
        <v>0.5</v>
      </c>
      <c r="J4" s="56"/>
      <c r="K4" s="56"/>
      <c r="L4" s="56">
        <v>0.5</v>
      </c>
      <c r="M4" s="56">
        <v>0.15</v>
      </c>
      <c r="N4" s="56">
        <v>1.4999999999999999E-2</v>
      </c>
      <c r="O4" s="56"/>
      <c r="P4" s="56"/>
    </row>
    <row r="5" spans="1:17" ht="15.75" thickBot="1" x14ac:dyDescent="0.3">
      <c r="A5" s="55" t="s">
        <v>337</v>
      </c>
      <c r="B5" s="56" t="s">
        <v>338</v>
      </c>
      <c r="C5" s="56" t="s">
        <v>339</v>
      </c>
      <c r="D5" s="56">
        <v>3</v>
      </c>
      <c r="E5" s="56" t="s">
        <v>340</v>
      </c>
      <c r="F5" s="56"/>
      <c r="G5" s="56" t="s">
        <v>341</v>
      </c>
      <c r="H5" s="56">
        <v>0.5</v>
      </c>
      <c r="I5" s="56">
        <v>0.5</v>
      </c>
      <c r="J5" s="56" t="s">
        <v>342</v>
      </c>
      <c r="K5" s="56">
        <v>0.6</v>
      </c>
      <c r="L5" s="56">
        <v>0.5</v>
      </c>
      <c r="M5" s="56">
        <v>0.15</v>
      </c>
      <c r="N5" s="56">
        <v>1.4999999999999999E-2</v>
      </c>
      <c r="O5" s="56">
        <v>1.4999999999999999E-2</v>
      </c>
      <c r="P5" s="56">
        <v>6.0000000000000001E-3</v>
      </c>
    </row>
    <row r="6" spans="1:17" ht="15.75" thickBot="1" x14ac:dyDescent="0.3">
      <c r="A6" s="55" t="s">
        <v>343</v>
      </c>
      <c r="B6" s="56">
        <v>58</v>
      </c>
      <c r="C6" s="56" t="s">
        <v>344</v>
      </c>
      <c r="D6" s="56">
        <v>5</v>
      </c>
      <c r="E6" s="56" t="s">
        <v>340</v>
      </c>
      <c r="F6" s="56" t="s">
        <v>345</v>
      </c>
      <c r="G6" s="56">
        <v>1</v>
      </c>
      <c r="H6" s="56">
        <v>0.5</v>
      </c>
      <c r="I6" s="56"/>
      <c r="J6" s="56">
        <v>0.4</v>
      </c>
      <c r="K6" s="56">
        <v>0.4</v>
      </c>
      <c r="L6" s="56">
        <v>0.5</v>
      </c>
      <c r="M6" s="56">
        <v>0.1</v>
      </c>
      <c r="N6" s="56">
        <v>1.4999999999999999E-2</v>
      </c>
      <c r="O6" s="56">
        <v>1.4999999999999999E-2</v>
      </c>
      <c r="P6" s="56"/>
    </row>
    <row r="7" spans="1:17" ht="15.75" thickBot="1" x14ac:dyDescent="0.3">
      <c r="A7" s="55" t="s">
        <v>346</v>
      </c>
      <c r="B7" s="56">
        <v>59.5</v>
      </c>
      <c r="C7" s="56">
        <v>30</v>
      </c>
      <c r="D7" s="56">
        <v>9.1999999999999993</v>
      </c>
      <c r="E7" s="56"/>
      <c r="F7" s="56"/>
      <c r="G7" s="56"/>
      <c r="H7" s="56">
        <v>0.35</v>
      </c>
      <c r="I7" s="56">
        <v>0.01</v>
      </c>
      <c r="J7" s="56">
        <v>0.02</v>
      </c>
      <c r="K7" s="56"/>
      <c r="L7" s="56">
        <v>0.35</v>
      </c>
      <c r="M7" s="56">
        <v>1.9E-2</v>
      </c>
      <c r="N7" s="56">
        <v>3.0000000000000001E-3</v>
      </c>
      <c r="O7" s="56"/>
      <c r="P7" s="56"/>
    </row>
    <row r="8" spans="1:17" ht="15.75" thickBot="1" x14ac:dyDescent="0.3">
      <c r="A8" s="55" t="s">
        <v>347</v>
      </c>
      <c r="B8" s="56" t="s">
        <v>348</v>
      </c>
      <c r="C8" s="56" t="s">
        <v>349</v>
      </c>
      <c r="D8" s="56" t="s">
        <v>350</v>
      </c>
      <c r="E8" s="56" t="s">
        <v>351</v>
      </c>
      <c r="F8" s="56" t="s">
        <v>352</v>
      </c>
      <c r="G8" s="56">
        <v>1</v>
      </c>
      <c r="H8" s="56">
        <v>0.35</v>
      </c>
      <c r="I8" s="56" t="s">
        <v>353</v>
      </c>
      <c r="J8" s="56" t="s">
        <v>354</v>
      </c>
      <c r="K8" s="56">
        <v>0.3</v>
      </c>
      <c r="L8" s="56">
        <v>0.35</v>
      </c>
      <c r="M8" s="56">
        <v>0.08</v>
      </c>
      <c r="N8" s="56">
        <v>1.4999999999999999E-2</v>
      </c>
      <c r="O8" s="56">
        <v>1.4999999999999999E-2</v>
      </c>
      <c r="P8" s="56">
        <v>6.0000000000000001E-3</v>
      </c>
    </row>
    <row r="9" spans="1:17" ht="15.75" thickBot="1" x14ac:dyDescent="0.3">
      <c r="A9" s="55" t="s">
        <v>355</v>
      </c>
      <c r="B9" s="56">
        <v>70</v>
      </c>
      <c r="C9" s="56" t="s">
        <v>335</v>
      </c>
      <c r="D9" s="56" t="s">
        <v>356</v>
      </c>
      <c r="E9" s="56"/>
      <c r="F9" s="56" t="s">
        <v>357</v>
      </c>
      <c r="G9" s="56">
        <v>1</v>
      </c>
      <c r="H9" s="56">
        <v>1</v>
      </c>
      <c r="I9" s="56">
        <v>0.5</v>
      </c>
      <c r="J9" s="56" t="s">
        <v>358</v>
      </c>
      <c r="K9" s="56" t="s">
        <v>359</v>
      </c>
      <c r="L9" s="56">
        <v>0.5</v>
      </c>
      <c r="M9" s="56">
        <v>0.08</v>
      </c>
      <c r="N9" s="56">
        <v>0.01</v>
      </c>
      <c r="O9" s="56"/>
      <c r="P9" s="57"/>
    </row>
    <row r="10" spans="1:17" x14ac:dyDescent="0.25">
      <c r="A10" s="40"/>
      <c r="B10" s="58">
        <v>8.9079999999999995</v>
      </c>
      <c r="C10" s="58">
        <v>7.19</v>
      </c>
      <c r="D10" s="58">
        <v>7.8739999999999997</v>
      </c>
      <c r="E10" s="58">
        <v>10.28</v>
      </c>
      <c r="F10" s="58">
        <v>8.57</v>
      </c>
      <c r="G10" s="58">
        <v>8.9</v>
      </c>
      <c r="H10" s="58">
        <v>7.21</v>
      </c>
      <c r="I10" s="58">
        <v>8.9600000000000009</v>
      </c>
      <c r="J10" s="40">
        <v>2.7</v>
      </c>
      <c r="K10" s="40">
        <v>4.5060000000000002</v>
      </c>
      <c r="L10" s="40">
        <v>2.3290000000000002</v>
      </c>
      <c r="M10" s="40">
        <v>2</v>
      </c>
      <c r="N10" s="40">
        <v>2.0699999999999998</v>
      </c>
      <c r="O10" s="40">
        <v>2.4</v>
      </c>
      <c r="P10" s="40">
        <v>2.08</v>
      </c>
    </row>
    <row r="11" spans="1:17" ht="15.75" thickBot="1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</row>
    <row r="12" spans="1:17" ht="15.75" thickBot="1" x14ac:dyDescent="0.3">
      <c r="A12" s="55" t="s">
        <v>334</v>
      </c>
      <c r="B12" s="56">
        <v>72</v>
      </c>
      <c r="C12" s="56">
        <f>AVERAGE(14,17)</f>
        <v>15.5</v>
      </c>
      <c r="D12" s="56">
        <v>10.335000000000001</v>
      </c>
      <c r="E12" s="56"/>
      <c r="F12" s="56"/>
      <c r="G12" s="56"/>
      <c r="H12" s="56">
        <v>1</v>
      </c>
      <c r="I12" s="56">
        <v>0.5</v>
      </c>
      <c r="J12" s="56"/>
      <c r="K12" s="56"/>
      <c r="L12" s="56">
        <v>0.5</v>
      </c>
      <c r="M12" s="56">
        <v>0.15</v>
      </c>
      <c r="N12" s="56">
        <v>1.4999999999999999E-2</v>
      </c>
      <c r="O12" s="56"/>
      <c r="P12" s="56"/>
      <c r="Q12" s="1">
        <f>SUM(B12:P12)</f>
        <v>100.00000000000001</v>
      </c>
    </row>
    <row r="13" spans="1:17" x14ac:dyDescent="0.25">
      <c r="A13" s="59">
        <f>SUM(B13:P13)</f>
        <v>8.4738433999999998</v>
      </c>
      <c r="B13" s="40">
        <f>B12*B10/100</f>
        <v>6.4137599999999999</v>
      </c>
      <c r="C13" s="40">
        <f t="shared" ref="C13:P13" si="0">C12*C10/100</f>
        <v>1.1144500000000002</v>
      </c>
      <c r="D13" s="40">
        <f t="shared" si="0"/>
        <v>0.81377790000000005</v>
      </c>
      <c r="E13" s="40">
        <f t="shared" si="0"/>
        <v>0</v>
      </c>
      <c r="F13" s="40">
        <f t="shared" si="0"/>
        <v>0</v>
      </c>
      <c r="G13" s="40">
        <f t="shared" si="0"/>
        <v>0</v>
      </c>
      <c r="H13" s="40">
        <f t="shared" si="0"/>
        <v>7.2099999999999997E-2</v>
      </c>
      <c r="I13" s="40">
        <f t="shared" si="0"/>
        <v>4.4800000000000006E-2</v>
      </c>
      <c r="J13" s="40">
        <f t="shared" si="0"/>
        <v>0</v>
      </c>
      <c r="K13" s="40">
        <f t="shared" si="0"/>
        <v>0</v>
      </c>
      <c r="L13" s="40">
        <f t="shared" si="0"/>
        <v>1.1645000000000001E-2</v>
      </c>
      <c r="M13" s="40">
        <f t="shared" si="0"/>
        <v>3.0000000000000001E-3</v>
      </c>
      <c r="N13" s="40">
        <f t="shared" si="0"/>
        <v>3.1049999999999996E-4</v>
      </c>
      <c r="O13" s="40">
        <f t="shared" si="0"/>
        <v>0</v>
      </c>
      <c r="P13" s="40">
        <f t="shared" si="0"/>
        <v>0</v>
      </c>
    </row>
    <row r="14" spans="1:17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1:17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</row>
    <row r="18" spans="12:13" x14ac:dyDescent="0.25">
      <c r="L18" s="1">
        <v>0.54</v>
      </c>
      <c r="M18" s="1">
        <f>3*L18</f>
        <v>1.62</v>
      </c>
    </row>
    <row r="19" spans="12:13" x14ac:dyDescent="0.25">
      <c r="L19" s="1">
        <v>0.26</v>
      </c>
      <c r="M19" s="1">
        <f>3*L19</f>
        <v>0.78</v>
      </c>
    </row>
  </sheetData>
  <hyperlinks>
    <hyperlink ref="A4" r:id="rId1" location="cite_note-4" display="https://en.wikipedia.org/wiki/Inconel - cite_note-4"/>
    <hyperlink ref="A5" r:id="rId2" location="cite_note-5" display="https://en.wikipedia.org/wiki/Inconel - cite_note-5"/>
    <hyperlink ref="A6" r:id="rId3" location="cite_note-6" display="https://en.wikipedia.org/wiki/Inconel - cite_note-6"/>
    <hyperlink ref="A7" r:id="rId4" location="cite_note-7" display="https://en.wikipedia.org/wiki/Inconel - cite_note-7"/>
    <hyperlink ref="A8" r:id="rId5" location="cite_note-8" display="https://en.wikipedia.org/wiki/Inconel - cite_note-8"/>
    <hyperlink ref="A9" r:id="rId6" location="cite_note-9" display="https://en.wikipedia.org/wiki/Inconel - cite_note-9"/>
    <hyperlink ref="B3" r:id="rId7" tooltip="Nickel" display="https://en.wikipedia.org/wiki/Nickel"/>
    <hyperlink ref="C3" r:id="rId8" tooltip="Chromium" display="https://en.wikipedia.org/wiki/Chromium"/>
    <hyperlink ref="D3" r:id="rId9" tooltip="Iron" display="https://en.wikipedia.org/wiki/Iron"/>
    <hyperlink ref="E3" r:id="rId10" tooltip="Molybdenum" display="https://en.wikipedia.org/wiki/Molybdenum"/>
    <hyperlink ref="F3" r:id="rId11" tooltip="Niobium" display="https://en.wikipedia.org/wiki/Niobium"/>
    <hyperlink ref="G3" r:id="rId12" tooltip="Cobalt" display="https://en.wikipedia.org/wiki/Cobalt"/>
    <hyperlink ref="H3" r:id="rId13" tooltip="Manganese" display="https://en.wikipedia.org/wiki/Manganese"/>
    <hyperlink ref="I3" r:id="rId14" tooltip="Copper" display="https://en.wikipedia.org/wiki/Copper"/>
    <hyperlink ref="J3" r:id="rId15" tooltip="Aluminium" display="https://en.wikipedia.org/wiki/Aluminium"/>
    <hyperlink ref="K3" r:id="rId16" tooltip="Titanium" display="https://en.wikipedia.org/wiki/Titanium"/>
    <hyperlink ref="L3" r:id="rId17" tooltip="Silicon" display="https://en.wikipedia.org/wiki/Silicon"/>
    <hyperlink ref="M3" r:id="rId18" tooltip="Carbon" display="https://en.wikipedia.org/wiki/Carbon"/>
    <hyperlink ref="N3" r:id="rId19" tooltip="Sulfur" display="https://en.wikipedia.org/wiki/Sulfur"/>
    <hyperlink ref="O3" r:id="rId20" tooltip="Phosphorus" display="https://en.wikipedia.org/wiki/Phosphorus"/>
    <hyperlink ref="P3" r:id="rId21" tooltip="Boron" display="https://en.wikipedia.org/wiki/Boron"/>
    <hyperlink ref="A12" r:id="rId22" location="cite_note-4" display="https://en.wikipedia.org/wiki/Inconel - cite_note-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5"/>
  <sheetViews>
    <sheetView workbookViewId="0">
      <selection activeCell="A13" sqref="A13"/>
    </sheetView>
  </sheetViews>
  <sheetFormatPr defaultRowHeight="15" x14ac:dyDescent="0.25"/>
  <cols>
    <col min="1" max="2" width="9.140625" style="1"/>
    <col min="3" max="3" width="10.42578125" style="1" bestFit="1" customWidth="1"/>
    <col min="4" max="4" width="9.140625" style="1"/>
    <col min="5" max="5" width="15.28515625" style="1" bestFit="1" customWidth="1"/>
    <col min="6" max="6" width="8.42578125" style="1" bestFit="1" customWidth="1"/>
    <col min="7" max="7" width="6" style="1" bestFit="1" customWidth="1"/>
    <col min="8" max="8" width="5" style="1" bestFit="1" customWidth="1"/>
    <col min="9" max="9" width="5.5703125" style="1" bestFit="1" customWidth="1"/>
    <col min="10" max="10" width="5" style="1" bestFit="1" customWidth="1"/>
    <col min="11" max="11" width="1.28515625" style="1" customWidth="1"/>
    <col min="12" max="12" width="6" style="1" bestFit="1" customWidth="1"/>
    <col min="13" max="13" width="5" style="1" bestFit="1" customWidth="1"/>
    <col min="14" max="14" width="6" style="1" bestFit="1" customWidth="1"/>
    <col min="15" max="15" width="22" style="1" bestFit="1" customWidth="1"/>
    <col min="16" max="16" width="5" style="1" bestFit="1" customWidth="1"/>
    <col min="17" max="17" width="5.42578125" style="1" bestFit="1" customWidth="1"/>
    <col min="18" max="18" width="5" style="1" bestFit="1" customWidth="1"/>
    <col min="19" max="19" width="1.140625" style="1" customWidth="1"/>
    <col min="20" max="22" width="6" style="1" bestFit="1" customWidth="1"/>
    <col min="23" max="24" width="5" style="1" bestFit="1" customWidth="1"/>
    <col min="25" max="25" width="5.42578125" style="1" bestFit="1" customWidth="1"/>
    <col min="26" max="26" width="5" style="1" bestFit="1" customWidth="1"/>
    <col min="27" max="27" width="1.140625" style="1" customWidth="1"/>
    <col min="28" max="28" width="5" style="1" bestFit="1" customWidth="1"/>
    <col min="29" max="29" width="4" style="1" bestFit="1" customWidth="1"/>
    <col min="30" max="32" width="5" style="1" bestFit="1" customWidth="1"/>
    <col min="33" max="33" width="5.42578125" style="1" bestFit="1" customWidth="1"/>
    <col min="34" max="34" width="5" style="1" bestFit="1" customWidth="1"/>
    <col min="35" max="35" width="0.7109375" style="1" customWidth="1"/>
    <col min="36" max="36" width="5" style="1" bestFit="1" customWidth="1"/>
    <col min="37" max="37" width="4" style="1" bestFit="1" customWidth="1"/>
    <col min="38" max="40" width="5" style="1" bestFit="1" customWidth="1"/>
    <col min="41" max="41" width="5.42578125" style="1" bestFit="1" customWidth="1"/>
    <col min="42" max="42" width="5" style="1" bestFit="1" customWidth="1"/>
    <col min="43" max="16384" width="9.140625" style="1"/>
  </cols>
  <sheetData>
    <row r="1" spans="1:47" x14ac:dyDescent="0.25">
      <c r="L1" s="37" t="s">
        <v>26</v>
      </c>
      <c r="M1" s="37"/>
      <c r="N1" s="37"/>
      <c r="O1" s="37"/>
      <c r="P1" s="37"/>
      <c r="Q1" s="37"/>
      <c r="R1" s="37"/>
      <c r="T1" s="37" t="s">
        <v>32</v>
      </c>
      <c r="U1" s="37"/>
      <c r="V1" s="37"/>
      <c r="W1" s="37"/>
      <c r="X1" s="37"/>
      <c r="Y1" s="37"/>
      <c r="Z1" s="37"/>
      <c r="AB1" s="37" t="s">
        <v>33</v>
      </c>
      <c r="AC1" s="37"/>
      <c r="AD1" s="37"/>
      <c r="AE1" s="37"/>
      <c r="AF1" s="37"/>
      <c r="AG1" s="37"/>
      <c r="AH1" s="37"/>
      <c r="AJ1" s="37" t="s">
        <v>38</v>
      </c>
      <c r="AK1" s="37"/>
      <c r="AL1" s="37"/>
      <c r="AM1" s="37"/>
      <c r="AN1" s="37"/>
      <c r="AO1" s="37"/>
      <c r="AP1" s="37"/>
    </row>
    <row r="2" spans="1:47" s="13" customFormat="1" x14ac:dyDescent="0.25">
      <c r="F2" s="13" t="s">
        <v>31</v>
      </c>
      <c r="G2" s="13" t="s">
        <v>14</v>
      </c>
      <c r="H2" s="13" t="s">
        <v>29</v>
      </c>
      <c r="I2" s="13" t="s">
        <v>28</v>
      </c>
      <c r="J2" s="13" t="s">
        <v>30</v>
      </c>
      <c r="L2" s="13" t="s">
        <v>21</v>
      </c>
      <c r="M2" s="13" t="s">
        <v>22</v>
      </c>
      <c r="N2" s="13" t="s">
        <v>23</v>
      </c>
      <c r="O2" s="13" t="s">
        <v>34</v>
      </c>
      <c r="P2" s="13" t="s">
        <v>35</v>
      </c>
      <c r="Q2" s="13" t="s">
        <v>24</v>
      </c>
      <c r="R2" s="13" t="s">
        <v>25</v>
      </c>
      <c r="T2" s="13" t="s">
        <v>21</v>
      </c>
      <c r="U2" s="13" t="s">
        <v>22</v>
      </c>
      <c r="V2" s="13" t="s">
        <v>23</v>
      </c>
      <c r="W2" s="13" t="s">
        <v>34</v>
      </c>
      <c r="X2" s="13" t="s">
        <v>35</v>
      </c>
      <c r="Y2" s="13" t="s">
        <v>24</v>
      </c>
      <c r="Z2" s="13" t="s">
        <v>25</v>
      </c>
      <c r="AB2" s="13" t="s">
        <v>21</v>
      </c>
      <c r="AC2" s="13" t="s">
        <v>22</v>
      </c>
      <c r="AD2" s="13" t="s">
        <v>23</v>
      </c>
      <c r="AE2" s="13" t="s">
        <v>34</v>
      </c>
      <c r="AF2" s="13" t="s">
        <v>35</v>
      </c>
      <c r="AG2" s="13" t="s">
        <v>24</v>
      </c>
      <c r="AH2" s="13" t="s">
        <v>25</v>
      </c>
      <c r="AJ2" s="13" t="s">
        <v>21</v>
      </c>
      <c r="AK2" s="13" t="s">
        <v>22</v>
      </c>
      <c r="AL2" s="13" t="s">
        <v>23</v>
      </c>
      <c r="AM2" s="13" t="s">
        <v>34</v>
      </c>
      <c r="AN2" s="13" t="s">
        <v>35</v>
      </c>
      <c r="AO2" s="13" t="s">
        <v>24</v>
      </c>
      <c r="AP2" s="13" t="s">
        <v>25</v>
      </c>
    </row>
    <row r="3" spans="1:47" x14ac:dyDescent="0.25">
      <c r="F3" s="1" t="s">
        <v>27</v>
      </c>
      <c r="G3" s="2">
        <v>1295</v>
      </c>
      <c r="H3" s="2">
        <v>1.42</v>
      </c>
      <c r="I3" s="2">
        <v>3917</v>
      </c>
      <c r="J3" s="2">
        <v>4352</v>
      </c>
      <c r="L3" s="11"/>
      <c r="M3" s="11"/>
      <c r="N3" s="1">
        <f>L3-M3</f>
        <v>0</v>
      </c>
      <c r="O3" s="1">
        <f t="shared" ref="O3:P5" si="0">I3</f>
        <v>3917</v>
      </c>
      <c r="P3" s="1">
        <f t="shared" si="0"/>
        <v>4352</v>
      </c>
      <c r="Q3" s="12" t="e">
        <f>$O3/9.81/LN(L3/M3)</f>
        <v>#DIV/0!</v>
      </c>
      <c r="R3" s="12" t="e">
        <f>$P3/9.81/LN(L3/M3)</f>
        <v>#DIV/0!</v>
      </c>
      <c r="T3" s="11"/>
      <c r="U3" s="11"/>
      <c r="V3" s="1">
        <f>T3-U3</f>
        <v>0</v>
      </c>
      <c r="W3" s="6">
        <f>0.95*O3</f>
        <v>3721.1499999999996</v>
      </c>
      <c r="X3" s="6">
        <f>1.01*P3</f>
        <v>4395.5200000000004</v>
      </c>
      <c r="Y3" s="12" t="e">
        <f>$W3/9.81/LN(T3/U3)</f>
        <v>#DIV/0!</v>
      </c>
      <c r="Z3" s="12" t="e">
        <f>$X3/9.81/LN(T3/U3)</f>
        <v>#DIV/0!</v>
      </c>
      <c r="AB3" s="11">
        <v>1280</v>
      </c>
      <c r="AC3" s="11">
        <f>1077/5</f>
        <v>215.4</v>
      </c>
      <c r="AD3" s="1">
        <f>AB3-AC3</f>
        <v>1064.5999999999999</v>
      </c>
      <c r="AE3" s="6">
        <f>0.95*W3</f>
        <v>3535.0924999999993</v>
      </c>
      <c r="AF3" s="6">
        <f>1.01*X3</f>
        <v>4439.4752000000008</v>
      </c>
      <c r="AG3" s="12">
        <f>$AE3/9.81/LN(AB3/AC3)</f>
        <v>202.20652870695972</v>
      </c>
      <c r="AH3" s="12">
        <f>$AF3/9.81/LN(AB3/AC3)</f>
        <v>253.93702412953436</v>
      </c>
      <c r="AJ3" s="11">
        <v>1286</v>
      </c>
      <c r="AK3" s="11">
        <v>272</v>
      </c>
      <c r="AL3" s="1">
        <f>AJ3-AK3</f>
        <v>1014</v>
      </c>
      <c r="AM3" s="6">
        <f>0.8*AE3</f>
        <v>2828.0739999999996</v>
      </c>
      <c r="AN3" s="6">
        <f>0.85*P3</f>
        <v>3699.2</v>
      </c>
      <c r="AO3" s="12">
        <f>$AM3/9.81/LN(AJ3/AK3)</f>
        <v>185.57238307718134</v>
      </c>
      <c r="AP3" s="12">
        <f>$AN3/9.81/LN(AJ3/AK3)</f>
        <v>242.73387453054951</v>
      </c>
      <c r="AR3" s="1" t="s">
        <v>14</v>
      </c>
      <c r="AS3" s="30">
        <v>12.815</v>
      </c>
    </row>
    <row r="4" spans="1:47" x14ac:dyDescent="0.25">
      <c r="F4" s="1" t="s">
        <v>36</v>
      </c>
      <c r="G4" s="2">
        <v>3945</v>
      </c>
      <c r="H4" s="2">
        <v>1.55</v>
      </c>
      <c r="I4" s="2">
        <v>1191</v>
      </c>
      <c r="J4" s="2">
        <v>4835</v>
      </c>
      <c r="L4" s="11">
        <v>3954</v>
      </c>
      <c r="M4" s="11">
        <v>672</v>
      </c>
      <c r="N4" s="1">
        <f>L4-M4</f>
        <v>3282</v>
      </c>
      <c r="O4" s="1">
        <f t="shared" si="0"/>
        <v>1191</v>
      </c>
      <c r="P4" s="1">
        <f t="shared" si="0"/>
        <v>4835</v>
      </c>
      <c r="Q4" s="12">
        <f>$O4/9.81/LN(L4/M4)</f>
        <v>68.505269308814107</v>
      </c>
      <c r="R4" s="12">
        <f>$P4/9.81/LN(L4/M4)</f>
        <v>278.10493459959378</v>
      </c>
      <c r="T4" s="11">
        <v>3896</v>
      </c>
      <c r="U4" s="11">
        <v>773</v>
      </c>
      <c r="V4" s="1">
        <f>T4-U4</f>
        <v>3123</v>
      </c>
      <c r="W4" s="6">
        <f>0.95*O4</f>
        <v>1131.45</v>
      </c>
      <c r="X4" s="6">
        <f>1.01*P4</f>
        <v>4883.3500000000004</v>
      </c>
      <c r="Y4" s="12">
        <f>$W4/9.81/LN(T4/U4)</f>
        <v>71.308577640489133</v>
      </c>
      <c r="Z4" s="12">
        <f>$X4/9.81/LN(T4/U4)</f>
        <v>307.76856478031078</v>
      </c>
      <c r="AB4" s="11">
        <v>3784</v>
      </c>
      <c r="AC4" s="11">
        <v>662</v>
      </c>
      <c r="AD4" s="1">
        <f>AB4-AC4</f>
        <v>3122</v>
      </c>
      <c r="AE4" s="6">
        <f>0.95*W4</f>
        <v>1074.8775000000001</v>
      </c>
      <c r="AF4" s="6">
        <f>1.01*X4</f>
        <v>4932.1835000000001</v>
      </c>
      <c r="AG4" s="12">
        <f>$AE4/9.81/LN(AB4/AC4)</f>
        <v>62.852848664219529</v>
      </c>
      <c r="AH4" s="12">
        <f>$AF4/9.81/LN(AB4/AC4)</f>
        <v>288.40661666995595</v>
      </c>
      <c r="AJ4" s="11"/>
      <c r="AK4" s="11"/>
      <c r="AL4" s="1">
        <f>AJ4-AK4</f>
        <v>0</v>
      </c>
      <c r="AM4" s="6">
        <f>0.8*AE4</f>
        <v>859.90200000000004</v>
      </c>
      <c r="AN4" s="6">
        <f>0.85*P4</f>
        <v>4109.75</v>
      </c>
      <c r="AO4" s="12" t="e">
        <f>$AM4/9.81/LN(AJ4/AK4)</f>
        <v>#DIV/0!</v>
      </c>
      <c r="AP4" s="12" t="e">
        <f>$AN4/9.81/LN(AJ4/AK4)</f>
        <v>#DIV/0!</v>
      </c>
      <c r="AR4" s="1" t="s">
        <v>31</v>
      </c>
      <c r="AS4" s="30">
        <v>1.5</v>
      </c>
      <c r="AT4" s="1" t="s">
        <v>29</v>
      </c>
      <c r="AU4" s="4">
        <f>AS6/AS4/9.81</f>
        <v>15.630309208290861</v>
      </c>
    </row>
    <row r="5" spans="1:47" x14ac:dyDescent="0.25">
      <c r="F5" s="1" t="s">
        <v>37</v>
      </c>
      <c r="G5" s="2">
        <v>78070</v>
      </c>
      <c r="H5" s="2">
        <v>1.96</v>
      </c>
      <c r="I5" s="2">
        <v>4789</v>
      </c>
      <c r="J5" s="2">
        <v>5209</v>
      </c>
      <c r="L5" s="11">
        <v>78271</v>
      </c>
      <c r="M5" s="11">
        <v>8236</v>
      </c>
      <c r="N5" s="1">
        <f>L5-M5</f>
        <v>70035</v>
      </c>
      <c r="O5" s="1">
        <f t="shared" si="0"/>
        <v>4789</v>
      </c>
      <c r="P5" s="1">
        <f t="shared" si="0"/>
        <v>5209</v>
      </c>
      <c r="Q5" s="12">
        <f>$O5/9.81/LN(L5/M5)</f>
        <v>216.8066299574084</v>
      </c>
      <c r="R5" s="12">
        <f>$P5/9.81/LN(L5/M5)</f>
        <v>235.82078418211324</v>
      </c>
      <c r="T5" s="11">
        <v>79450</v>
      </c>
      <c r="U5" s="11">
        <v>10736</v>
      </c>
      <c r="V5" s="1">
        <f>T5-U5</f>
        <v>68714</v>
      </c>
      <c r="W5" s="6">
        <f>0.95*O5</f>
        <v>4549.55</v>
      </c>
      <c r="X5" s="6">
        <f>1.01*P5</f>
        <v>5261.09</v>
      </c>
      <c r="Y5" s="12">
        <f>$W5/9.81/LN(T5/U5)</f>
        <v>231.70656987189776</v>
      </c>
      <c r="Z5" s="12">
        <f>$X5/9.81/LN(T5/U5)</f>
        <v>267.94498745751611</v>
      </c>
      <c r="AB5" s="11"/>
      <c r="AC5" s="11"/>
      <c r="AD5" s="1">
        <f>AB5-AC5</f>
        <v>0</v>
      </c>
      <c r="AE5" s="6">
        <f>0.95*W5</f>
        <v>4322.0725000000002</v>
      </c>
      <c r="AF5" s="6">
        <f>1.01*X5</f>
        <v>5313.7008999999998</v>
      </c>
      <c r="AG5" s="12" t="e">
        <f>$AE5/9.81/LN(AB5/AC5)</f>
        <v>#DIV/0!</v>
      </c>
      <c r="AH5" s="12" t="e">
        <f>$AF5/9.81/LN(AB5/AC5)</f>
        <v>#DIV/0!</v>
      </c>
      <c r="AJ5" s="11"/>
      <c r="AK5" s="11"/>
      <c r="AL5" s="1">
        <f>AJ5-AK5</f>
        <v>0</v>
      </c>
      <c r="AM5" s="6">
        <f>0.8*AE5</f>
        <v>3457.6580000000004</v>
      </c>
      <c r="AN5" s="6">
        <f>0.85*P5</f>
        <v>4427.6499999999996</v>
      </c>
      <c r="AO5" s="12" t="e">
        <f>$AM5/9.81/LN(AJ5/AK5)</f>
        <v>#DIV/0!</v>
      </c>
      <c r="AP5" s="12" t="e">
        <f>$AN5/9.81/LN(AJ5/AK5)</f>
        <v>#DIV/0!</v>
      </c>
      <c r="AR5" s="1" t="s">
        <v>21</v>
      </c>
      <c r="AS5" s="1">
        <f>AS3+AS4</f>
        <v>14.315</v>
      </c>
    </row>
    <row r="6" spans="1:47" x14ac:dyDescent="0.25">
      <c r="F6" s="1" t="s">
        <v>91</v>
      </c>
      <c r="G6" s="2">
        <v>78070</v>
      </c>
      <c r="H6" s="2">
        <v>1.96</v>
      </c>
      <c r="I6" s="2">
        <v>4789</v>
      </c>
      <c r="J6" s="2">
        <v>5209</v>
      </c>
      <c r="L6" s="11">
        <v>78271</v>
      </c>
      <c r="M6" s="11">
        <v>8236</v>
      </c>
      <c r="N6" s="1">
        <f>L6-M6</f>
        <v>70035</v>
      </c>
      <c r="O6" s="1">
        <f>I6</f>
        <v>4789</v>
      </c>
      <c r="P6" s="1">
        <f>J6</f>
        <v>5209</v>
      </c>
      <c r="Q6" s="12">
        <f>$O6/9.81/LN(L6/M6)</f>
        <v>216.8066299574084</v>
      </c>
      <c r="R6" s="12">
        <f>$P6/9.81/LN(L6/M6)</f>
        <v>235.82078418211324</v>
      </c>
      <c r="T6" s="11">
        <v>79450</v>
      </c>
      <c r="U6" s="11">
        <v>10736</v>
      </c>
      <c r="V6" s="1">
        <f>T6-U6</f>
        <v>68714</v>
      </c>
      <c r="W6" s="6">
        <f>0.95*O6</f>
        <v>4549.55</v>
      </c>
      <c r="X6" s="6">
        <f>1.01*P6</f>
        <v>5261.09</v>
      </c>
      <c r="Y6" s="12">
        <f>$W6/9.81/LN(T6/U6)</f>
        <v>231.70656987189776</v>
      </c>
      <c r="Z6" s="12">
        <f>$X6/9.81/LN(T6/U6)</f>
        <v>267.94498745751611</v>
      </c>
      <c r="AB6" s="11"/>
      <c r="AC6" s="11"/>
      <c r="AD6" s="1">
        <f>AB6-AC6</f>
        <v>0</v>
      </c>
      <c r="AE6" s="6">
        <f>0.95*W6</f>
        <v>4322.0725000000002</v>
      </c>
      <c r="AF6" s="6">
        <f>1.01*X6</f>
        <v>5313.7008999999998</v>
      </c>
      <c r="AG6" s="12" t="e">
        <f>$AE6/9.81/LN(AB6/AC6)</f>
        <v>#DIV/0!</v>
      </c>
      <c r="AH6" s="12" t="e">
        <f>$AF6/9.81/LN(AB6/AC6)</f>
        <v>#DIV/0!</v>
      </c>
      <c r="AJ6" s="11"/>
      <c r="AK6" s="11"/>
      <c r="AL6" s="1">
        <f>AJ6-AK6</f>
        <v>0</v>
      </c>
      <c r="AM6" s="6">
        <f>0.8*AE6</f>
        <v>3457.6580000000004</v>
      </c>
      <c r="AN6" s="6">
        <f>0.85*P6</f>
        <v>4427.6499999999996</v>
      </c>
      <c r="AO6" s="12" t="e">
        <f>$AM6/9.81/LN(AJ6/AK6)</f>
        <v>#DIV/0!</v>
      </c>
      <c r="AP6" s="12" t="e">
        <f>$AN6/9.81/LN(AJ6/AK6)</f>
        <v>#DIV/0!</v>
      </c>
      <c r="AR6" s="1" t="s">
        <v>92</v>
      </c>
      <c r="AS6" s="30">
        <v>230</v>
      </c>
      <c r="AT6" s="1">
        <f>AS6/9.81/60</f>
        <v>0.39075773020727145</v>
      </c>
    </row>
    <row r="7" spans="1:47" x14ac:dyDescent="0.25">
      <c r="AR7" s="1" t="s">
        <v>29</v>
      </c>
      <c r="AS7" s="4">
        <f>AS6/AS5/9.81</f>
        <v>1.6378249257727062</v>
      </c>
    </row>
    <row r="8" spans="1:47" x14ac:dyDescent="0.25">
      <c r="A8" s="13" t="s">
        <v>107</v>
      </c>
      <c r="B8" s="13" t="s">
        <v>61</v>
      </c>
      <c r="C8" s="13" t="s">
        <v>23</v>
      </c>
      <c r="D8" s="13" t="s">
        <v>112</v>
      </c>
      <c r="E8" s="13" t="s">
        <v>125</v>
      </c>
    </row>
    <row r="9" spans="1:47" x14ac:dyDescent="0.25">
      <c r="E9" s="27"/>
      <c r="AR9" s="1" t="s">
        <v>14</v>
      </c>
      <c r="AS9" s="30">
        <v>25</v>
      </c>
    </row>
    <row r="10" spans="1:47" x14ac:dyDescent="0.25">
      <c r="A10" s="1" t="s">
        <v>111</v>
      </c>
      <c r="B10" s="1">
        <v>0.625</v>
      </c>
      <c r="C10" s="1" t="s">
        <v>114</v>
      </c>
      <c r="D10" s="27" t="s">
        <v>117</v>
      </c>
      <c r="E10" s="27" t="str">
        <f>IF(D10="--n/a--","",IF(C10="Hyperg","Hypergolic",C10))&amp;"-"</f>
        <v>-</v>
      </c>
      <c r="AR10" s="1" t="s">
        <v>31</v>
      </c>
      <c r="AS10" s="30">
        <v>1.5</v>
      </c>
      <c r="AT10" s="1" t="s">
        <v>29</v>
      </c>
      <c r="AU10" s="4">
        <f>AS12/AS10/9.81</f>
        <v>15.630309208290861</v>
      </c>
    </row>
    <row r="11" spans="1:47" x14ac:dyDescent="0.25">
      <c r="A11" s="1" t="s">
        <v>111</v>
      </c>
      <c r="B11" s="1">
        <v>0.625</v>
      </c>
      <c r="C11" s="1" t="s">
        <v>113</v>
      </c>
      <c r="D11" s="27" t="s">
        <v>117</v>
      </c>
      <c r="E11" s="27" t="str">
        <f t="shared" ref="E11:E74" si="1">IF(D11="--n/a--","",IF(C11="Hyperg","Hypergolic",C11))&amp;"-"</f>
        <v>-</v>
      </c>
      <c r="AR11" s="1" t="s">
        <v>21</v>
      </c>
      <c r="AS11" s="1">
        <f>AS9+AS10</f>
        <v>26.5</v>
      </c>
    </row>
    <row r="12" spans="1:47" x14ac:dyDescent="0.25">
      <c r="A12" s="1" t="s">
        <v>111</v>
      </c>
      <c r="B12" s="1">
        <v>0.625</v>
      </c>
      <c r="C12" s="1" t="s">
        <v>126</v>
      </c>
      <c r="D12" s="1" t="s">
        <v>116</v>
      </c>
      <c r="E12" s="27" t="str">
        <f t="shared" si="1"/>
        <v>Hypergolic-</v>
      </c>
      <c r="AR12" s="1" t="s">
        <v>92</v>
      </c>
      <c r="AS12" s="30">
        <v>230</v>
      </c>
      <c r="AT12" s="1">
        <f>AS12/9.81/60</f>
        <v>0.39075773020727145</v>
      </c>
    </row>
    <row r="13" spans="1:47" x14ac:dyDescent="0.25">
      <c r="A13" s="1" t="s">
        <v>111</v>
      </c>
      <c r="B13" s="1">
        <v>0.625</v>
      </c>
      <c r="C13" s="1" t="s">
        <v>115</v>
      </c>
      <c r="D13" s="1" t="s">
        <v>116</v>
      </c>
      <c r="E13" s="27" t="str">
        <f t="shared" si="1"/>
        <v>Hydraz-</v>
      </c>
      <c r="AR13" s="1" t="s">
        <v>29</v>
      </c>
      <c r="AS13" s="4">
        <f>AS12/AS11/9.81</f>
        <v>0.88473448348816186</v>
      </c>
    </row>
    <row r="14" spans="1:47" x14ac:dyDescent="0.25">
      <c r="A14" s="1" t="s">
        <v>108</v>
      </c>
      <c r="B14" s="1">
        <v>0.625</v>
      </c>
      <c r="C14" s="1" t="s">
        <v>114</v>
      </c>
      <c r="D14" s="27" t="s">
        <v>117</v>
      </c>
      <c r="E14" s="27" t="str">
        <f t="shared" si="1"/>
        <v>-</v>
      </c>
    </row>
    <row r="15" spans="1:47" x14ac:dyDescent="0.25">
      <c r="A15" s="1" t="s">
        <v>108</v>
      </c>
      <c r="B15" s="1">
        <v>0.625</v>
      </c>
      <c r="C15" s="1" t="s">
        <v>113</v>
      </c>
      <c r="D15" s="27" t="s">
        <v>117</v>
      </c>
      <c r="E15" s="27" t="str">
        <f t="shared" si="1"/>
        <v>-</v>
      </c>
    </row>
    <row r="16" spans="1:47" x14ac:dyDescent="0.25">
      <c r="A16" s="1" t="s">
        <v>108</v>
      </c>
      <c r="B16" s="1">
        <v>0.625</v>
      </c>
      <c r="C16" s="1" t="s">
        <v>126</v>
      </c>
      <c r="D16" s="1" t="s">
        <v>116</v>
      </c>
      <c r="E16" s="27" t="str">
        <f t="shared" si="1"/>
        <v>Hypergolic-</v>
      </c>
    </row>
    <row r="17" spans="1:45" x14ac:dyDescent="0.25">
      <c r="A17" s="1" t="s">
        <v>108</v>
      </c>
      <c r="B17" s="1">
        <v>0.625</v>
      </c>
      <c r="C17" s="1" t="s">
        <v>115</v>
      </c>
      <c r="D17" s="1" t="s">
        <v>116</v>
      </c>
      <c r="E17" s="27" t="str">
        <f t="shared" si="1"/>
        <v>Hydraz-</v>
      </c>
    </row>
    <row r="18" spans="1:45" x14ac:dyDescent="0.25">
      <c r="A18" s="1" t="s">
        <v>110</v>
      </c>
      <c r="B18" s="1">
        <v>0.625</v>
      </c>
      <c r="C18" s="1" t="s">
        <v>114</v>
      </c>
      <c r="D18" s="27" t="s">
        <v>117</v>
      </c>
      <c r="E18" s="27" t="str">
        <f t="shared" si="1"/>
        <v>-</v>
      </c>
    </row>
    <row r="19" spans="1:45" x14ac:dyDescent="0.25">
      <c r="A19" s="1" t="s">
        <v>110</v>
      </c>
      <c r="B19" s="1">
        <v>0.625</v>
      </c>
      <c r="C19" s="1" t="s">
        <v>113</v>
      </c>
      <c r="D19" s="27" t="s">
        <v>117</v>
      </c>
      <c r="E19" s="27" t="str">
        <f t="shared" si="1"/>
        <v>-</v>
      </c>
    </row>
    <row r="20" spans="1:45" x14ac:dyDescent="0.25">
      <c r="A20" s="1" t="s">
        <v>110</v>
      </c>
      <c r="B20" s="1">
        <v>0.625</v>
      </c>
      <c r="C20" s="1" t="s">
        <v>126</v>
      </c>
      <c r="D20" s="1" t="s">
        <v>116</v>
      </c>
      <c r="E20" s="27" t="str">
        <f t="shared" si="1"/>
        <v>Hypergolic-</v>
      </c>
    </row>
    <row r="21" spans="1:45" x14ac:dyDescent="0.25">
      <c r="A21" s="1" t="s">
        <v>110</v>
      </c>
      <c r="B21" s="1">
        <v>0.625</v>
      </c>
      <c r="C21" s="1" t="s">
        <v>115</v>
      </c>
      <c r="D21" s="1" t="s">
        <v>116</v>
      </c>
      <c r="E21" s="27" t="str">
        <f t="shared" si="1"/>
        <v>Hydraz-</v>
      </c>
    </row>
    <row r="22" spans="1:45" x14ac:dyDescent="0.25">
      <c r="A22" s="1" t="s">
        <v>109</v>
      </c>
      <c r="B22" s="1">
        <v>0.625</v>
      </c>
      <c r="C22" s="1" t="s">
        <v>114</v>
      </c>
      <c r="D22" s="27" t="s">
        <v>117</v>
      </c>
      <c r="E22" s="27" t="str">
        <f t="shared" si="1"/>
        <v>-</v>
      </c>
    </row>
    <row r="23" spans="1:45" x14ac:dyDescent="0.25">
      <c r="A23" s="1" t="s">
        <v>109</v>
      </c>
      <c r="B23" s="1">
        <v>0.625</v>
      </c>
      <c r="C23" s="1" t="s">
        <v>113</v>
      </c>
      <c r="D23" s="27" t="s">
        <v>117</v>
      </c>
      <c r="E23" s="27" t="str">
        <f t="shared" si="1"/>
        <v>-</v>
      </c>
    </row>
    <row r="24" spans="1:45" x14ac:dyDescent="0.25">
      <c r="A24" s="1" t="s">
        <v>109</v>
      </c>
      <c r="B24" s="1">
        <v>0.625</v>
      </c>
      <c r="C24" s="1" t="s">
        <v>126</v>
      </c>
      <c r="D24" s="1" t="s">
        <v>116</v>
      </c>
      <c r="E24" s="27" t="str">
        <f t="shared" si="1"/>
        <v>Hypergolic-</v>
      </c>
      <c r="AS24" s="3"/>
    </row>
    <row r="25" spans="1:45" x14ac:dyDescent="0.25">
      <c r="A25" s="1" t="s">
        <v>109</v>
      </c>
      <c r="B25" s="1">
        <v>0.625</v>
      </c>
      <c r="C25" s="1" t="s">
        <v>115</v>
      </c>
      <c r="D25" s="1" t="s">
        <v>116</v>
      </c>
      <c r="E25" s="27" t="str">
        <f t="shared" si="1"/>
        <v>Hydraz-</v>
      </c>
    </row>
    <row r="26" spans="1:45" x14ac:dyDescent="0.25">
      <c r="A26" s="1" t="s">
        <v>111</v>
      </c>
      <c r="B26" s="1">
        <v>1.25</v>
      </c>
      <c r="C26" s="1" t="s">
        <v>114</v>
      </c>
      <c r="D26" s="1" t="s">
        <v>116</v>
      </c>
      <c r="E26" s="27" t="str">
        <f t="shared" si="1"/>
        <v>Hydrolox-</v>
      </c>
    </row>
    <row r="27" spans="1:45" x14ac:dyDescent="0.25">
      <c r="A27" s="1" t="s">
        <v>111</v>
      </c>
      <c r="B27" s="1">
        <v>1.25</v>
      </c>
      <c r="C27" s="1" t="s">
        <v>113</v>
      </c>
      <c r="D27" s="1" t="s">
        <v>116</v>
      </c>
      <c r="E27" s="27" t="str">
        <f t="shared" si="1"/>
        <v>Kerolox-</v>
      </c>
    </row>
    <row r="28" spans="1:45" x14ac:dyDescent="0.25">
      <c r="A28" s="1" t="s">
        <v>111</v>
      </c>
      <c r="B28" s="1">
        <v>1.25</v>
      </c>
      <c r="C28" s="1" t="s">
        <v>126</v>
      </c>
      <c r="D28" s="1" t="s">
        <v>116</v>
      </c>
      <c r="E28" s="27" t="str">
        <f t="shared" si="1"/>
        <v>Hypergolic-</v>
      </c>
    </row>
    <row r="29" spans="1:45" x14ac:dyDescent="0.25">
      <c r="A29" s="1" t="s">
        <v>111</v>
      </c>
      <c r="B29" s="1">
        <v>1.25</v>
      </c>
      <c r="C29" s="1" t="s">
        <v>115</v>
      </c>
      <c r="D29" s="1" t="s">
        <v>116</v>
      </c>
      <c r="E29" s="27" t="str">
        <f t="shared" si="1"/>
        <v>Hydraz-</v>
      </c>
    </row>
    <row r="30" spans="1:45" x14ac:dyDescent="0.25">
      <c r="A30" s="1" t="s">
        <v>108</v>
      </c>
      <c r="B30" s="1">
        <v>1.25</v>
      </c>
      <c r="C30" s="1" t="s">
        <v>114</v>
      </c>
      <c r="D30" s="1" t="s">
        <v>116</v>
      </c>
      <c r="E30" s="27" t="str">
        <f t="shared" si="1"/>
        <v>Hydrolox-</v>
      </c>
    </row>
    <row r="31" spans="1:45" x14ac:dyDescent="0.25">
      <c r="A31" s="1" t="s">
        <v>108</v>
      </c>
      <c r="B31" s="1">
        <v>1.25</v>
      </c>
      <c r="C31" s="1" t="s">
        <v>113</v>
      </c>
      <c r="D31" s="1" t="s">
        <v>116</v>
      </c>
      <c r="E31" s="27" t="str">
        <f t="shared" si="1"/>
        <v>Kerolox-</v>
      </c>
    </row>
    <row r="32" spans="1:45" x14ac:dyDescent="0.25">
      <c r="A32" s="1" t="s">
        <v>108</v>
      </c>
      <c r="B32" s="1">
        <v>1.25</v>
      </c>
      <c r="C32" s="1" t="s">
        <v>126</v>
      </c>
      <c r="D32" s="1" t="s">
        <v>116</v>
      </c>
      <c r="E32" s="27" t="str">
        <f t="shared" si="1"/>
        <v>Hypergolic-</v>
      </c>
    </row>
    <row r="33" spans="1:15" x14ac:dyDescent="0.25">
      <c r="A33" s="1" t="s">
        <v>108</v>
      </c>
      <c r="B33" s="1">
        <v>1.25</v>
      </c>
      <c r="C33" s="1" t="s">
        <v>115</v>
      </c>
      <c r="D33" s="1" t="s">
        <v>116</v>
      </c>
      <c r="E33" s="27" t="str">
        <f t="shared" si="1"/>
        <v>Hydraz-</v>
      </c>
    </row>
    <row r="34" spans="1:15" x14ac:dyDescent="0.25">
      <c r="A34" s="1" t="s">
        <v>110</v>
      </c>
      <c r="B34" s="1">
        <v>1.25</v>
      </c>
      <c r="C34" s="1" t="s">
        <v>114</v>
      </c>
      <c r="D34" s="1" t="s">
        <v>116</v>
      </c>
      <c r="E34" s="27" t="str">
        <f t="shared" si="1"/>
        <v>Hydrolox-</v>
      </c>
    </row>
    <row r="35" spans="1:15" x14ac:dyDescent="0.25">
      <c r="A35" s="1" t="s">
        <v>110</v>
      </c>
      <c r="B35" s="1">
        <v>1.25</v>
      </c>
      <c r="C35" s="1" t="s">
        <v>113</v>
      </c>
      <c r="D35" s="1" t="s">
        <v>116</v>
      </c>
      <c r="E35" s="27" t="str">
        <f t="shared" si="1"/>
        <v>Kerolox-</v>
      </c>
    </row>
    <row r="36" spans="1:15" x14ac:dyDescent="0.25">
      <c r="A36" s="1" t="s">
        <v>110</v>
      </c>
      <c r="B36" s="1">
        <v>1.25</v>
      </c>
      <c r="C36" s="1" t="s">
        <v>126</v>
      </c>
      <c r="D36" s="1" t="s">
        <v>116</v>
      </c>
      <c r="E36" s="27" t="str">
        <f t="shared" si="1"/>
        <v>Hypergolic-</v>
      </c>
    </row>
    <row r="37" spans="1:15" x14ac:dyDescent="0.25">
      <c r="A37" s="1" t="s">
        <v>110</v>
      </c>
      <c r="B37" s="1">
        <v>1.25</v>
      </c>
      <c r="C37" s="1" t="s">
        <v>115</v>
      </c>
      <c r="D37" s="1" t="s">
        <v>116</v>
      </c>
      <c r="E37" s="27" t="str">
        <f t="shared" si="1"/>
        <v>Hydraz-</v>
      </c>
    </row>
    <row r="38" spans="1:15" x14ac:dyDescent="0.25">
      <c r="A38" s="1" t="s">
        <v>109</v>
      </c>
      <c r="B38" s="1">
        <v>1.25</v>
      </c>
      <c r="C38" s="1" t="s">
        <v>114</v>
      </c>
      <c r="D38" s="1" t="s">
        <v>116</v>
      </c>
      <c r="E38" s="27" t="str">
        <f t="shared" si="1"/>
        <v>Hydrolox-</v>
      </c>
    </row>
    <row r="39" spans="1:15" x14ac:dyDescent="0.25">
      <c r="A39" s="1" t="s">
        <v>109</v>
      </c>
      <c r="B39" s="1">
        <v>1.25</v>
      </c>
      <c r="C39" s="1" t="s">
        <v>113</v>
      </c>
      <c r="D39" s="1" t="s">
        <v>116</v>
      </c>
      <c r="E39" s="27" t="str">
        <f t="shared" si="1"/>
        <v>Kerolox-</v>
      </c>
    </row>
    <row r="40" spans="1:15" x14ac:dyDescent="0.25">
      <c r="A40" s="1" t="s">
        <v>109</v>
      </c>
      <c r="B40" s="1">
        <v>1.25</v>
      </c>
      <c r="C40" s="1" t="s">
        <v>126</v>
      </c>
      <c r="D40" s="1" t="s">
        <v>116</v>
      </c>
      <c r="E40" s="27" t="str">
        <f t="shared" si="1"/>
        <v>Hypergolic-</v>
      </c>
    </row>
    <row r="41" spans="1:15" x14ac:dyDescent="0.25">
      <c r="A41" s="1" t="s">
        <v>109</v>
      </c>
      <c r="B41" s="1">
        <v>1.25</v>
      </c>
      <c r="C41" s="1" t="s">
        <v>115</v>
      </c>
      <c r="D41" s="1" t="s">
        <v>116</v>
      </c>
      <c r="E41" s="27" t="str">
        <f t="shared" si="1"/>
        <v>Hydraz-</v>
      </c>
    </row>
    <row r="42" spans="1:15" x14ac:dyDescent="0.25">
      <c r="A42" s="1" t="s">
        <v>111</v>
      </c>
      <c r="B42" s="1">
        <v>1.875</v>
      </c>
      <c r="C42" s="1" t="s">
        <v>114</v>
      </c>
      <c r="D42" s="1" t="s">
        <v>116</v>
      </c>
      <c r="E42" s="27" t="str">
        <f t="shared" si="1"/>
        <v>Hydrolox-</v>
      </c>
    </row>
    <row r="43" spans="1:15" x14ac:dyDescent="0.25">
      <c r="A43" s="1" t="s">
        <v>111</v>
      </c>
      <c r="B43" s="1">
        <v>1.875</v>
      </c>
      <c r="C43" s="1" t="s">
        <v>113</v>
      </c>
      <c r="D43" s="1" t="s">
        <v>116</v>
      </c>
      <c r="E43" s="27" t="str">
        <f t="shared" si="1"/>
        <v>Kerolox-</v>
      </c>
    </row>
    <row r="44" spans="1:15" x14ac:dyDescent="0.25">
      <c r="A44" s="1" t="s">
        <v>111</v>
      </c>
      <c r="B44" s="1">
        <v>1.875</v>
      </c>
      <c r="C44" s="1" t="s">
        <v>126</v>
      </c>
      <c r="D44" s="1" t="s">
        <v>116</v>
      </c>
      <c r="E44" s="27" t="str">
        <f t="shared" si="1"/>
        <v>Hypergolic-</v>
      </c>
      <c r="O44" s="32"/>
    </row>
    <row r="45" spans="1:15" x14ac:dyDescent="0.25">
      <c r="A45" s="1" t="s">
        <v>111</v>
      </c>
      <c r="B45" s="1">
        <v>1.875</v>
      </c>
      <c r="C45" s="1" t="s">
        <v>115</v>
      </c>
      <c r="D45" s="27" t="s">
        <v>117</v>
      </c>
      <c r="E45" s="27" t="str">
        <f t="shared" si="1"/>
        <v>-</v>
      </c>
    </row>
    <row r="46" spans="1:15" x14ac:dyDescent="0.25">
      <c r="A46" s="1" t="s">
        <v>108</v>
      </c>
      <c r="B46" s="1">
        <v>1.875</v>
      </c>
      <c r="C46" s="1" t="s">
        <v>114</v>
      </c>
      <c r="D46" s="1" t="s">
        <v>116</v>
      </c>
      <c r="E46" s="27" t="str">
        <f t="shared" si="1"/>
        <v>Hydrolox-</v>
      </c>
    </row>
    <row r="47" spans="1:15" x14ac:dyDescent="0.25">
      <c r="A47" s="1" t="s">
        <v>108</v>
      </c>
      <c r="B47" s="1">
        <v>1.875</v>
      </c>
      <c r="C47" s="1" t="s">
        <v>113</v>
      </c>
      <c r="D47" s="1" t="s">
        <v>116</v>
      </c>
      <c r="E47" s="27" t="str">
        <f t="shared" si="1"/>
        <v>Kerolox-</v>
      </c>
    </row>
    <row r="48" spans="1:15" x14ac:dyDescent="0.25">
      <c r="A48" s="1" t="s">
        <v>108</v>
      </c>
      <c r="B48" s="1">
        <v>1.875</v>
      </c>
      <c r="C48" s="1" t="s">
        <v>126</v>
      </c>
      <c r="D48" s="1" t="s">
        <v>116</v>
      </c>
      <c r="E48" s="27" t="str">
        <f t="shared" si="1"/>
        <v>Hypergolic-</v>
      </c>
    </row>
    <row r="49" spans="1:5" x14ac:dyDescent="0.25">
      <c r="A49" s="1" t="s">
        <v>108</v>
      </c>
      <c r="B49" s="1">
        <v>1.875</v>
      </c>
      <c r="C49" s="1" t="s">
        <v>115</v>
      </c>
      <c r="D49" s="27" t="s">
        <v>117</v>
      </c>
      <c r="E49" s="27" t="str">
        <f t="shared" si="1"/>
        <v>-</v>
      </c>
    </row>
    <row r="50" spans="1:5" x14ac:dyDescent="0.25">
      <c r="A50" s="1" t="s">
        <v>110</v>
      </c>
      <c r="B50" s="1">
        <v>1.875</v>
      </c>
      <c r="C50" s="1" t="s">
        <v>114</v>
      </c>
      <c r="D50" s="1" t="s">
        <v>116</v>
      </c>
      <c r="E50" s="27" t="str">
        <f t="shared" si="1"/>
        <v>Hydrolox-</v>
      </c>
    </row>
    <row r="51" spans="1:5" x14ac:dyDescent="0.25">
      <c r="A51" s="1" t="s">
        <v>110</v>
      </c>
      <c r="B51" s="1">
        <v>1.875</v>
      </c>
      <c r="C51" s="1" t="s">
        <v>113</v>
      </c>
      <c r="D51" s="1" t="s">
        <v>116</v>
      </c>
      <c r="E51" s="27" t="str">
        <f t="shared" si="1"/>
        <v>Kerolox-</v>
      </c>
    </row>
    <row r="52" spans="1:5" x14ac:dyDescent="0.25">
      <c r="A52" s="1" t="s">
        <v>110</v>
      </c>
      <c r="B52" s="1">
        <v>1.875</v>
      </c>
      <c r="C52" s="1" t="s">
        <v>126</v>
      </c>
      <c r="D52" s="1" t="s">
        <v>116</v>
      </c>
      <c r="E52" s="27" t="str">
        <f t="shared" si="1"/>
        <v>Hypergolic-</v>
      </c>
    </row>
    <row r="53" spans="1:5" x14ac:dyDescent="0.25">
      <c r="A53" s="1" t="s">
        <v>110</v>
      </c>
      <c r="B53" s="1">
        <v>1.875</v>
      </c>
      <c r="C53" s="1" t="s">
        <v>115</v>
      </c>
      <c r="D53" s="27" t="s">
        <v>117</v>
      </c>
      <c r="E53" s="27" t="str">
        <f t="shared" si="1"/>
        <v>-</v>
      </c>
    </row>
    <row r="54" spans="1:5" x14ac:dyDescent="0.25">
      <c r="A54" s="1" t="s">
        <v>109</v>
      </c>
      <c r="B54" s="1">
        <v>1.875</v>
      </c>
      <c r="C54" s="1" t="s">
        <v>114</v>
      </c>
      <c r="D54" s="1" t="s">
        <v>116</v>
      </c>
      <c r="E54" s="27" t="str">
        <f t="shared" si="1"/>
        <v>Hydrolox-</v>
      </c>
    </row>
    <row r="55" spans="1:5" x14ac:dyDescent="0.25">
      <c r="A55" s="1" t="s">
        <v>109</v>
      </c>
      <c r="B55" s="1">
        <v>1.875</v>
      </c>
      <c r="C55" s="1" t="s">
        <v>113</v>
      </c>
      <c r="D55" s="1" t="s">
        <v>116</v>
      </c>
      <c r="E55" s="27" t="str">
        <f t="shared" si="1"/>
        <v>Kerolox-</v>
      </c>
    </row>
    <row r="56" spans="1:5" x14ac:dyDescent="0.25">
      <c r="A56" s="1" t="s">
        <v>109</v>
      </c>
      <c r="B56" s="1">
        <v>1.875</v>
      </c>
      <c r="C56" s="1" t="s">
        <v>126</v>
      </c>
      <c r="D56" s="27" t="s">
        <v>117</v>
      </c>
      <c r="E56" s="27" t="str">
        <f t="shared" si="1"/>
        <v>-</v>
      </c>
    </row>
    <row r="57" spans="1:5" x14ac:dyDescent="0.25">
      <c r="A57" s="1" t="s">
        <v>109</v>
      </c>
      <c r="B57" s="1">
        <v>1.875</v>
      </c>
      <c r="C57" s="1" t="s">
        <v>115</v>
      </c>
      <c r="D57" s="27" t="s">
        <v>117</v>
      </c>
      <c r="E57" s="27" t="str">
        <f t="shared" si="1"/>
        <v>-</v>
      </c>
    </row>
    <row r="58" spans="1:5" x14ac:dyDescent="0.25">
      <c r="A58" s="1" t="s">
        <v>111</v>
      </c>
      <c r="B58" s="1">
        <v>2.5</v>
      </c>
      <c r="C58" s="1" t="s">
        <v>114</v>
      </c>
      <c r="D58" s="1" t="s">
        <v>116</v>
      </c>
      <c r="E58" s="27" t="str">
        <f t="shared" si="1"/>
        <v>Hydrolox-</v>
      </c>
    </row>
    <row r="59" spans="1:5" x14ac:dyDescent="0.25">
      <c r="A59" s="1" t="s">
        <v>111</v>
      </c>
      <c r="B59" s="1">
        <v>2.5</v>
      </c>
      <c r="C59" s="1" t="s">
        <v>113</v>
      </c>
      <c r="D59" s="1" t="s">
        <v>116</v>
      </c>
      <c r="E59" s="27" t="str">
        <f t="shared" si="1"/>
        <v>Kerolox-</v>
      </c>
    </row>
    <row r="60" spans="1:5" x14ac:dyDescent="0.25">
      <c r="A60" s="1" t="s">
        <v>111</v>
      </c>
      <c r="B60" s="1">
        <v>2.5</v>
      </c>
      <c r="C60" s="1" t="s">
        <v>126</v>
      </c>
      <c r="D60" s="27" t="s">
        <v>117</v>
      </c>
      <c r="E60" s="27" t="str">
        <f t="shared" si="1"/>
        <v>-</v>
      </c>
    </row>
    <row r="61" spans="1:5" x14ac:dyDescent="0.25">
      <c r="A61" s="1" t="s">
        <v>111</v>
      </c>
      <c r="B61" s="1">
        <v>2.5</v>
      </c>
      <c r="C61" s="1" t="s">
        <v>115</v>
      </c>
      <c r="D61" s="27" t="s">
        <v>117</v>
      </c>
      <c r="E61" s="27" t="str">
        <f t="shared" si="1"/>
        <v>-</v>
      </c>
    </row>
    <row r="62" spans="1:5" x14ac:dyDescent="0.25">
      <c r="A62" s="1" t="s">
        <v>108</v>
      </c>
      <c r="B62" s="1">
        <v>2.5</v>
      </c>
      <c r="C62" s="1" t="s">
        <v>114</v>
      </c>
      <c r="D62" s="1" t="s">
        <v>116</v>
      </c>
      <c r="E62" s="27" t="str">
        <f t="shared" si="1"/>
        <v>Hydrolox-</v>
      </c>
    </row>
    <row r="63" spans="1:5" x14ac:dyDescent="0.25">
      <c r="A63" s="1" t="s">
        <v>108</v>
      </c>
      <c r="B63" s="1">
        <v>2.5</v>
      </c>
      <c r="C63" s="1" t="s">
        <v>113</v>
      </c>
      <c r="D63" s="1" t="s">
        <v>116</v>
      </c>
      <c r="E63" s="27" t="str">
        <f t="shared" si="1"/>
        <v>Kerolox-</v>
      </c>
    </row>
    <row r="64" spans="1:5" x14ac:dyDescent="0.25">
      <c r="A64" s="1" t="s">
        <v>108</v>
      </c>
      <c r="B64" s="1">
        <v>2.5</v>
      </c>
      <c r="C64" s="1" t="s">
        <v>126</v>
      </c>
      <c r="D64" s="27" t="s">
        <v>117</v>
      </c>
      <c r="E64" s="27" t="str">
        <f t="shared" si="1"/>
        <v>-</v>
      </c>
    </row>
    <row r="65" spans="1:5" x14ac:dyDescent="0.25">
      <c r="A65" s="1" t="s">
        <v>108</v>
      </c>
      <c r="B65" s="1">
        <v>2.5</v>
      </c>
      <c r="C65" s="1" t="s">
        <v>115</v>
      </c>
      <c r="D65" s="27" t="s">
        <v>117</v>
      </c>
      <c r="E65" s="27" t="str">
        <f t="shared" si="1"/>
        <v>-</v>
      </c>
    </row>
    <row r="66" spans="1:5" x14ac:dyDescent="0.25">
      <c r="A66" s="1" t="s">
        <v>110</v>
      </c>
      <c r="B66" s="1">
        <v>2.5</v>
      </c>
      <c r="C66" s="1" t="s">
        <v>114</v>
      </c>
      <c r="D66" s="1" t="s">
        <v>116</v>
      </c>
      <c r="E66" s="27" t="str">
        <f t="shared" si="1"/>
        <v>Hydrolox-</v>
      </c>
    </row>
    <row r="67" spans="1:5" x14ac:dyDescent="0.25">
      <c r="A67" s="1" t="s">
        <v>110</v>
      </c>
      <c r="B67" s="1">
        <v>2.5</v>
      </c>
      <c r="C67" s="1" t="s">
        <v>113</v>
      </c>
      <c r="D67" s="1" t="s">
        <v>116</v>
      </c>
      <c r="E67" s="27" t="str">
        <f t="shared" si="1"/>
        <v>Kerolox-</v>
      </c>
    </row>
    <row r="68" spans="1:5" x14ac:dyDescent="0.25">
      <c r="A68" s="1" t="s">
        <v>110</v>
      </c>
      <c r="B68" s="1">
        <v>2.5</v>
      </c>
      <c r="C68" s="1" t="s">
        <v>126</v>
      </c>
      <c r="D68" s="27" t="s">
        <v>117</v>
      </c>
      <c r="E68" s="27" t="str">
        <f t="shared" si="1"/>
        <v>-</v>
      </c>
    </row>
    <row r="69" spans="1:5" x14ac:dyDescent="0.25">
      <c r="A69" s="1" t="s">
        <v>110</v>
      </c>
      <c r="B69" s="1">
        <v>2.5</v>
      </c>
      <c r="C69" s="1" t="s">
        <v>115</v>
      </c>
      <c r="D69" s="27" t="s">
        <v>117</v>
      </c>
      <c r="E69" s="27" t="str">
        <f t="shared" si="1"/>
        <v>-</v>
      </c>
    </row>
    <row r="70" spans="1:5" x14ac:dyDescent="0.25">
      <c r="A70" s="1" t="s">
        <v>109</v>
      </c>
      <c r="B70" s="1">
        <v>2.5</v>
      </c>
      <c r="C70" s="1" t="s">
        <v>114</v>
      </c>
      <c r="D70" s="1" t="s">
        <v>116</v>
      </c>
      <c r="E70" s="27" t="str">
        <f t="shared" si="1"/>
        <v>Hydrolox-</v>
      </c>
    </row>
    <row r="71" spans="1:5" x14ac:dyDescent="0.25">
      <c r="A71" s="1" t="s">
        <v>109</v>
      </c>
      <c r="B71" s="1">
        <v>2.5</v>
      </c>
      <c r="C71" s="1" t="s">
        <v>113</v>
      </c>
      <c r="D71" s="1" t="s">
        <v>116</v>
      </c>
      <c r="E71" s="27" t="str">
        <f t="shared" si="1"/>
        <v>Kerolox-</v>
      </c>
    </row>
    <row r="72" spans="1:5" x14ac:dyDescent="0.25">
      <c r="A72" s="1" t="s">
        <v>109</v>
      </c>
      <c r="B72" s="1">
        <v>2.5</v>
      </c>
      <c r="C72" s="1" t="s">
        <v>126</v>
      </c>
      <c r="D72" s="27" t="s">
        <v>117</v>
      </c>
      <c r="E72" s="27" t="str">
        <f t="shared" si="1"/>
        <v>-</v>
      </c>
    </row>
    <row r="73" spans="1:5" x14ac:dyDescent="0.25">
      <c r="A73" s="1" t="s">
        <v>109</v>
      </c>
      <c r="B73" s="1">
        <v>2.5</v>
      </c>
      <c r="C73" s="1" t="s">
        <v>115</v>
      </c>
      <c r="D73" s="27" t="s">
        <v>117</v>
      </c>
      <c r="E73" s="27" t="str">
        <f t="shared" si="1"/>
        <v>-</v>
      </c>
    </row>
    <row r="74" spans="1:5" x14ac:dyDescent="0.25">
      <c r="A74" s="1" t="s">
        <v>111</v>
      </c>
      <c r="B74" s="1">
        <v>3.75</v>
      </c>
      <c r="C74" s="1" t="s">
        <v>114</v>
      </c>
      <c r="D74" s="1" t="s">
        <v>116</v>
      </c>
      <c r="E74" s="27" t="str">
        <f t="shared" si="1"/>
        <v>Hydrolox-</v>
      </c>
    </row>
    <row r="75" spans="1:5" x14ac:dyDescent="0.25">
      <c r="A75" s="1" t="s">
        <v>111</v>
      </c>
      <c r="B75" s="1">
        <v>3.75</v>
      </c>
      <c r="C75" s="1" t="s">
        <v>113</v>
      </c>
      <c r="D75" s="1" t="s">
        <v>116</v>
      </c>
      <c r="E75" s="27" t="str">
        <f t="shared" ref="E75:E105" si="2">IF(D75="--n/a--","",IF(C75="Hyperg","Hypergolic",C75))&amp;"-"</f>
        <v>Kerolox-</v>
      </c>
    </row>
    <row r="76" spans="1:5" x14ac:dyDescent="0.25">
      <c r="A76" s="1" t="s">
        <v>111</v>
      </c>
      <c r="B76" s="1">
        <v>3.75</v>
      </c>
      <c r="C76" s="1" t="s">
        <v>126</v>
      </c>
      <c r="D76" s="27" t="s">
        <v>117</v>
      </c>
      <c r="E76" s="27" t="str">
        <f t="shared" si="2"/>
        <v>-</v>
      </c>
    </row>
    <row r="77" spans="1:5" x14ac:dyDescent="0.25">
      <c r="A77" s="1" t="s">
        <v>111</v>
      </c>
      <c r="B77" s="1">
        <v>3.75</v>
      </c>
      <c r="C77" s="1" t="s">
        <v>115</v>
      </c>
      <c r="D77" s="27" t="s">
        <v>117</v>
      </c>
      <c r="E77" s="27" t="str">
        <f t="shared" si="2"/>
        <v>-</v>
      </c>
    </row>
    <row r="78" spans="1:5" x14ac:dyDescent="0.25">
      <c r="A78" s="1" t="s">
        <v>108</v>
      </c>
      <c r="B78" s="1">
        <v>3.75</v>
      </c>
      <c r="C78" s="1" t="s">
        <v>114</v>
      </c>
      <c r="D78" s="1" t="s">
        <v>116</v>
      </c>
      <c r="E78" s="27" t="str">
        <f t="shared" si="2"/>
        <v>Hydrolox-</v>
      </c>
    </row>
    <row r="79" spans="1:5" x14ac:dyDescent="0.25">
      <c r="A79" s="1" t="s">
        <v>108</v>
      </c>
      <c r="B79" s="1">
        <v>3.75</v>
      </c>
      <c r="C79" s="1" t="s">
        <v>113</v>
      </c>
      <c r="D79" s="1" t="s">
        <v>116</v>
      </c>
      <c r="E79" s="27" t="str">
        <f t="shared" si="2"/>
        <v>Kerolox-</v>
      </c>
    </row>
    <row r="80" spans="1:5" x14ac:dyDescent="0.25">
      <c r="A80" s="1" t="s">
        <v>108</v>
      </c>
      <c r="B80" s="1">
        <v>3.75</v>
      </c>
      <c r="C80" s="1" t="s">
        <v>126</v>
      </c>
      <c r="D80" s="27" t="s">
        <v>117</v>
      </c>
      <c r="E80" s="27" t="str">
        <f t="shared" si="2"/>
        <v>-</v>
      </c>
    </row>
    <row r="81" spans="1:5" x14ac:dyDescent="0.25">
      <c r="A81" s="1" t="s">
        <v>108</v>
      </c>
      <c r="B81" s="1">
        <v>3.75</v>
      </c>
      <c r="C81" s="1" t="s">
        <v>115</v>
      </c>
      <c r="D81" s="27" t="s">
        <v>117</v>
      </c>
      <c r="E81" s="27" t="str">
        <f t="shared" si="2"/>
        <v>-</v>
      </c>
    </row>
    <row r="82" spans="1:5" x14ac:dyDescent="0.25">
      <c r="A82" s="1" t="s">
        <v>110</v>
      </c>
      <c r="B82" s="1">
        <v>3.75</v>
      </c>
      <c r="C82" s="1" t="s">
        <v>114</v>
      </c>
      <c r="D82" s="1" t="s">
        <v>116</v>
      </c>
      <c r="E82" s="27" t="str">
        <f t="shared" si="2"/>
        <v>Hydrolox-</v>
      </c>
    </row>
    <row r="83" spans="1:5" x14ac:dyDescent="0.25">
      <c r="A83" s="1" t="s">
        <v>110</v>
      </c>
      <c r="B83" s="1">
        <v>3.75</v>
      </c>
      <c r="C83" s="1" t="s">
        <v>113</v>
      </c>
      <c r="D83" s="1" t="s">
        <v>116</v>
      </c>
      <c r="E83" s="27" t="str">
        <f t="shared" si="2"/>
        <v>Kerolox-</v>
      </c>
    </row>
    <row r="84" spans="1:5" x14ac:dyDescent="0.25">
      <c r="A84" s="1" t="s">
        <v>110</v>
      </c>
      <c r="B84" s="1">
        <v>3.75</v>
      </c>
      <c r="C84" s="1" t="s">
        <v>126</v>
      </c>
      <c r="D84" s="27" t="s">
        <v>117</v>
      </c>
      <c r="E84" s="27" t="str">
        <f t="shared" si="2"/>
        <v>-</v>
      </c>
    </row>
    <row r="85" spans="1:5" x14ac:dyDescent="0.25">
      <c r="A85" s="1" t="s">
        <v>110</v>
      </c>
      <c r="B85" s="1">
        <v>3.75</v>
      </c>
      <c r="C85" s="1" t="s">
        <v>115</v>
      </c>
      <c r="D85" s="27" t="s">
        <v>117</v>
      </c>
      <c r="E85" s="27" t="str">
        <f t="shared" si="2"/>
        <v>-</v>
      </c>
    </row>
    <row r="86" spans="1:5" x14ac:dyDescent="0.25">
      <c r="A86" s="1" t="s">
        <v>109</v>
      </c>
      <c r="B86" s="1">
        <v>3.75</v>
      </c>
      <c r="C86" s="1" t="s">
        <v>114</v>
      </c>
      <c r="D86" s="1" t="s">
        <v>116</v>
      </c>
      <c r="E86" s="27" t="str">
        <f t="shared" si="2"/>
        <v>Hydrolox-</v>
      </c>
    </row>
    <row r="87" spans="1:5" x14ac:dyDescent="0.25">
      <c r="A87" s="1" t="s">
        <v>109</v>
      </c>
      <c r="B87" s="1">
        <v>3.75</v>
      </c>
      <c r="C87" s="1" t="s">
        <v>113</v>
      </c>
      <c r="D87" s="1" t="s">
        <v>116</v>
      </c>
      <c r="E87" s="27" t="str">
        <f t="shared" si="2"/>
        <v>Kerolox-</v>
      </c>
    </row>
    <row r="88" spans="1:5" x14ac:dyDescent="0.25">
      <c r="A88" s="1" t="s">
        <v>109</v>
      </c>
      <c r="B88" s="1">
        <v>3.75</v>
      </c>
      <c r="C88" s="1" t="s">
        <v>126</v>
      </c>
      <c r="D88" s="27" t="s">
        <v>117</v>
      </c>
      <c r="E88" s="27" t="str">
        <f t="shared" si="2"/>
        <v>-</v>
      </c>
    </row>
    <row r="89" spans="1:5" x14ac:dyDescent="0.25">
      <c r="A89" s="1" t="s">
        <v>109</v>
      </c>
      <c r="B89" s="1">
        <v>3.75</v>
      </c>
      <c r="C89" s="1" t="s">
        <v>115</v>
      </c>
      <c r="D89" s="27" t="s">
        <v>117</v>
      </c>
      <c r="E89" s="27" t="str">
        <f t="shared" si="2"/>
        <v>-</v>
      </c>
    </row>
    <row r="90" spans="1:5" x14ac:dyDescent="0.25">
      <c r="A90" s="1" t="s">
        <v>111</v>
      </c>
      <c r="B90" s="1">
        <v>5</v>
      </c>
      <c r="C90" s="1" t="s">
        <v>114</v>
      </c>
      <c r="D90" s="1" t="s">
        <v>116</v>
      </c>
      <c r="E90" s="27" t="str">
        <f t="shared" si="2"/>
        <v>Hydrolox-</v>
      </c>
    </row>
    <row r="91" spans="1:5" x14ac:dyDescent="0.25">
      <c r="A91" s="1" t="s">
        <v>111</v>
      </c>
      <c r="B91" s="1">
        <v>5</v>
      </c>
      <c r="C91" s="1" t="s">
        <v>113</v>
      </c>
      <c r="D91" s="1" t="s">
        <v>116</v>
      </c>
      <c r="E91" s="27" t="str">
        <f t="shared" si="2"/>
        <v>Kerolox-</v>
      </c>
    </row>
    <row r="92" spans="1:5" x14ac:dyDescent="0.25">
      <c r="A92" s="1" t="s">
        <v>111</v>
      </c>
      <c r="B92" s="1">
        <v>5</v>
      </c>
      <c r="C92" s="1" t="s">
        <v>126</v>
      </c>
      <c r="D92" s="27" t="s">
        <v>117</v>
      </c>
      <c r="E92" s="27" t="str">
        <f t="shared" si="2"/>
        <v>-</v>
      </c>
    </row>
    <row r="93" spans="1:5" x14ac:dyDescent="0.25">
      <c r="A93" s="1" t="s">
        <v>111</v>
      </c>
      <c r="B93" s="1">
        <v>5</v>
      </c>
      <c r="C93" s="1" t="s">
        <v>115</v>
      </c>
      <c r="D93" s="27" t="s">
        <v>117</v>
      </c>
      <c r="E93" s="27" t="str">
        <f t="shared" si="2"/>
        <v>-</v>
      </c>
    </row>
    <row r="94" spans="1:5" x14ac:dyDescent="0.25">
      <c r="A94" s="1" t="s">
        <v>108</v>
      </c>
      <c r="B94" s="1">
        <v>5</v>
      </c>
      <c r="C94" s="1" t="s">
        <v>114</v>
      </c>
      <c r="D94" s="1" t="s">
        <v>116</v>
      </c>
      <c r="E94" s="27" t="str">
        <f t="shared" si="2"/>
        <v>Hydrolox-</v>
      </c>
    </row>
    <row r="95" spans="1:5" x14ac:dyDescent="0.25">
      <c r="A95" s="1" t="s">
        <v>108</v>
      </c>
      <c r="B95" s="1">
        <v>5</v>
      </c>
      <c r="C95" s="1" t="s">
        <v>113</v>
      </c>
      <c r="D95" s="1" t="s">
        <v>116</v>
      </c>
      <c r="E95" s="27" t="str">
        <f t="shared" si="2"/>
        <v>Kerolox-</v>
      </c>
    </row>
    <row r="96" spans="1:5" x14ac:dyDescent="0.25">
      <c r="A96" s="1" t="s">
        <v>108</v>
      </c>
      <c r="B96" s="1">
        <v>5</v>
      </c>
      <c r="C96" s="1" t="s">
        <v>126</v>
      </c>
      <c r="D96" s="27" t="s">
        <v>117</v>
      </c>
      <c r="E96" s="27" t="str">
        <f t="shared" si="2"/>
        <v>-</v>
      </c>
    </row>
    <row r="97" spans="1:5" x14ac:dyDescent="0.25">
      <c r="A97" s="1" t="s">
        <v>108</v>
      </c>
      <c r="B97" s="1">
        <v>5</v>
      </c>
      <c r="C97" s="1" t="s">
        <v>115</v>
      </c>
      <c r="D97" s="27" t="s">
        <v>117</v>
      </c>
      <c r="E97" s="27" t="str">
        <f t="shared" si="2"/>
        <v>-</v>
      </c>
    </row>
    <row r="98" spans="1:5" x14ac:dyDescent="0.25">
      <c r="A98" s="1" t="s">
        <v>110</v>
      </c>
      <c r="B98" s="1">
        <v>5</v>
      </c>
      <c r="C98" s="1" t="s">
        <v>114</v>
      </c>
      <c r="D98" s="1" t="s">
        <v>116</v>
      </c>
      <c r="E98" s="27" t="str">
        <f t="shared" si="2"/>
        <v>Hydrolox-</v>
      </c>
    </row>
    <row r="99" spans="1:5" x14ac:dyDescent="0.25">
      <c r="A99" s="1" t="s">
        <v>110</v>
      </c>
      <c r="B99" s="1">
        <v>5</v>
      </c>
      <c r="C99" s="1" t="s">
        <v>113</v>
      </c>
      <c r="D99" s="1" t="s">
        <v>116</v>
      </c>
      <c r="E99" s="27" t="str">
        <f t="shared" si="2"/>
        <v>Kerolox-</v>
      </c>
    </row>
    <row r="100" spans="1:5" x14ac:dyDescent="0.25">
      <c r="A100" s="1" t="s">
        <v>110</v>
      </c>
      <c r="B100" s="1">
        <v>5</v>
      </c>
      <c r="C100" s="1" t="s">
        <v>126</v>
      </c>
      <c r="D100" s="27" t="s">
        <v>117</v>
      </c>
      <c r="E100" s="27" t="str">
        <f t="shared" si="2"/>
        <v>-</v>
      </c>
    </row>
    <row r="101" spans="1:5" x14ac:dyDescent="0.25">
      <c r="A101" s="1" t="s">
        <v>110</v>
      </c>
      <c r="B101" s="1">
        <v>5</v>
      </c>
      <c r="C101" s="1" t="s">
        <v>115</v>
      </c>
      <c r="D101" s="27" t="s">
        <v>117</v>
      </c>
      <c r="E101" s="27" t="str">
        <f t="shared" si="2"/>
        <v>-</v>
      </c>
    </row>
    <row r="102" spans="1:5" x14ac:dyDescent="0.25">
      <c r="A102" s="1" t="s">
        <v>109</v>
      </c>
      <c r="B102" s="1">
        <v>5</v>
      </c>
      <c r="C102" s="1" t="s">
        <v>114</v>
      </c>
      <c r="D102" s="1" t="s">
        <v>116</v>
      </c>
      <c r="E102" s="27" t="str">
        <f t="shared" si="2"/>
        <v>Hydrolox-</v>
      </c>
    </row>
    <row r="103" spans="1:5" x14ac:dyDescent="0.25">
      <c r="A103" s="1" t="s">
        <v>109</v>
      </c>
      <c r="B103" s="1">
        <v>5</v>
      </c>
      <c r="C103" s="1" t="s">
        <v>113</v>
      </c>
      <c r="D103" s="1" t="s">
        <v>116</v>
      </c>
      <c r="E103" s="27" t="str">
        <f t="shared" si="2"/>
        <v>Kerolox-</v>
      </c>
    </row>
    <row r="104" spans="1:5" x14ac:dyDescent="0.25">
      <c r="A104" s="1" t="s">
        <v>109</v>
      </c>
      <c r="B104" s="1">
        <v>5</v>
      </c>
      <c r="C104" s="1" t="s">
        <v>126</v>
      </c>
      <c r="D104" s="27" t="s">
        <v>117</v>
      </c>
      <c r="E104" s="27" t="str">
        <f t="shared" si="2"/>
        <v>-</v>
      </c>
    </row>
    <row r="105" spans="1:5" x14ac:dyDescent="0.25">
      <c r="A105" s="1" t="s">
        <v>109</v>
      </c>
      <c r="B105" s="1">
        <v>5</v>
      </c>
      <c r="C105" s="1" t="s">
        <v>115</v>
      </c>
      <c r="D105" s="27" t="s">
        <v>117</v>
      </c>
      <c r="E105" s="27" t="str">
        <f t="shared" si="2"/>
        <v>-</v>
      </c>
    </row>
  </sheetData>
  <sortState ref="A10:D105">
    <sortCondition ref="B10"/>
  </sortState>
  <mergeCells count="4">
    <mergeCell ref="L1:R1"/>
    <mergeCell ref="T1:Z1"/>
    <mergeCell ref="AB1:AH1"/>
    <mergeCell ref="AJ1:A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opLeftCell="B1" workbookViewId="0">
      <selection activeCell="E21" sqref="E21"/>
    </sheetView>
  </sheetViews>
  <sheetFormatPr defaultRowHeight="15" x14ac:dyDescent="0.25"/>
  <cols>
    <col min="1" max="2" width="8.140625" style="1" bestFit="1" customWidth="1"/>
    <col min="3" max="3" width="7.28515625" style="1" bestFit="1" customWidth="1"/>
    <col min="4" max="4" width="5.5703125" style="1" bestFit="1" customWidth="1"/>
    <col min="5" max="6" width="9.140625" style="1"/>
    <col min="7" max="7" width="10.140625" style="1" bestFit="1" customWidth="1"/>
    <col min="8" max="8" width="8" style="1" bestFit="1" customWidth="1"/>
    <col min="9" max="9" width="8.5703125" style="1" bestFit="1" customWidth="1"/>
    <col min="10" max="10" width="6.28515625" style="1" bestFit="1" customWidth="1"/>
    <col min="11" max="11" width="6.5703125" style="1" bestFit="1" customWidth="1"/>
    <col min="12" max="13" width="5.5703125" style="1" bestFit="1" customWidth="1"/>
    <col min="14" max="14" width="7.28515625" style="1" bestFit="1" customWidth="1"/>
    <col min="15" max="16384" width="9.140625" style="1"/>
  </cols>
  <sheetData>
    <row r="1" spans="1:21" x14ac:dyDescent="0.25">
      <c r="A1" s="1" t="s">
        <v>49</v>
      </c>
      <c r="B1" s="1" t="s">
        <v>18</v>
      </c>
      <c r="C1" s="1" t="s">
        <v>54</v>
      </c>
      <c r="D1" s="1" t="s">
        <v>60</v>
      </c>
      <c r="F1" s="1" t="s">
        <v>49</v>
      </c>
      <c r="G1" s="1" t="s">
        <v>18</v>
      </c>
      <c r="H1" s="1" t="s">
        <v>56</v>
      </c>
      <c r="I1" s="1" t="s">
        <v>55</v>
      </c>
      <c r="J1" s="1" t="s">
        <v>57</v>
      </c>
      <c r="K1" s="1" t="s">
        <v>58</v>
      </c>
      <c r="L1" s="1" t="s">
        <v>49</v>
      </c>
      <c r="M1" s="1" t="s">
        <v>18</v>
      </c>
      <c r="N1" s="1" t="s">
        <v>59</v>
      </c>
      <c r="O1" s="1" t="s">
        <v>70</v>
      </c>
      <c r="P1" s="1" t="s">
        <v>100</v>
      </c>
    </row>
    <row r="2" spans="1:21" x14ac:dyDescent="0.25">
      <c r="A2" s="2" t="s">
        <v>50</v>
      </c>
      <c r="B2" s="2" t="s">
        <v>52</v>
      </c>
      <c r="C2" s="19">
        <f>N2+O2</f>
        <v>3321.9595450249772</v>
      </c>
      <c r="D2" s="19">
        <f>C2</f>
        <v>3321.9595450249772</v>
      </c>
      <c r="F2" s="16">
        <v>600000</v>
      </c>
      <c r="G2" s="16">
        <v>670000</v>
      </c>
      <c r="H2" s="1">
        <f>AVERAGE(F2:G2)</f>
        <v>635000</v>
      </c>
      <c r="I2" s="18">
        <v>3531600000000</v>
      </c>
      <c r="J2" s="15">
        <f>SQRT(I2*(2/F2-1/H2))</f>
        <v>2492.0724702244102</v>
      </c>
      <c r="K2" s="15">
        <f>SQRT(I2*(2/G2-1/H2))</f>
        <v>2231.7066897532031</v>
      </c>
      <c r="L2" s="16">
        <v>174.53292519943295</v>
      </c>
      <c r="M2" s="16">
        <f>J2</f>
        <v>2492.0724702244102</v>
      </c>
      <c r="N2" s="15">
        <f>M2-L2</f>
        <v>2317.5395450249771</v>
      </c>
      <c r="O2" s="16">
        <f>200+9.81*82</f>
        <v>1004.4200000000001</v>
      </c>
      <c r="P2" s="15">
        <f>2*PI()*SQRT(H2^3/I2)</f>
        <v>1691.8221328894676</v>
      </c>
      <c r="R2" s="1" t="s">
        <v>54</v>
      </c>
      <c r="S2" s="1" t="s">
        <v>93</v>
      </c>
      <c r="T2" s="1" t="s">
        <v>97</v>
      </c>
    </row>
    <row r="3" spans="1:21" x14ac:dyDescent="0.25">
      <c r="A3" s="2" t="s">
        <v>52</v>
      </c>
      <c r="B3" s="2" t="s">
        <v>51</v>
      </c>
      <c r="C3" s="19">
        <f>N3+O3</f>
        <v>64.168911432410368</v>
      </c>
      <c r="D3" s="19">
        <f>C3+D2</f>
        <v>3386.1284564573875</v>
      </c>
      <c r="F3" s="16">
        <v>670000</v>
      </c>
      <c r="G3" s="16">
        <v>670000</v>
      </c>
      <c r="H3" s="1">
        <f>AVERAGE(F3:G3)</f>
        <v>670000</v>
      </c>
      <c r="I3" s="18">
        <v>3531600000000</v>
      </c>
      <c r="J3" s="15">
        <f>SQRT(I3*(2/F3-1/H3))</f>
        <v>2295.8756011856135</v>
      </c>
      <c r="K3" s="15">
        <f>SQRT(I3*(2/G3-1/H3))</f>
        <v>2295.8756011856135</v>
      </c>
      <c r="L3" s="16">
        <f>K2</f>
        <v>2231.7066897532031</v>
      </c>
      <c r="M3" s="16">
        <f>K3</f>
        <v>2295.8756011856135</v>
      </c>
      <c r="N3" s="15">
        <f>M3-L3</f>
        <v>64.168911432410368</v>
      </c>
      <c r="O3" s="16"/>
      <c r="P3" s="15">
        <f>2*PI()*SQRT(H3^3/I3)</f>
        <v>1833.6072536492711</v>
      </c>
      <c r="R3" s="30">
        <v>2223</v>
      </c>
      <c r="S3" s="30">
        <v>71</v>
      </c>
      <c r="T3" s="30">
        <v>10</v>
      </c>
    </row>
    <row r="4" spans="1:21" x14ac:dyDescent="0.25">
      <c r="A4" s="2" t="s">
        <v>51</v>
      </c>
      <c r="B4" s="2" t="s">
        <v>53</v>
      </c>
      <c r="C4" s="19">
        <f>N4+O4</f>
        <v>676.5791616769734</v>
      </c>
      <c r="D4" s="19">
        <f>C4+D3</f>
        <v>4062.7076181343609</v>
      </c>
      <c r="F4" s="16">
        <v>670000</v>
      </c>
      <c r="G4" s="16">
        <f>600000+2868750</f>
        <v>3468750</v>
      </c>
      <c r="H4" s="1">
        <f>AVERAGE(F4:G4)</f>
        <v>2069375</v>
      </c>
      <c r="I4" s="18">
        <v>3531600000000</v>
      </c>
      <c r="J4" s="15">
        <f>SQRT(I4*(2/F4-1/H4))</f>
        <v>2972.4547628625869</v>
      </c>
      <c r="K4" s="15">
        <f>SQRT(I4*(2/G4-1/H4))</f>
        <v>574.1390100520166</v>
      </c>
      <c r="L4" s="16">
        <f>J3</f>
        <v>2295.8756011856135</v>
      </c>
      <c r="M4" s="16">
        <f>J4</f>
        <v>2972.4547628625869</v>
      </c>
      <c r="N4" s="15">
        <f>M4-L4</f>
        <v>676.5791616769734</v>
      </c>
      <c r="O4" s="16"/>
      <c r="P4" s="15">
        <f>2*PI()*SQRT(H4^3/I4)</f>
        <v>9952.9749592970566</v>
      </c>
      <c r="R4" s="1" t="s">
        <v>94</v>
      </c>
      <c r="S4" s="1" t="s">
        <v>95</v>
      </c>
      <c r="T4" s="1" t="s">
        <v>96</v>
      </c>
    </row>
    <row r="5" spans="1:21" x14ac:dyDescent="0.25">
      <c r="A5" s="2" t="s">
        <v>53</v>
      </c>
      <c r="B5" s="2" t="s">
        <v>40</v>
      </c>
      <c r="C5" s="19">
        <f>N5+O5</f>
        <v>434.87978011936514</v>
      </c>
      <c r="D5" s="19">
        <f>C5+D4</f>
        <v>4497.587398253726</v>
      </c>
      <c r="F5" s="16">
        <f>600000+2868750</f>
        <v>3468750</v>
      </c>
      <c r="G5" s="16">
        <f>600000+2868750</f>
        <v>3468750</v>
      </c>
      <c r="H5" s="1">
        <f>AVERAGE(F5:G5)</f>
        <v>3468750</v>
      </c>
      <c r="I5" s="18">
        <v>3531600000000</v>
      </c>
      <c r="J5" s="15">
        <f>SQRT(I5*(2/F5-1/H5))</f>
        <v>1009.0187901713817</v>
      </c>
      <c r="K5" s="15">
        <f>SQRT(I5*(2/G5-1/H5))</f>
        <v>1009.0187901713817</v>
      </c>
      <c r="L5" s="16">
        <f>K4</f>
        <v>574.1390100520166</v>
      </c>
      <c r="M5" s="16">
        <f>J5</f>
        <v>1009.0187901713817</v>
      </c>
      <c r="N5" s="15">
        <f>M5-L5</f>
        <v>434.87978011936514</v>
      </c>
      <c r="O5" s="16"/>
      <c r="P5" s="15">
        <f>2*PI()*SQRT(H5^3/I5)</f>
        <v>21599.993227655697</v>
      </c>
      <c r="R5" s="6">
        <f>9.81*S3*98%</f>
        <v>682.57979999999998</v>
      </c>
      <c r="S5" s="6">
        <f>R3-R5</f>
        <v>1540.4202</v>
      </c>
      <c r="T5" s="6">
        <f>70%*S5</f>
        <v>1078.29414</v>
      </c>
    </row>
    <row r="6" spans="1:21" x14ac:dyDescent="0.25">
      <c r="R6" s="1" t="s">
        <v>98</v>
      </c>
    </row>
    <row r="7" spans="1:21" x14ac:dyDescent="0.25">
      <c r="A7" s="2" t="s">
        <v>51</v>
      </c>
      <c r="B7" s="2" t="s">
        <v>43</v>
      </c>
      <c r="C7" s="19">
        <f>N7+O7</f>
        <v>863.96857272284706</v>
      </c>
      <c r="D7" s="19">
        <f>C7</f>
        <v>863.96857272284706</v>
      </c>
      <c r="F7" s="16">
        <v>670000</v>
      </c>
      <c r="G7" s="16">
        <v>12000000</v>
      </c>
      <c r="H7" s="1">
        <f>AVERAGE(F7:G7)</f>
        <v>6335000</v>
      </c>
      <c r="I7" s="18">
        <v>3531600000000</v>
      </c>
      <c r="J7" s="15">
        <f>SQRT(I7*(2/F7-1/H7))</f>
        <v>3159.8441739084606</v>
      </c>
      <c r="K7" s="15">
        <f>SQRT(I7*(2/G7-1/H7))</f>
        <v>176.42463304322249</v>
      </c>
      <c r="L7" s="16">
        <f>J3</f>
        <v>2295.8756011856135</v>
      </c>
      <c r="M7" s="16">
        <f>J7</f>
        <v>3159.8441739084606</v>
      </c>
      <c r="N7" s="15">
        <f>M7-L7</f>
        <v>863.96857272284706</v>
      </c>
      <c r="O7" s="16"/>
      <c r="P7" s="15">
        <f>2*PI()*SQRT(H7^3/I7)</f>
        <v>53310.658020675924</v>
      </c>
      <c r="R7" s="28">
        <f>T3*S3^2</f>
        <v>50410</v>
      </c>
    </row>
    <row r="9" spans="1:21" x14ac:dyDescent="0.25">
      <c r="A9" s="2" t="s">
        <v>50</v>
      </c>
      <c r="B9" s="2" t="s">
        <v>69</v>
      </c>
      <c r="C9" s="19">
        <f>N9+O9</f>
        <v>603.612064514905</v>
      </c>
      <c r="D9" s="19">
        <f>C9</f>
        <v>603.612064514905</v>
      </c>
      <c r="F9" s="16">
        <v>200000</v>
      </c>
      <c r="G9" s="16">
        <v>210000</v>
      </c>
      <c r="H9" s="1">
        <f>AVERAGE(F9:G9)</f>
        <v>205000</v>
      </c>
      <c r="I9" s="18">
        <v>65138398000</v>
      </c>
      <c r="J9" s="15">
        <f>SQRT(I9*(2/F9-1/H9))</f>
        <v>577.612064514905</v>
      </c>
      <c r="K9" s="15">
        <f>SQRT(I9*(2/G9-1/H9))</f>
        <v>550.10672810943322</v>
      </c>
      <c r="L9" s="16">
        <v>9</v>
      </c>
      <c r="M9" s="16">
        <f>J9</f>
        <v>577.612064514905</v>
      </c>
      <c r="N9" s="15">
        <f>M9-L9</f>
        <v>568.612064514905</v>
      </c>
      <c r="O9" s="16">
        <v>35</v>
      </c>
      <c r="P9" s="15">
        <f>2*PI()*SQRT(H9^3/I9)</f>
        <v>2285.0311415809701</v>
      </c>
    </row>
    <row r="10" spans="1:21" x14ac:dyDescent="0.25">
      <c r="A10" s="2" t="s">
        <v>69</v>
      </c>
      <c r="B10" s="2" t="s">
        <v>68</v>
      </c>
      <c r="C10" s="19">
        <f>N10+O10</f>
        <v>6.8338859770666431</v>
      </c>
      <c r="D10" s="19">
        <f>C10+D9</f>
        <v>610.44595049197164</v>
      </c>
      <c r="F10" s="16">
        <v>210000</v>
      </c>
      <c r="G10" s="16">
        <v>210000</v>
      </c>
      <c r="H10" s="1">
        <f>AVERAGE(F10:G10)</f>
        <v>210000</v>
      </c>
      <c r="I10" s="18">
        <v>65138398000</v>
      </c>
      <c r="J10" s="15">
        <f>SQRT(I10*(2/F10-1/H10))</f>
        <v>556.94061408649986</v>
      </c>
      <c r="K10" s="15">
        <f>SQRT(I10*(2/G10-1/H10))</f>
        <v>556.94061408649986</v>
      </c>
      <c r="L10" s="16">
        <f>K9</f>
        <v>550.10672810943322</v>
      </c>
      <c r="M10" s="16">
        <f>J10</f>
        <v>556.94061408649986</v>
      </c>
      <c r="N10" s="15">
        <f>M10-L10</f>
        <v>6.8338859770666431</v>
      </c>
      <c r="O10" s="16"/>
      <c r="P10" s="15">
        <f>2*PI()*SQRT(H10^3/I10)</f>
        <v>2369.1375366329148</v>
      </c>
      <c r="R10" s="1">
        <v>3629</v>
      </c>
      <c r="S10" s="1">
        <v>4265</v>
      </c>
      <c r="U10" s="1">
        <v>1800</v>
      </c>
    </row>
    <row r="11" spans="1:21" x14ac:dyDescent="0.25">
      <c r="R11" s="1">
        <v>2290</v>
      </c>
      <c r="S11" s="1">
        <v>2009</v>
      </c>
      <c r="U11" s="1">
        <v>1.78</v>
      </c>
    </row>
    <row r="12" spans="1:21" x14ac:dyDescent="0.25">
      <c r="A12" s="2" t="s">
        <v>50</v>
      </c>
      <c r="B12" s="2" t="s">
        <v>71</v>
      </c>
      <c r="C12" s="19">
        <f>N12+O12</f>
        <v>6077.7618656919749</v>
      </c>
      <c r="D12" s="19">
        <f>C12</f>
        <v>6077.7618656919749</v>
      </c>
      <c r="F12" s="16">
        <v>700000</v>
      </c>
      <c r="G12" s="16">
        <v>800000</v>
      </c>
      <c r="H12" s="1">
        <f>AVERAGE(F12:G12)</f>
        <v>750000</v>
      </c>
      <c r="I12" s="18">
        <v>8171730200000</v>
      </c>
      <c r="J12" s="15">
        <f>SQRT(I12*(2/F12-1/H12))</f>
        <v>3528.7618656919744</v>
      </c>
      <c r="K12" s="15">
        <f>SQRT(I12*(2/G12-1/H12))</f>
        <v>3087.6666324804778</v>
      </c>
      <c r="L12" s="16">
        <v>55</v>
      </c>
      <c r="M12" s="16">
        <f>J12</f>
        <v>3528.7618656919744</v>
      </c>
      <c r="N12" s="15">
        <f>M12-L12</f>
        <v>3473.7618656919744</v>
      </c>
      <c r="O12" s="16">
        <f>200*3+16.7*120</f>
        <v>2604</v>
      </c>
      <c r="P12" s="15">
        <f>2*PI()*SQRT(H12^3/I12)</f>
        <v>1427.6270025663123</v>
      </c>
      <c r="R12" s="1">
        <f>R10+R11</f>
        <v>5919</v>
      </c>
      <c r="S12" s="1">
        <f>S10+S11</f>
        <v>6274</v>
      </c>
      <c r="U12" s="1">
        <v>1.5</v>
      </c>
    </row>
    <row r="13" spans="1:21" x14ac:dyDescent="0.25">
      <c r="A13" s="2" t="s">
        <v>71</v>
      </c>
      <c r="B13" s="2" t="s">
        <v>72</v>
      </c>
      <c r="C13" s="19">
        <f>N13+O13</f>
        <v>108.37197022756845</v>
      </c>
      <c r="D13" s="19">
        <f>C13+D12</f>
        <v>6186.1338359195433</v>
      </c>
      <c r="F13" s="16">
        <v>800000</v>
      </c>
      <c r="G13" s="16">
        <v>800000</v>
      </c>
      <c r="H13" s="1">
        <f>AVERAGE(F13:G13)</f>
        <v>800000</v>
      </c>
      <c r="I13" s="18">
        <v>8171730200000</v>
      </c>
      <c r="J13" s="15">
        <f>SQRT(I13*(2/F13-1/H13))</f>
        <v>3196.0386027080463</v>
      </c>
      <c r="K13" s="15">
        <f>SQRT(I13*(2/G13-1/H13))</f>
        <v>3196.0386027080463</v>
      </c>
      <c r="L13" s="16">
        <f>K12</f>
        <v>3087.6666324804778</v>
      </c>
      <c r="M13" s="16">
        <f>J13</f>
        <v>3196.0386027080463</v>
      </c>
      <c r="N13" s="15">
        <f>M13-L13</f>
        <v>108.37197022756845</v>
      </c>
      <c r="O13" s="16"/>
      <c r="P13" s="15">
        <f>2*PI()*SQRT(H13^3/I13)</f>
        <v>1572.7432833522748</v>
      </c>
      <c r="R13" s="1" t="s">
        <v>26</v>
      </c>
      <c r="S13" s="1" t="s">
        <v>32</v>
      </c>
      <c r="U13" s="1">
        <f>U12/U11*U10</f>
        <v>1516.8539325842696</v>
      </c>
    </row>
    <row r="15" spans="1:21" x14ac:dyDescent="0.25">
      <c r="A15" s="2" t="s">
        <v>50</v>
      </c>
      <c r="B15" s="2" t="s">
        <v>90</v>
      </c>
      <c r="C15" s="19">
        <f>N15+O15</f>
        <v>3997.8575396817419</v>
      </c>
      <c r="D15" s="19">
        <f>C15</f>
        <v>3997.8575396817419</v>
      </c>
      <c r="F15" s="16">
        <v>600000</v>
      </c>
      <c r="G15" s="16">
        <f>600000+2868750</f>
        <v>3468750</v>
      </c>
      <c r="H15" s="1">
        <f>AVERAGE(F15:G15)</f>
        <v>2034375</v>
      </c>
      <c r="I15" s="18">
        <v>3531600000000</v>
      </c>
      <c r="J15" s="15">
        <f>SQRT(I15*(2/F15-1/H15))</f>
        <v>3167.9704648811748</v>
      </c>
      <c r="K15" s="15">
        <f>SQRT(I15*(2/G15-1/H15))</f>
        <v>547.97326960106784</v>
      </c>
      <c r="L15" s="16">
        <v>174.53292519943295</v>
      </c>
      <c r="M15" s="16">
        <f>J15</f>
        <v>3167.9704648811748</v>
      </c>
      <c r="N15" s="15">
        <f>M15-L15</f>
        <v>2993.4375396817418</v>
      </c>
      <c r="O15" s="16">
        <f>200+9.81*82</f>
        <v>1004.4200000000001</v>
      </c>
      <c r="P15" s="15">
        <f>2*PI()*SQRT(H15^3/I15)</f>
        <v>9701.5389058065757</v>
      </c>
    </row>
    <row r="16" spans="1:21" x14ac:dyDescent="0.25">
      <c r="A16" s="2" t="s">
        <v>90</v>
      </c>
      <c r="B16" s="2" t="s">
        <v>40</v>
      </c>
      <c r="C16" s="19">
        <f>N16+O16</f>
        <v>461.0455205703139</v>
      </c>
      <c r="D16" s="19">
        <f>C16</f>
        <v>461.0455205703139</v>
      </c>
      <c r="F16" s="16">
        <f>600000+2868750</f>
        <v>3468750</v>
      </c>
      <c r="G16" s="16">
        <f>600000+2868750</f>
        <v>3468750</v>
      </c>
      <c r="H16" s="1">
        <f>AVERAGE(F16:G16)</f>
        <v>3468750</v>
      </c>
      <c r="I16" s="18">
        <v>3531600000000</v>
      </c>
      <c r="J16" s="15">
        <f>SQRT(I16*(2/F16-1/H16))</f>
        <v>1009.0187901713817</v>
      </c>
      <c r="K16" s="15">
        <f>SQRT(I16*(2/G16-1/H16))</f>
        <v>1009.0187901713817</v>
      </c>
      <c r="L16" s="16">
        <f>K15</f>
        <v>547.97326960106784</v>
      </c>
      <c r="M16" s="16">
        <f>J16</f>
        <v>1009.0187901713817</v>
      </c>
      <c r="N16" s="15">
        <f>M16-L16</f>
        <v>461.0455205703139</v>
      </c>
      <c r="O16" s="16"/>
      <c r="P16" s="15">
        <f>2*PI()*SQRT(H16^3/I16)</f>
        <v>21599.993227655697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7" workbookViewId="0">
      <selection activeCell="T33" sqref="T33"/>
    </sheetView>
  </sheetViews>
  <sheetFormatPr defaultRowHeight="11.25" x14ac:dyDescent="0.2"/>
  <cols>
    <col min="1" max="1" width="9.85546875" style="41" bestFit="1" customWidth="1"/>
    <col min="2" max="2" width="10.42578125" style="41" bestFit="1" customWidth="1"/>
    <col min="3" max="3" width="5.28515625" style="41" bestFit="1" customWidth="1"/>
    <col min="4" max="4" width="6.5703125" style="41" bestFit="1" customWidth="1"/>
    <col min="5" max="5" width="5.5703125" style="41" bestFit="1" customWidth="1"/>
    <col min="6" max="6" width="10.42578125" style="41" bestFit="1" customWidth="1"/>
    <col min="7" max="7" width="6.140625" style="41" bestFit="1" customWidth="1"/>
    <col min="8" max="8" width="5.85546875" style="41" bestFit="1" customWidth="1"/>
    <col min="9" max="10" width="5.5703125" style="41" bestFit="1" customWidth="1"/>
    <col min="11" max="11" width="4.85546875" style="41" bestFit="1" customWidth="1"/>
    <col min="12" max="12" width="4.42578125" style="41" bestFit="1" customWidth="1"/>
    <col min="13" max="13" width="11.85546875" style="41" customWidth="1"/>
    <col min="14" max="15" width="6.140625" style="41" bestFit="1" customWidth="1"/>
    <col min="16" max="16" width="6" style="41" bestFit="1" customWidth="1"/>
    <col min="17" max="17" width="9" style="41" bestFit="1" customWidth="1"/>
    <col min="18" max="19" width="5.28515625" style="41" bestFit="1" customWidth="1"/>
    <col min="20" max="20" width="10.42578125" style="41" bestFit="1" customWidth="1"/>
    <col min="21" max="21" width="6.140625" style="41" bestFit="1" customWidth="1"/>
    <col min="22" max="22" width="7.42578125" style="41" bestFit="1" customWidth="1"/>
    <col min="23" max="23" width="8.140625" style="41" bestFit="1" customWidth="1"/>
    <col min="24" max="24" width="6.140625" style="41" bestFit="1" customWidth="1"/>
    <col min="25" max="27" width="10.42578125" style="41" bestFit="1" customWidth="1"/>
    <col min="28" max="28" width="7.140625" style="41" bestFit="1" customWidth="1"/>
    <col min="29" max="29" width="3.140625" style="41" customWidth="1"/>
    <col min="30" max="30" width="12.140625" style="41" bestFit="1" customWidth="1"/>
    <col min="31" max="31" width="1.28515625" style="41" customWidth="1"/>
    <col min="32" max="32" width="6.140625" style="41" bestFit="1" customWidth="1"/>
    <col min="33" max="33" width="11.28515625" style="41" bestFit="1" customWidth="1"/>
    <col min="34" max="34" width="10" style="41" bestFit="1" customWidth="1"/>
    <col min="35" max="35" width="0.85546875" style="41" customWidth="1"/>
    <col min="36" max="36" width="8.140625" style="41" bestFit="1" customWidth="1"/>
    <col min="37" max="37" width="6.140625" style="41" bestFit="1" customWidth="1"/>
    <col min="38" max="38" width="11.28515625" style="41" bestFit="1" customWidth="1"/>
    <col min="39" max="39" width="10" style="41" bestFit="1" customWidth="1"/>
    <col min="40" max="40" width="0.85546875" style="41" customWidth="1"/>
    <col min="41" max="41" width="12.42578125" style="41" bestFit="1" customWidth="1"/>
    <col min="42" max="42" width="10.85546875" style="41" bestFit="1" customWidth="1"/>
    <col min="43" max="43" width="11.28515625" style="41" bestFit="1" customWidth="1"/>
    <col min="44" max="44" width="2.85546875" style="41" customWidth="1"/>
    <col min="45" max="45" width="7.42578125" style="41" bestFit="1" customWidth="1"/>
    <col min="46" max="46" width="10.140625" style="41" bestFit="1" customWidth="1"/>
    <col min="47" max="48" width="4.42578125" style="41" bestFit="1" customWidth="1"/>
    <col min="49" max="49" width="6.140625" style="41" bestFit="1" customWidth="1"/>
    <col min="50" max="50" width="6.7109375" style="41" bestFit="1" customWidth="1"/>
    <col min="51" max="51" width="7.85546875" style="41" bestFit="1" customWidth="1"/>
    <col min="52" max="53" width="10.140625" style="41" bestFit="1" customWidth="1"/>
    <col min="54" max="54" width="11.28515625" style="41" bestFit="1" customWidth="1"/>
    <col min="55" max="55" width="12.42578125" style="41" bestFit="1" customWidth="1"/>
    <col min="56" max="56" width="1.7109375" style="41" customWidth="1"/>
    <col min="57" max="57" width="12.42578125" style="41" bestFit="1" customWidth="1"/>
    <col min="58" max="58" width="8.140625" style="41" bestFit="1" customWidth="1"/>
    <col min="59" max="59" width="8.42578125" style="41" bestFit="1" customWidth="1"/>
    <col min="60" max="60" width="10.140625" style="41" bestFit="1" customWidth="1"/>
    <col min="61" max="61" width="16.5703125" style="41" bestFit="1" customWidth="1"/>
    <col min="62" max="62" width="15.42578125" style="41" bestFit="1" customWidth="1"/>
    <col min="63" max="63" width="9.140625" style="41"/>
    <col min="64" max="64" width="8.140625" style="41" bestFit="1" customWidth="1"/>
    <col min="65" max="65" width="7.28515625" style="41" bestFit="1" customWidth="1"/>
    <col min="66" max="66" width="8.28515625" style="41" bestFit="1" customWidth="1"/>
    <col min="67" max="67" width="7.28515625" style="41" bestFit="1" customWidth="1"/>
    <col min="68" max="70" width="6.140625" style="41" bestFit="1" customWidth="1"/>
    <col min="71" max="73" width="5.5703125" style="41" bestFit="1" customWidth="1"/>
    <col min="74" max="74" width="5" style="41" bestFit="1" customWidth="1"/>
    <col min="75" max="16384" width="9.140625" style="41"/>
  </cols>
  <sheetData>
    <row r="1" spans="1:27" x14ac:dyDescent="0.2">
      <c r="A1" s="42" t="s">
        <v>286</v>
      </c>
      <c r="B1" s="42" t="s">
        <v>66</v>
      </c>
      <c r="C1" s="42" t="s">
        <v>41</v>
      </c>
      <c r="D1" s="42" t="s">
        <v>292</v>
      </c>
      <c r="E1" s="42" t="s">
        <v>299</v>
      </c>
      <c r="F1" s="42" t="s">
        <v>300</v>
      </c>
      <c r="G1" s="42" t="s">
        <v>301</v>
      </c>
      <c r="H1" s="42" t="s">
        <v>302</v>
      </c>
      <c r="I1" s="42" t="s">
        <v>303</v>
      </c>
      <c r="J1" s="42" t="s">
        <v>304</v>
      </c>
      <c r="K1" s="42" t="s">
        <v>305</v>
      </c>
      <c r="L1" s="42" t="s">
        <v>306</v>
      </c>
      <c r="M1" s="42"/>
      <c r="N1" s="42" t="s">
        <v>49</v>
      </c>
      <c r="O1" s="42" t="s">
        <v>18</v>
      </c>
      <c r="P1" s="42" t="s">
        <v>49</v>
      </c>
      <c r="Q1" s="42" t="s">
        <v>18</v>
      </c>
      <c r="R1" s="42" t="s">
        <v>49</v>
      </c>
      <c r="S1" s="42" t="s">
        <v>18</v>
      </c>
      <c r="T1" s="42" t="s">
        <v>41</v>
      </c>
      <c r="U1" s="42" t="s">
        <v>42</v>
      </c>
      <c r="V1" s="42" t="s">
        <v>294</v>
      </c>
      <c r="X1" s="41">
        <v>1.06</v>
      </c>
      <c r="Y1" s="41">
        <f>X1/3</f>
        <v>0.35333333333333333</v>
      </c>
    </row>
    <row r="2" spans="1:27" x14ac:dyDescent="0.2">
      <c r="A2" s="41" t="s">
        <v>263</v>
      </c>
      <c r="B2" s="41" t="s">
        <v>212</v>
      </c>
      <c r="C2" s="41">
        <v>93000</v>
      </c>
      <c r="D2" s="41" t="s">
        <v>259</v>
      </c>
      <c r="E2" s="41">
        <v>0.01</v>
      </c>
      <c r="F2" s="41" t="s">
        <v>212</v>
      </c>
      <c r="G2" s="41">
        <v>3600</v>
      </c>
      <c r="H2" s="41" t="s">
        <v>212</v>
      </c>
      <c r="I2" s="47">
        <v>2</v>
      </c>
      <c r="J2" s="41" t="s">
        <v>212</v>
      </c>
      <c r="K2" s="45">
        <f>2*C2*TAN(RADIANS(E2/2))</f>
        <v>16.231562084750738</v>
      </c>
      <c r="L2" s="45" t="s">
        <v>212</v>
      </c>
      <c r="N2" s="41" t="s">
        <v>62</v>
      </c>
      <c r="O2" s="41" t="s">
        <v>40</v>
      </c>
      <c r="P2" s="48" t="s">
        <v>295</v>
      </c>
      <c r="Q2" s="48" t="s">
        <v>63</v>
      </c>
      <c r="R2" s="41">
        <f>INDEX($O$12:$O$33,MATCH(P2,$N$12:$N$33,0))</f>
        <v>100000000000</v>
      </c>
      <c r="S2" s="41">
        <f>INDEX($O$12:$O$33,MATCH(Q2,$N$12:$N$33,0))</f>
        <v>3.5</v>
      </c>
      <c r="T2" s="46">
        <f>MIN(R2,S2)+SQRT(R2*S2)</f>
        <v>591611.47830996162</v>
      </c>
      <c r="U2" s="45">
        <f>2.86875-0.6+1.2</f>
        <v>3.46875</v>
      </c>
      <c r="V2" s="45">
        <f>T2-U2</f>
        <v>591608.00955996162</v>
      </c>
    </row>
    <row r="3" spans="1:27" x14ac:dyDescent="0.2">
      <c r="A3" s="41" t="s">
        <v>264</v>
      </c>
      <c r="B3" s="41" t="s">
        <v>261</v>
      </c>
      <c r="C3" s="41">
        <v>32000</v>
      </c>
      <c r="D3" s="41" t="s">
        <v>48</v>
      </c>
      <c r="E3" s="41">
        <v>0.2</v>
      </c>
      <c r="F3" s="41">
        <f>E3/100</f>
        <v>2E-3</v>
      </c>
      <c r="G3" s="46">
        <v>2100</v>
      </c>
      <c r="H3" s="46">
        <v>275</v>
      </c>
      <c r="I3" s="46">
        <v>1300</v>
      </c>
      <c r="J3" s="46">
        <f>I3/1.6</f>
        <v>812.5</v>
      </c>
      <c r="K3" s="45">
        <f t="shared" ref="K3:K6" si="0">2*C3*TAN(RADIANS(E3/2))</f>
        <v>111.70118554808323</v>
      </c>
      <c r="L3" s="45">
        <f t="shared" ref="L3:L6" si="1">2*C3*TAN(RADIANS(F3/2))</f>
        <v>1.1170107213897913</v>
      </c>
      <c r="N3" s="41" t="s">
        <v>40</v>
      </c>
      <c r="O3" s="41" t="s">
        <v>40</v>
      </c>
      <c r="P3" s="48" t="s">
        <v>270</v>
      </c>
      <c r="Q3" s="48" t="s">
        <v>270</v>
      </c>
      <c r="R3" s="41">
        <f>INDEX($O$12:$O$33,MATCH(P3,$N$12:$N$33,0))</f>
        <v>3.5</v>
      </c>
      <c r="S3" s="41">
        <f>INDEX($O$12:$O$33,MATCH(Q3,$N$12:$N$33,0))</f>
        <v>3.5</v>
      </c>
      <c r="T3" s="41">
        <f t="shared" ref="T3:T10" si="2">MIN(R3,S3)+SQRT(R3*S3)</f>
        <v>7</v>
      </c>
      <c r="U3" s="45">
        <f>2.86875*2+0.6*2</f>
        <v>6.9375</v>
      </c>
      <c r="V3" s="45">
        <f t="shared" ref="V3:V10" si="3">T3-U3</f>
        <v>6.25E-2</v>
      </c>
    </row>
    <row r="4" spans="1:27" x14ac:dyDescent="0.2">
      <c r="A4" s="41" t="s">
        <v>265</v>
      </c>
      <c r="B4" s="41" t="s">
        <v>262</v>
      </c>
      <c r="C4" s="41">
        <v>15000</v>
      </c>
      <c r="D4" s="41" t="s">
        <v>293</v>
      </c>
      <c r="E4" s="41">
        <v>0.4</v>
      </c>
      <c r="F4" s="41">
        <f t="shared" ref="F4:F6" si="4">E4/100</f>
        <v>4.0000000000000001E-3</v>
      </c>
      <c r="G4" s="46">
        <v>1200</v>
      </c>
      <c r="H4" s="46">
        <f t="shared" ref="H4" si="5">G4/8</f>
        <v>150</v>
      </c>
      <c r="I4" s="46">
        <v>900</v>
      </c>
      <c r="J4" s="46">
        <f t="shared" ref="J4:J6" si="6">I4/1.6</f>
        <v>562.5</v>
      </c>
      <c r="K4" s="45">
        <f t="shared" si="0"/>
        <v>104.7201804478875</v>
      </c>
      <c r="L4" s="45">
        <f t="shared" si="1"/>
        <v>1.0471975516219239</v>
      </c>
      <c r="N4" s="41" t="s">
        <v>40</v>
      </c>
      <c r="O4" s="41" t="s">
        <v>43</v>
      </c>
      <c r="P4" s="48" t="s">
        <v>269</v>
      </c>
      <c r="Q4" s="48" t="s">
        <v>271</v>
      </c>
      <c r="R4" s="41">
        <f>INDEX($O$12:$O$33,MATCH(P4,$N$12:$N$33,0))</f>
        <v>45</v>
      </c>
      <c r="S4" s="41">
        <f>INDEX($O$12:$O$33,MATCH(Q4,$N$12:$N$33,0))</f>
        <v>8</v>
      </c>
      <c r="T4" s="45">
        <f t="shared" si="2"/>
        <v>26.973665961010276</v>
      </c>
      <c r="U4" s="41">
        <f>12+0.3-0.6+1</f>
        <v>12.700000000000001</v>
      </c>
      <c r="V4" s="45">
        <f t="shared" si="3"/>
        <v>14.273665961010275</v>
      </c>
    </row>
    <row r="5" spans="1:27" x14ac:dyDescent="0.2">
      <c r="A5" s="41" t="s">
        <v>267</v>
      </c>
      <c r="B5" s="41" t="s">
        <v>266</v>
      </c>
      <c r="C5" s="41">
        <v>8500</v>
      </c>
      <c r="D5" s="41" t="s">
        <v>260</v>
      </c>
      <c r="E5" s="41">
        <v>1</v>
      </c>
      <c r="F5" s="41">
        <f t="shared" si="4"/>
        <v>0.01</v>
      </c>
      <c r="G5" s="46">
        <v>675</v>
      </c>
      <c r="H5" s="46">
        <v>85</v>
      </c>
      <c r="I5" s="46">
        <v>600</v>
      </c>
      <c r="J5" s="46">
        <f t="shared" si="6"/>
        <v>375</v>
      </c>
      <c r="K5" s="45">
        <f t="shared" si="0"/>
        <v>148.35675244289942</v>
      </c>
      <c r="L5" s="45">
        <f t="shared" si="1"/>
        <v>1.4835298679610889</v>
      </c>
      <c r="N5" s="41" t="s">
        <v>40</v>
      </c>
      <c r="O5" s="41" t="s">
        <v>44</v>
      </c>
      <c r="P5" s="48" t="s">
        <v>269</v>
      </c>
      <c r="Q5" s="48" t="s">
        <v>272</v>
      </c>
      <c r="R5" s="41">
        <f>INDEX($O$12:$O$33,MATCH(P5,$N$12:$N$33,0))</f>
        <v>45</v>
      </c>
      <c r="S5" s="41">
        <f>INDEX($O$12:$O$33,MATCH(Q5,$N$12:$N$33,0))</f>
        <v>20</v>
      </c>
      <c r="T5" s="41">
        <f t="shared" si="2"/>
        <v>50</v>
      </c>
      <c r="U5" s="41">
        <f>47+0.2-0.6+1</f>
        <v>47.6</v>
      </c>
      <c r="V5" s="45">
        <f t="shared" si="3"/>
        <v>2.3999999999999986</v>
      </c>
    </row>
    <row r="6" spans="1:27" x14ac:dyDescent="0.2">
      <c r="A6" s="41" t="s">
        <v>269</v>
      </c>
      <c r="B6" s="41" t="s">
        <v>268</v>
      </c>
      <c r="C6" s="41">
        <v>45</v>
      </c>
      <c r="D6" s="41" t="s">
        <v>40</v>
      </c>
      <c r="E6" s="41">
        <v>10</v>
      </c>
      <c r="F6" s="41">
        <f t="shared" si="4"/>
        <v>0.1</v>
      </c>
      <c r="G6" s="46">
        <v>375</v>
      </c>
      <c r="H6" s="46">
        <v>50</v>
      </c>
      <c r="I6" s="46">
        <v>400</v>
      </c>
      <c r="J6" s="46">
        <f t="shared" si="6"/>
        <v>250</v>
      </c>
      <c r="K6" s="45">
        <f t="shared" si="0"/>
        <v>7.8739797173331603</v>
      </c>
      <c r="L6" s="45">
        <f t="shared" si="1"/>
        <v>7.853983627691441E-2</v>
      </c>
      <c r="N6" s="41" t="s">
        <v>40</v>
      </c>
      <c r="O6" s="41" t="s">
        <v>260</v>
      </c>
      <c r="P6" s="48" t="s">
        <v>298</v>
      </c>
      <c r="Q6" s="48" t="s">
        <v>270</v>
      </c>
      <c r="R6" s="41">
        <f>INDEX($O$12:$O$33,MATCH(P6,$N$12:$N$33,0))</f>
        <v>8000</v>
      </c>
      <c r="S6" s="41">
        <f>INDEX($O$12:$O$33,MATCH(Q6,$N$12:$N$33,0))</f>
        <v>3.5</v>
      </c>
      <c r="T6" s="46">
        <f t="shared" si="2"/>
        <v>170.83200530681512</v>
      </c>
      <c r="U6" s="41">
        <v>85</v>
      </c>
      <c r="V6" s="45">
        <f t="shared" si="3"/>
        <v>85.83200530681512</v>
      </c>
      <c r="AA6" s="41">
        <f>AVERAGE(X7,Y8)</f>
        <v>16811.599999999999</v>
      </c>
    </row>
    <row r="7" spans="1:27" x14ac:dyDescent="0.2">
      <c r="N7" s="41" t="s">
        <v>260</v>
      </c>
      <c r="O7" s="41" t="s">
        <v>285</v>
      </c>
      <c r="P7" s="48" t="s">
        <v>281</v>
      </c>
      <c r="Q7" s="48" t="s">
        <v>298</v>
      </c>
      <c r="R7" s="41">
        <f>INDEX($O$12:$O$33,MATCH(P7,$N$12:$N$33,0))</f>
        <v>15000</v>
      </c>
      <c r="S7" s="41">
        <f>INDEX($O$12:$O$33,MATCH(Q7,$N$12:$N$33,0))</f>
        <v>8000</v>
      </c>
      <c r="T7" s="46">
        <f t="shared" si="2"/>
        <v>18954.451150103323</v>
      </c>
      <c r="U7" s="41">
        <v>19000</v>
      </c>
      <c r="V7" s="45">
        <f t="shared" si="3"/>
        <v>-45.548849896676984</v>
      </c>
      <c r="X7" s="41">
        <f>U7*X$1</f>
        <v>20140</v>
      </c>
      <c r="Y7" s="41">
        <f>X7*Y$1</f>
        <v>7116.1333333333332</v>
      </c>
      <c r="Z7" s="41">
        <f t="shared" ref="Z7:Z10" si="7">MIN(X7,Y7)+SQRT(X7*Y7)</f>
        <v>19087.721587751934</v>
      </c>
      <c r="AA7" s="41">
        <f>AVERAGE(X8,Y9)</f>
        <v>35184.933333333334</v>
      </c>
    </row>
    <row r="8" spans="1:27" x14ac:dyDescent="0.2">
      <c r="A8" s="42" t="s">
        <v>19</v>
      </c>
      <c r="B8" s="42" t="s">
        <v>257</v>
      </c>
      <c r="C8" s="42" t="s">
        <v>41</v>
      </c>
      <c r="D8" s="42" t="s">
        <v>292</v>
      </c>
      <c r="E8" s="42" t="s">
        <v>299</v>
      </c>
      <c r="F8" s="42" t="s">
        <v>300</v>
      </c>
      <c r="G8" s="42" t="s">
        <v>301</v>
      </c>
      <c r="H8" s="42" t="s">
        <v>302</v>
      </c>
      <c r="I8" s="42" t="s">
        <v>303</v>
      </c>
      <c r="J8" s="42" t="s">
        <v>304</v>
      </c>
      <c r="K8" s="42" t="s">
        <v>305</v>
      </c>
      <c r="L8" s="42" t="s">
        <v>306</v>
      </c>
      <c r="M8" s="42"/>
      <c r="N8" s="41" t="s">
        <v>285</v>
      </c>
      <c r="O8" s="41" t="s">
        <v>64</v>
      </c>
      <c r="P8" s="48" t="s">
        <v>279</v>
      </c>
      <c r="Q8" s="48" t="s">
        <v>258</v>
      </c>
      <c r="R8" s="41">
        <f>INDEX($O$12:$O$33,MATCH(P8,$N$12:$N$33,0))</f>
        <v>32000</v>
      </c>
      <c r="S8" s="41">
        <f>INDEX($O$12:$O$33,MATCH(Q8,$N$12:$N$33,0))</f>
        <v>15000</v>
      </c>
      <c r="T8" s="46">
        <f t="shared" si="2"/>
        <v>36908.902300206646</v>
      </c>
      <c r="U8" s="41">
        <v>36000</v>
      </c>
      <c r="V8" s="45">
        <f t="shared" si="3"/>
        <v>908.90230020664603</v>
      </c>
      <c r="X8" s="41">
        <f t="shared" ref="X8:X10" si="8">U8*X$1</f>
        <v>38160</v>
      </c>
      <c r="Y8" s="41">
        <f t="shared" ref="Y8:Y10" si="9">X8*Y$1</f>
        <v>13483.2</v>
      </c>
      <c r="Z8" s="41">
        <f t="shared" si="7"/>
        <v>36166.209324161551</v>
      </c>
      <c r="AA8" s="41">
        <f>AVERAGE(X9,Y10)</f>
        <v>80411.600000000006</v>
      </c>
    </row>
    <row r="9" spans="1:27" x14ac:dyDescent="0.2">
      <c r="A9" s="41" t="s">
        <v>287</v>
      </c>
      <c r="B9" s="41" t="s">
        <v>212</v>
      </c>
      <c r="C9" s="41">
        <v>20</v>
      </c>
      <c r="D9" s="41" t="s">
        <v>47</v>
      </c>
      <c r="E9" s="41">
        <v>20</v>
      </c>
      <c r="F9" s="41" t="s">
        <v>212</v>
      </c>
      <c r="G9" s="46">
        <v>275</v>
      </c>
      <c r="H9" s="41" t="s">
        <v>212</v>
      </c>
      <c r="I9" s="46">
        <v>275</v>
      </c>
      <c r="J9" s="41" t="s">
        <v>212</v>
      </c>
      <c r="K9" s="45">
        <f t="shared" ref="K9:K11" si="10">2*C9*TAN(RADIANS(E9/2))</f>
        <v>7.053079228338599</v>
      </c>
      <c r="L9" s="45" t="s">
        <v>212</v>
      </c>
      <c r="N9" s="41" t="s">
        <v>285</v>
      </c>
      <c r="O9" s="41" t="s">
        <v>65</v>
      </c>
      <c r="P9" s="48" t="s">
        <v>278</v>
      </c>
      <c r="Q9" s="48" t="s">
        <v>280</v>
      </c>
      <c r="R9" s="41">
        <f>INDEX($O$12:$O$33,MATCH(P9,$N$12:$N$33,0))</f>
        <v>93000</v>
      </c>
      <c r="S9" s="41">
        <f>INDEX($O$12:$O$33,MATCH(Q9,$N$12:$N$33,0))</f>
        <v>32000</v>
      </c>
      <c r="T9" s="46">
        <f t="shared" si="2"/>
        <v>86552.726787943422</v>
      </c>
      <c r="U9" s="41">
        <v>86000</v>
      </c>
      <c r="V9" s="45">
        <f t="shared" si="3"/>
        <v>552.7267879434221</v>
      </c>
      <c r="X9" s="41">
        <f t="shared" si="8"/>
        <v>91160</v>
      </c>
      <c r="Y9" s="41">
        <f t="shared" si="9"/>
        <v>32209.866666666665</v>
      </c>
      <c r="Z9" s="41">
        <f t="shared" si="7"/>
        <v>86397.05560771926</v>
      </c>
    </row>
    <row r="10" spans="1:27" x14ac:dyDescent="0.2">
      <c r="A10" s="41" t="s">
        <v>288</v>
      </c>
      <c r="B10" s="41" t="s">
        <v>212</v>
      </c>
      <c r="C10" s="41">
        <v>8</v>
      </c>
      <c r="D10" s="41" t="s">
        <v>46</v>
      </c>
      <c r="E10" s="41">
        <v>50</v>
      </c>
      <c r="F10" s="41" t="s">
        <v>212</v>
      </c>
      <c r="G10" s="46">
        <v>175</v>
      </c>
      <c r="H10" s="41" t="s">
        <v>212</v>
      </c>
      <c r="I10" s="46">
        <v>175</v>
      </c>
      <c r="J10" s="41" t="s">
        <v>212</v>
      </c>
      <c r="K10" s="45">
        <f t="shared" si="10"/>
        <v>7.4609225304799773</v>
      </c>
      <c r="L10" s="45" t="s">
        <v>212</v>
      </c>
      <c r="N10" s="41" t="s">
        <v>285</v>
      </c>
      <c r="O10" s="41" t="s">
        <v>259</v>
      </c>
      <c r="P10" s="48" t="s">
        <v>278</v>
      </c>
      <c r="Q10" s="48" t="s">
        <v>278</v>
      </c>
      <c r="R10" s="41">
        <f>INDEX($O$12:$O$33,MATCH(P10,$N$12:$N$33,0))</f>
        <v>93000</v>
      </c>
      <c r="S10" s="41">
        <f>INDEX($O$12:$O$33,MATCH(Q10,$N$12:$N$33,0))</f>
        <v>93000</v>
      </c>
      <c r="T10" s="41">
        <f t="shared" si="2"/>
        <v>186000</v>
      </c>
      <c r="U10" s="41">
        <f>186000</f>
        <v>186000</v>
      </c>
      <c r="V10" s="46">
        <f t="shared" si="3"/>
        <v>0</v>
      </c>
      <c r="X10" s="41">
        <f t="shared" si="8"/>
        <v>197160</v>
      </c>
      <c r="Y10" s="41">
        <f t="shared" si="9"/>
        <v>69663.199999999997</v>
      </c>
      <c r="Z10" s="41">
        <f t="shared" si="7"/>
        <v>186858.74817483471</v>
      </c>
    </row>
    <row r="11" spans="1:27" x14ac:dyDescent="0.2">
      <c r="A11" s="41" t="s">
        <v>289</v>
      </c>
      <c r="B11" s="41" t="s">
        <v>63</v>
      </c>
      <c r="C11" s="41">
        <v>3.5</v>
      </c>
      <c r="D11" s="41" t="s">
        <v>40</v>
      </c>
      <c r="E11" s="41">
        <v>90</v>
      </c>
      <c r="F11" s="41" t="s">
        <v>212</v>
      </c>
      <c r="G11" s="46">
        <v>125</v>
      </c>
      <c r="H11" s="41">
        <f>G11*10</f>
        <v>1250</v>
      </c>
      <c r="I11" s="46">
        <v>125</v>
      </c>
      <c r="J11" s="46">
        <f t="shared" ref="J11" si="11">I11/1.6</f>
        <v>78.125</v>
      </c>
      <c r="K11" s="45">
        <f t="shared" si="10"/>
        <v>6.9999999999999991</v>
      </c>
      <c r="L11" s="45" t="s">
        <v>212</v>
      </c>
    </row>
    <row r="12" spans="1:27" x14ac:dyDescent="0.2">
      <c r="K12" s="45"/>
      <c r="N12" s="43" t="s">
        <v>275</v>
      </c>
      <c r="O12" s="43">
        <v>7.4999999999999997E-2</v>
      </c>
      <c r="Q12" s="41" t="s">
        <v>314</v>
      </c>
    </row>
    <row r="13" spans="1:27" x14ac:dyDescent="0.2">
      <c r="A13" s="42" t="s">
        <v>286</v>
      </c>
      <c r="B13" s="42" t="s">
        <v>66</v>
      </c>
      <c r="C13" s="42" t="s">
        <v>41</v>
      </c>
      <c r="D13" s="42" t="s">
        <v>292</v>
      </c>
      <c r="E13" s="42" t="s">
        <v>299</v>
      </c>
      <c r="F13" s="42" t="s">
        <v>300</v>
      </c>
      <c r="G13" s="42" t="s">
        <v>301</v>
      </c>
      <c r="H13" s="42" t="s">
        <v>302</v>
      </c>
      <c r="I13" s="42" t="s">
        <v>303</v>
      </c>
      <c r="J13" s="42" t="s">
        <v>304</v>
      </c>
      <c r="K13" s="42" t="s">
        <v>305</v>
      </c>
      <c r="L13" s="42" t="s">
        <v>306</v>
      </c>
      <c r="M13" s="42"/>
      <c r="N13" s="43" t="s">
        <v>284</v>
      </c>
      <c r="O13" s="43">
        <v>0.25</v>
      </c>
      <c r="Q13" s="42" t="s">
        <v>20</v>
      </c>
      <c r="R13" s="42" t="s">
        <v>315</v>
      </c>
      <c r="S13" s="42" t="s">
        <v>20</v>
      </c>
      <c r="T13" s="42" t="s">
        <v>315</v>
      </c>
      <c r="U13" s="42" t="s">
        <v>20</v>
      </c>
      <c r="V13" s="42" t="s">
        <v>41</v>
      </c>
      <c r="W13" s="42" t="s">
        <v>42</v>
      </c>
      <c r="X13" s="42" t="s">
        <v>294</v>
      </c>
    </row>
    <row r="14" spans="1:27" x14ac:dyDescent="0.2">
      <c r="A14" s="41" t="s">
        <v>273</v>
      </c>
      <c r="B14" s="41" t="s">
        <v>212</v>
      </c>
      <c r="C14" s="41">
        <v>1</v>
      </c>
      <c r="E14" s="41" t="s">
        <v>212</v>
      </c>
      <c r="F14" s="41" t="s">
        <v>212</v>
      </c>
      <c r="G14" s="46">
        <v>50</v>
      </c>
      <c r="H14" s="41" t="s">
        <v>212</v>
      </c>
      <c r="I14" s="46">
        <v>80</v>
      </c>
      <c r="J14" s="41" t="s">
        <v>212</v>
      </c>
      <c r="K14" s="45"/>
      <c r="L14" s="45"/>
      <c r="N14" s="43" t="s">
        <v>282</v>
      </c>
      <c r="O14" s="43">
        <v>0.25</v>
      </c>
      <c r="Q14" s="50" t="s">
        <v>62</v>
      </c>
      <c r="R14" s="41" t="s">
        <v>63</v>
      </c>
      <c r="S14" s="41" t="s">
        <v>295</v>
      </c>
      <c r="T14" s="41">
        <f>INDEX($O$12:$O$33,MATCH(R14,$N$12:$N$33,0))</f>
        <v>3.5</v>
      </c>
      <c r="U14" s="41">
        <f>INDEX($O$12:$O$33,MATCH(S14,$N$12:$N$33,0))</f>
        <v>100000000000</v>
      </c>
      <c r="V14" s="46">
        <f t="shared" ref="V14:V19" si="12">MIN(T14,U14)+SQRT(T14*U14)</f>
        <v>591611.47830996162</v>
      </c>
      <c r="W14" s="45">
        <f>2.86875-0.6+1.2</f>
        <v>3.46875</v>
      </c>
      <c r="X14" s="46">
        <f t="shared" ref="X14:X19" si="13">V14-W14</f>
        <v>591608.00955996162</v>
      </c>
    </row>
    <row r="15" spans="1:27" x14ac:dyDescent="0.2">
      <c r="A15" s="41" t="s">
        <v>274</v>
      </c>
      <c r="B15" s="41" t="s">
        <v>291</v>
      </c>
      <c r="C15" s="47">
        <v>0.25</v>
      </c>
      <c r="E15" s="41" t="s">
        <v>212</v>
      </c>
      <c r="F15" s="41" t="s">
        <v>212</v>
      </c>
      <c r="G15" s="46">
        <v>25</v>
      </c>
      <c r="H15" s="41">
        <f t="shared" ref="H15:H16" si="14">G15*10</f>
        <v>250</v>
      </c>
      <c r="I15" s="46">
        <v>50</v>
      </c>
      <c r="J15" s="46">
        <f t="shared" ref="J15:J16" si="15">I15/1.6</f>
        <v>31.25</v>
      </c>
      <c r="K15" s="45"/>
      <c r="L15" s="45"/>
      <c r="N15" s="43" t="s">
        <v>321</v>
      </c>
      <c r="O15" s="43">
        <v>1</v>
      </c>
      <c r="Q15" s="41" t="s">
        <v>316</v>
      </c>
      <c r="R15" s="41" t="s">
        <v>63</v>
      </c>
      <c r="S15" s="41" t="s">
        <v>327</v>
      </c>
      <c r="T15" s="41">
        <f>INDEX($O$12:$O$33,MATCH(R15,$N$12:$N$33,0))</f>
        <v>3.5</v>
      </c>
      <c r="U15" s="41">
        <f>INDEX($O$12:$O$33,MATCH(S15,$N$12:$N$33,0))</f>
        <v>45</v>
      </c>
      <c r="V15" s="46">
        <f t="shared" si="12"/>
        <v>16.049900398011133</v>
      </c>
      <c r="W15" s="45">
        <v>3.8</v>
      </c>
      <c r="X15" s="46">
        <f t="shared" si="13"/>
        <v>12.249900398011132</v>
      </c>
    </row>
    <row r="16" spans="1:27" x14ac:dyDescent="0.2">
      <c r="A16" s="41" t="s">
        <v>212</v>
      </c>
      <c r="B16" s="41" t="s">
        <v>275</v>
      </c>
      <c r="C16" s="47">
        <v>7.4999999999999997E-2</v>
      </c>
      <c r="E16" s="41" t="s">
        <v>212</v>
      </c>
      <c r="F16" s="41" t="s">
        <v>212</v>
      </c>
      <c r="G16" s="46">
        <v>10</v>
      </c>
      <c r="H16" s="41">
        <f t="shared" si="14"/>
        <v>100</v>
      </c>
      <c r="I16" s="46">
        <v>35</v>
      </c>
      <c r="J16" s="46">
        <f t="shared" si="15"/>
        <v>21.875</v>
      </c>
      <c r="K16" s="41" t="s">
        <v>212</v>
      </c>
      <c r="L16" s="45"/>
      <c r="N16" s="43" t="s">
        <v>326</v>
      </c>
      <c r="O16" s="43">
        <v>1</v>
      </c>
      <c r="Q16" s="41" t="s">
        <v>317</v>
      </c>
      <c r="R16" s="41" t="s">
        <v>296</v>
      </c>
      <c r="S16" s="41" t="s">
        <v>284</v>
      </c>
      <c r="T16" s="41">
        <f>INDEX($O$12:$O$33,MATCH(R16,$N$12:$N$33,0))</f>
        <v>8</v>
      </c>
      <c r="U16" s="41">
        <f>INDEX($O$12:$O$33,MATCH(S16,$N$12:$N$33,0))</f>
        <v>0.25</v>
      </c>
      <c r="V16" s="46">
        <f t="shared" si="12"/>
        <v>1.6642135623730951</v>
      </c>
      <c r="W16" s="45">
        <v>3.8</v>
      </c>
      <c r="X16" s="46">
        <f t="shared" si="13"/>
        <v>-2.1357864376269049</v>
      </c>
    </row>
    <row r="17" spans="1:24" x14ac:dyDescent="0.2">
      <c r="N17" s="43" t="s">
        <v>297</v>
      </c>
      <c r="O17" s="43">
        <v>3.5</v>
      </c>
      <c r="Q17" s="41" t="s">
        <v>318</v>
      </c>
      <c r="R17" s="41" t="s">
        <v>322</v>
      </c>
      <c r="S17" s="41" t="s">
        <v>323</v>
      </c>
      <c r="T17" s="41">
        <f>INDEX($O$12:$O$33,MATCH(R17,$N$12:$N$33,0))</f>
        <v>45</v>
      </c>
      <c r="U17" s="41">
        <f>INDEX($O$12:$O$33,MATCH(S17,$N$12:$N$33,0))</f>
        <v>3.5</v>
      </c>
      <c r="V17" s="46">
        <f t="shared" si="12"/>
        <v>16.049900398011133</v>
      </c>
      <c r="W17" s="41">
        <f>12+0.3-0.6+1</f>
        <v>12.700000000000001</v>
      </c>
      <c r="X17" s="46">
        <f t="shared" si="13"/>
        <v>3.3499003980111315</v>
      </c>
    </row>
    <row r="18" spans="1:24" x14ac:dyDescent="0.2">
      <c r="A18" s="41" t="s">
        <v>308</v>
      </c>
      <c r="B18" s="41" t="s">
        <v>307</v>
      </c>
      <c r="C18" s="46"/>
      <c r="D18" s="46">
        <v>1</v>
      </c>
      <c r="E18" s="47">
        <f>E19-MIN(0.1,E19*G$20)</f>
        <v>3.0067787272855528E-3</v>
      </c>
      <c r="H18" s="47">
        <f t="shared" ref="H18:H36" si="16">H19-MAX(0.001,H19*I$37)</f>
        <v>2.647685136156706E-3</v>
      </c>
      <c r="I18" s="41" t="s">
        <v>310</v>
      </c>
      <c r="J18" s="47">
        <v>1E-3</v>
      </c>
      <c r="N18" s="43" t="s">
        <v>63</v>
      </c>
      <c r="O18" s="43">
        <v>3.5</v>
      </c>
      <c r="Q18" s="41" t="s">
        <v>319</v>
      </c>
      <c r="R18" s="41" t="s">
        <v>324</v>
      </c>
      <c r="S18" s="41" t="s">
        <v>323</v>
      </c>
      <c r="T18" s="41">
        <f>INDEX($O$12:$O$33,MATCH(R18,$N$12:$N$33,0))</f>
        <v>8000</v>
      </c>
      <c r="U18" s="41">
        <f>INDEX($O$12:$O$33,MATCH(S18,$N$12:$N$33,0))</f>
        <v>3.5</v>
      </c>
      <c r="V18" s="46">
        <f t="shared" si="12"/>
        <v>170.83200530681512</v>
      </c>
      <c r="W18" s="41">
        <f>47+0.2-0.6+1</f>
        <v>47.6</v>
      </c>
      <c r="X18" s="46">
        <f t="shared" si="13"/>
        <v>123.23200530681513</v>
      </c>
    </row>
    <row r="19" spans="1:24" x14ac:dyDescent="0.2">
      <c r="A19" s="41" t="s">
        <v>290</v>
      </c>
      <c r="B19" s="41" t="s">
        <v>273</v>
      </c>
      <c r="C19" s="46"/>
      <c r="D19" s="46">
        <v>1</v>
      </c>
      <c r="E19" s="47">
        <f>E20-MIN(0.1,E20*G$20)</f>
        <v>4.0090383030474035E-3</v>
      </c>
      <c r="H19" s="47">
        <f t="shared" si="16"/>
        <v>3.647685136156706E-3</v>
      </c>
      <c r="I19" s="41" t="s">
        <v>311</v>
      </c>
      <c r="J19" s="47">
        <f>J18+0.001</f>
        <v>2E-3</v>
      </c>
      <c r="M19" s="41">
        <v>3.6</v>
      </c>
      <c r="N19" s="43" t="s">
        <v>271</v>
      </c>
      <c r="O19" s="43">
        <v>8</v>
      </c>
      <c r="Q19" s="41" t="s">
        <v>320</v>
      </c>
      <c r="R19" s="41" t="s">
        <v>322</v>
      </c>
      <c r="S19" s="41" t="s">
        <v>327</v>
      </c>
      <c r="T19" s="41">
        <f>INDEX($O$12:$O$33,MATCH(R19,$N$12:$N$33,0))</f>
        <v>45</v>
      </c>
      <c r="U19" s="41">
        <f>INDEX($O$12:$O$33,MATCH(S19,$N$12:$N$33,0))</f>
        <v>45</v>
      </c>
      <c r="V19" s="46">
        <f t="shared" si="12"/>
        <v>90</v>
      </c>
      <c r="W19" s="41">
        <v>85</v>
      </c>
      <c r="X19" s="46">
        <f t="shared" si="13"/>
        <v>5</v>
      </c>
    </row>
    <row r="20" spans="1:24" x14ac:dyDescent="0.2">
      <c r="A20" s="41" t="s">
        <v>276</v>
      </c>
      <c r="B20" s="41" t="s">
        <v>287</v>
      </c>
      <c r="C20" s="46"/>
      <c r="D20" s="46">
        <v>1</v>
      </c>
      <c r="E20" s="47">
        <f>E21-MIN(0.1,E21*G$20)</f>
        <v>5.3453844040632047E-3</v>
      </c>
      <c r="F20" s="41" t="s">
        <v>309</v>
      </c>
      <c r="G20" s="41">
        <v>0.25</v>
      </c>
      <c r="H20" s="47">
        <f t="shared" si="16"/>
        <v>4.6476851361567061E-3</v>
      </c>
      <c r="I20" s="41" t="s">
        <v>312</v>
      </c>
      <c r="J20" s="47">
        <f t="shared" ref="J20:J36" si="17">J19+0.001</f>
        <v>3.0000000000000001E-3</v>
      </c>
      <c r="M20" s="41">
        <v>1.25</v>
      </c>
      <c r="N20" s="43" t="s">
        <v>325</v>
      </c>
      <c r="O20" s="43">
        <v>20</v>
      </c>
    </row>
    <row r="21" spans="1:24" ht="12" thickBot="1" x14ac:dyDescent="0.25">
      <c r="C21" s="46"/>
      <c r="D21" s="46">
        <v>1</v>
      </c>
      <c r="E21" s="49">
        <f>E22-MIN(0.1,E22*G$20)</f>
        <v>7.1271792054176056E-3</v>
      </c>
      <c r="H21" s="49">
        <f t="shared" si="16"/>
        <v>5.6476851361567061E-3</v>
      </c>
      <c r="I21" s="41" t="s">
        <v>313</v>
      </c>
      <c r="J21" s="47">
        <f t="shared" si="17"/>
        <v>4.0000000000000001E-3</v>
      </c>
      <c r="M21" s="41">
        <f>M19*M20</f>
        <v>4.5</v>
      </c>
      <c r="N21" s="43" t="s">
        <v>272</v>
      </c>
      <c r="O21" s="43">
        <v>20</v>
      </c>
    </row>
    <row r="22" spans="1:24" x14ac:dyDescent="0.2">
      <c r="C22" s="46"/>
      <c r="D22" s="46">
        <f t="shared" ref="D22:D61" si="18">1+D18</f>
        <v>2</v>
      </c>
      <c r="E22" s="47">
        <f>E23-MIN(0.1,E23*G$20)</f>
        <v>9.5029056072234736E-3</v>
      </c>
      <c r="H22" s="47">
        <f t="shared" si="16"/>
        <v>6.6476851361567061E-3</v>
      </c>
      <c r="J22" s="47">
        <f t="shared" si="17"/>
        <v>5.0000000000000001E-3</v>
      </c>
      <c r="N22" s="43" t="s">
        <v>269</v>
      </c>
      <c r="O22" s="43">
        <v>45</v>
      </c>
      <c r="Q22" s="42" t="s">
        <v>39</v>
      </c>
      <c r="R22" s="42" t="s">
        <v>315</v>
      </c>
      <c r="S22" s="42" t="s">
        <v>20</v>
      </c>
      <c r="T22" s="42" t="s">
        <v>315</v>
      </c>
      <c r="U22" s="42" t="s">
        <v>20</v>
      </c>
      <c r="V22" s="42" t="s">
        <v>41</v>
      </c>
      <c r="W22" s="42" t="s">
        <v>42</v>
      </c>
      <c r="X22" s="42" t="s">
        <v>294</v>
      </c>
    </row>
    <row r="23" spans="1:24" x14ac:dyDescent="0.2">
      <c r="D23" s="46">
        <f t="shared" si="18"/>
        <v>2</v>
      </c>
      <c r="E23" s="47">
        <f>E24-MIN(0.1,E24*G$20)</f>
        <v>1.2670540809631299E-2</v>
      </c>
      <c r="H23" s="47">
        <f t="shared" si="16"/>
        <v>7.6476851361567061E-3</v>
      </c>
      <c r="J23" s="47">
        <f t="shared" si="17"/>
        <v>6.0000000000000001E-3</v>
      </c>
      <c r="N23" s="43" t="s">
        <v>327</v>
      </c>
      <c r="O23" s="43">
        <v>45</v>
      </c>
      <c r="Q23" s="41" t="s">
        <v>328</v>
      </c>
      <c r="R23" s="51" t="s">
        <v>63</v>
      </c>
      <c r="S23" s="52" t="s">
        <v>295</v>
      </c>
      <c r="T23" s="41">
        <f>INDEX($O$12:$O$33,MATCH(R23,$N$12:$N$33,0))</f>
        <v>3.5</v>
      </c>
      <c r="U23" s="41">
        <f>INDEX($O$12:$O$33,MATCH(S23,$N$12:$N$33,0))</f>
        <v>100000000000</v>
      </c>
      <c r="V23" s="46">
        <f t="shared" ref="V23:V30" si="19">MIN(T23,U23)+SQRT(T23*U23)</f>
        <v>591611.47830996162</v>
      </c>
      <c r="W23" s="45">
        <v>3.8</v>
      </c>
      <c r="X23" s="46">
        <f t="shared" ref="X23:X24" si="20">V23-W23</f>
        <v>591607.67830996157</v>
      </c>
    </row>
    <row r="24" spans="1:24" x14ac:dyDescent="0.2">
      <c r="D24" s="46">
        <f t="shared" si="18"/>
        <v>2</v>
      </c>
      <c r="E24" s="47">
        <f>E25-MIN(0.1,E25*G$20)</f>
        <v>1.6894054412841732E-2</v>
      </c>
      <c r="H24" s="47">
        <f t="shared" si="16"/>
        <v>8.6476851361567061E-3</v>
      </c>
      <c r="J24" s="47">
        <f t="shared" si="17"/>
        <v>7.0000000000000001E-3</v>
      </c>
      <c r="N24" s="43" t="s">
        <v>298</v>
      </c>
      <c r="O24" s="43">
        <v>8000</v>
      </c>
      <c r="Q24" s="41" t="s">
        <v>277</v>
      </c>
      <c r="R24" s="51" t="s">
        <v>297</v>
      </c>
      <c r="S24" s="52" t="s">
        <v>297</v>
      </c>
      <c r="T24" s="41">
        <f>INDEX($O$12:$O$33,MATCH(R24,$N$12:$N$33,0))</f>
        <v>3.5</v>
      </c>
      <c r="U24" s="41">
        <f>INDEX($O$12:$O$33,MATCH(S24,$N$12:$N$33,0))</f>
        <v>3.5</v>
      </c>
      <c r="V24" s="46">
        <f t="shared" si="19"/>
        <v>7</v>
      </c>
      <c r="W24" s="45">
        <v>3.8</v>
      </c>
      <c r="X24" s="46">
        <f t="shared" si="20"/>
        <v>3.2</v>
      </c>
    </row>
    <row r="25" spans="1:24" ht="12" thickBot="1" x14ac:dyDescent="0.25">
      <c r="D25" s="46">
        <f t="shared" si="18"/>
        <v>2</v>
      </c>
      <c r="E25" s="49">
        <f>E26-MIN(0.1,E26*G$20)</f>
        <v>2.2525405883788978E-2</v>
      </c>
      <c r="H25" s="49">
        <f t="shared" si="16"/>
        <v>9.647685136156707E-3</v>
      </c>
      <c r="J25" s="47">
        <f t="shared" si="17"/>
        <v>8.0000000000000002E-3</v>
      </c>
      <c r="N25" s="43" t="s">
        <v>283</v>
      </c>
      <c r="O25" s="43">
        <v>8000</v>
      </c>
      <c r="Q25" s="41" t="s">
        <v>277</v>
      </c>
      <c r="R25" s="51" t="s">
        <v>297</v>
      </c>
      <c r="S25" s="52" t="s">
        <v>297</v>
      </c>
      <c r="T25" s="41">
        <f>INDEX($O$12:$O$33,MATCH(R25,$N$12:$N$33,0))</f>
        <v>3.5</v>
      </c>
      <c r="U25" s="41">
        <f>INDEX($O$12:$O$33,MATCH(S25,$N$12:$N$33,0))</f>
        <v>3.5</v>
      </c>
      <c r="V25" s="46">
        <f t="shared" si="19"/>
        <v>7</v>
      </c>
      <c r="W25" s="45">
        <v>3.8</v>
      </c>
      <c r="X25" s="46">
        <f t="shared" ref="X25" si="21">V25-W25</f>
        <v>3.2</v>
      </c>
    </row>
    <row r="26" spans="1:24" x14ac:dyDescent="0.2">
      <c r="D26" s="46">
        <f t="shared" si="18"/>
        <v>3</v>
      </c>
      <c r="E26" s="47">
        <f>E27-MIN(0.1,E27*G$20)</f>
        <v>3.0033874511718635E-2</v>
      </c>
      <c r="H26" s="47">
        <f t="shared" si="16"/>
        <v>1.0647685136156708E-2</v>
      </c>
      <c r="J26" s="47">
        <f t="shared" si="17"/>
        <v>9.0000000000000011E-3</v>
      </c>
      <c r="N26" s="43" t="s">
        <v>258</v>
      </c>
      <c r="O26" s="43">
        <v>15000</v>
      </c>
      <c r="Q26" s="41" t="s">
        <v>329</v>
      </c>
      <c r="R26" s="41" t="s">
        <v>296</v>
      </c>
      <c r="S26" s="51" t="s">
        <v>296</v>
      </c>
      <c r="T26" s="41">
        <f>INDEX($O$12:$O$33,MATCH(R26,$N$12:$N$33,0))</f>
        <v>8</v>
      </c>
      <c r="U26" s="41">
        <f>INDEX($O$12:$O$33,MATCH(S26,$N$12:$N$33,0))</f>
        <v>8</v>
      </c>
      <c r="V26" s="46">
        <f t="shared" si="19"/>
        <v>16</v>
      </c>
      <c r="W26" s="41">
        <f>12+0.3-0.6+1</f>
        <v>12.700000000000001</v>
      </c>
      <c r="X26" s="46">
        <f t="shared" ref="X26" si="22">V26-W26</f>
        <v>3.2999999999999989</v>
      </c>
    </row>
    <row r="27" spans="1:24" x14ac:dyDescent="0.2">
      <c r="D27" s="46">
        <f t="shared" si="18"/>
        <v>3</v>
      </c>
      <c r="E27" s="47">
        <f>E28-MIN(0.1,E28*G$20)</f>
        <v>4.0045166015624849E-2</v>
      </c>
      <c r="H27" s="47">
        <f t="shared" si="16"/>
        <v>1.1647685136156707E-2</v>
      </c>
      <c r="J27" s="47">
        <f t="shared" si="17"/>
        <v>1.0000000000000002E-2</v>
      </c>
      <c r="N27" s="43" t="s">
        <v>281</v>
      </c>
      <c r="O27" s="43">
        <v>15000</v>
      </c>
      <c r="Q27" s="41" t="s">
        <v>330</v>
      </c>
      <c r="R27" s="41" t="s">
        <v>322</v>
      </c>
      <c r="S27" s="51" t="s">
        <v>287</v>
      </c>
      <c r="T27" s="41">
        <f>INDEX($O$12:$O$33,MATCH(R27,$N$12:$N$33,0))</f>
        <v>45</v>
      </c>
      <c r="U27" s="41">
        <f>INDEX($O$12:$O$33,MATCH(S27,$N$12:$N$33,0))</f>
        <v>20</v>
      </c>
      <c r="V27" s="46">
        <f t="shared" si="19"/>
        <v>50</v>
      </c>
      <c r="W27" s="41">
        <f>47+0.2-0.6+1</f>
        <v>47.6</v>
      </c>
      <c r="X27" s="46">
        <f t="shared" ref="X27:X30" si="23">V27-W27</f>
        <v>2.3999999999999986</v>
      </c>
    </row>
    <row r="28" spans="1:24" x14ac:dyDescent="0.2">
      <c r="B28" s="41">
        <v>3600</v>
      </c>
      <c r="C28" s="41">
        <v>4</v>
      </c>
      <c r="D28" s="46">
        <f t="shared" si="18"/>
        <v>3</v>
      </c>
      <c r="E28" s="47">
        <f>E29-MIN(0.1,E29*G$20)</f>
        <v>5.3393554687499796E-2</v>
      </c>
      <c r="H28" s="47">
        <f t="shared" si="16"/>
        <v>1.2660527321909464E-2</v>
      </c>
      <c r="J28" s="47">
        <f t="shared" si="17"/>
        <v>1.1000000000000003E-2</v>
      </c>
      <c r="N28" s="43" t="s">
        <v>280</v>
      </c>
      <c r="O28" s="43">
        <v>32000</v>
      </c>
      <c r="Q28" s="41" t="s">
        <v>260</v>
      </c>
      <c r="R28" s="41" t="s">
        <v>322</v>
      </c>
      <c r="S28" s="51" t="s">
        <v>327</v>
      </c>
      <c r="T28" s="41">
        <f>INDEX($O$12:$O$33,MATCH(R28,$N$12:$N$33,0))</f>
        <v>45</v>
      </c>
      <c r="U28" s="41">
        <f>INDEX($O$12:$O$33,MATCH(S28,$N$12:$N$33,0))</f>
        <v>45</v>
      </c>
      <c r="V28" s="46">
        <f t="shared" si="19"/>
        <v>90</v>
      </c>
      <c r="W28" s="41">
        <v>85</v>
      </c>
      <c r="X28" s="46">
        <f t="shared" si="23"/>
        <v>5</v>
      </c>
    </row>
    <row r="29" spans="1:24" ht="12" thickBot="1" x14ac:dyDescent="0.25">
      <c r="A29" s="41">
        <v>1.9</v>
      </c>
      <c r="B29" s="46">
        <f>B28/A$29</f>
        <v>1894.7368421052633</v>
      </c>
      <c r="C29" s="41">
        <v>3</v>
      </c>
      <c r="D29" s="46">
        <f t="shared" si="18"/>
        <v>3</v>
      </c>
      <c r="E29" s="49">
        <f>E30-MIN(0.1,E30*G$20)</f>
        <v>7.1191406249999728E-2</v>
      </c>
      <c r="H29" s="49">
        <f t="shared" si="16"/>
        <v>1.3761442741205939E-2</v>
      </c>
      <c r="J29" s="47">
        <f t="shared" si="17"/>
        <v>1.2000000000000004E-2</v>
      </c>
      <c r="N29" s="43" t="s">
        <v>279</v>
      </c>
      <c r="O29" s="43">
        <v>32000</v>
      </c>
      <c r="Q29" s="41" t="s">
        <v>317</v>
      </c>
      <c r="R29" s="41" t="s">
        <v>297</v>
      </c>
      <c r="S29" s="51" t="s">
        <v>297</v>
      </c>
      <c r="T29" s="41">
        <f t="shared" ref="T29:T30" si="24">INDEX($O$12:$O$33,MATCH(R29,$N$12:$N$33,0))</f>
        <v>3.5</v>
      </c>
      <c r="U29" s="41">
        <f>INDEX($O$12:$O$33,MATCH(S29,$N$12:$N$33,0))</f>
        <v>3.5</v>
      </c>
      <c r="V29" s="46">
        <f t="shared" si="19"/>
        <v>7</v>
      </c>
      <c r="W29" s="45">
        <v>3.8</v>
      </c>
      <c r="X29" s="46">
        <f t="shared" si="23"/>
        <v>3.2</v>
      </c>
    </row>
    <row r="30" spans="1:24" x14ac:dyDescent="0.2">
      <c r="B30" s="46">
        <f>B29/A$29</f>
        <v>997.22991689750711</v>
      </c>
      <c r="C30" s="41">
        <v>2</v>
      </c>
      <c r="D30" s="46">
        <f t="shared" si="18"/>
        <v>4</v>
      </c>
      <c r="E30" s="47">
        <f>E31-MIN(0.1,E31*G$20)</f>
        <v>9.4921874999999642E-2</v>
      </c>
      <c r="H30" s="47">
        <f t="shared" si="16"/>
        <v>1.4958089936093412E-2</v>
      </c>
      <c r="J30" s="47">
        <f t="shared" si="17"/>
        <v>1.3000000000000005E-2</v>
      </c>
      <c r="N30" s="43" t="s">
        <v>278</v>
      </c>
      <c r="O30" s="43">
        <v>93000</v>
      </c>
      <c r="Q30" s="41" t="s">
        <v>316</v>
      </c>
      <c r="R30" s="41" t="s">
        <v>284</v>
      </c>
      <c r="S30" s="51" t="s">
        <v>283</v>
      </c>
      <c r="T30" s="41">
        <f t="shared" si="24"/>
        <v>0.25</v>
      </c>
      <c r="U30" s="41">
        <f>INDEX($O$12:$O$33,MATCH(S30,$N$12:$N$33,0))</f>
        <v>8000</v>
      </c>
      <c r="V30" s="46">
        <f t="shared" si="19"/>
        <v>44.971359549995796</v>
      </c>
      <c r="W30" s="45">
        <v>3.8</v>
      </c>
      <c r="X30" s="46">
        <f t="shared" si="23"/>
        <v>41.171359549995799</v>
      </c>
    </row>
    <row r="31" spans="1:24" x14ac:dyDescent="0.2">
      <c r="B31" s="46">
        <f>B30/A$29</f>
        <v>524.85785099868792</v>
      </c>
      <c r="C31" s="41">
        <v>1</v>
      </c>
      <c r="D31" s="46">
        <f t="shared" si="18"/>
        <v>4</v>
      </c>
      <c r="E31" s="47">
        <f>E32-MIN(0.1,E32*G$20)</f>
        <v>0.12656249999999952</v>
      </c>
      <c r="H31" s="47">
        <f t="shared" si="16"/>
        <v>1.6258793408797188E-2</v>
      </c>
      <c r="J31" s="47">
        <f t="shared" si="17"/>
        <v>1.4000000000000005E-2</v>
      </c>
      <c r="N31" s="43" t="s">
        <v>295</v>
      </c>
      <c r="O31" s="43">
        <v>100000000000</v>
      </c>
    </row>
    <row r="32" spans="1:24" x14ac:dyDescent="0.2">
      <c r="B32" s="46">
        <f>B31/A$29</f>
        <v>276.24097420983577</v>
      </c>
      <c r="C32" s="41">
        <v>7</v>
      </c>
      <c r="D32" s="46">
        <f t="shared" si="18"/>
        <v>4</v>
      </c>
      <c r="E32" s="47">
        <f>E33-MIN(0.1,E33*G$20)</f>
        <v>0.16874999999999934</v>
      </c>
      <c r="H32" s="47">
        <f t="shared" si="16"/>
        <v>1.7672601531301291E-2</v>
      </c>
      <c r="J32" s="47">
        <f t="shared" si="17"/>
        <v>1.5000000000000006E-2</v>
      </c>
      <c r="N32" s="43"/>
      <c r="O32" s="43"/>
      <c r="R32" s="52" t="s">
        <v>63</v>
      </c>
      <c r="S32" s="52">
        <v>1</v>
      </c>
      <c r="T32" s="52"/>
    </row>
    <row r="33" spans="1:22" ht="12" thickBot="1" x14ac:dyDescent="0.25">
      <c r="B33" s="46">
        <f>B32/A$29</f>
        <v>145.38998642622937</v>
      </c>
      <c r="C33" s="41">
        <v>6</v>
      </c>
      <c r="D33" s="46">
        <f t="shared" si="18"/>
        <v>4</v>
      </c>
      <c r="E33" s="49">
        <f>E34-MIN(0.1,E34*G$20)</f>
        <v>0.22499999999999912</v>
      </c>
      <c r="H33" s="49">
        <f t="shared" si="16"/>
        <v>1.9209349490544883E-2</v>
      </c>
      <c r="J33" s="47">
        <f t="shared" si="17"/>
        <v>1.6000000000000007E-2</v>
      </c>
      <c r="N33" s="43"/>
      <c r="O33" s="43"/>
      <c r="R33" s="52" t="s">
        <v>322</v>
      </c>
      <c r="S33" s="52">
        <v>2</v>
      </c>
      <c r="T33" s="52"/>
    </row>
    <row r="34" spans="1:22" x14ac:dyDescent="0.2">
      <c r="B34" s="46">
        <f>B33/A$29</f>
        <v>76.521045487489147</v>
      </c>
      <c r="C34" s="41">
        <v>5</v>
      </c>
      <c r="D34" s="46">
        <f t="shared" si="18"/>
        <v>5</v>
      </c>
      <c r="E34" s="47">
        <f>E35-MIN(0.1,E35*G$20)</f>
        <v>0.29999999999999882</v>
      </c>
      <c r="H34" s="47">
        <f t="shared" si="16"/>
        <v>2.0879727707114003E-2</v>
      </c>
      <c r="J34" s="47">
        <f t="shared" si="17"/>
        <v>1.7000000000000008E-2</v>
      </c>
      <c r="R34" s="52" t="s">
        <v>284</v>
      </c>
      <c r="S34" s="52">
        <v>1</v>
      </c>
      <c r="T34" s="52"/>
    </row>
    <row r="35" spans="1:22" x14ac:dyDescent="0.2">
      <c r="B35" s="46">
        <f>B34/A$29</f>
        <v>40.274234467099554</v>
      </c>
      <c r="C35" s="41">
        <v>4</v>
      </c>
      <c r="D35" s="46">
        <f t="shared" si="18"/>
        <v>5</v>
      </c>
      <c r="E35" s="47">
        <f>E36-MIN(0.1,E36*G$20)</f>
        <v>0.39999999999999847</v>
      </c>
      <c r="H35" s="47">
        <f t="shared" si="16"/>
        <v>2.2695356203384788E-2</v>
      </c>
      <c r="J35" s="47">
        <f t="shared" si="17"/>
        <v>1.8000000000000009E-2</v>
      </c>
      <c r="R35" s="52" t="s">
        <v>297</v>
      </c>
      <c r="S35" s="52">
        <v>2</v>
      </c>
      <c r="T35" s="52"/>
    </row>
    <row r="36" spans="1:22" x14ac:dyDescent="0.2">
      <c r="B36" s="46">
        <f>B35/A$29</f>
        <v>21.196965508999767</v>
      </c>
      <c r="C36" s="41">
        <v>3</v>
      </c>
      <c r="D36" s="46">
        <f t="shared" si="18"/>
        <v>5</v>
      </c>
      <c r="E36" s="47">
        <f>E37-MIN(0.1,E37*G$20)</f>
        <v>0.49999999999999845</v>
      </c>
      <c r="H36" s="47">
        <f t="shared" si="16"/>
        <v>2.4668865438461727E-2</v>
      </c>
      <c r="J36" s="47">
        <f t="shared" si="17"/>
        <v>1.900000000000001E-2</v>
      </c>
      <c r="N36" s="42" t="s">
        <v>301</v>
      </c>
      <c r="O36" s="42" t="s">
        <v>302</v>
      </c>
      <c r="R36" s="52" t="s">
        <v>296</v>
      </c>
      <c r="S36" s="52">
        <v>2</v>
      </c>
      <c r="T36" s="52"/>
    </row>
    <row r="37" spans="1:22" ht="12" thickBot="1" x14ac:dyDescent="0.25">
      <c r="B37" s="46">
        <f>B36/A$29</f>
        <v>11.156297636315667</v>
      </c>
      <c r="C37" s="41">
        <v>2</v>
      </c>
      <c r="D37" s="46">
        <f t="shared" si="18"/>
        <v>5</v>
      </c>
      <c r="E37" s="49">
        <f>E38-MIN(0.1,E38*G$20)</f>
        <v>0.59999999999999842</v>
      </c>
      <c r="H37" s="49">
        <f>H38-MAX(0.001,H38*I$37)</f>
        <v>2.6813984172241009E-2</v>
      </c>
      <c r="I37" s="41">
        <v>0.08</v>
      </c>
      <c r="J37" s="47">
        <f>J36+0.001</f>
        <v>2.0000000000000011E-2</v>
      </c>
      <c r="N37" s="41">
        <v>3600</v>
      </c>
      <c r="O37" s="41" t="s">
        <v>212</v>
      </c>
      <c r="P37" s="44">
        <f>N37/3600</f>
        <v>1</v>
      </c>
      <c r="Q37" s="44"/>
      <c r="R37" s="52"/>
      <c r="S37" s="52"/>
      <c r="T37" s="52"/>
    </row>
    <row r="38" spans="1:22" x14ac:dyDescent="0.2">
      <c r="B38" s="46">
        <f>B37/A$29</f>
        <v>5.8717355980608774</v>
      </c>
      <c r="C38" s="41">
        <v>1</v>
      </c>
      <c r="D38" s="46">
        <f t="shared" si="18"/>
        <v>6</v>
      </c>
      <c r="E38" s="47">
        <f>E39-MIN(0.1,E39*G$20)</f>
        <v>0.6999999999999984</v>
      </c>
      <c r="F38" s="41">
        <v>0.625</v>
      </c>
      <c r="G38" s="41">
        <f>F38/2</f>
        <v>0.3125</v>
      </c>
      <c r="H38" s="47">
        <f>F39*0.95</f>
        <v>2.9145634969827184E-2</v>
      </c>
      <c r="I38" s="47"/>
      <c r="J38" s="47">
        <f>J37+0.001</f>
        <v>2.1000000000000012E-2</v>
      </c>
      <c r="N38" s="46">
        <v>2100</v>
      </c>
      <c r="O38" s="46">
        <v>275</v>
      </c>
      <c r="P38" s="44">
        <f t="shared" ref="P38:Q41" si="25">N38/3600</f>
        <v>0.58333333333333337</v>
      </c>
      <c r="Q38" s="44"/>
      <c r="R38" s="52">
        <v>2.04</v>
      </c>
      <c r="S38" s="52">
        <f>3600*R38</f>
        <v>7344</v>
      </c>
      <c r="T38" s="52"/>
    </row>
    <row r="39" spans="1:22" x14ac:dyDescent="0.2">
      <c r="D39" s="46">
        <f t="shared" si="18"/>
        <v>6</v>
      </c>
      <c r="E39" s="47">
        <f>E40-MIN(0.1,E40*G$20)</f>
        <v>0.79999999999999838</v>
      </c>
      <c r="F39" s="41">
        <f>PI()*G38^2*0.1</f>
        <v>3.0679615757712827E-2</v>
      </c>
      <c r="H39" s="47">
        <f>F39</f>
        <v>3.0679615757712827E-2</v>
      </c>
      <c r="I39" s="47"/>
      <c r="J39" s="47">
        <f>J38+0.001</f>
        <v>2.2000000000000013E-2</v>
      </c>
      <c r="N39" s="46">
        <v>1200</v>
      </c>
      <c r="O39" s="46">
        <v>150</v>
      </c>
      <c r="P39" s="44">
        <f t="shared" si="25"/>
        <v>0.33333333333333331</v>
      </c>
      <c r="Q39" s="44"/>
      <c r="R39" s="52">
        <v>1.83</v>
      </c>
      <c r="S39" s="41" t="s">
        <v>331</v>
      </c>
      <c r="T39" s="52">
        <f>R38-R39</f>
        <v>0.20999999999999996</v>
      </c>
      <c r="U39" s="41">
        <f>T39/2</f>
        <v>0.10499999999999998</v>
      </c>
      <c r="V39" s="41">
        <f>3600*U39</f>
        <v>377.99999999999994</v>
      </c>
    </row>
    <row r="40" spans="1:22" x14ac:dyDescent="0.2">
      <c r="B40" s="46">
        <f>B37*10</f>
        <v>111.56297636315668</v>
      </c>
      <c r="D40" s="46">
        <f t="shared" si="18"/>
        <v>6</v>
      </c>
      <c r="E40" s="47">
        <f>E41-MIN(0.1,E41*G$20)</f>
        <v>0.89999999999999836</v>
      </c>
      <c r="H40" s="47">
        <f>H39*1.05</f>
        <v>3.2213596545598466E-2</v>
      </c>
      <c r="I40" s="47"/>
      <c r="J40" s="47">
        <f>J39+0.001</f>
        <v>2.3000000000000013E-2</v>
      </c>
      <c r="N40" s="46">
        <v>675</v>
      </c>
      <c r="O40" s="46">
        <v>85</v>
      </c>
      <c r="P40" s="44">
        <f t="shared" si="25"/>
        <v>0.1875</v>
      </c>
      <c r="Q40" s="44"/>
      <c r="R40" s="52">
        <v>1.46</v>
      </c>
      <c r="S40" s="52" t="s">
        <v>332</v>
      </c>
      <c r="T40" s="52">
        <f>R39-R40</f>
        <v>0.37000000000000011</v>
      </c>
      <c r="U40" s="41">
        <f>T40/2</f>
        <v>0.18500000000000005</v>
      </c>
      <c r="V40" s="41">
        <f>3600*U40</f>
        <v>666.00000000000023</v>
      </c>
    </row>
    <row r="41" spans="1:22" ht="12" thickBot="1" x14ac:dyDescent="0.25">
      <c r="B41" s="46">
        <f>B35</f>
        <v>40.274234467099554</v>
      </c>
      <c r="D41" s="46">
        <f t="shared" si="18"/>
        <v>6</v>
      </c>
      <c r="E41" s="49">
        <f>E42-MIN(0.1,E42*G$20)</f>
        <v>0.99999999999999833</v>
      </c>
      <c r="H41" s="49">
        <f>H40*1.05</f>
        <v>3.3824276372878388E-2</v>
      </c>
      <c r="I41" s="47"/>
      <c r="J41" s="47">
        <f>J40+0.001</f>
        <v>2.4000000000000014E-2</v>
      </c>
      <c r="N41" s="46">
        <v>375</v>
      </c>
      <c r="O41" s="46">
        <v>50</v>
      </c>
      <c r="P41" s="44">
        <f t="shared" si="25"/>
        <v>0.10416666666666667</v>
      </c>
      <c r="Q41" s="44">
        <f t="shared" si="25"/>
        <v>1.3888888888888888E-2</v>
      </c>
      <c r="R41" s="52">
        <v>0.35</v>
      </c>
      <c r="S41" s="52" t="s">
        <v>333</v>
      </c>
      <c r="T41" s="52">
        <f>R40-R41</f>
        <v>1.1099999999999999</v>
      </c>
      <c r="V41" s="41">
        <f>3600*T41</f>
        <v>3995.9999999999995</v>
      </c>
    </row>
    <row r="42" spans="1:22" x14ac:dyDescent="0.2">
      <c r="A42" s="41">
        <v>125</v>
      </c>
      <c r="B42" s="41">
        <f>2*B32</f>
        <v>552.48194841967154</v>
      </c>
      <c r="D42" s="46">
        <f t="shared" si="18"/>
        <v>7</v>
      </c>
      <c r="E42" s="47">
        <f>E43-MIN(0.1,E43*G$20)</f>
        <v>1.0999999999999983</v>
      </c>
      <c r="F42" s="41">
        <v>1.25</v>
      </c>
      <c r="G42" s="41">
        <f>F42/2</f>
        <v>0.625</v>
      </c>
      <c r="H42" s="47">
        <f>F43*0.95</f>
        <v>0.11658253987930874</v>
      </c>
      <c r="I42" s="47">
        <f>(F42/F46)^3*H46</f>
        <v>7.7721693252872481E-2</v>
      </c>
      <c r="P42" s="44"/>
      <c r="Q42" s="44"/>
    </row>
    <row r="43" spans="1:22" x14ac:dyDescent="0.2">
      <c r="B43" s="41">
        <f>2*B34</f>
        <v>153.04209097497829</v>
      </c>
      <c r="D43" s="46">
        <f t="shared" si="18"/>
        <v>7</v>
      </c>
      <c r="E43" s="47">
        <f>E44-MIN(0.1,E44*G$20)</f>
        <v>1.1999999999999984</v>
      </c>
      <c r="F43" s="41">
        <f>PI()*G42^2*0.1</f>
        <v>0.12271846303085131</v>
      </c>
      <c r="H43" s="47">
        <f>F43</f>
        <v>0.12271846303085131</v>
      </c>
      <c r="I43" s="47">
        <f>(F42/F46)^3*H47</f>
        <v>8.1812308687234186E-2</v>
      </c>
      <c r="N43" s="42" t="s">
        <v>301</v>
      </c>
      <c r="O43" s="42" t="s">
        <v>302</v>
      </c>
      <c r="P43" s="44"/>
      <c r="Q43" s="44"/>
    </row>
    <row r="44" spans="1:22" x14ac:dyDescent="0.2">
      <c r="B44" s="41">
        <f>2*B33</f>
        <v>290.77997285245874</v>
      </c>
      <c r="D44" s="46">
        <f t="shared" si="18"/>
        <v>7</v>
      </c>
      <c r="E44" s="47">
        <f>E45-MIN(0.1,E45*G$20)</f>
        <v>1.2999999999999985</v>
      </c>
      <c r="H44" s="47">
        <f>H43*1.05</f>
        <v>0.12885438618239387</v>
      </c>
      <c r="I44" s="47">
        <f>(F42/F46)^3*H48</f>
        <v>8.5902924121595906E-2</v>
      </c>
      <c r="N44" s="46">
        <v>275</v>
      </c>
      <c r="O44" s="41" t="s">
        <v>212</v>
      </c>
      <c r="P44" s="44">
        <f t="shared" ref="P44:Q46" si="26">N44/3600</f>
        <v>7.6388888888888895E-2</v>
      </c>
      <c r="Q44" s="44" t="s">
        <v>212</v>
      </c>
    </row>
    <row r="45" spans="1:22" ht="12" thickBot="1" x14ac:dyDescent="0.25">
      <c r="B45" s="46">
        <f>SUM(B40:B44)</f>
        <v>1148.1412230773649</v>
      </c>
      <c r="D45" s="46">
        <f t="shared" si="18"/>
        <v>7</v>
      </c>
      <c r="E45" s="49">
        <f>E46-MIN(0.1,E46*G$20)</f>
        <v>1.3999999999999986</v>
      </c>
      <c r="H45" s="49">
        <f>H44*1.05</f>
        <v>0.13529710549151355</v>
      </c>
      <c r="I45" s="47">
        <f>(F42/F46)^3*H49</f>
        <v>9.0198070327675711E-2</v>
      </c>
      <c r="N45" s="46">
        <v>175</v>
      </c>
      <c r="O45" s="41" t="s">
        <v>212</v>
      </c>
      <c r="P45" s="44">
        <f t="shared" si="26"/>
        <v>4.8611111111111112E-2</v>
      </c>
      <c r="Q45" s="44" t="s">
        <v>212</v>
      </c>
    </row>
    <row r="46" spans="1:22" x14ac:dyDescent="0.2">
      <c r="B46" s="41">
        <f>B45/3600</f>
        <v>0.31892811752149025</v>
      </c>
      <c r="D46" s="46">
        <f t="shared" si="18"/>
        <v>8</v>
      </c>
      <c r="E46" s="47">
        <f>E47-MIN(0.1,E47*G$20)</f>
        <v>1.4999999999999987</v>
      </c>
      <c r="F46" s="41">
        <v>1.875</v>
      </c>
      <c r="G46" s="41">
        <f>F46/2</f>
        <v>0.9375</v>
      </c>
      <c r="H46" s="47">
        <f>F47*0.95</f>
        <v>0.26231071472844464</v>
      </c>
      <c r="I46" s="47">
        <f>(F46/F50)^3*H50</f>
        <v>0.19673303604633349</v>
      </c>
      <c r="N46" s="46">
        <v>125</v>
      </c>
      <c r="O46" s="41">
        <v>1250</v>
      </c>
      <c r="P46" s="44">
        <f t="shared" si="26"/>
        <v>3.4722222222222224E-2</v>
      </c>
      <c r="Q46" s="44">
        <f t="shared" si="26"/>
        <v>0.34722222222222221</v>
      </c>
    </row>
    <row r="47" spans="1:22" x14ac:dyDescent="0.2">
      <c r="D47" s="46">
        <f t="shared" si="18"/>
        <v>8</v>
      </c>
      <c r="E47" s="47">
        <f>E48-MIN(0.1,E48*G$20)</f>
        <v>1.5999999999999988</v>
      </c>
      <c r="F47" s="41">
        <f>PI()*G46^2*0.1</f>
        <v>0.27611654181941542</v>
      </c>
      <c r="H47" s="47">
        <f>F47</f>
        <v>0.27611654181941542</v>
      </c>
      <c r="I47" s="47">
        <f>(F46/F50)^3*H51</f>
        <v>0.20708740636456158</v>
      </c>
      <c r="P47" s="44"/>
      <c r="Q47" s="44"/>
    </row>
    <row r="48" spans="1:22" x14ac:dyDescent="0.2">
      <c r="D48" s="46">
        <f t="shared" si="18"/>
        <v>8</v>
      </c>
      <c r="E48" s="47">
        <f>E49-MIN(0.1,E49*G$20)</f>
        <v>1.6999999999999988</v>
      </c>
      <c r="H48" s="47">
        <f>H47*1.05</f>
        <v>0.2899223689103862</v>
      </c>
      <c r="I48" s="47">
        <f>(F46/F50)^3*H52</f>
        <v>0.21744177668278963</v>
      </c>
      <c r="N48" s="42" t="s">
        <v>301</v>
      </c>
      <c r="O48" s="42" t="s">
        <v>302</v>
      </c>
      <c r="P48" s="44"/>
      <c r="Q48" s="44"/>
    </row>
    <row r="49" spans="4:20" ht="12" thickBot="1" x14ac:dyDescent="0.25">
      <c r="D49" s="46">
        <f t="shared" si="18"/>
        <v>8</v>
      </c>
      <c r="E49" s="49">
        <f>E50-MIN(0.1,E50*G$20)</f>
        <v>1.7999999999999989</v>
      </c>
      <c r="H49" s="49">
        <f>H48*1.05</f>
        <v>0.30441848735590554</v>
      </c>
      <c r="I49" s="47">
        <f>(F46/F50)^3*H53</f>
        <v>0.22831386551692912</v>
      </c>
      <c r="N49" s="46">
        <v>50</v>
      </c>
      <c r="O49" s="41" t="s">
        <v>212</v>
      </c>
      <c r="P49" s="44">
        <f t="shared" ref="P49:Q51" si="27">N49/3600</f>
        <v>1.3888888888888888E-2</v>
      </c>
      <c r="Q49" s="44" t="s">
        <v>212</v>
      </c>
    </row>
    <row r="50" spans="4:20" x14ac:dyDescent="0.2">
      <c r="D50" s="46">
        <f t="shared" si="18"/>
        <v>9</v>
      </c>
      <c r="E50" s="47">
        <f>E51-MIN(0.1,E51*G$20)</f>
        <v>1.899999999999999</v>
      </c>
      <c r="F50" s="41">
        <v>2.5</v>
      </c>
      <c r="G50" s="41">
        <f>F50/2</f>
        <v>1.25</v>
      </c>
      <c r="H50" s="47">
        <f>F51*0.95</f>
        <v>0.46633015951723494</v>
      </c>
      <c r="I50" s="47">
        <f>(F50/F54)^3*H54</f>
        <v>0.31088677301148993</v>
      </c>
      <c r="N50" s="46">
        <v>25</v>
      </c>
      <c r="O50" s="41">
        <v>250</v>
      </c>
      <c r="P50" s="44">
        <f t="shared" si="27"/>
        <v>6.9444444444444441E-3</v>
      </c>
      <c r="Q50" s="44">
        <f t="shared" si="27"/>
        <v>6.9444444444444448E-2</v>
      </c>
    </row>
    <row r="51" spans="4:20" x14ac:dyDescent="0.2">
      <c r="D51" s="46">
        <f t="shared" si="18"/>
        <v>9</v>
      </c>
      <c r="E51" s="47">
        <f>E52-MIN(0.1,E52*G$20)</f>
        <v>1.9999999999999991</v>
      </c>
      <c r="F51" s="41">
        <f>PI()*G50^2*0.1</f>
        <v>0.49087385212340523</v>
      </c>
      <c r="H51" s="47">
        <f>F51</f>
        <v>0.49087385212340523</v>
      </c>
      <c r="I51" s="47">
        <f>(F50/F54)^3*H55</f>
        <v>0.32724923474893675</v>
      </c>
      <c r="N51" s="46">
        <v>10</v>
      </c>
      <c r="O51" s="41">
        <v>100</v>
      </c>
      <c r="P51" s="44">
        <f t="shared" si="27"/>
        <v>2.7777777777777779E-3</v>
      </c>
      <c r="Q51" s="44">
        <f t="shared" si="27"/>
        <v>2.7777777777777776E-2</v>
      </c>
    </row>
    <row r="52" spans="4:20" x14ac:dyDescent="0.2">
      <c r="D52" s="46">
        <f t="shared" si="18"/>
        <v>9</v>
      </c>
      <c r="E52" s="47">
        <f>E53-MIN(0.1,E53*G$20)</f>
        <v>2.0999999999999992</v>
      </c>
      <c r="H52" s="47">
        <f>H51*1.05</f>
        <v>0.51541754472957546</v>
      </c>
      <c r="I52" s="47">
        <f>(F50/F54)^3*H56</f>
        <v>0.34361169648638362</v>
      </c>
      <c r="P52" s="44"/>
      <c r="Q52" s="44"/>
    </row>
    <row r="53" spans="4:20" ht="12" thickBot="1" x14ac:dyDescent="0.25">
      <c r="D53" s="46">
        <f t="shared" si="18"/>
        <v>9</v>
      </c>
      <c r="E53" s="49">
        <f>E54-MIN(0.1,E54*G$20)</f>
        <v>2.1999999999999993</v>
      </c>
      <c r="H53" s="49">
        <f>H52*1.05</f>
        <v>0.54118842196605421</v>
      </c>
      <c r="I53" s="47">
        <f>(F50/F54)^3*H57</f>
        <v>0.36079228131070284</v>
      </c>
    </row>
    <row r="54" spans="4:20" x14ac:dyDescent="0.2">
      <c r="D54" s="46">
        <f t="shared" si="18"/>
        <v>10</v>
      </c>
      <c r="E54" s="47">
        <f>E55-MIN(0.1,E55*G$20)</f>
        <v>2.2999999999999994</v>
      </c>
      <c r="F54" s="41">
        <v>3.75</v>
      </c>
      <c r="G54" s="41">
        <f>F54/2</f>
        <v>1.875</v>
      </c>
      <c r="H54" s="47">
        <f>F55*0.95</f>
        <v>1.0492428589137786</v>
      </c>
      <c r="I54" s="47">
        <f>(F54/F58)^3*H58</f>
        <v>0.78693214418533397</v>
      </c>
    </row>
    <row r="55" spans="4:20" x14ac:dyDescent="0.2">
      <c r="D55" s="46">
        <f t="shared" si="18"/>
        <v>10</v>
      </c>
      <c r="E55" s="47">
        <f>E56-MIN(0.1,E56*G$20)</f>
        <v>2.3999999999999995</v>
      </c>
      <c r="F55" s="41">
        <f>PI()*G54^2*0.1</f>
        <v>1.1044661672776617</v>
      </c>
      <c r="H55" s="47">
        <f>F55</f>
        <v>1.1044661672776617</v>
      </c>
      <c r="I55" s="47">
        <f>(F54/F58)^3*H59</f>
        <v>0.82834962545824631</v>
      </c>
    </row>
    <row r="56" spans="4:20" x14ac:dyDescent="0.2">
      <c r="D56" s="46">
        <f t="shared" si="18"/>
        <v>10</v>
      </c>
      <c r="E56" s="47">
        <f>E57-MIN(0.1,E57*G$20)</f>
        <v>2.4999999999999996</v>
      </c>
      <c r="H56" s="47">
        <f>H55*1.05</f>
        <v>1.1596894756415448</v>
      </c>
      <c r="I56" s="47">
        <f>(F54/F58)^3*H60</f>
        <v>0.86976710673115853</v>
      </c>
      <c r="N56" s="41">
        <v>0.75</v>
      </c>
      <c r="O56" s="41">
        <v>1.22</v>
      </c>
      <c r="P56" s="41">
        <v>2.98</v>
      </c>
      <c r="Q56" s="41">
        <v>0.75</v>
      </c>
      <c r="R56" s="41">
        <v>0.75</v>
      </c>
      <c r="S56" s="41">
        <v>0.75</v>
      </c>
      <c r="T56" s="41">
        <v>0.75</v>
      </c>
    </row>
    <row r="57" spans="4:20" ht="12" thickBot="1" x14ac:dyDescent="0.25">
      <c r="D57" s="46">
        <f t="shared" si="18"/>
        <v>10</v>
      </c>
      <c r="E57" s="49">
        <f>E58-MIN(0.1,E58*G$20)</f>
        <v>2.5999999999999996</v>
      </c>
      <c r="H57" s="49">
        <f>H56*1.05</f>
        <v>1.2176739494236222</v>
      </c>
      <c r="I57" s="47">
        <f>(F54/F58)^3*H61</f>
        <v>0.91325546206771646</v>
      </c>
      <c r="N57" s="41">
        <f>N56/1.5</f>
        <v>0.5</v>
      </c>
      <c r="O57" s="41">
        <f>O56/1.5</f>
        <v>0.81333333333333335</v>
      </c>
      <c r="P57" s="41">
        <f t="shared" ref="P57:T57" si="28">P56/1.5</f>
        <v>1.9866666666666666</v>
      </c>
      <c r="Q57" s="41">
        <f t="shared" si="28"/>
        <v>0.5</v>
      </c>
      <c r="R57" s="41">
        <f t="shared" si="28"/>
        <v>0.5</v>
      </c>
      <c r="S57" s="41">
        <f t="shared" si="28"/>
        <v>0.5</v>
      </c>
      <c r="T57" s="41">
        <f t="shared" si="28"/>
        <v>0.5</v>
      </c>
    </row>
    <row r="58" spans="4:20" x14ac:dyDescent="0.2">
      <c r="D58" s="46">
        <f t="shared" si="18"/>
        <v>11</v>
      </c>
      <c r="E58" s="47">
        <f>E59-MIN(0.1,E59*G$20)</f>
        <v>2.6999999999999997</v>
      </c>
      <c r="F58" s="41">
        <v>5</v>
      </c>
      <c r="G58" s="41">
        <f>F58/2</f>
        <v>2.5</v>
      </c>
      <c r="H58" s="47">
        <f>F59*0.95</f>
        <v>1.8653206380689398</v>
      </c>
    </row>
    <row r="59" spans="4:20" x14ac:dyDescent="0.2">
      <c r="D59" s="46">
        <f t="shared" si="18"/>
        <v>11</v>
      </c>
      <c r="E59" s="47">
        <f>E60-MIN(0.1,E60*G$20)</f>
        <v>2.8</v>
      </c>
      <c r="F59" s="41">
        <f>PI()*G58^2*0.1</f>
        <v>1.9634954084936209</v>
      </c>
      <c r="H59" s="47">
        <f>F59</f>
        <v>1.9634954084936209</v>
      </c>
    </row>
    <row r="60" spans="4:20" x14ac:dyDescent="0.2">
      <c r="D60" s="46">
        <f t="shared" si="18"/>
        <v>11</v>
      </c>
      <c r="E60" s="47">
        <f>E61-MIN(0.1,E61*G$20)</f>
        <v>2.9</v>
      </c>
      <c r="H60" s="47">
        <f>H59*1.05</f>
        <v>2.0616701789183018</v>
      </c>
    </row>
    <row r="61" spans="4:20" ht="12" thickBot="1" x14ac:dyDescent="0.25">
      <c r="D61" s="46">
        <f t="shared" si="18"/>
        <v>11</v>
      </c>
      <c r="E61" s="49">
        <v>3</v>
      </c>
      <c r="H61" s="49">
        <f>H60*1.05</f>
        <v>2.1647536878642168</v>
      </c>
    </row>
  </sheetData>
  <sortState ref="R32:S41">
    <sortCondition ref="R3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G1" workbookViewId="0">
      <selection activeCell="R15" sqref="R15"/>
    </sheetView>
  </sheetViews>
  <sheetFormatPr defaultRowHeight="15" x14ac:dyDescent="0.25"/>
  <cols>
    <col min="1" max="16384" width="9.140625" style="1"/>
  </cols>
  <sheetData>
    <row r="1" spans="1:24" x14ac:dyDescent="0.25">
      <c r="A1" s="14" t="s">
        <v>77</v>
      </c>
    </row>
    <row r="2" spans="1:24" x14ac:dyDescent="0.25">
      <c r="A2" s="1" t="s">
        <v>45</v>
      </c>
      <c r="B2" s="1" t="s">
        <v>73</v>
      </c>
      <c r="C2" s="1" t="s">
        <v>75</v>
      </c>
      <c r="D2" s="22">
        <v>0.6</v>
      </c>
      <c r="E2" s="22">
        <f t="shared" ref="E2:K2" si="0">5%+D2</f>
        <v>0.65</v>
      </c>
      <c r="F2" s="22">
        <f t="shared" si="0"/>
        <v>0.70000000000000007</v>
      </c>
      <c r="G2" s="22">
        <f t="shared" si="0"/>
        <v>0.75000000000000011</v>
      </c>
      <c r="H2" s="22">
        <f t="shared" si="0"/>
        <v>0.80000000000000016</v>
      </c>
      <c r="I2" s="22">
        <f t="shared" si="0"/>
        <v>0.8500000000000002</v>
      </c>
      <c r="J2" s="22">
        <f t="shared" si="0"/>
        <v>0.90000000000000024</v>
      </c>
      <c r="K2" s="22">
        <f t="shared" si="0"/>
        <v>0.95000000000000029</v>
      </c>
      <c r="P2" s="63" t="s">
        <v>92</v>
      </c>
      <c r="Q2" s="1">
        <v>1.55</v>
      </c>
      <c r="R2" s="1">
        <v>0.22</v>
      </c>
      <c r="S2" s="60" t="s">
        <v>108</v>
      </c>
      <c r="T2" s="60"/>
      <c r="U2" s="60"/>
      <c r="V2" s="1" t="s">
        <v>109</v>
      </c>
    </row>
    <row r="3" spans="1:24" x14ac:dyDescent="0.25">
      <c r="A3" s="2">
        <v>0.5</v>
      </c>
      <c r="B3" s="1">
        <f>A3/2</f>
        <v>0.25</v>
      </c>
      <c r="C3" s="6">
        <f>4/3*PI()*B3^3*1000</f>
        <v>65.449846949787357</v>
      </c>
      <c r="D3" s="6">
        <f t="shared" ref="D3:K3" si="1">$C3*D2</f>
        <v>39.269908169872416</v>
      </c>
      <c r="E3" s="6">
        <f t="shared" si="1"/>
        <v>42.542400517361784</v>
      </c>
      <c r="F3" s="6">
        <f t="shared" si="1"/>
        <v>45.814892864851153</v>
      </c>
      <c r="G3" s="6">
        <f t="shared" si="1"/>
        <v>49.087385212340529</v>
      </c>
      <c r="H3" s="6">
        <f t="shared" si="1"/>
        <v>52.359877559829897</v>
      </c>
      <c r="I3" s="12">
        <f t="shared" si="1"/>
        <v>55.632369907319266</v>
      </c>
      <c r="J3" s="6">
        <f t="shared" si="1"/>
        <v>58.904862254808634</v>
      </c>
      <c r="K3" s="6">
        <f t="shared" si="1"/>
        <v>62.17735460229801</v>
      </c>
      <c r="P3" s="61" t="s">
        <v>61</v>
      </c>
      <c r="Q3" s="13" t="s">
        <v>108</v>
      </c>
      <c r="R3" s="13" t="s">
        <v>109</v>
      </c>
      <c r="S3" s="61" t="s">
        <v>79</v>
      </c>
      <c r="T3" s="61" t="s">
        <v>375</v>
      </c>
      <c r="U3" s="61" t="s">
        <v>376</v>
      </c>
      <c r="V3" s="13" t="s">
        <v>79</v>
      </c>
      <c r="W3" s="13" t="s">
        <v>375</v>
      </c>
      <c r="X3" s="13"/>
    </row>
    <row r="4" spans="1:24" x14ac:dyDescent="0.25">
      <c r="A4" s="2"/>
      <c r="C4" s="6"/>
      <c r="D4" s="6"/>
      <c r="E4" s="6"/>
      <c r="F4" s="6"/>
      <c r="G4" s="6"/>
      <c r="H4" s="6"/>
      <c r="I4" s="12"/>
      <c r="J4" s="6"/>
      <c r="K4" s="6"/>
      <c r="P4" s="60">
        <v>0.3</v>
      </c>
      <c r="Q4" s="6">
        <f>(P4/P5)^2*Q5</f>
        <v>25.40484922356897</v>
      </c>
      <c r="R4" s="6">
        <f t="shared" ref="R4:R6" si="2">Q4*R$2</f>
        <v>5.5890668291851737</v>
      </c>
      <c r="S4" s="62">
        <f>2*Q4</f>
        <v>50.80969844713794</v>
      </c>
      <c r="T4" s="62">
        <f>Q4*5</f>
        <v>127.02424611784485</v>
      </c>
      <c r="U4" s="62">
        <f>Q4*9</f>
        <v>228.64364301212072</v>
      </c>
      <c r="V4" s="6">
        <f>2*R4</f>
        <v>11.178133658370347</v>
      </c>
      <c r="W4" s="6">
        <f>R4*5</f>
        <v>27.94533414592587</v>
      </c>
      <c r="X4" s="6"/>
    </row>
    <row r="5" spans="1:24" x14ac:dyDescent="0.25">
      <c r="A5" s="14" t="s">
        <v>76</v>
      </c>
      <c r="P5" s="60">
        <v>0.625</v>
      </c>
      <c r="Q5" s="6">
        <f>(P5/P6)^2*Q6</f>
        <v>110.26410253285144</v>
      </c>
      <c r="R5" s="6">
        <f t="shared" si="2"/>
        <v>24.258102557227318</v>
      </c>
      <c r="S5" s="62">
        <f t="shared" ref="S5:T10" si="3">2*Q5</f>
        <v>220.52820506570288</v>
      </c>
      <c r="T5" s="62">
        <f t="shared" ref="T5:T10" si="4">Q5*5</f>
        <v>551.32051266425719</v>
      </c>
      <c r="U5" s="62">
        <f t="shared" ref="U5:U10" si="5">Q5*9</f>
        <v>992.37692279566295</v>
      </c>
      <c r="V5" s="6">
        <f t="shared" ref="V5:V10" si="6">2*R5</f>
        <v>48.516205114454635</v>
      </c>
      <c r="W5" s="6">
        <f t="shared" ref="W5:W10" si="7">R5*5</f>
        <v>121.29051278613659</v>
      </c>
      <c r="X5" s="6"/>
    </row>
    <row r="6" spans="1:24" x14ac:dyDescent="0.25">
      <c r="A6" s="1" t="s">
        <v>45</v>
      </c>
      <c r="B6" s="1" t="s">
        <v>74</v>
      </c>
      <c r="C6" s="1" t="s">
        <v>73</v>
      </c>
      <c r="D6" s="1" t="s">
        <v>74</v>
      </c>
      <c r="E6" s="1" t="s">
        <v>77</v>
      </c>
      <c r="F6" s="1" t="s">
        <v>78</v>
      </c>
      <c r="G6" s="1" t="s">
        <v>75</v>
      </c>
      <c r="H6" s="22">
        <v>0.6</v>
      </c>
      <c r="I6" s="22">
        <f t="shared" ref="I6:O6" si="8">5%+H6</f>
        <v>0.65</v>
      </c>
      <c r="J6" s="22">
        <f t="shared" si="8"/>
        <v>0.70000000000000007</v>
      </c>
      <c r="K6" s="22">
        <f t="shared" si="8"/>
        <v>0.75000000000000011</v>
      </c>
      <c r="L6" s="22">
        <f t="shared" si="8"/>
        <v>0.80000000000000016</v>
      </c>
      <c r="M6" s="22">
        <f t="shared" si="8"/>
        <v>0.8500000000000002</v>
      </c>
      <c r="N6" s="22">
        <f t="shared" si="8"/>
        <v>0.90000000000000024</v>
      </c>
      <c r="O6" s="22">
        <f t="shared" si="8"/>
        <v>0.95000000000000029</v>
      </c>
      <c r="P6" s="60">
        <v>1.25</v>
      </c>
      <c r="Q6" s="6">
        <f>(P6/P7)^2*Q7</f>
        <v>441.05641013140576</v>
      </c>
      <c r="R6" s="6">
        <f t="shared" si="2"/>
        <v>97.032410228909271</v>
      </c>
      <c r="S6" s="62">
        <f t="shared" si="3"/>
        <v>882.11282026281151</v>
      </c>
      <c r="T6" s="62">
        <f t="shared" si="4"/>
        <v>2205.2820506570288</v>
      </c>
      <c r="U6" s="62">
        <f t="shared" si="5"/>
        <v>3969.5076911826518</v>
      </c>
      <c r="V6" s="6">
        <f t="shared" si="6"/>
        <v>194.06482045781854</v>
      </c>
      <c r="W6" s="6">
        <f t="shared" si="7"/>
        <v>485.16205114454635</v>
      </c>
      <c r="X6" s="6"/>
    </row>
    <row r="7" spans="1:24" x14ac:dyDescent="0.25">
      <c r="A7" s="2">
        <v>0.5</v>
      </c>
      <c r="B7" s="2">
        <v>1.5</v>
      </c>
      <c r="C7" s="1">
        <f>A7/2</f>
        <v>0.25</v>
      </c>
      <c r="D7" s="1">
        <f>B7-C7-C7</f>
        <v>1</v>
      </c>
      <c r="E7" s="6">
        <f>4/3*PI()*C7^3*1000</f>
        <v>65.449846949787357</v>
      </c>
      <c r="F7" s="6">
        <f>PI()*C7^2*D7*1000</f>
        <v>196.34954084936206</v>
      </c>
      <c r="G7" s="6">
        <f>E7+F7</f>
        <v>261.79938779914943</v>
      </c>
      <c r="H7" s="6">
        <f>$G7*H$6</f>
        <v>157.07963267948966</v>
      </c>
      <c r="I7" s="6">
        <f t="shared" ref="I7:O8" si="9">$G7*I$6</f>
        <v>170.16960206944714</v>
      </c>
      <c r="J7" s="6">
        <f t="shared" si="9"/>
        <v>183.25957145940461</v>
      </c>
      <c r="K7" s="6">
        <f t="shared" si="9"/>
        <v>196.34954084936211</v>
      </c>
      <c r="L7" s="6">
        <f t="shared" si="9"/>
        <v>209.43951023931959</v>
      </c>
      <c r="M7" s="12">
        <f t="shared" si="9"/>
        <v>222.52947962927706</v>
      </c>
      <c r="N7" s="6">
        <f t="shared" si="9"/>
        <v>235.61944901923454</v>
      </c>
      <c r="O7" s="6">
        <f t="shared" si="9"/>
        <v>248.70941840919204</v>
      </c>
      <c r="P7" s="60">
        <v>1.875</v>
      </c>
      <c r="Q7" s="6">
        <f>(P7/P8)^Q$2*Q8</f>
        <v>992.37692279566295</v>
      </c>
      <c r="R7" s="6">
        <f>Q7*R$2</f>
        <v>218.32292301504586</v>
      </c>
      <c r="S7" s="62">
        <f t="shared" si="3"/>
        <v>1984.7538455913259</v>
      </c>
      <c r="T7" s="62">
        <f t="shared" si="4"/>
        <v>4961.8846139783145</v>
      </c>
      <c r="U7" s="62">
        <f t="shared" si="5"/>
        <v>8931.3923051609672</v>
      </c>
      <c r="V7" s="6">
        <f t="shared" si="6"/>
        <v>436.64584603009172</v>
      </c>
      <c r="W7" s="6">
        <f t="shared" si="7"/>
        <v>1091.6146150752293</v>
      </c>
      <c r="X7" s="6"/>
    </row>
    <row r="8" spans="1:24" x14ac:dyDescent="0.25">
      <c r="A8" s="2">
        <v>0.5</v>
      </c>
      <c r="B8" s="2">
        <v>0.6</v>
      </c>
      <c r="C8" s="1">
        <f>A8/2</f>
        <v>0.25</v>
      </c>
      <c r="D8" s="1">
        <f>B8-C8-C8</f>
        <v>9.9999999999999978E-2</v>
      </c>
      <c r="E8" s="6">
        <f>4/3*PI()*C8^3*1000</f>
        <v>65.449846949787357</v>
      </c>
      <c r="F8" s="6">
        <f>PI()*C8^2*D8*1000</f>
        <v>19.634954084936204</v>
      </c>
      <c r="G8" s="6">
        <f>E8+F8</f>
        <v>85.084801034723569</v>
      </c>
      <c r="H8" s="6">
        <f>$G8*H$6</f>
        <v>51.050880620834143</v>
      </c>
      <c r="I8" s="6">
        <f t="shared" si="9"/>
        <v>55.305120672570318</v>
      </c>
      <c r="J8" s="6">
        <f t="shared" si="9"/>
        <v>59.559360724306501</v>
      </c>
      <c r="K8" s="6">
        <f t="shared" si="9"/>
        <v>63.813600776042684</v>
      </c>
      <c r="L8" s="6">
        <f t="shared" si="9"/>
        <v>68.067840827778866</v>
      </c>
      <c r="M8" s="12">
        <f t="shared" si="9"/>
        <v>72.322080879515056</v>
      </c>
      <c r="N8" s="6">
        <f t="shared" si="9"/>
        <v>76.576320931251232</v>
      </c>
      <c r="O8" s="6">
        <f t="shared" si="9"/>
        <v>80.830560982987421</v>
      </c>
      <c r="P8" s="60">
        <v>2.5</v>
      </c>
      <c r="Q8" s="2">
        <v>1550</v>
      </c>
      <c r="R8" s="6">
        <f t="shared" ref="R8:R10" si="10">Q8*R$2</f>
        <v>341</v>
      </c>
      <c r="S8" s="62">
        <f t="shared" si="3"/>
        <v>3100</v>
      </c>
      <c r="T8" s="62">
        <f t="shared" si="4"/>
        <v>7750</v>
      </c>
      <c r="U8" s="62">
        <f t="shared" si="5"/>
        <v>13950</v>
      </c>
      <c r="V8" s="6">
        <f t="shared" si="6"/>
        <v>682</v>
      </c>
      <c r="W8" s="6">
        <f t="shared" si="7"/>
        <v>1705</v>
      </c>
      <c r="X8" s="6"/>
    </row>
    <row r="9" spans="1:24" x14ac:dyDescent="0.25">
      <c r="P9" s="60">
        <v>3.75</v>
      </c>
      <c r="Q9" s="6">
        <f>(P9/P8)^Q$2*Q8</f>
        <v>2905.8497153033331</v>
      </c>
      <c r="R9" s="6">
        <f t="shared" si="10"/>
        <v>639.28693736673324</v>
      </c>
      <c r="S9" s="62">
        <f t="shared" si="3"/>
        <v>5811.6994306066663</v>
      </c>
      <c r="T9" s="62">
        <f t="shared" si="4"/>
        <v>14529.248576516666</v>
      </c>
      <c r="U9" s="62">
        <f t="shared" si="5"/>
        <v>26152.647437729996</v>
      </c>
      <c r="V9" s="6">
        <f t="shared" si="6"/>
        <v>1278.5738747334665</v>
      </c>
      <c r="W9" s="6">
        <f t="shared" si="7"/>
        <v>3196.4346868336661</v>
      </c>
      <c r="X9" s="6"/>
    </row>
    <row r="10" spans="1:24" x14ac:dyDescent="0.25">
      <c r="A10" s="1" t="s">
        <v>45</v>
      </c>
      <c r="B10" s="1" t="s">
        <v>74</v>
      </c>
      <c r="C10" s="1" t="s">
        <v>73</v>
      </c>
      <c r="D10" s="1" t="s">
        <v>75</v>
      </c>
      <c r="E10" s="22">
        <v>0.6</v>
      </c>
      <c r="F10" s="22">
        <f>5%+E10</f>
        <v>0.65</v>
      </c>
      <c r="G10" s="22">
        <f>5%+F10</f>
        <v>0.70000000000000007</v>
      </c>
      <c r="H10" s="22">
        <f>5%+G10</f>
        <v>0.75000000000000011</v>
      </c>
      <c r="I10" s="22">
        <f>5%+H10</f>
        <v>0.80000000000000016</v>
      </c>
      <c r="J10" s="22">
        <f>5%+I10</f>
        <v>0.8500000000000002</v>
      </c>
      <c r="K10" s="22">
        <v>0.87</v>
      </c>
      <c r="L10" s="22">
        <f>5%+J10</f>
        <v>0.90000000000000024</v>
      </c>
      <c r="M10" s="22">
        <v>0.92</v>
      </c>
      <c r="N10" s="22">
        <f>5%+L10</f>
        <v>0.95000000000000029</v>
      </c>
      <c r="P10" s="60">
        <v>5</v>
      </c>
      <c r="Q10" s="6">
        <f>(P10/P9)^Q$2*Q9</f>
        <v>4538.6656574314384</v>
      </c>
      <c r="R10" s="6">
        <f t="shared" si="10"/>
        <v>998.50644463491642</v>
      </c>
      <c r="S10" s="62">
        <f t="shared" si="3"/>
        <v>9077.3313148628768</v>
      </c>
      <c r="T10" s="62">
        <f t="shared" si="4"/>
        <v>22693.328287157194</v>
      </c>
      <c r="U10" s="62">
        <f t="shared" si="5"/>
        <v>40847.990916882947</v>
      </c>
      <c r="V10" s="6">
        <f t="shared" si="6"/>
        <v>1997.0128892698328</v>
      </c>
      <c r="W10" s="6">
        <f t="shared" si="7"/>
        <v>4992.5322231745822</v>
      </c>
      <c r="X10" s="6"/>
    </row>
    <row r="11" spans="1:24" x14ac:dyDescent="0.25">
      <c r="A11" s="2">
        <v>1.25</v>
      </c>
      <c r="B11" s="2">
        <v>0.5</v>
      </c>
      <c r="C11" s="1">
        <f t="shared" ref="C11:C22" si="11">A11/2</f>
        <v>0.625</v>
      </c>
      <c r="D11" s="6">
        <f t="shared" ref="D11:D22" si="12">PI()*C11^2*B11*1000</f>
        <v>613.59231515425654</v>
      </c>
      <c r="E11" s="6">
        <f t="shared" ref="E11:N22" si="13">$D11*E$10</f>
        <v>368.15538909255389</v>
      </c>
      <c r="F11" s="6">
        <f t="shared" si="13"/>
        <v>398.83500485026678</v>
      </c>
      <c r="G11" s="6">
        <f t="shared" si="13"/>
        <v>429.51462060797962</v>
      </c>
      <c r="H11" s="6">
        <f t="shared" si="13"/>
        <v>460.19423636569246</v>
      </c>
      <c r="I11" s="6">
        <f t="shared" si="13"/>
        <v>490.8738521234053</v>
      </c>
      <c r="J11" s="6">
        <f t="shared" si="13"/>
        <v>521.55346788111819</v>
      </c>
      <c r="K11" s="12">
        <f t="shared" si="13"/>
        <v>533.82531418420319</v>
      </c>
      <c r="L11" s="6">
        <f t="shared" si="13"/>
        <v>552.23308363883109</v>
      </c>
      <c r="M11" s="12">
        <f t="shared" si="13"/>
        <v>564.50492994191609</v>
      </c>
      <c r="N11" s="6">
        <f t="shared" si="13"/>
        <v>582.91269939654387</v>
      </c>
    </row>
    <row r="12" spans="1:24" x14ac:dyDescent="0.25">
      <c r="A12" s="2">
        <v>2.5</v>
      </c>
      <c r="B12" s="2">
        <v>4.75</v>
      </c>
      <c r="C12" s="1">
        <f t="shared" si="11"/>
        <v>1.25</v>
      </c>
      <c r="D12" s="6">
        <f t="shared" si="12"/>
        <v>23316.507975861747</v>
      </c>
      <c r="E12" s="6">
        <f t="shared" si="13"/>
        <v>13989.904785517048</v>
      </c>
      <c r="F12" s="6">
        <f t="shared" si="13"/>
        <v>15155.730184310136</v>
      </c>
      <c r="G12" s="6">
        <f t="shared" si="13"/>
        <v>16321.555583103223</v>
      </c>
      <c r="H12" s="6">
        <f t="shared" si="13"/>
        <v>17487.380981896313</v>
      </c>
      <c r="I12" s="6">
        <f t="shared" si="13"/>
        <v>18653.2063806894</v>
      </c>
      <c r="J12" s="6">
        <f t="shared" si="13"/>
        <v>19819.031779482488</v>
      </c>
      <c r="K12" s="12">
        <f t="shared" si="13"/>
        <v>20285.361938999718</v>
      </c>
      <c r="L12" s="6">
        <f t="shared" si="13"/>
        <v>20984.857178275579</v>
      </c>
      <c r="M12" s="12">
        <f t="shared" si="13"/>
        <v>21451.18733779281</v>
      </c>
      <c r="N12" s="6">
        <f t="shared" si="13"/>
        <v>22150.682577068666</v>
      </c>
    </row>
    <row r="13" spans="1:24" x14ac:dyDescent="0.25">
      <c r="A13" s="2">
        <v>1.25</v>
      </c>
      <c r="B13" s="31">
        <v>0.5</v>
      </c>
      <c r="C13" s="1">
        <f t="shared" si="11"/>
        <v>0.625</v>
      </c>
      <c r="D13" s="6">
        <f t="shared" si="12"/>
        <v>613.59231515425654</v>
      </c>
      <c r="E13" s="6">
        <f t="shared" si="13"/>
        <v>368.15538909255389</v>
      </c>
      <c r="F13" s="6">
        <f t="shared" si="13"/>
        <v>398.83500485026678</v>
      </c>
      <c r="G13" s="6">
        <f t="shared" si="13"/>
        <v>429.51462060797962</v>
      </c>
      <c r="H13" s="6">
        <f t="shared" si="13"/>
        <v>460.19423636569246</v>
      </c>
      <c r="I13" s="6">
        <f t="shared" si="13"/>
        <v>490.8738521234053</v>
      </c>
      <c r="J13" s="6">
        <f t="shared" si="13"/>
        <v>521.55346788111819</v>
      </c>
      <c r="K13" s="12">
        <f t="shared" si="13"/>
        <v>533.82531418420319</v>
      </c>
      <c r="L13" s="6">
        <f t="shared" si="13"/>
        <v>552.23308363883109</v>
      </c>
      <c r="M13" s="12">
        <f t="shared" si="13"/>
        <v>564.50492994191609</v>
      </c>
      <c r="N13" s="6">
        <f t="shared" si="13"/>
        <v>582.91269939654387</v>
      </c>
    </row>
    <row r="14" spans="1:24" x14ac:dyDescent="0.25">
      <c r="A14" s="2">
        <v>2.5</v>
      </c>
      <c r="B14" s="31">
        <v>1.8</v>
      </c>
      <c r="C14" s="1">
        <f t="shared" si="11"/>
        <v>1.25</v>
      </c>
      <c r="D14" s="6">
        <f t="shared" si="12"/>
        <v>8835.7293382212938</v>
      </c>
      <c r="E14" s="6">
        <f t="shared" si="13"/>
        <v>5301.4376029327759</v>
      </c>
      <c r="F14" s="6">
        <f t="shared" si="13"/>
        <v>5743.2240698438409</v>
      </c>
      <c r="G14" s="6">
        <f t="shared" si="13"/>
        <v>6185.0105367549058</v>
      </c>
      <c r="H14" s="6">
        <f t="shared" si="13"/>
        <v>6626.7970036659717</v>
      </c>
      <c r="I14" s="6">
        <f t="shared" si="13"/>
        <v>7068.5834705770367</v>
      </c>
      <c r="J14" s="6">
        <f t="shared" si="13"/>
        <v>7510.3699374881016</v>
      </c>
      <c r="K14" s="12">
        <f t="shared" si="13"/>
        <v>7687.0845242525256</v>
      </c>
      <c r="L14" s="6">
        <f t="shared" si="13"/>
        <v>7952.1564043991666</v>
      </c>
      <c r="M14" s="12">
        <f t="shared" si="13"/>
        <v>8128.8709911635906</v>
      </c>
      <c r="N14" s="6">
        <f t="shared" si="13"/>
        <v>8393.9428713102316</v>
      </c>
      <c r="Q14" s="4"/>
    </row>
    <row r="15" spans="1:24" x14ac:dyDescent="0.25">
      <c r="A15" s="2">
        <v>2.5</v>
      </c>
      <c r="B15" s="31">
        <v>6</v>
      </c>
      <c r="C15" s="1">
        <f t="shared" si="11"/>
        <v>1.25</v>
      </c>
      <c r="D15" s="6">
        <f t="shared" si="12"/>
        <v>29452.43112740431</v>
      </c>
      <c r="E15" s="6">
        <f t="shared" si="13"/>
        <v>17671.458676442584</v>
      </c>
      <c r="F15" s="6">
        <f t="shared" si="13"/>
        <v>19144.080232812801</v>
      </c>
      <c r="G15" s="6">
        <f t="shared" si="13"/>
        <v>20616.701789183018</v>
      </c>
      <c r="H15" s="6">
        <f t="shared" si="13"/>
        <v>22089.323345553235</v>
      </c>
      <c r="I15" s="6">
        <f t="shared" si="13"/>
        <v>23561.944901923453</v>
      </c>
      <c r="J15" s="6">
        <f t="shared" si="13"/>
        <v>25034.56645829367</v>
      </c>
      <c r="K15" s="12">
        <f t="shared" si="13"/>
        <v>25623.615080841751</v>
      </c>
      <c r="L15" s="6">
        <f t="shared" si="13"/>
        <v>26507.188014663887</v>
      </c>
      <c r="M15" s="12">
        <f t="shared" si="13"/>
        <v>27096.236637211965</v>
      </c>
      <c r="N15" s="6">
        <f t="shared" si="13"/>
        <v>27979.809571034104</v>
      </c>
      <c r="P15" s="1">
        <v>5</v>
      </c>
      <c r="Q15" s="1">
        <v>1</v>
      </c>
      <c r="R15" s="1">
        <v>5</v>
      </c>
      <c r="S15" s="1">
        <f>0.4*(5-R15)+1</f>
        <v>1</v>
      </c>
    </row>
    <row r="16" spans="1:24" x14ac:dyDescent="0.25">
      <c r="A16" s="2">
        <v>2.5</v>
      </c>
      <c r="B16" s="31">
        <v>2</v>
      </c>
      <c r="C16" s="1">
        <f t="shared" si="11"/>
        <v>1.25</v>
      </c>
      <c r="D16" s="6">
        <f t="shared" si="12"/>
        <v>9817.4770424681046</v>
      </c>
      <c r="E16" s="6">
        <f t="shared" si="13"/>
        <v>5890.4862254808622</v>
      </c>
      <c r="F16" s="6">
        <f t="shared" si="13"/>
        <v>6381.3600776042686</v>
      </c>
      <c r="G16" s="6">
        <f t="shared" si="13"/>
        <v>6872.233929727674</v>
      </c>
      <c r="H16" s="6">
        <f t="shared" si="13"/>
        <v>7363.1077818510794</v>
      </c>
      <c r="I16" s="6">
        <f t="shared" si="13"/>
        <v>7853.9816339744848</v>
      </c>
      <c r="J16" s="6">
        <f t="shared" si="13"/>
        <v>8344.8554860978911</v>
      </c>
      <c r="K16" s="12">
        <f t="shared" si="13"/>
        <v>8541.2050269472511</v>
      </c>
      <c r="L16" s="6">
        <f t="shared" si="13"/>
        <v>8835.7293382212974</v>
      </c>
      <c r="M16" s="12">
        <f t="shared" si="13"/>
        <v>9032.0788790706574</v>
      </c>
      <c r="N16" s="6">
        <f t="shared" si="13"/>
        <v>9326.6031903447019</v>
      </c>
      <c r="P16" s="1">
        <v>0.5</v>
      </c>
      <c r="Q16" s="1">
        <v>3</v>
      </c>
      <c r="R16" s="1">
        <v>4</v>
      </c>
      <c r="S16" s="1">
        <f t="shared" ref="S16:S21" si="14">0.4*(5-R16)+1</f>
        <v>1.4</v>
      </c>
    </row>
    <row r="17" spans="1:19" x14ac:dyDescent="0.25">
      <c r="A17" s="2">
        <v>2.5</v>
      </c>
      <c r="B17" s="31">
        <v>2.4</v>
      </c>
      <c r="C17" s="1">
        <f t="shared" si="11"/>
        <v>1.25</v>
      </c>
      <c r="D17" s="6">
        <f t="shared" si="12"/>
        <v>11780.972450961724</v>
      </c>
      <c r="E17" s="6">
        <f t="shared" si="13"/>
        <v>7068.5834705770349</v>
      </c>
      <c r="F17" s="6">
        <f t="shared" si="13"/>
        <v>7657.6320931251212</v>
      </c>
      <c r="G17" s="6">
        <f t="shared" si="13"/>
        <v>8246.6807156732084</v>
      </c>
      <c r="H17" s="6">
        <f t="shared" si="13"/>
        <v>8835.7293382212938</v>
      </c>
      <c r="I17" s="6">
        <f t="shared" si="13"/>
        <v>9424.777960769381</v>
      </c>
      <c r="J17" s="6">
        <f t="shared" si="13"/>
        <v>10013.826583317468</v>
      </c>
      <c r="K17" s="12">
        <f t="shared" si="13"/>
        <v>10249.4460323367</v>
      </c>
      <c r="L17" s="6">
        <f t="shared" si="13"/>
        <v>10602.875205865555</v>
      </c>
      <c r="M17" s="12">
        <f t="shared" si="13"/>
        <v>10838.494654884787</v>
      </c>
      <c r="N17" s="6">
        <f t="shared" si="13"/>
        <v>11191.923828413641</v>
      </c>
      <c r="R17" s="1">
        <v>3</v>
      </c>
      <c r="S17" s="1">
        <f t="shared" si="14"/>
        <v>1.8</v>
      </c>
    </row>
    <row r="18" spans="1:19" x14ac:dyDescent="0.25">
      <c r="A18" s="2">
        <v>3.75</v>
      </c>
      <c r="B18" s="31">
        <v>3.5</v>
      </c>
      <c r="C18" s="1">
        <f t="shared" si="11"/>
        <v>1.875</v>
      </c>
      <c r="D18" s="6">
        <f t="shared" si="12"/>
        <v>38656.315854718159</v>
      </c>
      <c r="E18" s="6">
        <f t="shared" si="13"/>
        <v>23193.789512830896</v>
      </c>
      <c r="F18" s="6">
        <f t="shared" si="13"/>
        <v>25126.605305566805</v>
      </c>
      <c r="G18" s="6">
        <f t="shared" si="13"/>
        <v>27059.421098302715</v>
      </c>
      <c r="H18" s="6">
        <f t="shared" si="13"/>
        <v>28992.236891038625</v>
      </c>
      <c r="I18" s="6">
        <f t="shared" si="13"/>
        <v>30925.052683774535</v>
      </c>
      <c r="J18" s="6">
        <f t="shared" si="13"/>
        <v>32857.868476510441</v>
      </c>
      <c r="K18" s="12">
        <f t="shared" si="13"/>
        <v>33630.994793604797</v>
      </c>
      <c r="L18" s="6">
        <f t="shared" si="13"/>
        <v>34790.684269246354</v>
      </c>
      <c r="M18" s="12">
        <f t="shared" si="13"/>
        <v>35563.810586340711</v>
      </c>
      <c r="N18" s="6">
        <f t="shared" si="13"/>
        <v>36723.50006198226</v>
      </c>
      <c r="R18" s="1">
        <v>2</v>
      </c>
      <c r="S18" s="1">
        <f t="shared" si="14"/>
        <v>2.2000000000000002</v>
      </c>
    </row>
    <row r="19" spans="1:19" x14ac:dyDescent="0.25">
      <c r="A19" s="2">
        <v>2.5</v>
      </c>
      <c r="B19" s="31">
        <v>1.9</v>
      </c>
      <c r="C19" s="1">
        <f t="shared" si="11"/>
        <v>1.25</v>
      </c>
      <c r="D19" s="6">
        <f t="shared" si="12"/>
        <v>9326.6031903446983</v>
      </c>
      <c r="E19" s="6">
        <f t="shared" si="13"/>
        <v>5595.9619142068186</v>
      </c>
      <c r="F19" s="6">
        <f t="shared" si="13"/>
        <v>6062.2920737240538</v>
      </c>
      <c r="G19" s="6">
        <f t="shared" si="13"/>
        <v>6528.622233241289</v>
      </c>
      <c r="H19" s="6">
        <f t="shared" si="13"/>
        <v>6994.9523927585251</v>
      </c>
      <c r="I19" s="6">
        <f t="shared" si="13"/>
        <v>7461.2825522757603</v>
      </c>
      <c r="J19" s="6">
        <f t="shared" si="13"/>
        <v>7927.6127117929955</v>
      </c>
      <c r="K19" s="12">
        <f t="shared" si="13"/>
        <v>8114.1447755998879</v>
      </c>
      <c r="L19" s="6">
        <f t="shared" si="13"/>
        <v>8393.9428713102316</v>
      </c>
      <c r="M19" s="12">
        <f t="shared" si="13"/>
        <v>8580.4749351171231</v>
      </c>
      <c r="N19" s="6">
        <f t="shared" si="13"/>
        <v>8860.2730308274658</v>
      </c>
      <c r="R19" s="1">
        <v>1</v>
      </c>
      <c r="S19" s="1">
        <f t="shared" si="14"/>
        <v>2.6</v>
      </c>
    </row>
    <row r="20" spans="1:19" x14ac:dyDescent="0.25">
      <c r="A20" s="2">
        <v>2.5</v>
      </c>
      <c r="B20" s="31">
        <v>4.5999999999999996</v>
      </c>
      <c r="C20" s="1">
        <f t="shared" si="11"/>
        <v>1.25</v>
      </c>
      <c r="D20" s="6">
        <f t="shared" si="12"/>
        <v>22580.197197676636</v>
      </c>
      <c r="E20" s="6">
        <f t="shared" si="13"/>
        <v>13548.118318605981</v>
      </c>
      <c r="F20" s="6">
        <f t="shared" si="13"/>
        <v>14677.128178489815</v>
      </c>
      <c r="G20" s="6">
        <f t="shared" si="13"/>
        <v>15806.138038373647</v>
      </c>
      <c r="H20" s="6">
        <f t="shared" si="13"/>
        <v>16935.147898257481</v>
      </c>
      <c r="I20" s="6">
        <f t="shared" si="13"/>
        <v>18064.157758141311</v>
      </c>
      <c r="J20" s="6">
        <f t="shared" si="13"/>
        <v>19193.167618025145</v>
      </c>
      <c r="K20" s="12">
        <f t="shared" si="13"/>
        <v>19644.771561978672</v>
      </c>
      <c r="L20" s="6">
        <f t="shared" si="13"/>
        <v>20322.177477908979</v>
      </c>
      <c r="M20" s="12">
        <f t="shared" si="13"/>
        <v>20773.781421862506</v>
      </c>
      <c r="N20" s="6">
        <f t="shared" si="13"/>
        <v>21451.18733779281</v>
      </c>
      <c r="R20" s="1">
        <v>0.5</v>
      </c>
      <c r="S20" s="1">
        <f t="shared" si="14"/>
        <v>2.8</v>
      </c>
    </row>
    <row r="21" spans="1:19" x14ac:dyDescent="0.25">
      <c r="A21" s="2">
        <v>3.75</v>
      </c>
      <c r="B21" s="31">
        <v>6</v>
      </c>
      <c r="C21" s="1">
        <f t="shared" si="11"/>
        <v>1.875</v>
      </c>
      <c r="D21" s="6">
        <f t="shared" si="12"/>
        <v>66267.97003665971</v>
      </c>
      <c r="E21" s="6">
        <f t="shared" si="13"/>
        <v>39760.782021995823</v>
      </c>
      <c r="F21" s="6">
        <f t="shared" si="13"/>
        <v>43074.180523828814</v>
      </c>
      <c r="G21" s="6">
        <f t="shared" si="13"/>
        <v>46387.579025661798</v>
      </c>
      <c r="H21" s="6">
        <f t="shared" si="13"/>
        <v>49700.97752749479</v>
      </c>
      <c r="I21" s="6">
        <f t="shared" si="13"/>
        <v>53014.376029327781</v>
      </c>
      <c r="J21" s="6">
        <f t="shared" si="13"/>
        <v>56327.774531160765</v>
      </c>
      <c r="K21" s="12">
        <f t="shared" si="13"/>
        <v>57653.13393189395</v>
      </c>
      <c r="L21" s="6">
        <f t="shared" si="13"/>
        <v>59641.173032993756</v>
      </c>
      <c r="M21" s="12">
        <f t="shared" si="13"/>
        <v>60966.532433726934</v>
      </c>
      <c r="N21" s="6">
        <f t="shared" si="13"/>
        <v>62954.57153482674</v>
      </c>
      <c r="R21" s="1">
        <v>0.1</v>
      </c>
      <c r="S21" s="1">
        <f t="shared" si="14"/>
        <v>2.96</v>
      </c>
    </row>
    <row r="22" spans="1:19" x14ac:dyDescent="0.25">
      <c r="A22" s="2">
        <v>1.875</v>
      </c>
      <c r="B22" s="31">
        <v>3.5</v>
      </c>
      <c r="C22" s="1">
        <f t="shared" si="11"/>
        <v>0.9375</v>
      </c>
      <c r="D22" s="6">
        <f t="shared" si="12"/>
        <v>9664.0789636795398</v>
      </c>
      <c r="E22" s="6">
        <f t="shared" si="13"/>
        <v>5798.4473782077239</v>
      </c>
      <c r="F22" s="6">
        <f t="shared" si="13"/>
        <v>6281.6513263917013</v>
      </c>
      <c r="G22" s="6">
        <f t="shared" si="13"/>
        <v>6764.8552745756788</v>
      </c>
      <c r="H22" s="6">
        <f t="shared" si="13"/>
        <v>7248.0592227596562</v>
      </c>
      <c r="I22" s="6">
        <f t="shared" si="13"/>
        <v>7731.2631709436337</v>
      </c>
      <c r="J22" s="6">
        <f t="shared" si="13"/>
        <v>8214.4671191276102</v>
      </c>
      <c r="K22" s="12">
        <f t="shared" si="13"/>
        <v>8407.7486984011994</v>
      </c>
      <c r="L22" s="6">
        <f t="shared" si="13"/>
        <v>8697.6710673115886</v>
      </c>
      <c r="M22" s="12">
        <f t="shared" si="13"/>
        <v>8890.9526465851777</v>
      </c>
      <c r="N22" s="6">
        <f t="shared" si="13"/>
        <v>9180.8750154955651</v>
      </c>
    </row>
    <row r="24" spans="1:19" x14ac:dyDescent="0.25">
      <c r="E24" s="1">
        <v>0.96</v>
      </c>
      <c r="F24" s="1">
        <v>3.6</v>
      </c>
      <c r="G24" s="1">
        <f>1.25*F24</f>
        <v>4.5</v>
      </c>
    </row>
    <row r="25" spans="1:19" x14ac:dyDescent="0.25">
      <c r="E25" s="1">
        <f>F24/F25*E24</f>
        <v>1.1771117166212535</v>
      </c>
      <c r="F25" s="1">
        <f>3.67/1.25</f>
        <v>2.9359999999999999</v>
      </c>
      <c r="G25" s="1">
        <f>1.25*F25</f>
        <v>3.67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E2" sqref="E2"/>
    </sheetView>
  </sheetViews>
  <sheetFormatPr defaultRowHeight="15" x14ac:dyDescent="0.25"/>
  <cols>
    <col min="1" max="16384" width="9.140625" style="1"/>
  </cols>
  <sheetData>
    <row r="1" spans="2:4" x14ac:dyDescent="0.25">
      <c r="B1" s="1" t="s">
        <v>99</v>
      </c>
      <c r="C1" s="1" t="s">
        <v>16</v>
      </c>
      <c r="D1" s="1" t="s">
        <v>67</v>
      </c>
    </row>
    <row r="2" spans="2:4" x14ac:dyDescent="0.25">
      <c r="B2" s="28">
        <v>5</v>
      </c>
      <c r="C2" s="28">
        <f>60*B2</f>
        <v>300</v>
      </c>
      <c r="D2" s="28">
        <f>250*B2</f>
        <v>1250</v>
      </c>
    </row>
    <row r="3" spans="2:4" x14ac:dyDescent="0.25">
      <c r="B3" s="28">
        <v>8</v>
      </c>
      <c r="C3" s="28">
        <f>60*B3</f>
        <v>480</v>
      </c>
      <c r="D3" s="28">
        <f>250*B3</f>
        <v>2000</v>
      </c>
    </row>
    <row r="4" spans="2:4" x14ac:dyDescent="0.25">
      <c r="B4" s="28">
        <v>0.5</v>
      </c>
      <c r="C4" s="28">
        <f>60*B4</f>
        <v>30</v>
      </c>
      <c r="D4" s="28">
        <f>250*B4</f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J17" sqref="J17"/>
    </sheetView>
  </sheetViews>
  <sheetFormatPr defaultRowHeight="15" x14ac:dyDescent="0.25"/>
  <cols>
    <col min="1" max="16384" width="9.140625" style="1"/>
  </cols>
  <sheetData>
    <row r="1" spans="1:10" x14ac:dyDescent="0.25">
      <c r="A1" s="23" t="s">
        <v>156</v>
      </c>
      <c r="D1" s="1" t="s">
        <v>157</v>
      </c>
      <c r="F1" s="1" t="s">
        <v>158</v>
      </c>
      <c r="I1" s="1" t="s">
        <v>162</v>
      </c>
    </row>
    <row r="2" spans="1:10" x14ac:dyDescent="0.25">
      <c r="A2" s="23" t="s">
        <v>149</v>
      </c>
      <c r="B2" s="23"/>
      <c r="C2" s="1">
        <v>1.25</v>
      </c>
      <c r="D2" s="1">
        <f>2*PI()*C2/2*C3</f>
        <v>4.908738521234052</v>
      </c>
      <c r="F2" s="23" t="s">
        <v>159</v>
      </c>
      <c r="G2" s="23"/>
      <c r="H2" s="1">
        <v>0.54</v>
      </c>
      <c r="I2" s="1">
        <f>H2/2</f>
        <v>0.27</v>
      </c>
    </row>
    <row r="3" spans="1:10" x14ac:dyDescent="0.25">
      <c r="A3" s="23" t="s">
        <v>150</v>
      </c>
      <c r="B3" s="23"/>
      <c r="C3" s="1">
        <v>1.25</v>
      </c>
      <c r="F3" s="23" t="s">
        <v>160</v>
      </c>
      <c r="G3" s="23"/>
      <c r="H3" s="1">
        <v>0.26</v>
      </c>
      <c r="I3" s="3">
        <f>I2^2*PI()*H3*H4</f>
        <v>1.6672809203719465E-2</v>
      </c>
    </row>
    <row r="4" spans="1:10" x14ac:dyDescent="0.25">
      <c r="A4" s="23" t="s">
        <v>151</v>
      </c>
      <c r="B4" s="23"/>
      <c r="C4" s="1">
        <v>3.7499999999999999E-3</v>
      </c>
      <c r="D4" s="1">
        <f>C4*D2</f>
        <v>1.8407769454627694E-2</v>
      </c>
      <c r="F4" s="23" t="s">
        <v>161</v>
      </c>
      <c r="G4" s="23"/>
      <c r="H4" s="1">
        <v>0.28000000000000003</v>
      </c>
    </row>
    <row r="5" spans="1:10" x14ac:dyDescent="0.25">
      <c r="A5" s="23" t="s">
        <v>152</v>
      </c>
      <c r="B5" s="23"/>
      <c r="C5" s="1">
        <v>0.6</v>
      </c>
      <c r="D5" s="1">
        <f>C5*D4</f>
        <v>1.1044661672776616E-2</v>
      </c>
    </row>
    <row r="6" spans="1:10" x14ac:dyDescent="0.25">
      <c r="A6" s="23" t="s">
        <v>134</v>
      </c>
      <c r="B6" s="23"/>
      <c r="C6" s="1">
        <v>2</v>
      </c>
      <c r="D6" s="33">
        <f>D5/2</f>
        <v>5.5223308363883082E-3</v>
      </c>
      <c r="F6" s="23" t="s">
        <v>202</v>
      </c>
    </row>
    <row r="7" spans="1:10" x14ac:dyDescent="0.25">
      <c r="A7" s="23" t="s">
        <v>139</v>
      </c>
      <c r="B7" s="23"/>
      <c r="F7" s="23" t="s">
        <v>135</v>
      </c>
      <c r="H7" s="1">
        <v>0.625</v>
      </c>
      <c r="I7" s="1">
        <f>H7/2</f>
        <v>0.3125</v>
      </c>
      <c r="J7" s="1">
        <f>1/3</f>
        <v>0.33333333333333331</v>
      </c>
    </row>
    <row r="8" spans="1:10" x14ac:dyDescent="0.25">
      <c r="A8" s="23" t="s">
        <v>140</v>
      </c>
      <c r="B8" s="23"/>
      <c r="F8" s="23" t="s">
        <v>136</v>
      </c>
      <c r="H8" s="1">
        <v>1.25</v>
      </c>
      <c r="I8" s="1">
        <f>H8/2</f>
        <v>0.625</v>
      </c>
      <c r="J8" s="1">
        <f>PI()</f>
        <v>3.1415926535897931</v>
      </c>
    </row>
    <row r="9" spans="1:10" x14ac:dyDescent="0.25">
      <c r="A9" s="23" t="s">
        <v>153</v>
      </c>
      <c r="B9" s="23"/>
      <c r="F9" s="23" t="s">
        <v>137</v>
      </c>
      <c r="H9" s="1">
        <v>0.32500000000000001</v>
      </c>
      <c r="J9" s="1">
        <f>H9</f>
        <v>0.32500000000000001</v>
      </c>
    </row>
    <row r="10" spans="1:10" x14ac:dyDescent="0.25">
      <c r="A10" s="23" t="s">
        <v>154</v>
      </c>
      <c r="B10" s="23"/>
      <c r="F10" s="23" t="s">
        <v>141</v>
      </c>
      <c r="H10" s="1">
        <v>0.28000000000000003</v>
      </c>
      <c r="I10" s="1">
        <f>I7^2+I7*I8+I8^2</f>
        <v>0.68359375</v>
      </c>
      <c r="J10" s="1">
        <f>I7^2+I8*I7+I8^2</f>
        <v>0.68359375</v>
      </c>
    </row>
    <row r="11" spans="1:10" x14ac:dyDescent="0.25">
      <c r="A11" s="23" t="s">
        <v>155</v>
      </c>
      <c r="B11" s="23"/>
      <c r="F11" s="23" t="s">
        <v>196</v>
      </c>
      <c r="I11" s="28">
        <f>I10*H9*H10*PI()/3</f>
        <v>6.5143050792210236E-2</v>
      </c>
    </row>
    <row r="12" spans="1:10" x14ac:dyDescent="0.25">
      <c r="F12" s="23" t="s">
        <v>197</v>
      </c>
    </row>
    <row r="13" spans="1:10" x14ac:dyDescent="0.25">
      <c r="A13" s="23" t="s">
        <v>131</v>
      </c>
      <c r="C13" s="1">
        <v>5</v>
      </c>
      <c r="D13" s="1">
        <f>2*PI()*C13/2*C14</f>
        <v>98.174770424681029</v>
      </c>
      <c r="F13" s="23" t="s">
        <v>198</v>
      </c>
    </row>
    <row r="14" spans="1:10" x14ac:dyDescent="0.25">
      <c r="A14" s="23" t="s">
        <v>132</v>
      </c>
      <c r="C14" s="1">
        <v>6.25</v>
      </c>
      <c r="D14" s="1">
        <f>C15*D13</f>
        <v>1.4726215563702154</v>
      </c>
      <c r="F14" s="23" t="s">
        <v>199</v>
      </c>
    </row>
    <row r="15" spans="1:10" x14ac:dyDescent="0.25">
      <c r="A15" s="23" t="s">
        <v>133</v>
      </c>
      <c r="C15" s="1">
        <v>1.4999999999999999E-2</v>
      </c>
      <c r="F15" s="23" t="s">
        <v>200</v>
      </c>
    </row>
    <row r="16" spans="1:10" x14ac:dyDescent="0.25">
      <c r="A16" s="23" t="s">
        <v>152</v>
      </c>
      <c r="C16" s="1">
        <v>0.6</v>
      </c>
      <c r="D16" s="1">
        <f>C16*D14</f>
        <v>0.8835729338221292</v>
      </c>
      <c r="F16" s="23" t="s">
        <v>201</v>
      </c>
    </row>
    <row r="17" spans="1:7" x14ac:dyDescent="0.25">
      <c r="A17" s="23" t="s">
        <v>134</v>
      </c>
      <c r="C17" s="1">
        <v>2</v>
      </c>
      <c r="D17" s="33">
        <f>D16/2</f>
        <v>0.4417864669110646</v>
      </c>
    </row>
    <row r="18" spans="1:7" x14ac:dyDescent="0.25">
      <c r="A18" s="23" t="s">
        <v>139</v>
      </c>
    </row>
    <row r="20" spans="1:7" x14ac:dyDescent="0.25">
      <c r="A20" s="23" t="s">
        <v>163</v>
      </c>
      <c r="C20" s="1">
        <v>5.2</v>
      </c>
      <c r="D20" s="1">
        <f>C20/2</f>
        <v>2.6</v>
      </c>
    </row>
    <row r="21" spans="1:7" x14ac:dyDescent="0.25">
      <c r="A21" s="23" t="s">
        <v>164</v>
      </c>
      <c r="C21" s="1">
        <v>5</v>
      </c>
      <c r="D21" s="3">
        <f>2*PI()*D20*C21*C22*C23/C24</f>
        <v>0.18378317023500287</v>
      </c>
    </row>
    <row r="22" spans="1:7" x14ac:dyDescent="0.25">
      <c r="A22" s="23" t="s">
        <v>133</v>
      </c>
      <c r="C22" s="1">
        <v>1.4999999999999999E-2</v>
      </c>
    </row>
    <row r="23" spans="1:7" x14ac:dyDescent="0.25">
      <c r="A23" s="23" t="s">
        <v>152</v>
      </c>
      <c r="C23" s="1">
        <v>0.6</v>
      </c>
    </row>
    <row r="24" spans="1:7" x14ac:dyDescent="0.25">
      <c r="A24" s="23" t="s">
        <v>165</v>
      </c>
      <c r="C24" s="1">
        <v>4</v>
      </c>
    </row>
    <row r="25" spans="1:7" x14ac:dyDescent="0.25">
      <c r="A25" s="23" t="s">
        <v>139</v>
      </c>
    </row>
    <row r="27" spans="1:7" x14ac:dyDescent="0.25">
      <c r="A27" s="23" t="s">
        <v>179</v>
      </c>
    </row>
    <row r="28" spans="1:7" x14ac:dyDescent="0.25">
      <c r="A28" s="23" t="s">
        <v>127</v>
      </c>
      <c r="C28" s="1">
        <v>1.25</v>
      </c>
      <c r="D28" s="1" t="s">
        <v>119</v>
      </c>
      <c r="E28" s="1" t="s">
        <v>123</v>
      </c>
      <c r="F28" s="1" t="s">
        <v>120</v>
      </c>
      <c r="G28" s="1" t="s">
        <v>121</v>
      </c>
    </row>
    <row r="29" spans="1:7" x14ac:dyDescent="0.25">
      <c r="A29" s="23" t="s">
        <v>128</v>
      </c>
      <c r="C29" s="1">
        <v>1.875</v>
      </c>
      <c r="D29" s="1">
        <v>0</v>
      </c>
      <c r="E29" s="1">
        <v>0.300480769230769</v>
      </c>
      <c r="F29" s="1">
        <f t="shared" ref="F29:F36" si="0">E29^2-C$32</f>
        <v>-3.8159613073224854</v>
      </c>
      <c r="G29" s="1">
        <f t="shared" ref="G29:G36" si="1">2*E29</f>
        <v>0.60096153846153799</v>
      </c>
    </row>
    <row r="30" spans="1:7" x14ac:dyDescent="0.25">
      <c r="A30" s="23" t="s">
        <v>129</v>
      </c>
      <c r="C30" s="1">
        <v>3.7499999999999999E-3</v>
      </c>
      <c r="D30" s="1">
        <f t="shared" ref="D30:D36" si="2">1+D29</f>
        <v>1</v>
      </c>
      <c r="E30" s="1">
        <f t="shared" ref="E30:E36" si="3">E29-F29/G29</f>
        <v>6.6502403846153895</v>
      </c>
      <c r="F30" s="1">
        <f t="shared" si="0"/>
        <v>40.319447173169443</v>
      </c>
      <c r="G30" s="1">
        <f t="shared" si="1"/>
        <v>13.300480769230779</v>
      </c>
    </row>
    <row r="31" spans="1:7" x14ac:dyDescent="0.25">
      <c r="A31" s="23" t="s">
        <v>130</v>
      </c>
      <c r="C31" s="1">
        <v>2</v>
      </c>
      <c r="D31" s="1">
        <f t="shared" si="2"/>
        <v>2</v>
      </c>
      <c r="E31" s="1">
        <f t="shared" si="3"/>
        <v>3.6188125834155924</v>
      </c>
      <c r="F31" s="1">
        <f t="shared" si="0"/>
        <v>9.1895545138870336</v>
      </c>
      <c r="G31" s="1">
        <f t="shared" si="1"/>
        <v>7.2376251668311848</v>
      </c>
    </row>
    <row r="32" spans="1:7" x14ac:dyDescent="0.25">
      <c r="A32" s="23" t="s">
        <v>166</v>
      </c>
      <c r="C32" s="1">
        <v>3.90625</v>
      </c>
      <c r="D32" s="1">
        <f t="shared" si="2"/>
        <v>3</v>
      </c>
      <c r="E32" s="1">
        <f t="shared" si="3"/>
        <v>2.3491206192612157</v>
      </c>
      <c r="F32" s="1">
        <f t="shared" si="0"/>
        <v>1.6121176838381981</v>
      </c>
      <c r="G32" s="1">
        <f t="shared" si="1"/>
        <v>4.6982412385224315</v>
      </c>
    </row>
    <row r="33" spans="1:7" x14ac:dyDescent="0.25">
      <c r="A33" s="23" t="s">
        <v>167</v>
      </c>
      <c r="D33" s="1">
        <f t="shared" si="2"/>
        <v>4</v>
      </c>
      <c r="E33" s="1">
        <f t="shared" si="3"/>
        <v>2.0059884551186187</v>
      </c>
      <c r="F33" s="1">
        <f t="shared" si="0"/>
        <v>0.11773968206918273</v>
      </c>
      <c r="G33" s="1">
        <f t="shared" si="1"/>
        <v>4.0119769102372373</v>
      </c>
    </row>
    <row r="34" spans="1:7" x14ac:dyDescent="0.25">
      <c r="A34" s="23" t="s">
        <v>168</v>
      </c>
      <c r="D34" s="1">
        <f t="shared" si="2"/>
        <v>5</v>
      </c>
      <c r="E34" s="1">
        <f t="shared" si="3"/>
        <v>1.9766414063435498</v>
      </c>
      <c r="F34" s="1">
        <f t="shared" si="0"/>
        <v>8.6124927180630806E-4</v>
      </c>
      <c r="G34" s="1">
        <f t="shared" si="1"/>
        <v>3.9532828126870996</v>
      </c>
    </row>
    <row r="35" spans="1:7" x14ac:dyDescent="0.25">
      <c r="A35" s="23" t="s">
        <v>169</v>
      </c>
      <c r="D35" s="1">
        <f t="shared" si="2"/>
        <v>6</v>
      </c>
      <c r="E35" s="1">
        <f t="shared" si="3"/>
        <v>1.9764235496121663</v>
      </c>
      <c r="F35" s="1">
        <f t="shared" si="0"/>
        <v>4.7461555130468014E-8</v>
      </c>
      <c r="G35" s="1">
        <f t="shared" si="1"/>
        <v>3.9528470992243325</v>
      </c>
    </row>
    <row r="36" spans="1:7" x14ac:dyDescent="0.25">
      <c r="A36" s="23" t="s">
        <v>170</v>
      </c>
      <c r="D36" s="1">
        <f t="shared" si="2"/>
        <v>7</v>
      </c>
      <c r="E36" s="1">
        <f t="shared" si="3"/>
        <v>1.976423537605237</v>
      </c>
      <c r="F36" s="1">
        <f t="shared" si="0"/>
        <v>0</v>
      </c>
      <c r="G36" s="1">
        <f t="shared" si="1"/>
        <v>3.9528470752104741</v>
      </c>
    </row>
    <row r="37" spans="1:7" x14ac:dyDescent="0.25">
      <c r="A37" s="23" t="s">
        <v>171</v>
      </c>
    </row>
    <row r="38" spans="1:7" x14ac:dyDescent="0.25">
      <c r="A38" s="23" t="s">
        <v>172</v>
      </c>
      <c r="E38" s="1" t="s">
        <v>124</v>
      </c>
    </row>
    <row r="39" spans="1:7" x14ac:dyDescent="0.25">
      <c r="A39" s="23" t="s">
        <v>173</v>
      </c>
      <c r="E39" s="1">
        <f>E29</f>
        <v>0.300480769230769</v>
      </c>
    </row>
    <row r="40" spans="1:7" x14ac:dyDescent="0.25">
      <c r="A40" s="23" t="s">
        <v>174</v>
      </c>
      <c r="E40" s="1">
        <f>E39^2</f>
        <v>9.0288692677514645E-2</v>
      </c>
    </row>
    <row r="41" spans="1:7" x14ac:dyDescent="0.25">
      <c r="A41" s="23" t="s">
        <v>175</v>
      </c>
      <c r="E41" s="1">
        <f>E40-C32</f>
        <v>-3.8159613073224854</v>
      </c>
    </row>
    <row r="42" spans="1:7" x14ac:dyDescent="0.25">
      <c r="A42" s="23" t="s">
        <v>176</v>
      </c>
      <c r="E42" s="1">
        <f>E41/E29</f>
        <v>-12.699519230769241</v>
      </c>
    </row>
    <row r="43" spans="1:7" x14ac:dyDescent="0.25">
      <c r="A43" s="23" t="s">
        <v>177</v>
      </c>
      <c r="E43" s="1">
        <f>E42*-0.5</f>
        <v>6.3497596153846203</v>
      </c>
    </row>
    <row r="44" spans="1:7" x14ac:dyDescent="0.25">
      <c r="A44" s="23" t="s">
        <v>178</v>
      </c>
    </row>
    <row r="46" spans="1:7" x14ac:dyDescent="0.25">
      <c r="A46" s="23" t="s">
        <v>180</v>
      </c>
      <c r="C46" s="1">
        <v>6.5</v>
      </c>
      <c r="D46" s="1" t="s">
        <v>119</v>
      </c>
      <c r="E46" s="1" t="s">
        <v>123</v>
      </c>
      <c r="F46" s="1" t="s">
        <v>120</v>
      </c>
      <c r="G46" s="1" t="s">
        <v>121</v>
      </c>
    </row>
    <row r="47" spans="1:7" x14ac:dyDescent="0.25">
      <c r="A47" s="23" t="s">
        <v>181</v>
      </c>
      <c r="C47" s="1">
        <v>6.8</v>
      </c>
      <c r="D47" s="1">
        <v>0</v>
      </c>
      <c r="E47" s="1">
        <f>C50/13</f>
        <v>4.3694230769230771</v>
      </c>
      <c r="F47" s="1">
        <f>E47^2-C$50</f>
        <v>-37.710641974852066</v>
      </c>
      <c r="G47" s="1">
        <f t="shared" ref="G47:G54" si="4">2*E47</f>
        <v>8.7388461538461542</v>
      </c>
    </row>
    <row r="48" spans="1:7" x14ac:dyDescent="0.25">
      <c r="A48" s="23" t="s">
        <v>182</v>
      </c>
      <c r="C48" s="1">
        <v>1.4999999999999999E-2</v>
      </c>
      <c r="D48" s="1">
        <f t="shared" ref="D48:D54" si="5">1+D47</f>
        <v>1</v>
      </c>
      <c r="E48" s="1">
        <f t="shared" ref="E48:E54" si="6">E47-F47/G47</f>
        <v>8.6847115384615385</v>
      </c>
      <c r="F48" s="1">
        <f t="shared" ref="F48:F54" si="7">E48^2-C$50</f>
        <v>18.621714506286985</v>
      </c>
      <c r="G48" s="1">
        <f t="shared" si="4"/>
        <v>17.369423076923077</v>
      </c>
    </row>
    <row r="49" spans="1:7" x14ac:dyDescent="0.25">
      <c r="A49" s="23" t="s">
        <v>130</v>
      </c>
      <c r="C49" s="1">
        <v>2</v>
      </c>
      <c r="D49" s="1">
        <f t="shared" si="5"/>
        <v>2</v>
      </c>
      <c r="E49" s="1">
        <f t="shared" si="6"/>
        <v>7.6126140701796068</v>
      </c>
      <c r="F49" s="1">
        <f t="shared" si="7"/>
        <v>1.1493929814965185</v>
      </c>
      <c r="G49" s="1">
        <f t="shared" si="4"/>
        <v>15.225228140359214</v>
      </c>
    </row>
    <row r="50" spans="1:7" x14ac:dyDescent="0.25">
      <c r="A50" s="23" t="s">
        <v>183</v>
      </c>
      <c r="C50" s="1">
        <v>56.802500000000002</v>
      </c>
      <c r="D50" s="1">
        <f t="shared" si="5"/>
        <v>3</v>
      </c>
      <c r="E50" s="1">
        <f t="shared" si="6"/>
        <v>7.5371214095179448</v>
      </c>
      <c r="F50" s="1">
        <f t="shared" si="7"/>
        <v>5.6991418137712913E-3</v>
      </c>
      <c r="G50" s="1">
        <f t="shared" si="4"/>
        <v>15.07424281903589</v>
      </c>
    </row>
    <row r="51" spans="1:7" x14ac:dyDescent="0.25">
      <c r="A51" s="23" t="s">
        <v>184</v>
      </c>
      <c r="D51" s="1">
        <f t="shared" si="5"/>
        <v>4</v>
      </c>
      <c r="E51" s="1">
        <f t="shared" si="6"/>
        <v>7.5367433380033626</v>
      </c>
      <c r="F51" s="1">
        <f t="shared" si="7"/>
        <v>1.4293806316345581E-7</v>
      </c>
      <c r="G51" s="1">
        <f t="shared" si="4"/>
        <v>15.073486676006725</v>
      </c>
    </row>
    <row r="52" spans="1:7" x14ac:dyDescent="0.25">
      <c r="A52" s="23" t="s">
        <v>185</v>
      </c>
      <c r="D52" s="1">
        <f t="shared" si="5"/>
        <v>5</v>
      </c>
      <c r="E52" s="1">
        <f t="shared" si="6"/>
        <v>7.5367433285206156</v>
      </c>
      <c r="F52" s="1">
        <f t="shared" si="7"/>
        <v>0</v>
      </c>
      <c r="G52" s="1">
        <f t="shared" si="4"/>
        <v>15.073486657041231</v>
      </c>
    </row>
    <row r="53" spans="1:7" x14ac:dyDescent="0.25">
      <c r="A53" s="23" t="s">
        <v>186</v>
      </c>
      <c r="D53" s="1">
        <f t="shared" si="5"/>
        <v>6</v>
      </c>
      <c r="E53" s="1">
        <f t="shared" si="6"/>
        <v>7.5367433285206156</v>
      </c>
      <c r="F53" s="1">
        <f t="shared" si="7"/>
        <v>0</v>
      </c>
      <c r="G53" s="1">
        <f t="shared" si="4"/>
        <v>15.073486657041231</v>
      </c>
    </row>
    <row r="54" spans="1:7" x14ac:dyDescent="0.25">
      <c r="A54" s="23" t="s">
        <v>187</v>
      </c>
      <c r="D54" s="1">
        <f t="shared" si="5"/>
        <v>7</v>
      </c>
      <c r="E54" s="1">
        <f t="shared" si="6"/>
        <v>7.5367433285206156</v>
      </c>
      <c r="F54" s="1">
        <f t="shared" si="7"/>
        <v>0</v>
      </c>
      <c r="G54" s="1">
        <f t="shared" si="4"/>
        <v>15.073486657041231</v>
      </c>
    </row>
    <row r="55" spans="1:7" x14ac:dyDescent="0.25">
      <c r="A55" s="23" t="s">
        <v>188</v>
      </c>
    </row>
    <row r="56" spans="1:7" x14ac:dyDescent="0.25">
      <c r="A56" s="23" t="s">
        <v>189</v>
      </c>
    </row>
    <row r="57" spans="1:7" x14ac:dyDescent="0.25">
      <c r="A57" s="23" t="s">
        <v>190</v>
      </c>
    </row>
    <row r="58" spans="1:7" x14ac:dyDescent="0.25">
      <c r="A58" s="23" t="s">
        <v>191</v>
      </c>
    </row>
    <row r="59" spans="1:7" x14ac:dyDescent="0.25">
      <c r="A59" s="23" t="s">
        <v>192</v>
      </c>
    </row>
    <row r="60" spans="1:7" x14ac:dyDescent="0.25">
      <c r="A60" s="23" t="s">
        <v>193</v>
      </c>
    </row>
    <row r="61" spans="1:7" x14ac:dyDescent="0.25">
      <c r="A61" s="23" t="s">
        <v>194</v>
      </c>
    </row>
    <row r="62" spans="1:7" x14ac:dyDescent="0.25">
      <c r="A62" s="23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6" sqref="H6"/>
    </sheetView>
  </sheetViews>
  <sheetFormatPr defaultRowHeight="15" x14ac:dyDescent="0.25"/>
  <cols>
    <col min="1" max="16384" width="9.140625" style="1"/>
  </cols>
  <sheetData>
    <row r="1" spans="1:8" x14ac:dyDescent="0.25">
      <c r="A1" s="23" t="s">
        <v>202</v>
      </c>
      <c r="C1" s="23" t="s">
        <v>235</v>
      </c>
    </row>
    <row r="2" spans="1:8" x14ac:dyDescent="0.25">
      <c r="A2" s="1" t="s">
        <v>208</v>
      </c>
      <c r="B2" s="1">
        <v>0.625</v>
      </c>
      <c r="C2" s="1">
        <f>B2/2</f>
        <v>0.3125</v>
      </c>
    </row>
    <row r="3" spans="1:8" x14ac:dyDescent="0.25">
      <c r="A3" s="1" t="s">
        <v>210</v>
      </c>
      <c r="B3" s="1">
        <v>1.25</v>
      </c>
      <c r="C3" s="1">
        <f>B3/2</f>
        <v>0.625</v>
      </c>
      <c r="D3" s="1">
        <f>C2^2+C2*C3+C3^2</f>
        <v>0.68359375</v>
      </c>
      <c r="G3" s="27"/>
      <c r="H3" s="27"/>
    </row>
    <row r="4" spans="1:8" x14ac:dyDescent="0.25">
      <c r="A4" s="1" t="s">
        <v>142</v>
      </c>
      <c r="B4" s="1">
        <v>0.32500000000000001</v>
      </c>
      <c r="D4" s="1">
        <f>D3/3*PI()*B4</f>
        <v>0.23265375282932227</v>
      </c>
    </row>
    <row r="5" spans="1:8" x14ac:dyDescent="0.25">
      <c r="A5" s="1" t="s">
        <v>213</v>
      </c>
      <c r="B5" s="1">
        <v>0.04</v>
      </c>
      <c r="D5" s="33">
        <f>D4*B5</f>
        <v>9.3061501131728903E-3</v>
      </c>
      <c r="H5" s="1">
        <f>0.1*0.2*0.28</f>
        <v>5.6000000000000017E-3</v>
      </c>
    </row>
    <row r="7" spans="1:8" x14ac:dyDescent="0.25">
      <c r="A7" s="23" t="s">
        <v>236</v>
      </c>
      <c r="C7" s="23" t="s">
        <v>235</v>
      </c>
    </row>
    <row r="8" spans="1:8" x14ac:dyDescent="0.25">
      <c r="A8" s="1" t="s">
        <v>208</v>
      </c>
      <c r="B8" s="1">
        <v>5.2</v>
      </c>
      <c r="C8" s="1">
        <f>B8/2</f>
        <v>2.6</v>
      </c>
    </row>
    <row r="9" spans="1:8" x14ac:dyDescent="0.25">
      <c r="A9" s="1" t="s">
        <v>210</v>
      </c>
      <c r="B9" s="1">
        <v>5</v>
      </c>
      <c r="C9" s="1">
        <f>B9/2</f>
        <v>2.5</v>
      </c>
      <c r="D9" s="1">
        <f>C8^2+C8*C9+C9^2</f>
        <v>19.510000000000002</v>
      </c>
    </row>
    <row r="10" spans="1:8" x14ac:dyDescent="0.25">
      <c r="A10" s="1" t="s">
        <v>142</v>
      </c>
      <c r="B10" s="1">
        <v>1.7</v>
      </c>
      <c r="D10" s="1">
        <f>D9/3*PI()*B10</f>
        <v>34.732401180537558</v>
      </c>
    </row>
    <row r="11" spans="1:8" x14ac:dyDescent="0.25">
      <c r="A11" s="1" t="s">
        <v>213</v>
      </c>
      <c r="B11" s="1">
        <v>0.04</v>
      </c>
      <c r="D11" s="33">
        <f>D10*B11</f>
        <v>1.3892960472215024</v>
      </c>
    </row>
    <row r="13" spans="1:8" x14ac:dyDescent="0.25">
      <c r="A13" s="23" t="s">
        <v>237</v>
      </c>
    </row>
    <row r="14" spans="1:8" x14ac:dyDescent="0.25">
      <c r="A14" s="1" t="s">
        <v>208</v>
      </c>
      <c r="B14" s="1">
        <v>1.5</v>
      </c>
      <c r="C14" s="1">
        <f>B14/2</f>
        <v>0.75</v>
      </c>
      <c r="H14" s="3"/>
    </row>
    <row r="15" spans="1:8" x14ac:dyDescent="0.25">
      <c r="A15" s="1" t="s">
        <v>210</v>
      </c>
      <c r="B15" s="1">
        <v>2.5</v>
      </c>
      <c r="C15" s="1">
        <f>B15/2</f>
        <v>1.25</v>
      </c>
      <c r="D15" s="1">
        <f>C14^2+C14*C15+C15^2</f>
        <v>3.0625</v>
      </c>
    </row>
    <row r="16" spans="1:8" x14ac:dyDescent="0.25">
      <c r="A16" s="1" t="s">
        <v>142</v>
      </c>
      <c r="B16" s="1">
        <v>0.75</v>
      </c>
      <c r="D16" s="1">
        <f>D15/3*PI()*B16</f>
        <v>2.4052818754046852</v>
      </c>
    </row>
    <row r="17" spans="1:4" x14ac:dyDescent="0.25">
      <c r="A17" s="1" t="s">
        <v>213</v>
      </c>
      <c r="B17" s="1">
        <v>0.04</v>
      </c>
      <c r="D17" s="33">
        <f>D16*B17</f>
        <v>9.6211275016187411E-2</v>
      </c>
    </row>
    <row r="20" spans="1:4" x14ac:dyDescent="0.25">
      <c r="A20" s="1" t="s">
        <v>2</v>
      </c>
    </row>
    <row r="21" spans="1:4" x14ac:dyDescent="0.25">
      <c r="A21" s="1" t="s">
        <v>138</v>
      </c>
      <c r="B21" s="1">
        <v>0.625</v>
      </c>
    </row>
    <row r="22" spans="1:4" x14ac:dyDescent="0.25">
      <c r="A22" s="1" t="s">
        <v>142</v>
      </c>
      <c r="B22" s="1">
        <v>0.83</v>
      </c>
    </row>
    <row r="23" spans="1:4" x14ac:dyDescent="0.25">
      <c r="A23" s="1" t="s">
        <v>231</v>
      </c>
      <c r="B23" s="1">
        <f>PI()*(B21/2)^2*B22</f>
        <v>0.25464081078901646</v>
      </c>
    </row>
    <row r="24" spans="1:4" x14ac:dyDescent="0.25">
      <c r="A24" s="1" t="s">
        <v>67</v>
      </c>
      <c r="B24" s="6">
        <f>300000*B23/10</f>
        <v>7639.2243236704935</v>
      </c>
    </row>
    <row r="25" spans="1:4" x14ac:dyDescent="0.25">
      <c r="A25" s="1" t="s">
        <v>14</v>
      </c>
      <c r="B25" s="33">
        <f>0.000007*B24</f>
        <v>5.3474570265693452E-2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C1" workbookViewId="0">
      <selection activeCell="P34" sqref="P34"/>
    </sheetView>
  </sheetViews>
  <sheetFormatPr defaultRowHeight="15" x14ac:dyDescent="0.25"/>
  <cols>
    <col min="1" max="15" width="9.140625" style="1"/>
    <col min="16" max="16" width="10" style="1" bestFit="1" customWidth="1"/>
    <col min="17" max="16384" width="9.140625" style="1"/>
  </cols>
  <sheetData>
    <row r="1" spans="1:18" x14ac:dyDescent="0.25">
      <c r="A1" s="34" t="s">
        <v>203</v>
      </c>
      <c r="B1" s="34" t="s">
        <v>218</v>
      </c>
    </row>
    <row r="2" spans="1:18" x14ac:dyDescent="0.25">
      <c r="A2" s="13" t="s">
        <v>204</v>
      </c>
      <c r="B2" s="13" t="s">
        <v>208</v>
      </c>
      <c r="C2" s="13" t="s">
        <v>209</v>
      </c>
      <c r="D2" s="13" t="s">
        <v>210</v>
      </c>
      <c r="E2" s="13" t="s">
        <v>211</v>
      </c>
      <c r="F2" s="13" t="s">
        <v>142</v>
      </c>
      <c r="G2" s="13" t="s">
        <v>205</v>
      </c>
      <c r="H2" s="13" t="s">
        <v>14</v>
      </c>
      <c r="I2" s="13" t="s">
        <v>143</v>
      </c>
      <c r="J2" s="13" t="s">
        <v>118</v>
      </c>
      <c r="K2" s="13" t="s">
        <v>122</v>
      </c>
      <c r="L2" s="13" t="s">
        <v>215</v>
      </c>
      <c r="M2" s="13" t="s">
        <v>216</v>
      </c>
    </row>
    <row r="3" spans="1:18" x14ac:dyDescent="0.25">
      <c r="A3" s="1" t="s">
        <v>144</v>
      </c>
      <c r="B3" s="1">
        <v>5.4</v>
      </c>
      <c r="C3" s="1">
        <f>B3/2</f>
        <v>2.7</v>
      </c>
      <c r="D3" s="1">
        <v>3.81</v>
      </c>
      <c r="E3" s="1">
        <f>D3/2</f>
        <v>1.905</v>
      </c>
      <c r="F3" s="1">
        <v>3.81</v>
      </c>
      <c r="G3" s="1" t="s">
        <v>206</v>
      </c>
      <c r="H3" s="6">
        <v>993.00763379966634</v>
      </c>
      <c r="I3" s="5">
        <f>PI()*(C3+E3)*SQRT((C3-E3)^2+F3^2)</f>
        <v>56.306553778614223</v>
      </c>
      <c r="J3" s="5">
        <f>H3/I3</f>
        <v>17.63573806530529</v>
      </c>
      <c r="K3" s="1">
        <v>2.5000000000000001E-2</v>
      </c>
      <c r="L3" s="4">
        <f>(C3^2+C3*E3+E3^2)/3*PI()*F3</f>
        <v>64.086626383390055</v>
      </c>
      <c r="M3" s="3">
        <f>H3/L3/1000</f>
        <v>1.5494771527824309E-2</v>
      </c>
    </row>
    <row r="4" spans="1:18" x14ac:dyDescent="0.25">
      <c r="A4" s="1" t="s">
        <v>145</v>
      </c>
      <c r="B4" s="1">
        <v>0.65</v>
      </c>
      <c r="C4" s="1">
        <f>B4/2</f>
        <v>0.32500000000000001</v>
      </c>
      <c r="D4" s="1" t="s">
        <v>212</v>
      </c>
      <c r="E4" s="1" t="s">
        <v>212</v>
      </c>
      <c r="F4" s="1">
        <v>3.05</v>
      </c>
      <c r="G4" s="1" t="s">
        <v>207</v>
      </c>
      <c r="H4" s="6">
        <v>181.8423489331513</v>
      </c>
      <c r="I4" s="5">
        <f>2*PI()*C4*F4</f>
        <v>6.2282074357417647</v>
      </c>
      <c r="J4" s="5">
        <f>H4/I4</f>
        <v>29.196578760304938</v>
      </c>
      <c r="K4" s="1">
        <v>2.5000000000000001E-2</v>
      </c>
      <c r="L4" s="4">
        <f>PI()*C4^2*F4</f>
        <v>1.0120837083080367</v>
      </c>
      <c r="M4" s="3">
        <f>H4/L4/1000</f>
        <v>0.17967125390956887</v>
      </c>
    </row>
    <row r="5" spans="1:18" x14ac:dyDescent="0.25">
      <c r="A5" s="1" t="s">
        <v>146</v>
      </c>
      <c r="B5" s="1">
        <v>3.81</v>
      </c>
      <c r="C5" s="1">
        <f>B5/2</f>
        <v>1.905</v>
      </c>
      <c r="D5" s="1">
        <v>3.1</v>
      </c>
      <c r="E5" s="1">
        <f>D5/2</f>
        <v>1.55</v>
      </c>
      <c r="F5" s="1">
        <v>3.05</v>
      </c>
      <c r="G5" s="1" t="s">
        <v>206</v>
      </c>
      <c r="H5" s="6">
        <v>351.62649226197163</v>
      </c>
      <c r="I5" s="5">
        <f>PI()*(C5+E5)*SQRT((C5-E5)^2+F5^2)</f>
        <v>33.328809643895383</v>
      </c>
      <c r="J5" s="5">
        <f>H5/I5</f>
        <v>10.550226546311015</v>
      </c>
      <c r="K5" s="1">
        <v>2.5000000000000001E-2</v>
      </c>
      <c r="L5" s="4">
        <f>(C5^2+C5*E5+E5^2)/3*PI()*F5</f>
        <v>28.69534787679428</v>
      </c>
      <c r="M5" s="3">
        <f>H5/L5/1000</f>
        <v>1.2253780430601765E-2</v>
      </c>
    </row>
    <row r="6" spans="1:18" x14ac:dyDescent="0.25">
      <c r="A6" s="1" t="s">
        <v>147</v>
      </c>
      <c r="B6" s="1">
        <v>3.83</v>
      </c>
      <c r="C6" s="1">
        <f>B6/2</f>
        <v>1.915</v>
      </c>
      <c r="D6" s="1" t="s">
        <v>212</v>
      </c>
      <c r="E6" s="1" t="s">
        <v>212</v>
      </c>
      <c r="F6" s="1">
        <v>3.81</v>
      </c>
      <c r="G6" s="1" t="s">
        <v>207</v>
      </c>
      <c r="H6" s="6">
        <v>595.50138160192864</v>
      </c>
      <c r="I6" s="5">
        <f>2*PI()*C6*F6</f>
        <v>45.843062478978339</v>
      </c>
      <c r="J6" s="5">
        <f>H6/I6</f>
        <v>12.99</v>
      </c>
      <c r="K6" s="1">
        <v>2.5000000000000001E-2</v>
      </c>
      <c r="L6" s="4">
        <f>PI()*C6^2*F6</f>
        <v>43.89473232362176</v>
      </c>
      <c r="M6" s="3">
        <f>H6/L6/1000</f>
        <v>1.3566579634464752E-2</v>
      </c>
    </row>
    <row r="7" spans="1:18" x14ac:dyDescent="0.25">
      <c r="A7" s="1" t="s">
        <v>148</v>
      </c>
      <c r="B7" s="1">
        <v>3.83</v>
      </c>
      <c r="C7" s="1">
        <f>B7/2</f>
        <v>1.915</v>
      </c>
      <c r="D7" s="1" t="s">
        <v>212</v>
      </c>
      <c r="E7" s="1" t="s">
        <v>212</v>
      </c>
      <c r="F7" s="1">
        <v>0.32</v>
      </c>
      <c r="G7" s="1" t="s">
        <v>207</v>
      </c>
      <c r="H7" s="6">
        <v>284.92486076173412</v>
      </c>
      <c r="I7" s="5">
        <f>2*PI()*C7*F7</f>
        <v>3.8503359562396504</v>
      </c>
      <c r="J7" s="5">
        <f>H7/I7</f>
        <v>74</v>
      </c>
      <c r="K7" s="1">
        <v>2.5000000000000001E-2</v>
      </c>
      <c r="L7" s="4">
        <f>PI()*C7^2*F7</f>
        <v>3.6866966780994654</v>
      </c>
      <c r="M7" s="3">
        <f>H7/L7/1000</f>
        <v>7.7284595300261091E-2</v>
      </c>
    </row>
    <row r="9" spans="1:18" x14ac:dyDescent="0.25">
      <c r="A9" s="1" t="s">
        <v>206</v>
      </c>
      <c r="B9" s="1" t="s">
        <v>214</v>
      </c>
      <c r="L9" s="1" t="s">
        <v>147</v>
      </c>
      <c r="M9" s="24">
        <f>AVERAGE(M3,M5,M6)</f>
        <v>1.3771710530963608E-2</v>
      </c>
    </row>
    <row r="10" spans="1:18" x14ac:dyDescent="0.25">
      <c r="A10" s="1" t="s">
        <v>208</v>
      </c>
      <c r="B10" s="1">
        <v>5.4</v>
      </c>
      <c r="C10" s="1">
        <f>B10/2</f>
        <v>2.7</v>
      </c>
    </row>
    <row r="11" spans="1:18" x14ac:dyDescent="0.25">
      <c r="A11" s="1" t="s">
        <v>210</v>
      </c>
      <c r="B11" s="1">
        <v>3.81</v>
      </c>
      <c r="C11" s="1">
        <f>B11/2</f>
        <v>1.905</v>
      </c>
      <c r="F11" s="1" t="s">
        <v>238</v>
      </c>
      <c r="G11" s="1">
        <v>5.4</v>
      </c>
      <c r="H11" s="1">
        <f>G11/2</f>
        <v>2.7</v>
      </c>
      <c r="I11" s="1">
        <v>5</v>
      </c>
      <c r="J11" s="1">
        <f>I11/2</f>
        <v>2.5</v>
      </c>
      <c r="K11" s="1">
        <v>1.7</v>
      </c>
      <c r="L11" s="1" t="s">
        <v>206</v>
      </c>
      <c r="M11" s="6">
        <v>700</v>
      </c>
      <c r="N11" s="5">
        <f>PI()*(H11+J11)*SQRT((H11-J11)^2+K11^2)</f>
        <v>27.963210148443018</v>
      </c>
      <c r="O11" s="5">
        <f>M11/N11</f>
        <v>25.032891298389636</v>
      </c>
      <c r="P11" s="1">
        <v>2.5000000000000001E-2</v>
      </c>
      <c r="Q11" s="4">
        <f>(H11^2+H11*J11+J11^2)/3*PI()*K11</f>
        <v>36.120985133424234</v>
      </c>
      <c r="R11" s="3">
        <f>M11/Q11/1000</f>
        <v>1.9379316411618608E-2</v>
      </c>
    </row>
    <row r="12" spans="1:18" x14ac:dyDescent="0.25">
      <c r="A12" s="1" t="s">
        <v>142</v>
      </c>
      <c r="B12" s="1">
        <v>3.81</v>
      </c>
    </row>
    <row r="13" spans="1:18" x14ac:dyDescent="0.25">
      <c r="A13" s="1" t="s">
        <v>213</v>
      </c>
      <c r="B13" s="1">
        <v>1</v>
      </c>
    </row>
    <row r="14" spans="1:18" x14ac:dyDescent="0.25">
      <c r="A14" s="1" t="s">
        <v>75</v>
      </c>
      <c r="B14" s="5">
        <f>(C10^2+C10*C11+C11^2)/3*PI()*B12</f>
        <v>64.086626383390055</v>
      </c>
    </row>
    <row r="16" spans="1:18" x14ac:dyDescent="0.25">
      <c r="A16" s="34" t="s">
        <v>203</v>
      </c>
      <c r="B16" s="34" t="s">
        <v>217</v>
      </c>
      <c r="F16" s="13"/>
    </row>
    <row r="17" spans="1:18" x14ac:dyDescent="0.25">
      <c r="A17" s="13" t="s">
        <v>204</v>
      </c>
      <c r="B17" s="13" t="s">
        <v>138</v>
      </c>
      <c r="C17" s="13" t="s">
        <v>73</v>
      </c>
      <c r="D17" s="13" t="s">
        <v>142</v>
      </c>
      <c r="E17" s="13" t="s">
        <v>14</v>
      </c>
      <c r="F17" s="13" t="s">
        <v>239</v>
      </c>
      <c r="G17" s="13" t="s">
        <v>240</v>
      </c>
      <c r="H17" s="13" t="s">
        <v>230</v>
      </c>
      <c r="I17" s="13" t="s">
        <v>229</v>
      </c>
      <c r="J17" s="13" t="s">
        <v>60</v>
      </c>
      <c r="K17" s="13" t="s">
        <v>118</v>
      </c>
      <c r="M17" s="1">
        <v>3.75</v>
      </c>
      <c r="O17" s="1" t="s">
        <v>232</v>
      </c>
    </row>
    <row r="18" spans="1:18" x14ac:dyDescent="0.25">
      <c r="A18" s="1" t="s">
        <v>219</v>
      </c>
      <c r="B18" s="1">
        <v>5.4</v>
      </c>
      <c r="C18" s="1">
        <f t="shared" ref="C18:C23" si="0">B18/2</f>
        <v>2.7</v>
      </c>
      <c r="D18" s="1">
        <v>20.7</v>
      </c>
      <c r="E18" s="1">
        <v>3524</v>
      </c>
      <c r="F18" s="1">
        <f>7.15645+4.8882</f>
        <v>12.044650000000001</v>
      </c>
      <c r="G18" s="1">
        <f>D18-F18</f>
        <v>8.6553499999999985</v>
      </c>
      <c r="H18" s="1">
        <f>2*C18*PI()*F18</f>
        <v>204.33267335732563</v>
      </c>
      <c r="I18" s="1">
        <f>PI()*C18*SQRT((C18^2+G18^2)/2+G18^2)</f>
        <v>91.364108956437263</v>
      </c>
      <c r="J18" s="1">
        <f>H18+I18</f>
        <v>295.69678231376292</v>
      </c>
      <c r="K18" s="1">
        <f>E18/J18</f>
        <v>11.917613619010215</v>
      </c>
      <c r="M18" s="1">
        <f>PI()*M17</f>
        <v>11.780972450961723</v>
      </c>
      <c r="O18" s="1" t="s">
        <v>233</v>
      </c>
    </row>
    <row r="19" spans="1:18" x14ac:dyDescent="0.25">
      <c r="A19" s="1" t="s">
        <v>220</v>
      </c>
      <c r="B19" s="1">
        <v>5.4</v>
      </c>
      <c r="C19" s="1">
        <f t="shared" si="0"/>
        <v>2.7</v>
      </c>
      <c r="D19" s="1">
        <v>23.4</v>
      </c>
      <c r="E19" s="1">
        <v>4003</v>
      </c>
      <c r="F19" s="1">
        <f>7.15645+7.6314</f>
        <v>14.787850000000001</v>
      </c>
      <c r="G19" s="1">
        <f>D19-F19</f>
        <v>8.612149999999998</v>
      </c>
      <c r="H19" s="1">
        <f>2*C19*PI()*F19</f>
        <v>250.86996498089425</v>
      </c>
      <c r="I19" s="1">
        <f>PI()*C19*SQRT((C19^2+G19^2)/2+G19^2)</f>
        <v>90.922460137565963</v>
      </c>
      <c r="J19" s="1">
        <f>H19+I19</f>
        <v>341.79242511846019</v>
      </c>
      <c r="K19" s="1">
        <f>E19/J19</f>
        <v>11.711786762426405</v>
      </c>
      <c r="M19" s="1">
        <f>M18*0.2</f>
        <v>2.3561944901923448</v>
      </c>
      <c r="O19" s="1" t="s">
        <v>234</v>
      </c>
    </row>
    <row r="20" spans="1:18" x14ac:dyDescent="0.25">
      <c r="A20" s="1" t="s">
        <v>221</v>
      </c>
      <c r="B20" s="1">
        <v>5.4</v>
      </c>
      <c r="C20" s="1">
        <f t="shared" si="0"/>
        <v>2.7</v>
      </c>
      <c r="D20" s="1">
        <v>26.5</v>
      </c>
      <c r="E20" s="1">
        <v>4379</v>
      </c>
      <c r="F20" s="1">
        <f>7.15645+12.192</f>
        <v>19.34845</v>
      </c>
      <c r="G20" s="1">
        <f>D20-F20</f>
        <v>7.1515500000000003</v>
      </c>
      <c r="H20" s="1">
        <f>2*C20*PI()*F20</f>
        <v>328.23872124308696</v>
      </c>
      <c r="I20" s="1">
        <f>PI()*C20*SQRT((C20^2+G20^2)/2+G20^2)</f>
        <v>76.039457222890988</v>
      </c>
      <c r="J20" s="1">
        <f>H20+I20</f>
        <v>404.27817846597793</v>
      </c>
      <c r="K20" s="1">
        <f>E20/J20</f>
        <v>10.831650663451565</v>
      </c>
      <c r="M20" s="1">
        <f>M19*0.625</f>
        <v>1.4726215563702154</v>
      </c>
      <c r="O20" s="1" t="s">
        <v>241</v>
      </c>
    </row>
    <row r="21" spans="1:18" x14ac:dyDescent="0.25">
      <c r="A21" s="1" t="s">
        <v>222</v>
      </c>
      <c r="B21" s="1">
        <v>4.2</v>
      </c>
      <c r="C21" s="1">
        <f t="shared" si="0"/>
        <v>2.1</v>
      </c>
      <c r="D21" s="1">
        <v>12</v>
      </c>
      <c r="E21" s="1">
        <v>2127</v>
      </c>
      <c r="M21" s="1">
        <f>M20*0.04</f>
        <v>5.8904862254808621E-2</v>
      </c>
      <c r="O21" s="1" t="s">
        <v>134</v>
      </c>
    </row>
    <row r="22" spans="1:18" x14ac:dyDescent="0.25">
      <c r="A22" s="1" t="s">
        <v>223</v>
      </c>
      <c r="B22" s="1">
        <v>4.2</v>
      </c>
      <c r="C22" s="1">
        <f t="shared" si="0"/>
        <v>2.1</v>
      </c>
      <c r="D22" s="1">
        <v>12.9</v>
      </c>
      <c r="E22" s="1">
        <v>2305</v>
      </c>
      <c r="M22" s="1">
        <f>7/19</f>
        <v>0.36842105263157893</v>
      </c>
      <c r="O22" s="1" t="s">
        <v>139</v>
      </c>
    </row>
    <row r="23" spans="1:18" x14ac:dyDescent="0.25">
      <c r="A23" s="1" t="s">
        <v>224</v>
      </c>
      <c r="B23" s="1">
        <v>4.2</v>
      </c>
      <c r="C23" s="1">
        <f t="shared" si="0"/>
        <v>2.1</v>
      </c>
      <c r="D23" s="1">
        <v>13.8</v>
      </c>
      <c r="E23" s="1">
        <v>2487</v>
      </c>
      <c r="M23" s="1">
        <f>M22/2</f>
        <v>0.18421052631578946</v>
      </c>
    </row>
    <row r="25" spans="1:18" x14ac:dyDescent="0.25">
      <c r="A25" s="34" t="s">
        <v>225</v>
      </c>
      <c r="B25" s="34" t="s">
        <v>226</v>
      </c>
      <c r="F25" s="23" t="s">
        <v>237</v>
      </c>
    </row>
    <row r="26" spans="1:18" x14ac:dyDescent="0.25">
      <c r="A26" s="1" t="s">
        <v>208</v>
      </c>
      <c r="B26" s="1">
        <v>0.94530000000000003</v>
      </c>
      <c r="C26" s="1">
        <f>B26/2</f>
        <v>0.47265000000000001</v>
      </c>
      <c r="D26" s="1" t="s">
        <v>229</v>
      </c>
      <c r="F26" s="1" t="s">
        <v>208</v>
      </c>
      <c r="G26" s="1">
        <v>1.5</v>
      </c>
      <c r="H26" s="1">
        <f>G26/2</f>
        <v>0.75</v>
      </c>
      <c r="I26" s="1" t="s">
        <v>229</v>
      </c>
      <c r="L26" s="1">
        <v>0.625</v>
      </c>
      <c r="M26" s="1">
        <v>1.25</v>
      </c>
    </row>
    <row r="27" spans="1:18" x14ac:dyDescent="0.25">
      <c r="A27" s="1" t="s">
        <v>210</v>
      </c>
      <c r="B27" s="1">
        <v>1.5960000000000001</v>
      </c>
      <c r="C27" s="1">
        <f>B27/2</f>
        <v>0.79800000000000004</v>
      </c>
      <c r="D27" s="24">
        <f>PI()*(C26+C27)*SQRT((C26-C27)^2+B28^2)</f>
        <v>2.0781234452196751</v>
      </c>
      <c r="F27" s="1" t="s">
        <v>210</v>
      </c>
      <c r="G27" s="1">
        <v>2.5</v>
      </c>
      <c r="H27" s="1">
        <f>G27/2</f>
        <v>1.25</v>
      </c>
      <c r="I27" s="24">
        <f>PI()*(H26+H27)*SQRT((H26-H27)^2+G28^2)</f>
        <v>5.6635866995694881</v>
      </c>
      <c r="L27" s="1">
        <v>0.184</v>
      </c>
      <c r="M27" s="1">
        <v>0.4</v>
      </c>
    </row>
    <row r="28" spans="1:18" x14ac:dyDescent="0.25">
      <c r="A28" s="1" t="s">
        <v>227</v>
      </c>
      <c r="B28" s="1">
        <v>0.40639999999999998</v>
      </c>
      <c r="D28" s="1" t="s">
        <v>230</v>
      </c>
      <c r="E28" s="1" t="s">
        <v>213</v>
      </c>
      <c r="F28" s="1" t="s">
        <v>227</v>
      </c>
      <c r="G28" s="1">
        <v>0.75</v>
      </c>
      <c r="I28" s="1" t="s">
        <v>231</v>
      </c>
      <c r="J28" s="1" t="s">
        <v>213</v>
      </c>
    </row>
    <row r="29" spans="1:18" x14ac:dyDescent="0.25">
      <c r="A29" s="1" t="s">
        <v>228</v>
      </c>
      <c r="B29" s="1">
        <v>0.38100000000000001</v>
      </c>
      <c r="D29" s="24">
        <f>2*PI()*C27*B29</f>
        <v>1.910327094424267</v>
      </c>
      <c r="E29" s="1">
        <v>600</v>
      </c>
      <c r="I29" s="1">
        <f>I27*G30</f>
        <v>0.14158966748923721</v>
      </c>
      <c r="J29" s="1">
        <v>600</v>
      </c>
      <c r="L29" s="1">
        <f>L26/2</f>
        <v>0.3125</v>
      </c>
      <c r="M29" s="1">
        <f>M26/2</f>
        <v>0.625</v>
      </c>
    </row>
    <row r="30" spans="1:18" x14ac:dyDescent="0.25">
      <c r="A30" s="1" t="s">
        <v>122</v>
      </c>
      <c r="B30" s="1">
        <v>2.5000000000000001E-2</v>
      </c>
      <c r="D30" s="1" t="s">
        <v>231</v>
      </c>
      <c r="E30" s="1" t="s">
        <v>14</v>
      </c>
      <c r="F30" s="1" t="s">
        <v>122</v>
      </c>
      <c r="G30" s="1">
        <v>2.5000000000000001E-2</v>
      </c>
      <c r="J30" s="1" t="s">
        <v>14</v>
      </c>
      <c r="L30" s="1">
        <f>PI()*L29^2*L27</f>
        <v>5.6450492994191595E-2</v>
      </c>
      <c r="M30" s="1">
        <f>PI()*M29^2*M27</f>
        <v>0.49087385212340523</v>
      </c>
      <c r="O30" s="1">
        <v>3200</v>
      </c>
      <c r="P30" s="1" t="s">
        <v>242</v>
      </c>
      <c r="Q30" s="1">
        <v>1</v>
      </c>
      <c r="R30" s="1" t="s">
        <v>242</v>
      </c>
    </row>
    <row r="31" spans="1:18" x14ac:dyDescent="0.25">
      <c r="A31" s="1" t="s">
        <v>14</v>
      </c>
      <c r="B31" s="1">
        <v>67.7</v>
      </c>
      <c r="D31" s="24">
        <f>D29*D27*B30</f>
        <v>9.9247388074036227E-2</v>
      </c>
      <c r="E31" s="5">
        <f>D31*E29</f>
        <v>59.54843284442174</v>
      </c>
      <c r="F31" s="1" t="s">
        <v>14</v>
      </c>
      <c r="G31" s="1">
        <v>67.7</v>
      </c>
      <c r="J31" s="5">
        <f>I29*J29</f>
        <v>84.953800493542332</v>
      </c>
      <c r="L31" s="1">
        <f>L32*L30</f>
        <v>0.57579502854075426</v>
      </c>
      <c r="M31" s="1">
        <f>M32*M30</f>
        <v>5.0069132916587327</v>
      </c>
      <c r="O31" s="1">
        <v>0.2</v>
      </c>
      <c r="P31" s="1" t="s">
        <v>243</v>
      </c>
      <c r="Q31" s="1" t="s">
        <v>119</v>
      </c>
      <c r="R31" s="1" t="s">
        <v>243</v>
      </c>
    </row>
    <row r="32" spans="1:18" x14ac:dyDescent="0.25">
      <c r="L32" s="1">
        <v>10.199999999999999</v>
      </c>
      <c r="M32" s="1">
        <v>10.199999999999999</v>
      </c>
    </row>
    <row r="33" spans="1:16" x14ac:dyDescent="0.25">
      <c r="A33" s="1" t="s">
        <v>208</v>
      </c>
      <c r="B33" s="1">
        <v>0.94530000000000003</v>
      </c>
      <c r="C33" s="1">
        <f>B33/2</f>
        <v>0.47265000000000001</v>
      </c>
      <c r="D33" s="1" t="s">
        <v>229</v>
      </c>
      <c r="L33" s="1">
        <f>1/1.4</f>
        <v>0.7142857142857143</v>
      </c>
      <c r="P33" s="1">
        <v>1E-3</v>
      </c>
    </row>
    <row r="34" spans="1:16" x14ac:dyDescent="0.25">
      <c r="A34" s="1" t="s">
        <v>210</v>
      </c>
      <c r="B34" s="1">
        <v>1.5960000000000001</v>
      </c>
      <c r="C34" s="1">
        <f>B34/2</f>
        <v>0.79800000000000004</v>
      </c>
      <c r="D34" s="24">
        <f>PI()*(C33+C34)*SQRT((C33-C34)^2+B35^2)</f>
        <v>2.0781234452196751</v>
      </c>
      <c r="E34" s="1">
        <f>D34+D36</f>
        <v>5.7714224944399248</v>
      </c>
      <c r="L34" s="1">
        <f>1/2.6</f>
        <v>0.38461538461538458</v>
      </c>
      <c r="N34" s="1">
        <f>1/1.72</f>
        <v>0.58139534883720934</v>
      </c>
      <c r="P34" s="1">
        <f>3600*P33</f>
        <v>3.6</v>
      </c>
    </row>
    <row r="35" spans="1:16" x14ac:dyDescent="0.25">
      <c r="A35" s="1" t="s">
        <v>227</v>
      </c>
      <c r="B35" s="1">
        <v>0.40639999999999998</v>
      </c>
      <c r="D35" s="1" t="s">
        <v>230</v>
      </c>
      <c r="E35" s="1" t="s">
        <v>213</v>
      </c>
      <c r="L35" s="1">
        <f>1/2.55</f>
        <v>0.39215686274509809</v>
      </c>
      <c r="N35" s="1">
        <f>5/13</f>
        <v>0.38461538461538464</v>
      </c>
    </row>
    <row r="36" spans="1:16" x14ac:dyDescent="0.25">
      <c r="A36" s="1" t="s">
        <v>228</v>
      </c>
      <c r="B36" s="1">
        <v>0.73660000000000003</v>
      </c>
      <c r="D36" s="24">
        <f>2*PI()*C34*B36</f>
        <v>3.6932990492202498</v>
      </c>
      <c r="E36" s="1">
        <v>600</v>
      </c>
    </row>
    <row r="37" spans="1:16" x14ac:dyDescent="0.25">
      <c r="A37" s="1" t="s">
        <v>122</v>
      </c>
      <c r="B37" s="1">
        <v>2.5000000000000001E-2</v>
      </c>
      <c r="D37" s="1" t="s">
        <v>231</v>
      </c>
      <c r="E37" s="1" t="s">
        <v>14</v>
      </c>
    </row>
    <row r="38" spans="1:16" x14ac:dyDescent="0.25">
      <c r="A38" s="1" t="s">
        <v>14</v>
      </c>
      <c r="B38" s="1">
        <v>114.4</v>
      </c>
      <c r="D38" s="24">
        <f>D36*D34*B37</f>
        <v>0.19187828360980341</v>
      </c>
      <c r="E38" s="5">
        <f>D38*E36</f>
        <v>115.12697016588204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electrical</vt:lpstr>
      <vt:lpstr>engines</vt:lpstr>
      <vt:lpstr>launches</vt:lpstr>
      <vt:lpstr>comms</vt:lpstr>
      <vt:lpstr>fuel</vt:lpstr>
      <vt:lpstr>CMG</vt:lpstr>
      <vt:lpstr>temp</vt:lpstr>
      <vt:lpstr>mass</vt:lpstr>
      <vt:lpstr>Atlas V</vt:lpstr>
      <vt:lpstr>solar</vt:lpstr>
      <vt:lpstr>battery</vt:lpstr>
      <vt:lpstr>Inconel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2015-07-22T11:25:02Z</dcterms:modified>
</cp:coreProperties>
</file>