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Felienne\Dropbox\TU Delft\Papers\end_user_refactoring\"/>
    </mc:Choice>
  </mc:AlternateContent>
  <bookViews>
    <workbookView xWindow="120" yWindow="30" windowWidth="12120" windowHeight="9045" tabRatio="668" activeTab="5"/>
  </bookViews>
  <sheets>
    <sheet name="Required Funds" sheetId="1" r:id="rId1"/>
    <sheet name="Sources of Capital" sheetId="2" r:id="rId2"/>
    <sheet name="Monthly Budget" sheetId="3" r:id="rId3"/>
    <sheet name="Sales Forecast" sheetId="5" r:id="rId4"/>
    <sheet name="Current Balance Sheet" sheetId="7" r:id="rId5"/>
    <sheet name="Income Statement" sheetId="8" r:id="rId6"/>
    <sheet name="Financial Diagnostics" sheetId="13" r:id="rId7"/>
  </sheets>
  <externalReferences>
    <externalReference r:id="rId8"/>
    <externalReference r:id="rId9"/>
  </externalReferences>
  <calcPr calcId="152511"/>
</workbook>
</file>

<file path=xl/calcChain.xml><?xml version="1.0" encoding="utf-8"?>
<calcChain xmlns="http://schemas.openxmlformats.org/spreadsheetml/2006/main">
  <c r="D19" i="3" l="1"/>
  <c r="N8" i="8"/>
  <c r="M8" i="8"/>
  <c r="L8" i="8"/>
  <c r="K8" i="8"/>
  <c r="J8" i="8"/>
  <c r="I8" i="8"/>
  <c r="H8" i="8"/>
  <c r="G8" i="8"/>
  <c r="F8" i="8"/>
  <c r="E8" i="8"/>
  <c r="D8" i="8"/>
  <c r="C8" i="8"/>
  <c r="D9" i="3"/>
  <c r="O8" i="8" l="1"/>
  <c r="B21" i="7"/>
  <c r="B31" i="7"/>
  <c r="B39" i="7"/>
  <c r="C11" i="13"/>
  <c r="C12" i="13"/>
  <c r="E12" i="13" s="1"/>
  <c r="C16" i="13"/>
  <c r="E16" i="13" s="1"/>
  <c r="C17" i="13"/>
  <c r="E17" i="13" s="1"/>
  <c r="C19" i="13"/>
  <c r="E19" i="13" s="1"/>
  <c r="C20" i="13"/>
  <c r="E20" i="13" s="1"/>
  <c r="C4" i="8"/>
  <c r="D4" i="8"/>
  <c r="E4" i="8"/>
  <c r="F4" i="8"/>
  <c r="G4" i="8"/>
  <c r="H4" i="8"/>
  <c r="I4" i="8"/>
  <c r="J4" i="8"/>
  <c r="K4" i="8"/>
  <c r="L4" i="8"/>
  <c r="M4" i="8"/>
  <c r="N4" i="8"/>
  <c r="E9" i="8"/>
  <c r="K9" i="8"/>
  <c r="M9" i="8"/>
  <c r="G9" i="8"/>
  <c r="I9" i="8"/>
  <c r="B13" i="8"/>
  <c r="C13" i="8"/>
  <c r="D13" i="8" s="1"/>
  <c r="E13" i="8" s="1"/>
  <c r="F13" i="8" s="1"/>
  <c r="G13" i="8" s="1"/>
  <c r="B14" i="8"/>
  <c r="C14" i="8"/>
  <c r="D14" i="8" s="1"/>
  <c r="E14" i="8" s="1"/>
  <c r="B16" i="8"/>
  <c r="C16" i="8"/>
  <c r="D16" i="8" s="1"/>
  <c r="B17" i="8"/>
  <c r="C17" i="8"/>
  <c r="D17" i="8" s="1"/>
  <c r="B21" i="8"/>
  <c r="C21" i="8"/>
  <c r="D21" i="8" s="1"/>
  <c r="B22" i="8"/>
  <c r="C22" i="8"/>
  <c r="D22" i="8" s="1"/>
  <c r="B23" i="8"/>
  <c r="C23" i="8"/>
  <c r="D23" i="8" s="1"/>
  <c r="B24" i="8"/>
  <c r="C24" i="8"/>
  <c r="D24" i="8" s="1"/>
  <c r="B25" i="8"/>
  <c r="C25" i="8"/>
  <c r="D25" i="8"/>
  <c r="E25" i="8" s="1"/>
  <c r="F25" i="8" s="1"/>
  <c r="G25" i="8" s="1"/>
  <c r="H25" i="8" s="1"/>
  <c r="I25" i="8" s="1"/>
  <c r="J25" i="8" s="1"/>
  <c r="K25" i="8" s="1"/>
  <c r="L25" i="8" s="1"/>
  <c r="M25" i="8" s="1"/>
  <c r="N25" i="8" s="1"/>
  <c r="B26" i="8"/>
  <c r="C26" i="8"/>
  <c r="D26" i="8" s="1"/>
  <c r="E26" i="8" s="1"/>
  <c r="F26" i="8" s="1"/>
  <c r="G26" i="8" s="1"/>
  <c r="H26" i="8" s="1"/>
  <c r="I26" i="8" s="1"/>
  <c r="J26" i="8" s="1"/>
  <c r="K26" i="8" s="1"/>
  <c r="L26" i="8" s="1"/>
  <c r="M26" i="8" s="1"/>
  <c r="N26" i="8" s="1"/>
  <c r="B27" i="8"/>
  <c r="C27" i="8"/>
  <c r="D27" i="8" s="1"/>
  <c r="E27" i="8" s="1"/>
  <c r="F27" i="8" s="1"/>
  <c r="G27" i="8" s="1"/>
  <c r="H27" i="8" s="1"/>
  <c r="I27" i="8" s="1"/>
  <c r="J27" i="8" s="1"/>
  <c r="K27" i="8" s="1"/>
  <c r="L27" i="8" s="1"/>
  <c r="M27" i="8" s="1"/>
  <c r="N27" i="8" s="1"/>
  <c r="B28" i="8"/>
  <c r="C28" i="8"/>
  <c r="D28" i="8" s="1"/>
  <c r="E28" i="8" s="1"/>
  <c r="F28" i="8" s="1"/>
  <c r="G28" i="8" s="1"/>
  <c r="H28" i="8" s="1"/>
  <c r="I28" i="8" s="1"/>
  <c r="J28" i="8" s="1"/>
  <c r="K28" i="8" s="1"/>
  <c r="L28" i="8" s="1"/>
  <c r="M28" i="8" s="1"/>
  <c r="N28" i="8" s="1"/>
  <c r="B29" i="8"/>
  <c r="C29" i="8"/>
  <c r="D29" i="8" s="1"/>
  <c r="E29" i="8" s="1"/>
  <c r="F29" i="8" s="1"/>
  <c r="G29" i="8" s="1"/>
  <c r="H29" i="8" s="1"/>
  <c r="I29" i="8" s="1"/>
  <c r="J29" i="8" s="1"/>
  <c r="K29" i="8" s="1"/>
  <c r="L29" i="8" s="1"/>
  <c r="M29" i="8" s="1"/>
  <c r="N29" i="8" s="1"/>
  <c r="B30" i="8"/>
  <c r="C30" i="8"/>
  <c r="D30" i="8" s="1"/>
  <c r="E30" i="8" s="1"/>
  <c r="F30" i="8" s="1"/>
  <c r="G30" i="8" s="1"/>
  <c r="H30" i="8" s="1"/>
  <c r="I30" i="8" s="1"/>
  <c r="J30" i="8" s="1"/>
  <c r="K30" i="8" s="1"/>
  <c r="L30" i="8" s="1"/>
  <c r="M30" i="8" s="1"/>
  <c r="N30" i="8" s="1"/>
  <c r="B31" i="8"/>
  <c r="C31" i="8"/>
  <c r="D31" i="8" s="1"/>
  <c r="E31" i="8" s="1"/>
  <c r="F31" i="8" s="1"/>
  <c r="G31" i="8" s="1"/>
  <c r="H31" i="8" s="1"/>
  <c r="I31" i="8" s="1"/>
  <c r="J31" i="8" s="1"/>
  <c r="K31" i="8" s="1"/>
  <c r="L31" i="8" s="1"/>
  <c r="M31" i="8" s="1"/>
  <c r="N31" i="8" s="1"/>
  <c r="B32" i="8"/>
  <c r="C32" i="8"/>
  <c r="D32" i="8" s="1"/>
  <c r="E32" i="8" s="1"/>
  <c r="F32" i="8" s="1"/>
  <c r="G32" i="8" s="1"/>
  <c r="H32" i="8" s="1"/>
  <c r="I32" i="8" s="1"/>
  <c r="J32" i="8" s="1"/>
  <c r="K32" i="8" s="1"/>
  <c r="L32" i="8" s="1"/>
  <c r="M32" i="8" s="1"/>
  <c r="N32" i="8" s="1"/>
  <c r="B33" i="8"/>
  <c r="C33" i="8"/>
  <c r="D33" i="8" s="1"/>
  <c r="B34" i="8"/>
  <c r="C34" i="8"/>
  <c r="D34" i="8" s="1"/>
  <c r="B35" i="8"/>
  <c r="C35" i="8"/>
  <c r="D35" i="8" s="1"/>
  <c r="E35" i="8" s="1"/>
  <c r="F35" i="8" s="1"/>
  <c r="G35" i="8" s="1"/>
  <c r="H35" i="8" s="1"/>
  <c r="I35" i="8" s="1"/>
  <c r="J35" i="8" s="1"/>
  <c r="K35" i="8" s="1"/>
  <c r="L35" i="8" s="1"/>
  <c r="M35" i="8" s="1"/>
  <c r="N35" i="8" s="1"/>
  <c r="C36" i="8"/>
  <c r="D36" i="8" s="1"/>
  <c r="E8" i="3"/>
  <c r="E9" i="3"/>
  <c r="D10" i="3"/>
  <c r="E10" i="3" s="1"/>
  <c r="D11" i="3"/>
  <c r="E11" i="3" s="1"/>
  <c r="D12" i="3"/>
  <c r="E12" i="3" s="1"/>
  <c r="D13" i="3"/>
  <c r="E13" i="3" s="1"/>
  <c r="E14" i="3"/>
  <c r="E15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D34" i="3"/>
  <c r="E34" i="3" s="1"/>
  <c r="B24" i="1"/>
  <c r="B6" i="2" s="1"/>
  <c r="B20" i="5"/>
  <c r="B7" i="2"/>
  <c r="B26" i="2" s="1"/>
  <c r="B14" i="2"/>
  <c r="E11" i="13" s="1"/>
  <c r="B41" i="7" l="1"/>
  <c r="C9" i="8"/>
  <c r="D16" i="3"/>
  <c r="B8" i="2"/>
  <c r="B13" i="2" s="1"/>
  <c r="B44" i="7"/>
  <c r="E36" i="8"/>
  <c r="F36" i="8" s="1"/>
  <c r="G36" i="8" s="1"/>
  <c r="H36" i="8" s="1"/>
  <c r="I36" i="8" s="1"/>
  <c r="J36" i="8" s="1"/>
  <c r="K36" i="8" s="1"/>
  <c r="L36" i="8" s="1"/>
  <c r="M36" i="8" s="1"/>
  <c r="N36" i="8" s="1"/>
  <c r="D37" i="8"/>
  <c r="B21" i="2"/>
  <c r="D29" i="2"/>
  <c r="A1" i="8"/>
  <c r="A1" i="7"/>
  <c r="C15" i="8"/>
  <c r="C37" i="8"/>
  <c r="O35" i="8"/>
  <c r="E34" i="8"/>
  <c r="F34" i="8" s="1"/>
  <c r="G34" i="8" s="1"/>
  <c r="H34" i="8" s="1"/>
  <c r="I34" i="8" s="1"/>
  <c r="J34" i="8" s="1"/>
  <c r="K34" i="8" s="1"/>
  <c r="L34" i="8" s="1"/>
  <c r="M34" i="8" s="1"/>
  <c r="N34" i="8" s="1"/>
  <c r="E33" i="8"/>
  <c r="F33" i="8" s="1"/>
  <c r="G33" i="8" s="1"/>
  <c r="H33" i="8" s="1"/>
  <c r="I33" i="8" s="1"/>
  <c r="J33" i="8" s="1"/>
  <c r="K33" i="8" s="1"/>
  <c r="L33" i="8" s="1"/>
  <c r="M33" i="8" s="1"/>
  <c r="N33" i="8" s="1"/>
  <c r="A1" i="3"/>
  <c r="F14" i="8"/>
  <c r="G14" i="8" s="1"/>
  <c r="H14" i="8" s="1"/>
  <c r="I14" i="8" s="1"/>
  <c r="J14" i="8" s="1"/>
  <c r="K14" i="8" s="1"/>
  <c r="L14" i="8" s="1"/>
  <c r="M14" i="8" s="1"/>
  <c r="N14" i="8" s="1"/>
  <c r="H13" i="8"/>
  <c r="E24" i="8"/>
  <c r="F24" i="8" s="1"/>
  <c r="G24" i="8" s="1"/>
  <c r="H24" i="8" s="1"/>
  <c r="I24" i="8" s="1"/>
  <c r="J24" i="8" s="1"/>
  <c r="K24" i="8" s="1"/>
  <c r="L24" i="8" s="1"/>
  <c r="M24" i="8" s="1"/>
  <c r="N24" i="8" s="1"/>
  <c r="E23" i="8"/>
  <c r="F23" i="8" s="1"/>
  <c r="G23" i="8" s="1"/>
  <c r="H23" i="8" s="1"/>
  <c r="I23" i="8" s="1"/>
  <c r="J23" i="8" s="1"/>
  <c r="K23" i="8" s="1"/>
  <c r="L23" i="8" s="1"/>
  <c r="M23" i="8" s="1"/>
  <c r="N23" i="8" s="1"/>
  <c r="E22" i="8"/>
  <c r="F22" i="8" s="1"/>
  <c r="G22" i="8" s="1"/>
  <c r="H22" i="8" s="1"/>
  <c r="I22" i="8" s="1"/>
  <c r="J22" i="8" s="1"/>
  <c r="K22" i="8" s="1"/>
  <c r="L22" i="8" s="1"/>
  <c r="M22" i="8" s="1"/>
  <c r="N22" i="8" s="1"/>
  <c r="E21" i="8"/>
  <c r="N9" i="8"/>
  <c r="L9" i="8"/>
  <c r="J9" i="8"/>
  <c r="H9" i="8"/>
  <c r="F9" i="8"/>
  <c r="O32" i="8"/>
  <c r="O31" i="8"/>
  <c r="O30" i="8"/>
  <c r="O29" i="8"/>
  <c r="O28" i="8"/>
  <c r="O27" i="8"/>
  <c r="O26" i="8"/>
  <c r="O25" i="8"/>
  <c r="E17" i="8"/>
  <c r="F17" i="8" s="1"/>
  <c r="G17" i="8" s="1"/>
  <c r="H17" i="8" s="1"/>
  <c r="I17" i="8" s="1"/>
  <c r="J17" i="8" s="1"/>
  <c r="K17" i="8" s="1"/>
  <c r="L17" i="8" s="1"/>
  <c r="M17" i="8" s="1"/>
  <c r="N17" i="8" s="1"/>
  <c r="E16" i="8"/>
  <c r="F16" i="8" s="1"/>
  <c r="G16" i="8" s="1"/>
  <c r="H16" i="8" s="1"/>
  <c r="I16" i="8" s="1"/>
  <c r="J16" i="8" s="1"/>
  <c r="K16" i="8" s="1"/>
  <c r="L16" i="8" s="1"/>
  <c r="M16" i="8" s="1"/>
  <c r="N16" i="8" s="1"/>
  <c r="D9" i="8"/>
  <c r="O22" i="8" l="1"/>
  <c r="O23" i="8"/>
  <c r="O17" i="8"/>
  <c r="O24" i="8"/>
  <c r="E16" i="3"/>
  <c r="E36" i="3" s="1"/>
  <c r="D36" i="3"/>
  <c r="O14" i="8"/>
  <c r="O33" i="8"/>
  <c r="O34" i="8"/>
  <c r="B17" i="2"/>
  <c r="O9" i="8"/>
  <c r="O16" i="8"/>
  <c r="I13" i="8"/>
  <c r="D15" i="8"/>
  <c r="C18" i="8"/>
  <c r="C40" i="8" s="1"/>
  <c r="F21" i="8"/>
  <c r="E37" i="8"/>
  <c r="D24" i="2"/>
  <c r="D31" i="2" s="1"/>
  <c r="O36" i="8"/>
  <c r="C22" i="13" l="1"/>
  <c r="E22" i="13" s="1"/>
  <c r="G21" i="8"/>
  <c r="F37" i="8"/>
  <c r="E15" i="8"/>
  <c r="D18" i="8"/>
  <c r="D40" i="8" s="1"/>
  <c r="J13" i="8"/>
  <c r="K13" i="8" l="1"/>
  <c r="F15" i="8"/>
  <c r="E18" i="8"/>
  <c r="E40" i="8" s="1"/>
  <c r="H21" i="8"/>
  <c r="G37" i="8"/>
  <c r="I21" i="8" l="1"/>
  <c r="H37" i="8"/>
  <c r="G15" i="8"/>
  <c r="F18" i="8"/>
  <c r="F40" i="8" s="1"/>
  <c r="L13" i="8"/>
  <c r="M13" i="8" l="1"/>
  <c r="H15" i="8"/>
  <c r="G18" i="8"/>
  <c r="G40" i="8" s="1"/>
  <c r="J21" i="8"/>
  <c r="I37" i="8"/>
  <c r="K21" i="8" l="1"/>
  <c r="J37" i="8"/>
  <c r="N13" i="8"/>
  <c r="O13" i="8" s="1"/>
  <c r="C26" i="13" s="1"/>
  <c r="I15" i="8"/>
  <c r="H18" i="8"/>
  <c r="H40" i="8" s="1"/>
  <c r="E26" i="13" l="1"/>
  <c r="L21" i="8"/>
  <c r="K37" i="8"/>
  <c r="J15" i="8"/>
  <c r="I18" i="8"/>
  <c r="I40" i="8" s="1"/>
  <c r="M21" i="8" l="1"/>
  <c r="L37" i="8"/>
  <c r="K15" i="8"/>
  <c r="J18" i="8"/>
  <c r="J40" i="8" s="1"/>
  <c r="L15" i="8" l="1"/>
  <c r="K18" i="8"/>
  <c r="K40" i="8" s="1"/>
  <c r="N21" i="8"/>
  <c r="M37" i="8"/>
  <c r="N37" i="8" l="1"/>
  <c r="O21" i="8"/>
  <c r="C28" i="13" s="1"/>
  <c r="E28" i="13" s="1"/>
  <c r="M15" i="8"/>
  <c r="L18" i="8"/>
  <c r="L40" i="8" s="1"/>
  <c r="O37" i="8" l="1"/>
  <c r="N15" i="8"/>
  <c r="M18" i="8"/>
  <c r="M40" i="8" s="1"/>
  <c r="O15" i="8" l="1"/>
  <c r="N18" i="8"/>
  <c r="N40" i="8" s="1"/>
  <c r="O18" i="8" l="1"/>
  <c r="O40" i="8" s="1"/>
  <c r="C29" i="13" l="1"/>
  <c r="E29" i="13" s="1"/>
  <c r="C27" i="13"/>
  <c r="E27" i="13" s="1"/>
</calcChain>
</file>

<file path=xl/comments1.xml><?xml version="1.0" encoding="utf-8"?>
<comments xmlns="http://schemas.openxmlformats.org/spreadsheetml/2006/main">
  <authors>
    <author>Jack B. Hess</author>
  </authors>
  <commentList>
    <comment ref="A2" authorId="0" shapeId="0">
      <text>
        <r>
          <rPr>
            <b/>
            <sz val="8"/>
            <color indexed="81"/>
            <rFont val="Tahoma"/>
            <family val="2"/>
          </rPr>
          <t>These are the sum of monies needed to implement the plan.  For a start-up these would be the start-up costs.</t>
        </r>
      </text>
    </comment>
  </commentList>
</comments>
</file>

<file path=xl/sharedStrings.xml><?xml version="1.0" encoding="utf-8"?>
<sst xmlns="http://schemas.openxmlformats.org/spreadsheetml/2006/main" count="159" uniqueCount="144">
  <si>
    <t>Salaries and Wages</t>
  </si>
  <si>
    <t>Rent Deposits</t>
  </si>
  <si>
    <t>Supplies</t>
  </si>
  <si>
    <t>Utility Deposits</t>
  </si>
  <si>
    <t>Insurance Premiums</t>
  </si>
  <si>
    <t>Legal and Accounting Fees</t>
  </si>
  <si>
    <t>Furniture and Fixtures</t>
  </si>
  <si>
    <t>Equipment</t>
  </si>
  <si>
    <t>Decorating and Remodeling</t>
  </si>
  <si>
    <t>Vehicles</t>
  </si>
  <si>
    <t>Buildings</t>
  </si>
  <si>
    <t>Real Estate</t>
  </si>
  <si>
    <t>Licenses</t>
  </si>
  <si>
    <t>Working Capital (Cash)</t>
  </si>
  <si>
    <t>Total Funds Required</t>
  </si>
  <si>
    <t>Advertising</t>
  </si>
  <si>
    <t>Owner's Injection:</t>
  </si>
  <si>
    <t>Recommended Financing Structure:</t>
  </si>
  <si>
    <t xml:space="preserve">   -Commercial Loan</t>
  </si>
  <si>
    <t xml:space="preserve">   -Buildings and Real Estate Mortgage</t>
  </si>
  <si>
    <t xml:space="preserve">   -Interest Rate</t>
  </si>
  <si>
    <t xml:space="preserve">   -Commercial Mortgage</t>
  </si>
  <si>
    <t xml:space="preserve">   -Term in Months</t>
  </si>
  <si>
    <t xml:space="preserve">   -How much will the owner(s) put into the business?</t>
  </si>
  <si>
    <t xml:space="preserve">   -Recommended Minimum Level</t>
  </si>
  <si>
    <t xml:space="preserve">   -Owner's injection as a percent of the total</t>
  </si>
  <si>
    <t>Total Salaries and Wages</t>
  </si>
  <si>
    <t>Monthly</t>
  </si>
  <si>
    <t>Annual</t>
  </si>
  <si>
    <t>Business Expenses</t>
  </si>
  <si>
    <t>Total Business Expenses</t>
  </si>
  <si>
    <t>Total Operating Expenses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</si>
  <si>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</si>
  <si>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</si>
  <si>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</si>
  <si>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</si>
  <si>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</si>
  <si>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</si>
  <si>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</si>
  <si>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</si>
  <si>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</si>
  <si>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</si>
  <si>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</si>
  <si>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</si>
  <si>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Thinking about seasonality and business growth what are the forecasted unit sales for each category?</t>
  </si>
  <si>
    <t>Sales Totals</t>
  </si>
  <si>
    <t>Amount</t>
  </si>
  <si>
    <t>Depreciation</t>
  </si>
  <si>
    <t xml:space="preserve"> years</t>
  </si>
  <si>
    <t>Please list the value of your business assets in dollars:</t>
  </si>
  <si>
    <t xml:space="preserve">   -Cash</t>
  </si>
  <si>
    <t xml:space="preserve">   -Accounts Receivable</t>
  </si>
  <si>
    <t xml:space="preserve">   -Inventory</t>
  </si>
  <si>
    <t xml:space="preserve">   -Prepaid Expenses</t>
  </si>
  <si>
    <t xml:space="preserve">   -Other Current Assets</t>
  </si>
  <si>
    <t xml:space="preserve">   -Improvements</t>
  </si>
  <si>
    <t xml:space="preserve">   -Furniture and Fixtures</t>
  </si>
  <si>
    <t xml:space="preserve">   -Equipment</t>
  </si>
  <si>
    <t xml:space="preserve">   -Real Estate</t>
  </si>
  <si>
    <t xml:space="preserve">   -Buildings</t>
  </si>
  <si>
    <t xml:space="preserve">   -Other Fixed</t>
  </si>
  <si>
    <t>Total Assets</t>
  </si>
  <si>
    <t xml:space="preserve">   -Accounts Payable</t>
  </si>
  <si>
    <t xml:space="preserve">   -Notes Payable</t>
  </si>
  <si>
    <t xml:space="preserve">   -Mortgage Payable</t>
  </si>
  <si>
    <t xml:space="preserve">   -Other Liabilities</t>
  </si>
  <si>
    <t>Total Liabilities</t>
  </si>
  <si>
    <t xml:space="preserve">   -Common Stock</t>
  </si>
  <si>
    <t xml:space="preserve">   -Retained Earnings</t>
  </si>
  <si>
    <t>Total Owner's Equity</t>
  </si>
  <si>
    <t>Please list the value of your business liabilities:</t>
  </si>
  <si>
    <t xml:space="preserve">   -Accumulated Depreciation</t>
  </si>
  <si>
    <t>Assets  (What you own)</t>
  </si>
  <si>
    <t>Liabilities (What you owe)</t>
  </si>
  <si>
    <t xml:space="preserve">Please list the </t>
  </si>
  <si>
    <t>Total Liabilities and Equity</t>
  </si>
  <si>
    <t>Owner's Equity  (Money Owed To Owners)</t>
  </si>
  <si>
    <t>Cross Checking Balance:</t>
  </si>
  <si>
    <t>must be zero</t>
  </si>
  <si>
    <t>PROJECTED INCOME STATEMENT</t>
  </si>
  <si>
    <t>Totals</t>
  </si>
  <si>
    <t>Total Income</t>
  </si>
  <si>
    <t>Owner's Compensation</t>
  </si>
  <si>
    <t>Business Expenses:</t>
  </si>
  <si>
    <t>Salaries and Wages:</t>
  </si>
  <si>
    <t>Income:</t>
  </si>
  <si>
    <t>Item</t>
  </si>
  <si>
    <t>Salaries</t>
  </si>
  <si>
    <t>Social Security</t>
  </si>
  <si>
    <t>Medicare</t>
  </si>
  <si>
    <t>Federal Unemployment Tax</t>
  </si>
  <si>
    <t>State Unemployment Tax</t>
  </si>
  <si>
    <t>Worker's Compensation</t>
  </si>
  <si>
    <t>Employee Benefit Programs</t>
  </si>
  <si>
    <t>Car and Truck Expenses</t>
  </si>
  <si>
    <t>Credit Card Charges</t>
  </si>
  <si>
    <t>Insurance</t>
  </si>
  <si>
    <t>Office Expenses</t>
  </si>
  <si>
    <t>Postage and Shipping</t>
  </si>
  <si>
    <t>Rent on Business Property</t>
  </si>
  <si>
    <t>Rent on Equipment</t>
  </si>
  <si>
    <t>Repairs</t>
  </si>
  <si>
    <t>Telephone</t>
  </si>
  <si>
    <t>Travel</t>
  </si>
  <si>
    <t>Utilities</t>
  </si>
  <si>
    <t>Miscellaneous Expenses</t>
  </si>
  <si>
    <t>Payroll Taxes</t>
  </si>
  <si>
    <t>Net Operating Profit</t>
  </si>
  <si>
    <t>Inventory</t>
  </si>
  <si>
    <t>Sources of Capital</t>
  </si>
  <si>
    <t>Sales Forecast</t>
  </si>
  <si>
    <t>Monthly Operating Budget</t>
  </si>
  <si>
    <t>For the period ending on</t>
  </si>
  <si>
    <r>
      <t xml:space="preserve">Funds Required: </t>
    </r>
    <r>
      <rPr>
        <b/>
        <sz val="8"/>
        <rFont val="Arial"/>
        <family val="2"/>
      </rPr>
      <t>(from previous statement)</t>
    </r>
  </si>
  <si>
    <t>Outside Financing Required:</t>
  </si>
  <si>
    <t xml:space="preserve">   -Monthly Loan Payment Amount</t>
  </si>
  <si>
    <t>Total Monthly Loan Payments</t>
  </si>
  <si>
    <t>Current Balance Sheet  (Existing Business Only)</t>
  </si>
  <si>
    <t>Value</t>
  </si>
  <si>
    <t>Findings:</t>
  </si>
  <si>
    <t>Test Condition</t>
  </si>
  <si>
    <t>General Financing Assumptions:</t>
  </si>
  <si>
    <t>Loan Assumptions:</t>
  </si>
  <si>
    <t>Commercial Loan Interest Rate</t>
  </si>
  <si>
    <t>Commercial Loan Term in Months</t>
  </si>
  <si>
    <t>Financial Diagnostics</t>
  </si>
  <si>
    <t>Commercial Mortgage Interest Rate</t>
  </si>
  <si>
    <t>Commercial Mortgage Term in Months</t>
  </si>
  <si>
    <t>Income Statement:</t>
  </si>
  <si>
    <t>Owner's Compensation Lower Limit Check</t>
  </si>
  <si>
    <t>Owner's Compensation Upper Limit Check</t>
  </si>
  <si>
    <t>Owner's Injection into the Business</t>
  </si>
  <si>
    <t>Advertising Expense Levels as a Percent of Sales</t>
  </si>
  <si>
    <t>Cash Request as Percent of Total Required Funds</t>
  </si>
  <si>
    <t>Loan Payments as a Percent of Projected Sales</t>
  </si>
  <si>
    <t>Profitability Levels</t>
  </si>
  <si>
    <t>Remember, no computer can tell whether your projections are truly well-constructed, only a human can do that.</t>
  </si>
  <si>
    <t>But these tests can at least look for values that are critically out of range.</t>
  </si>
  <si>
    <t>This sheet performs a few tests on your numbers to see if they seem within certain reasonable ranges.</t>
  </si>
  <si>
    <t>Initial Required Funds</t>
  </si>
  <si>
    <t>How much initial money do you require and what will it be used for?</t>
  </si>
  <si>
    <t xml:space="preserve">   -Operating Capital</t>
  </si>
  <si>
    <t>Number of Fixed Salary Employees</t>
  </si>
  <si>
    <t>Wage Base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</si>
</sst>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5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8"/>
      <color indexed="81"/>
      <name val="Tahoma"/>
      <family val="2"/>
    </font>
    <font>
      <u val="singleAccounting"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9"/>
      <color indexed="12"/>
      <name val="Arial"/>
      <family val="2"/>
    </font>
    <font>
      <u val="singleAccounting"/>
      <sz val="9"/>
      <color indexed="12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b/>
      <u/>
      <sz val="9"/>
      <name val="Arial"/>
      <family val="2"/>
    </font>
    <font>
      <sz val="9"/>
      <color indexed="53"/>
      <name val="Arial"/>
      <family val="2"/>
    </font>
    <font>
      <i/>
      <sz val="9"/>
      <name val="Arial"/>
      <family val="2"/>
    </font>
    <font>
      <i/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164" fontId="0" fillId="0" borderId="0" xfId="1" applyNumberFormat="1" applyFont="1"/>
    <xf numFmtId="44" fontId="0" fillId="0" borderId="0" xfId="2" applyFont="1"/>
    <xf numFmtId="165" fontId="0" fillId="0" borderId="0" xfId="2" applyNumberFormat="1" applyFont="1"/>
    <xf numFmtId="164" fontId="4" fillId="0" borderId="0" xfId="1" applyNumberFormat="1" applyFont="1"/>
    <xf numFmtId="0" fontId="5" fillId="0" borderId="0" xfId="0" applyFont="1"/>
    <xf numFmtId="10" fontId="0" fillId="0" borderId="0" xfId="3" applyNumberFormat="1" applyFont="1"/>
    <xf numFmtId="44" fontId="0" fillId="0" borderId="1" xfId="2" applyFont="1" applyBorder="1"/>
    <xf numFmtId="0" fontId="9" fillId="0" borderId="0" xfId="0" applyFont="1"/>
    <xf numFmtId="165" fontId="2" fillId="0" borderId="1" xfId="2" applyNumberFormat="1" applyFont="1" applyBorder="1"/>
    <xf numFmtId="0" fontId="2" fillId="0" borderId="2" xfId="0" applyFont="1" applyBorder="1"/>
    <xf numFmtId="164" fontId="0" fillId="0" borderId="3" xfId="1" applyNumberFormat="1" applyFont="1" applyBorder="1"/>
    <xf numFmtId="0" fontId="0" fillId="0" borderId="4" xfId="0" applyBorder="1"/>
    <xf numFmtId="164" fontId="0" fillId="0" borderId="5" xfId="1" applyNumberFormat="1" applyFont="1" applyBorder="1"/>
    <xf numFmtId="164" fontId="5" fillId="0" borderId="5" xfId="1" applyNumberFormat="1" applyFont="1" applyBorder="1"/>
    <xf numFmtId="0" fontId="0" fillId="0" borderId="6" xfId="0" applyBorder="1"/>
    <xf numFmtId="165" fontId="0" fillId="0" borderId="7" xfId="2" applyNumberFormat="1" applyFont="1" applyBorder="1"/>
    <xf numFmtId="164" fontId="2" fillId="0" borderId="0" xfId="1" applyNumberFormat="1" applyFont="1"/>
    <xf numFmtId="164" fontId="2" fillId="0" borderId="1" xfId="0" applyNumberFormat="1" applyFont="1" applyBorder="1"/>
    <xf numFmtId="0" fontId="11" fillId="0" borderId="0" xfId="0" applyFont="1" applyAlignment="1">
      <alignment horizontal="right"/>
    </xf>
    <xf numFmtId="0" fontId="0" fillId="0" borderId="8" xfId="0" applyBorder="1"/>
    <xf numFmtId="164" fontId="2" fillId="0" borderId="1" xfId="1" applyNumberFormat="1" applyFont="1" applyBorder="1"/>
    <xf numFmtId="0" fontId="2" fillId="0" borderId="0" xfId="0" applyNumberFormat="1" applyFont="1"/>
    <xf numFmtId="0" fontId="0" fillId="0" borderId="0" xfId="0" applyAlignment="1">
      <alignment horizontal="left"/>
    </xf>
    <xf numFmtId="165" fontId="0" fillId="0" borderId="0" xfId="0" applyNumberFormat="1"/>
    <xf numFmtId="0" fontId="2" fillId="0" borderId="8" xfId="0" applyFont="1" applyBorder="1"/>
    <xf numFmtId="0" fontId="2" fillId="0" borderId="9" xfId="0" applyFont="1" applyBorder="1"/>
    <xf numFmtId="0" fontId="2" fillId="0" borderId="9" xfId="0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0" fillId="0" borderId="0" xfId="0" applyNumberFormat="1"/>
    <xf numFmtId="164" fontId="5" fillId="0" borderId="0" xfId="1" applyNumberFormat="1" applyFont="1"/>
    <xf numFmtId="0" fontId="11" fillId="0" borderId="0" xfId="0" applyFont="1"/>
    <xf numFmtId="164" fontId="0" fillId="0" borderId="1" xfId="0" applyNumberFormat="1" applyBorder="1"/>
    <xf numFmtId="10" fontId="0" fillId="0" borderId="0" xfId="0" applyNumberFormat="1"/>
    <xf numFmtId="14" fontId="0" fillId="0" borderId="0" xfId="0" applyNumberFormat="1" applyAlignment="1">
      <alignment horizontal="left"/>
    </xf>
    <xf numFmtId="0" fontId="13" fillId="0" borderId="0" xfId="0" applyFont="1"/>
    <xf numFmtId="0" fontId="11" fillId="0" borderId="0" xfId="0" applyFont="1" applyAlignment="1">
      <alignment horizontal="left"/>
    </xf>
    <xf numFmtId="165" fontId="5" fillId="0" borderId="0" xfId="2" applyNumberFormat="1" applyFont="1"/>
    <xf numFmtId="164" fontId="7" fillId="0" borderId="0" xfId="1" applyNumberFormat="1" applyFont="1" applyProtection="1">
      <protection locked="0"/>
    </xf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164" fontId="7" fillId="0" borderId="0" xfId="1" applyNumberFormat="1" applyFont="1" applyBorder="1" applyProtection="1">
      <protection locked="0"/>
    </xf>
    <xf numFmtId="165" fontId="7" fillId="0" borderId="0" xfId="2" applyNumberFormat="1" applyFont="1" applyProtection="1">
      <protection locked="0"/>
    </xf>
    <xf numFmtId="10" fontId="10" fillId="0" borderId="0" xfId="3" applyNumberFormat="1" applyFont="1" applyProtection="1">
      <protection locked="0"/>
    </xf>
    <xf numFmtId="164" fontId="10" fillId="0" borderId="0" xfId="1" applyNumberFormat="1" applyFont="1" applyProtection="1">
      <protection locked="0"/>
    </xf>
    <xf numFmtId="0" fontId="7" fillId="0" borderId="10" xfId="0" applyFont="1" applyBorder="1" applyProtection="1">
      <protection locked="0"/>
    </xf>
    <xf numFmtId="164" fontId="8" fillId="0" borderId="0" xfId="1" applyNumberFormat="1" applyFont="1" applyProtection="1">
      <protection locked="0"/>
    </xf>
    <xf numFmtId="165" fontId="10" fillId="0" borderId="0" xfId="2" applyNumberFormat="1" applyFont="1" applyProtection="1">
      <protection locked="0"/>
    </xf>
    <xf numFmtId="0" fontId="7" fillId="0" borderId="0" xfId="0" applyFont="1" applyProtection="1">
      <protection locked="0"/>
    </xf>
    <xf numFmtId="14" fontId="14" fillId="0" borderId="0" xfId="0" applyNumberFormat="1" applyFont="1" applyAlignment="1" applyProtection="1">
      <alignment horizontal="left"/>
      <protection locked="0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lienne/Dropbox/TestData/Webinar/salaryinf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lienne/Dropbox/TestData/Webinar/advertisingbu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B1">
            <v>50000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26"/>
  <sheetViews>
    <sheetView workbookViewId="0">
      <selection activeCell="B9" sqref="B9"/>
    </sheetView>
  </sheetViews>
  <sheetFormatPr defaultRowHeight="12" x14ac:dyDescent="0.2"/>
  <cols>
    <col min="1" max="1" width="27.85546875" customWidth="1"/>
    <col min="2" max="2" width="15.28515625" customWidth="1"/>
    <col min="3" max="3" width="14.85546875" customWidth="1"/>
    <col min="4" max="4" width="9.140625" style="24"/>
  </cols>
  <sheetData>
    <row r="1" spans="1:4" x14ac:dyDescent="0.2">
      <c r="A1" s="1"/>
    </row>
    <row r="2" spans="1:4" x14ac:dyDescent="0.2">
      <c r="A2" s="1" t="s">
        <v>139</v>
      </c>
    </row>
    <row r="3" spans="1:4" x14ac:dyDescent="0.2">
      <c r="A3" s="1"/>
    </row>
    <row r="5" spans="1:4" x14ac:dyDescent="0.2">
      <c r="A5" s="1" t="s">
        <v>140</v>
      </c>
    </row>
    <row r="6" spans="1:4" x14ac:dyDescent="0.2">
      <c r="A6" s="1"/>
    </row>
    <row r="7" spans="1:4" x14ac:dyDescent="0.2">
      <c r="A7" s="33" t="s">
        <v>86</v>
      </c>
      <c r="B7" s="20" t="s">
        <v>46</v>
      </c>
      <c r="C7" s="20" t="s">
        <v>47</v>
      </c>
    </row>
    <row r="8" spans="1:4" x14ac:dyDescent="0.2">
      <c r="A8" t="s">
        <v>15</v>
      </c>
      <c r="B8" s="40">
        <v>40000</v>
      </c>
      <c r="C8" s="41"/>
    </row>
    <row r="9" spans="1:4" x14ac:dyDescent="0.2">
      <c r="A9" t="s">
        <v>10</v>
      </c>
      <c r="B9" s="40">
        <v>100000</v>
      </c>
      <c r="C9" s="42">
        <v>20</v>
      </c>
      <c r="D9" s="24" t="s">
        <v>48</v>
      </c>
    </row>
    <row r="10" spans="1:4" x14ac:dyDescent="0.2">
      <c r="A10" t="s">
        <v>8</v>
      </c>
      <c r="B10" s="40">
        <v>10000</v>
      </c>
      <c r="C10" s="42">
        <v>7</v>
      </c>
      <c r="D10" s="24" t="s">
        <v>48</v>
      </c>
    </row>
    <row r="11" spans="1:4" x14ac:dyDescent="0.2">
      <c r="A11" t="s">
        <v>7</v>
      </c>
      <c r="B11" s="40">
        <v>25000</v>
      </c>
      <c r="C11" s="42">
        <v>5</v>
      </c>
      <c r="D11" s="24" t="s">
        <v>48</v>
      </c>
    </row>
    <row r="12" spans="1:4" x14ac:dyDescent="0.2">
      <c r="A12" t="s">
        <v>6</v>
      </c>
      <c r="B12" s="40">
        <v>0</v>
      </c>
      <c r="C12" s="42">
        <v>5</v>
      </c>
      <c r="D12" s="24" t="s">
        <v>48</v>
      </c>
    </row>
    <row r="13" spans="1:4" x14ac:dyDescent="0.2">
      <c r="A13" t="s">
        <v>4</v>
      </c>
      <c r="B13" s="40">
        <v>0</v>
      </c>
      <c r="C13" s="42"/>
    </row>
    <row r="14" spans="1:4" x14ac:dyDescent="0.2">
      <c r="A14" t="s">
        <v>5</v>
      </c>
      <c r="B14" s="40">
        <v>1000</v>
      </c>
      <c r="C14" s="42"/>
    </row>
    <row r="15" spans="1:4" x14ac:dyDescent="0.2">
      <c r="A15" t="s">
        <v>12</v>
      </c>
      <c r="B15" s="40">
        <v>0</v>
      </c>
      <c r="C15" s="42"/>
    </row>
    <row r="16" spans="1:4" x14ac:dyDescent="0.2">
      <c r="A16" t="s">
        <v>11</v>
      </c>
      <c r="B16" s="40">
        <v>0</v>
      </c>
      <c r="C16" s="42"/>
    </row>
    <row r="17" spans="1:4" x14ac:dyDescent="0.2">
      <c r="A17" t="s">
        <v>1</v>
      </c>
      <c r="B17" s="40">
        <v>0</v>
      </c>
      <c r="C17" s="42"/>
    </row>
    <row r="18" spans="1:4" x14ac:dyDescent="0.2">
      <c r="A18" t="s">
        <v>0</v>
      </c>
      <c r="B18" s="40">
        <v>80000</v>
      </c>
      <c r="C18" s="42"/>
    </row>
    <row r="19" spans="1:4" x14ac:dyDescent="0.2">
      <c r="A19" t="s">
        <v>108</v>
      </c>
      <c r="B19" s="40">
        <v>0</v>
      </c>
      <c r="C19" s="42"/>
    </row>
    <row r="20" spans="1:4" x14ac:dyDescent="0.2">
      <c r="A20" t="s">
        <v>2</v>
      </c>
      <c r="B20" s="40">
        <v>0</v>
      </c>
      <c r="C20" s="42"/>
    </row>
    <row r="21" spans="1:4" x14ac:dyDescent="0.2">
      <c r="A21" t="s">
        <v>3</v>
      </c>
      <c r="B21" s="40">
        <v>0</v>
      </c>
      <c r="C21" s="42"/>
    </row>
    <row r="22" spans="1:4" x14ac:dyDescent="0.2">
      <c r="A22" t="s">
        <v>9</v>
      </c>
      <c r="B22" s="40">
        <v>0</v>
      </c>
      <c r="C22" s="42">
        <v>5</v>
      </c>
      <c r="D22" s="24" t="s">
        <v>48</v>
      </c>
    </row>
    <row r="23" spans="1:4" x14ac:dyDescent="0.2">
      <c r="A23" t="s">
        <v>13</v>
      </c>
      <c r="B23" s="43">
        <v>0</v>
      </c>
      <c r="C23" s="41"/>
    </row>
    <row r="24" spans="1:4" ht="12.75" thickBot="1" x14ac:dyDescent="0.25">
      <c r="A24" s="1" t="s">
        <v>14</v>
      </c>
      <c r="B24" s="10">
        <f>SUM(B8:B23)</f>
        <v>256000</v>
      </c>
    </row>
    <row r="25" spans="1:4" ht="12.75" thickTop="1" x14ac:dyDescent="0.2"/>
    <row r="26" spans="1:4" x14ac:dyDescent="0.2">
      <c r="B26" s="3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4"/>
  <sheetViews>
    <sheetView workbookViewId="0">
      <selection activeCell="B22" sqref="B22"/>
    </sheetView>
  </sheetViews>
  <sheetFormatPr defaultRowHeight="12" x14ac:dyDescent="0.2"/>
  <cols>
    <col min="1" max="1" width="46.140625" customWidth="1"/>
    <col min="2" max="2" width="16.42578125" style="2" customWidth="1"/>
    <col min="3" max="3" width="4.28515625" customWidth="1"/>
    <col min="4" max="4" width="14.7109375" customWidth="1"/>
    <col min="5" max="5" width="14.42578125" customWidth="1"/>
  </cols>
  <sheetData>
    <row r="1" spans="1:5" x14ac:dyDescent="0.2">
      <c r="A1" s="1"/>
    </row>
    <row r="2" spans="1:5" x14ac:dyDescent="0.2">
      <c r="A2" s="1" t="s">
        <v>109</v>
      </c>
    </row>
    <row r="5" spans="1:5" x14ac:dyDescent="0.2">
      <c r="A5" s="11" t="s">
        <v>113</v>
      </c>
      <c r="B5" s="12"/>
    </row>
    <row r="6" spans="1:5" x14ac:dyDescent="0.2">
      <c r="A6" s="13" t="s">
        <v>141</v>
      </c>
      <c r="B6" s="14">
        <f>'Required Funds'!B24-'Required Funds'!B9-'Required Funds'!B16</f>
        <v>156000</v>
      </c>
    </row>
    <row r="7" spans="1:5" x14ac:dyDescent="0.2">
      <c r="A7" s="13" t="s">
        <v>19</v>
      </c>
      <c r="B7" s="15">
        <f>'Required Funds'!B9+'Required Funds'!B16</f>
        <v>100000</v>
      </c>
    </row>
    <row r="8" spans="1:5" x14ac:dyDescent="0.2">
      <c r="A8" s="16" t="s">
        <v>14</v>
      </c>
      <c r="B8" s="17">
        <f>SUM(B6:B7)</f>
        <v>256000</v>
      </c>
    </row>
    <row r="11" spans="1:5" x14ac:dyDescent="0.2">
      <c r="A11" s="1" t="s">
        <v>16</v>
      </c>
      <c r="E11" s="4"/>
    </row>
    <row r="12" spans="1:5" x14ac:dyDescent="0.2">
      <c r="A12" t="s">
        <v>23</v>
      </c>
      <c r="B12" s="44">
        <v>0</v>
      </c>
    </row>
    <row r="13" spans="1:5" x14ac:dyDescent="0.2">
      <c r="A13" t="s">
        <v>24</v>
      </c>
      <c r="B13" s="4">
        <f>B8*0.2</f>
        <v>51200</v>
      </c>
    </row>
    <row r="14" spans="1:5" x14ac:dyDescent="0.2">
      <c r="A14" t="s">
        <v>25</v>
      </c>
      <c r="B14" s="7">
        <f>IF(B12=0,0,B12/B8)</f>
        <v>0</v>
      </c>
    </row>
    <row r="15" spans="1:5" x14ac:dyDescent="0.2">
      <c r="B15" s="7"/>
    </row>
    <row r="17" spans="1:4" x14ac:dyDescent="0.2">
      <c r="A17" s="1" t="s">
        <v>114</v>
      </c>
      <c r="B17" s="4">
        <f>B8-B12</f>
        <v>256000</v>
      </c>
    </row>
    <row r="18" spans="1:4" x14ac:dyDescent="0.2">
      <c r="A18" s="1"/>
    </row>
    <row r="20" spans="1:4" x14ac:dyDescent="0.2">
      <c r="A20" s="1" t="s">
        <v>17</v>
      </c>
    </row>
    <row r="21" spans="1:4" x14ac:dyDescent="0.2">
      <c r="A21" t="s">
        <v>18</v>
      </c>
      <c r="B21" s="44">
        <f>B6-(B12-(B7-B26))</f>
        <v>176000</v>
      </c>
    </row>
    <row r="22" spans="1:4" x14ac:dyDescent="0.2">
      <c r="A22" t="s">
        <v>20</v>
      </c>
      <c r="B22" s="45">
        <v>0.1</v>
      </c>
    </row>
    <row r="23" spans="1:4" x14ac:dyDescent="0.2">
      <c r="A23" t="s">
        <v>22</v>
      </c>
      <c r="B23" s="46">
        <v>84</v>
      </c>
    </row>
    <row r="24" spans="1:4" x14ac:dyDescent="0.2">
      <c r="A24" t="s">
        <v>115</v>
      </c>
      <c r="D24" s="3">
        <f>ABS(PMT(B22/12,B23,B21))</f>
        <v>2921.8083887319199</v>
      </c>
    </row>
    <row r="26" spans="1:4" x14ac:dyDescent="0.2">
      <c r="A26" t="s">
        <v>21</v>
      </c>
      <c r="B26" s="44">
        <f>B7*0.8</f>
        <v>80000</v>
      </c>
    </row>
    <row r="27" spans="1:4" x14ac:dyDescent="0.2">
      <c r="A27" t="s">
        <v>20</v>
      </c>
      <c r="B27" s="45">
        <v>0.09</v>
      </c>
    </row>
    <row r="28" spans="1:4" x14ac:dyDescent="0.2">
      <c r="A28" t="s">
        <v>22</v>
      </c>
      <c r="B28" s="46">
        <v>240</v>
      </c>
    </row>
    <row r="29" spans="1:4" x14ac:dyDescent="0.2">
      <c r="A29" t="s">
        <v>115</v>
      </c>
      <c r="D29" s="3">
        <f>ABS(PMT(B27/12,B28,B26))</f>
        <v>719.78076468013842</v>
      </c>
    </row>
    <row r="31" spans="1:4" ht="12.75" thickBot="1" x14ac:dyDescent="0.25">
      <c r="A31" s="1" t="s">
        <v>116</v>
      </c>
      <c r="D31" s="8">
        <f>D24+D29</f>
        <v>3641.5891534120583</v>
      </c>
    </row>
    <row r="32" spans="1:4" ht="12.75" thickTop="1" x14ac:dyDescent="0.2"/>
    <row r="34" spans="1:1" x14ac:dyDescent="0.2">
      <c r="A34" s="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7"/>
  <sheetViews>
    <sheetView topLeftCell="A10" workbookViewId="0">
      <selection activeCell="D20" sqref="D20"/>
    </sheetView>
  </sheetViews>
  <sheetFormatPr defaultRowHeight="12" x14ac:dyDescent="0.2"/>
  <cols>
    <col min="1" max="1" width="2.7109375" customWidth="1"/>
    <col min="2" max="2" width="31" customWidth="1"/>
    <col min="3" max="3" width="9" customWidth="1"/>
    <col min="4" max="5" width="18.7109375" customWidth="1"/>
    <col min="6" max="6" width="3.140625" customWidth="1"/>
    <col min="7" max="7" width="15.28515625" style="6" customWidth="1"/>
  </cols>
  <sheetData>
    <row r="1" spans="1:7" x14ac:dyDescent="0.2">
      <c r="A1" s="1">
        <f>'Required Funds'!A1</f>
        <v>0</v>
      </c>
    </row>
    <row r="2" spans="1:7" x14ac:dyDescent="0.2">
      <c r="A2" s="1" t="s">
        <v>111</v>
      </c>
      <c r="C2" s="1"/>
    </row>
    <row r="5" spans="1:7" x14ac:dyDescent="0.2">
      <c r="A5" s="1" t="s">
        <v>142</v>
      </c>
      <c r="C5" s="47">
        <v>5</v>
      </c>
    </row>
    <row r="7" spans="1:7" x14ac:dyDescent="0.2">
      <c r="A7" s="1" t="s">
        <v>0</v>
      </c>
      <c r="C7" s="1"/>
      <c r="D7" s="20" t="s">
        <v>27</v>
      </c>
      <c r="E7" s="20" t="s">
        <v>28</v>
      </c>
      <c r="G7" s="20" t="s">
        <v>143</v>
      </c>
    </row>
    <row r="8" spans="1:7" x14ac:dyDescent="0.2">
      <c r="B8" t="s">
        <v>82</v>
      </c>
      <c r="D8" s="40">
        <v>0</v>
      </c>
      <c r="E8" s="2">
        <f>D8*12</f>
        <v>0</v>
      </c>
      <c r="G8" s="39"/>
    </row>
    <row r="9" spans="1:7" x14ac:dyDescent="0.2">
      <c r="B9" t="s">
        <v>87</v>
      </c>
      <c r="D9" s="40">
        <f>[1]Sheet1!$B$1</f>
        <v>0</v>
      </c>
      <c r="E9" s="2">
        <f t="shared" ref="E9:E34" si="0">D9*12</f>
        <v>0</v>
      </c>
      <c r="G9" s="39"/>
    </row>
    <row r="10" spans="1:7" x14ac:dyDescent="0.2">
      <c r="B10" t="s">
        <v>88</v>
      </c>
      <c r="C10" s="45">
        <v>6.2E-2</v>
      </c>
      <c r="D10" s="32">
        <f>($D$8+$D$9)*C10</f>
        <v>0</v>
      </c>
      <c r="E10" s="2">
        <f t="shared" si="0"/>
        <v>0</v>
      </c>
      <c r="G10" s="49">
        <v>84900</v>
      </c>
    </row>
    <row r="11" spans="1:7" x14ac:dyDescent="0.2">
      <c r="B11" t="s">
        <v>89</v>
      </c>
      <c r="C11" s="45">
        <v>1.4500000000000001E-2</v>
      </c>
      <c r="D11" s="32">
        <f>($D$8+$D$9)*C11</f>
        <v>0</v>
      </c>
      <c r="E11" s="2">
        <f t="shared" si="0"/>
        <v>0</v>
      </c>
      <c r="G11" s="49"/>
    </row>
    <row r="12" spans="1:7" x14ac:dyDescent="0.2">
      <c r="B12" t="s">
        <v>90</v>
      </c>
      <c r="C12" s="45">
        <v>8.0000000000000002E-3</v>
      </c>
      <c r="D12" s="32">
        <f>C5*G12*C12/12</f>
        <v>23.333333333333332</v>
      </c>
      <c r="E12" s="2">
        <f t="shared" si="0"/>
        <v>280</v>
      </c>
      <c r="G12" s="49">
        <v>7000</v>
      </c>
    </row>
    <row r="13" spans="1:7" x14ac:dyDescent="0.2">
      <c r="B13" t="s">
        <v>91</v>
      </c>
      <c r="C13" s="45">
        <v>2.7E-2</v>
      </c>
      <c r="D13" s="32">
        <f>C5*C13*G13/12</f>
        <v>78.750000000000014</v>
      </c>
      <c r="E13" s="2">
        <f t="shared" si="0"/>
        <v>945.00000000000023</v>
      </c>
      <c r="G13" s="49">
        <v>7000</v>
      </c>
    </row>
    <row r="14" spans="1:7" x14ac:dyDescent="0.2">
      <c r="B14" t="s">
        <v>92</v>
      </c>
      <c r="D14" s="40">
        <v>0</v>
      </c>
      <c r="E14" s="2">
        <f t="shared" si="0"/>
        <v>0</v>
      </c>
      <c r="G14" s="39"/>
    </row>
    <row r="15" spans="1:7" ht="14.25" x14ac:dyDescent="0.35">
      <c r="B15" t="s">
        <v>93</v>
      </c>
      <c r="D15" s="48">
        <v>0</v>
      </c>
      <c r="E15" s="5">
        <f t="shared" si="0"/>
        <v>0</v>
      </c>
      <c r="G15" s="39"/>
    </row>
    <row r="16" spans="1:7" x14ac:dyDescent="0.2">
      <c r="A16" s="1" t="s">
        <v>26</v>
      </c>
      <c r="C16" s="1"/>
      <c r="D16" s="18">
        <f>SUM(D8:D15)</f>
        <v>102.08333333333334</v>
      </c>
      <c r="E16" s="18">
        <f t="shared" si="0"/>
        <v>1225</v>
      </c>
    </row>
    <row r="17" spans="1:5" x14ac:dyDescent="0.2">
      <c r="D17" s="2"/>
      <c r="E17" s="2"/>
    </row>
    <row r="18" spans="1:5" x14ac:dyDescent="0.2">
      <c r="A18" s="1" t="s">
        <v>29</v>
      </c>
      <c r="C18" s="1"/>
      <c r="D18" s="2"/>
      <c r="E18" s="2">
        <f t="shared" si="0"/>
        <v>0</v>
      </c>
    </row>
    <row r="19" spans="1:5" x14ac:dyDescent="0.2">
      <c r="B19" t="s">
        <v>15</v>
      </c>
      <c r="D19" s="40">
        <f>[2]Sheet1!$B$1</f>
        <v>50000</v>
      </c>
      <c r="E19" s="2">
        <f t="shared" si="0"/>
        <v>600000</v>
      </c>
    </row>
    <row r="20" spans="1:5" x14ac:dyDescent="0.2">
      <c r="B20" s="6" t="s">
        <v>94</v>
      </c>
      <c r="C20" s="6"/>
      <c r="D20" s="40">
        <v>10948</v>
      </c>
      <c r="E20" s="2">
        <f t="shared" si="0"/>
        <v>131376</v>
      </c>
    </row>
    <row r="21" spans="1:5" x14ac:dyDescent="0.2">
      <c r="B21" t="s">
        <v>95</v>
      </c>
      <c r="D21" s="40">
        <v>100</v>
      </c>
      <c r="E21" s="2">
        <f t="shared" si="0"/>
        <v>1200</v>
      </c>
    </row>
    <row r="22" spans="1:5" x14ac:dyDescent="0.2">
      <c r="B22" t="s">
        <v>96</v>
      </c>
      <c r="D22" s="40">
        <v>2943</v>
      </c>
      <c r="E22" s="2">
        <f t="shared" si="0"/>
        <v>35316</v>
      </c>
    </row>
    <row r="23" spans="1:5" x14ac:dyDescent="0.2">
      <c r="B23" t="s">
        <v>5</v>
      </c>
      <c r="D23" s="40">
        <v>0</v>
      </c>
      <c r="E23" s="2">
        <f t="shared" si="0"/>
        <v>0</v>
      </c>
    </row>
    <row r="24" spans="1:5" x14ac:dyDescent="0.2">
      <c r="B24" t="s">
        <v>97</v>
      </c>
      <c r="D24" s="40">
        <v>0</v>
      </c>
      <c r="E24" s="2">
        <f t="shared" si="0"/>
        <v>0</v>
      </c>
    </row>
    <row r="25" spans="1:5" x14ac:dyDescent="0.2">
      <c r="B25" t="s">
        <v>98</v>
      </c>
      <c r="D25" s="40">
        <v>0</v>
      </c>
      <c r="E25" s="2">
        <f t="shared" si="0"/>
        <v>0</v>
      </c>
    </row>
    <row r="26" spans="1:5" x14ac:dyDescent="0.2">
      <c r="B26" t="s">
        <v>99</v>
      </c>
      <c r="D26" s="40">
        <v>0</v>
      </c>
      <c r="E26" s="2">
        <f t="shared" si="0"/>
        <v>0</v>
      </c>
    </row>
    <row r="27" spans="1:5" x14ac:dyDescent="0.2">
      <c r="B27" t="s">
        <v>100</v>
      </c>
      <c r="D27" s="40">
        <v>0</v>
      </c>
      <c r="E27" s="2">
        <f t="shared" si="0"/>
        <v>0</v>
      </c>
    </row>
    <row r="28" spans="1:5" x14ac:dyDescent="0.2">
      <c r="B28" t="s">
        <v>101</v>
      </c>
      <c r="D28" s="40">
        <v>0</v>
      </c>
      <c r="E28" s="2">
        <f t="shared" si="0"/>
        <v>0</v>
      </c>
    </row>
    <row r="29" spans="1:5" x14ac:dyDescent="0.2">
      <c r="B29" t="s">
        <v>2</v>
      </c>
      <c r="D29" s="40">
        <v>0</v>
      </c>
      <c r="E29" s="2">
        <f t="shared" si="0"/>
        <v>0</v>
      </c>
    </row>
    <row r="30" spans="1:5" x14ac:dyDescent="0.2">
      <c r="B30" t="s">
        <v>102</v>
      </c>
      <c r="D30" s="40">
        <v>0</v>
      </c>
      <c r="E30" s="2">
        <f t="shared" si="0"/>
        <v>0</v>
      </c>
    </row>
    <row r="31" spans="1:5" x14ac:dyDescent="0.2">
      <c r="B31" t="s">
        <v>103</v>
      </c>
      <c r="D31" s="40">
        <v>0</v>
      </c>
      <c r="E31" s="2">
        <f t="shared" si="0"/>
        <v>0</v>
      </c>
    </row>
    <row r="32" spans="1:5" x14ac:dyDescent="0.2">
      <c r="B32" t="s">
        <v>104</v>
      </c>
      <c r="D32" s="40">
        <v>0</v>
      </c>
      <c r="E32" s="2">
        <f t="shared" si="0"/>
        <v>0</v>
      </c>
    </row>
    <row r="33" spans="1:5" ht="14.25" x14ac:dyDescent="0.35">
      <c r="B33" t="s">
        <v>105</v>
      </c>
      <c r="D33" s="48">
        <v>0</v>
      </c>
      <c r="E33" s="5">
        <f t="shared" si="0"/>
        <v>0</v>
      </c>
    </row>
    <row r="34" spans="1:5" x14ac:dyDescent="0.2">
      <c r="A34" s="1" t="s">
        <v>30</v>
      </c>
      <c r="C34" s="1"/>
      <c r="D34" s="18">
        <f>SUM(D19:D33)</f>
        <v>63991</v>
      </c>
      <c r="E34" s="18">
        <f t="shared" si="0"/>
        <v>767892</v>
      </c>
    </row>
    <row r="36" spans="1:5" ht="12.75" thickBot="1" x14ac:dyDescent="0.25">
      <c r="A36" s="1" t="s">
        <v>31</v>
      </c>
      <c r="D36" s="19">
        <f>D16+D34</f>
        <v>64093.083333333336</v>
      </c>
      <c r="E36" s="19">
        <f>E16+E34</f>
        <v>769117</v>
      </c>
    </row>
    <row r="37" spans="1:5" ht="12.75" thickTop="1" x14ac:dyDescent="0.2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21"/>
  <sheetViews>
    <sheetView workbookViewId="0">
      <selection activeCell="B9" sqref="B9"/>
    </sheetView>
  </sheetViews>
  <sheetFormatPr defaultRowHeight="12" x14ac:dyDescent="0.2"/>
  <cols>
    <col min="1" max="1" width="19.85546875" customWidth="1"/>
    <col min="2" max="2" width="18.42578125" customWidth="1"/>
    <col min="3" max="3" width="10.42578125" customWidth="1"/>
    <col min="4" max="4" width="22.28515625" customWidth="1"/>
  </cols>
  <sheetData>
    <row r="1" spans="1:2" x14ac:dyDescent="0.2">
      <c r="A1" s="1"/>
    </row>
    <row r="2" spans="1:2" x14ac:dyDescent="0.2">
      <c r="A2" s="1" t="s">
        <v>110</v>
      </c>
      <c r="B2" s="1"/>
    </row>
    <row r="5" spans="1:2" x14ac:dyDescent="0.2">
      <c r="A5" s="1" t="s">
        <v>44</v>
      </c>
    </row>
    <row r="7" spans="1:2" x14ac:dyDescent="0.2">
      <c r="A7" s="23"/>
      <c r="B7" s="20"/>
    </row>
    <row r="8" spans="1:2" x14ac:dyDescent="0.2">
      <c r="A8" s="50" t="s">
        <v>32</v>
      </c>
      <c r="B8" s="40">
        <v>10000</v>
      </c>
    </row>
    <row r="9" spans="1:2" x14ac:dyDescent="0.2">
      <c r="A9" s="50" t="s">
        <v>33</v>
      </c>
      <c r="B9" s="40">
        <v>10000</v>
      </c>
    </row>
    <row r="10" spans="1:2" x14ac:dyDescent="0.2">
      <c r="A10" s="50" t="s">
        <v>34</v>
      </c>
      <c r="B10" s="40">
        <v>10000</v>
      </c>
    </row>
    <row r="11" spans="1:2" x14ac:dyDescent="0.2">
      <c r="A11" s="50" t="s">
        <v>35</v>
      </c>
      <c r="B11" s="40">
        <v>15000</v>
      </c>
    </row>
    <row r="12" spans="1:2" x14ac:dyDescent="0.2">
      <c r="A12" s="50" t="s">
        <v>36</v>
      </c>
      <c r="B12" s="40">
        <v>15000</v>
      </c>
    </row>
    <row r="13" spans="1:2" x14ac:dyDescent="0.2">
      <c r="A13" s="50" t="s">
        <v>37</v>
      </c>
      <c r="B13" s="40">
        <v>15000</v>
      </c>
    </row>
    <row r="14" spans="1:2" x14ac:dyDescent="0.2">
      <c r="A14" s="50" t="s">
        <v>38</v>
      </c>
      <c r="B14" s="40">
        <v>15000</v>
      </c>
    </row>
    <row r="15" spans="1:2" x14ac:dyDescent="0.2">
      <c r="A15" s="50" t="s">
        <v>39</v>
      </c>
      <c r="B15" s="40">
        <v>15000</v>
      </c>
    </row>
    <row r="16" spans="1:2" x14ac:dyDescent="0.2">
      <c r="A16" s="50" t="s">
        <v>40</v>
      </c>
      <c r="B16" s="40">
        <v>15000</v>
      </c>
    </row>
    <row r="17" spans="1:2" x14ac:dyDescent="0.2">
      <c r="A17" s="50" t="s">
        <v>41</v>
      </c>
      <c r="B17" s="40">
        <v>15000</v>
      </c>
    </row>
    <row r="18" spans="1:2" x14ac:dyDescent="0.2">
      <c r="A18" s="50" t="s">
        <v>42</v>
      </c>
      <c r="B18" s="40">
        <v>15000</v>
      </c>
    </row>
    <row r="19" spans="1:2" x14ac:dyDescent="0.2">
      <c r="A19" s="50" t="s">
        <v>43</v>
      </c>
      <c r="B19" s="40">
        <v>15000</v>
      </c>
    </row>
    <row r="20" spans="1:2" ht="12.75" thickBot="1" x14ac:dyDescent="0.25">
      <c r="A20" s="1" t="s">
        <v>45</v>
      </c>
      <c r="B20" s="22">
        <f>SUM(B8:B19)</f>
        <v>165000</v>
      </c>
    </row>
    <row r="21" spans="1:2" ht="12.75" thickTop="1" x14ac:dyDescent="0.2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44"/>
  <sheetViews>
    <sheetView workbookViewId="0">
      <selection activeCell="C20" sqref="C20"/>
    </sheetView>
  </sheetViews>
  <sheetFormatPr defaultRowHeight="12" x14ac:dyDescent="0.2"/>
  <cols>
    <col min="1" max="1" width="23.5703125" customWidth="1"/>
    <col min="2" max="2" width="18.42578125" customWidth="1"/>
    <col min="3" max="3" width="21" customWidth="1"/>
    <col min="4" max="4" width="17" customWidth="1"/>
  </cols>
  <sheetData>
    <row r="1" spans="1:2" x14ac:dyDescent="0.2">
      <c r="A1" s="1">
        <f>'Required Funds'!A1</f>
        <v>0</v>
      </c>
    </row>
    <row r="2" spans="1:2" x14ac:dyDescent="0.2">
      <c r="A2" s="1" t="s">
        <v>117</v>
      </c>
    </row>
    <row r="3" spans="1:2" x14ac:dyDescent="0.2">
      <c r="A3" s="37" t="s">
        <v>112</v>
      </c>
      <c r="B3" s="51">
        <v>37256</v>
      </c>
    </row>
    <row r="4" spans="1:2" x14ac:dyDescent="0.2">
      <c r="B4" s="36"/>
    </row>
    <row r="6" spans="1:2" x14ac:dyDescent="0.2">
      <c r="A6" s="1" t="s">
        <v>49</v>
      </c>
    </row>
    <row r="8" spans="1:2" x14ac:dyDescent="0.2">
      <c r="A8" s="1" t="s">
        <v>72</v>
      </c>
    </row>
    <row r="9" spans="1:2" x14ac:dyDescent="0.2">
      <c r="A9" t="s">
        <v>50</v>
      </c>
      <c r="B9" s="40">
        <v>2749</v>
      </c>
    </row>
    <row r="10" spans="1:2" x14ac:dyDescent="0.2">
      <c r="A10" t="s">
        <v>51</v>
      </c>
      <c r="B10" s="40">
        <v>235</v>
      </c>
    </row>
    <row r="11" spans="1:2" x14ac:dyDescent="0.2">
      <c r="A11" t="s">
        <v>52</v>
      </c>
      <c r="B11" s="40">
        <v>34</v>
      </c>
    </row>
    <row r="12" spans="1:2" x14ac:dyDescent="0.2">
      <c r="A12" t="s">
        <v>53</v>
      </c>
      <c r="B12" s="40">
        <v>1038</v>
      </c>
    </row>
    <row r="13" spans="1:2" x14ac:dyDescent="0.2">
      <c r="A13" t="s">
        <v>54</v>
      </c>
      <c r="B13" s="40">
        <v>356</v>
      </c>
    </row>
    <row r="14" spans="1:2" x14ac:dyDescent="0.2">
      <c r="A14" t="s">
        <v>55</v>
      </c>
      <c r="B14" s="40">
        <v>23</v>
      </c>
    </row>
    <row r="15" spans="1:2" x14ac:dyDescent="0.2">
      <c r="A15" s="6" t="s">
        <v>56</v>
      </c>
      <c r="B15" s="40">
        <v>0</v>
      </c>
    </row>
    <row r="16" spans="1:2" x14ac:dyDescent="0.2">
      <c r="A16" s="6" t="s">
        <v>57</v>
      </c>
      <c r="B16" s="40">
        <v>0</v>
      </c>
    </row>
    <row r="17" spans="1:2" x14ac:dyDescent="0.2">
      <c r="A17" s="6" t="s">
        <v>58</v>
      </c>
      <c r="B17" s="40">
        <v>0</v>
      </c>
    </row>
    <row r="18" spans="1:2" x14ac:dyDescent="0.2">
      <c r="A18" s="6" t="s">
        <v>59</v>
      </c>
      <c r="B18" s="40">
        <v>0</v>
      </c>
    </row>
    <row r="19" spans="1:2" x14ac:dyDescent="0.2">
      <c r="A19" s="6" t="s">
        <v>60</v>
      </c>
      <c r="B19" s="40">
        <v>0</v>
      </c>
    </row>
    <row r="20" spans="1:2" x14ac:dyDescent="0.2">
      <c r="A20" s="6" t="s">
        <v>71</v>
      </c>
      <c r="B20" s="40">
        <v>124</v>
      </c>
    </row>
    <row r="21" spans="1:2" ht="12.75" thickBot="1" x14ac:dyDescent="0.25">
      <c r="A21" s="1" t="s">
        <v>61</v>
      </c>
      <c r="B21" s="10">
        <f>SUM(B9:B19)-B20</f>
        <v>4311</v>
      </c>
    </row>
    <row r="22" spans="1:2" ht="12.75" thickTop="1" x14ac:dyDescent="0.2">
      <c r="B22" s="2"/>
    </row>
    <row r="23" spans="1:2" x14ac:dyDescent="0.2">
      <c r="B23" s="2"/>
    </row>
    <row r="24" spans="1:2" x14ac:dyDescent="0.2">
      <c r="A24" s="1" t="s">
        <v>70</v>
      </c>
      <c r="B24" s="2"/>
    </row>
    <row r="25" spans="1:2" x14ac:dyDescent="0.2">
      <c r="B25" s="2"/>
    </row>
    <row r="26" spans="1:2" x14ac:dyDescent="0.2">
      <c r="A26" s="1" t="s">
        <v>73</v>
      </c>
      <c r="B26" s="2"/>
    </row>
    <row r="27" spans="1:2" x14ac:dyDescent="0.2">
      <c r="A27" t="s">
        <v>62</v>
      </c>
      <c r="B27" s="40">
        <v>0</v>
      </c>
    </row>
    <row r="28" spans="1:2" x14ac:dyDescent="0.2">
      <c r="A28" t="s">
        <v>63</v>
      </c>
      <c r="B28" s="40">
        <v>0</v>
      </c>
    </row>
    <row r="29" spans="1:2" x14ac:dyDescent="0.2">
      <c r="A29" t="s">
        <v>64</v>
      </c>
      <c r="B29" s="40">
        <v>0</v>
      </c>
    </row>
    <row r="30" spans="1:2" ht="14.25" x14ac:dyDescent="0.35">
      <c r="A30" t="s">
        <v>65</v>
      </c>
      <c r="B30" s="48">
        <v>0</v>
      </c>
    </row>
    <row r="31" spans="1:2" x14ac:dyDescent="0.2">
      <c r="A31" s="1" t="s">
        <v>66</v>
      </c>
      <c r="B31" s="18">
        <f>SUM(B27:B30)</f>
        <v>0</v>
      </c>
    </row>
    <row r="32" spans="1:2" x14ac:dyDescent="0.2">
      <c r="A32" s="1"/>
      <c r="B32" s="2"/>
    </row>
    <row r="33" spans="1:3" x14ac:dyDescent="0.2">
      <c r="A33" s="1"/>
      <c r="B33" s="2"/>
    </row>
    <row r="34" spans="1:3" x14ac:dyDescent="0.2">
      <c r="A34" s="1" t="s">
        <v>74</v>
      </c>
      <c r="B34" s="2"/>
    </row>
    <row r="35" spans="1:3" x14ac:dyDescent="0.2">
      <c r="B35" s="2"/>
    </row>
    <row r="36" spans="1:3" x14ac:dyDescent="0.2">
      <c r="A36" s="1" t="s">
        <v>76</v>
      </c>
      <c r="B36" s="2"/>
    </row>
    <row r="37" spans="1:3" x14ac:dyDescent="0.2">
      <c r="A37" t="s">
        <v>67</v>
      </c>
      <c r="B37" s="40">
        <v>0</v>
      </c>
    </row>
    <row r="38" spans="1:3" ht="14.25" x14ac:dyDescent="0.35">
      <c r="A38" t="s">
        <v>68</v>
      </c>
      <c r="B38" s="48">
        <v>0</v>
      </c>
    </row>
    <row r="39" spans="1:3" x14ac:dyDescent="0.2">
      <c r="A39" s="1" t="s">
        <v>69</v>
      </c>
      <c r="B39" s="18">
        <f>SUM(B37:B38)</f>
        <v>0</v>
      </c>
    </row>
    <row r="40" spans="1:3" x14ac:dyDescent="0.2">
      <c r="B40" s="2"/>
    </row>
    <row r="41" spans="1:3" ht="12.75" thickBot="1" x14ac:dyDescent="0.25">
      <c r="A41" s="1" t="s">
        <v>75</v>
      </c>
      <c r="B41" s="10">
        <f>B31+B39</f>
        <v>0</v>
      </c>
    </row>
    <row r="42" spans="1:3" ht="12.75" thickTop="1" x14ac:dyDescent="0.2"/>
    <row r="44" spans="1:3" x14ac:dyDescent="0.2">
      <c r="A44" s="9" t="s">
        <v>77</v>
      </c>
      <c r="B44" s="25">
        <f>B21-B41</f>
        <v>4311</v>
      </c>
      <c r="C44" s="9" t="s">
        <v>78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41"/>
  <sheetViews>
    <sheetView tabSelected="1" workbookViewId="0">
      <selection activeCell="C36" sqref="C36"/>
    </sheetView>
  </sheetViews>
  <sheetFormatPr defaultRowHeight="12" x14ac:dyDescent="0.2"/>
  <cols>
    <col min="1" max="1" width="2.7109375" style="1" customWidth="1"/>
    <col min="2" max="2" width="26" customWidth="1"/>
    <col min="3" max="15" width="10.7109375" customWidth="1"/>
  </cols>
  <sheetData>
    <row r="1" spans="1:15" x14ac:dyDescent="0.2">
      <c r="A1" s="1">
        <f>'Required Funds'!A1</f>
        <v>0</v>
      </c>
    </row>
    <row r="3" spans="1:15" x14ac:dyDescent="0.2">
      <c r="A3" s="26" t="s">
        <v>79</v>
      </c>
      <c r="B3" s="26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s="1" customFormat="1" x14ac:dyDescent="0.2">
      <c r="A4" s="27"/>
      <c r="B4" s="27"/>
      <c r="C4" s="28" t="str">
        <f>'Sales Forecast'!A8</f>
        <v>Month 1</v>
      </c>
      <c r="D4" s="28" t="str">
        <f>'Sales Forecast'!A9</f>
        <v>Month 2</v>
      </c>
      <c r="E4" s="28" t="str">
        <f>'Sales Forecast'!A10</f>
        <v>Month 3</v>
      </c>
      <c r="F4" s="28" t="str">
        <f>'Sales Forecast'!A11</f>
        <v>Month 4</v>
      </c>
      <c r="G4" s="28" t="str">
        <f>'Sales Forecast'!A12</f>
        <v>Month 5</v>
      </c>
      <c r="H4" s="28" t="str">
        <f>'Sales Forecast'!A13</f>
        <v>Month 6</v>
      </c>
      <c r="I4" s="28" t="str">
        <f>'Sales Forecast'!A14</f>
        <v>Month 7</v>
      </c>
      <c r="J4" s="28" t="str">
        <f>'Sales Forecast'!A15</f>
        <v>Month 8</v>
      </c>
      <c r="K4" s="28" t="str">
        <f>'Sales Forecast'!A16</f>
        <v>Month 9</v>
      </c>
      <c r="L4" s="28" t="str">
        <f>'Sales Forecast'!A17</f>
        <v>Month 10</v>
      </c>
      <c r="M4" s="28" t="str">
        <f>'Sales Forecast'!A18</f>
        <v>Month 11</v>
      </c>
      <c r="N4" s="28" t="str">
        <f>'Sales Forecast'!A19</f>
        <v>Month 12</v>
      </c>
      <c r="O4" s="28" t="s">
        <v>80</v>
      </c>
    </row>
    <row r="5" spans="1:15" s="1" customFormat="1" x14ac:dyDescent="0.2">
      <c r="A5" s="29"/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7" spans="1:15" x14ac:dyDescent="0.2">
      <c r="A7" s="1" t="s">
        <v>85</v>
      </c>
    </row>
    <row r="8" spans="1:15" x14ac:dyDescent="0.2">
      <c r="C8" s="2">
        <f>'Sales Forecast'!B8</f>
        <v>10000</v>
      </c>
      <c r="D8" s="2">
        <f>'Sales Forecast'!B9</f>
        <v>10000</v>
      </c>
      <c r="E8" s="2">
        <f>'Sales Forecast'!B10</f>
        <v>10000</v>
      </c>
      <c r="F8" s="2">
        <f>'Sales Forecast'!B11</f>
        <v>15000</v>
      </c>
      <c r="G8" s="2">
        <f>'Sales Forecast'!B12</f>
        <v>15000</v>
      </c>
      <c r="H8" s="2">
        <f>'Sales Forecast'!B13</f>
        <v>15000</v>
      </c>
      <c r="I8" s="2">
        <f>'Sales Forecast'!B14</f>
        <v>15000</v>
      </c>
      <c r="J8" s="2">
        <f>'Sales Forecast'!B15</f>
        <v>15000</v>
      </c>
      <c r="K8" s="2">
        <f>'Sales Forecast'!B16</f>
        <v>15000</v>
      </c>
      <c r="L8" s="2">
        <f>'Sales Forecast'!B17</f>
        <v>15000</v>
      </c>
      <c r="M8" s="2">
        <f>'Sales Forecast'!B18</f>
        <v>15000</v>
      </c>
      <c r="N8" s="2">
        <f>'Sales Forecast'!B19</f>
        <v>15000</v>
      </c>
      <c r="O8" s="2">
        <f>SUM(C8:N8)</f>
        <v>165000</v>
      </c>
    </row>
    <row r="9" spans="1:15" x14ac:dyDescent="0.2">
      <c r="A9" s="1" t="s">
        <v>81</v>
      </c>
      <c r="C9" s="31">
        <f t="shared" ref="C9:N9" si="0">SUM(C8:C8)</f>
        <v>10000</v>
      </c>
      <c r="D9" s="31">
        <f t="shared" si="0"/>
        <v>10000</v>
      </c>
      <c r="E9" s="31">
        <f t="shared" si="0"/>
        <v>10000</v>
      </c>
      <c r="F9" s="31">
        <f t="shared" si="0"/>
        <v>15000</v>
      </c>
      <c r="G9" s="31">
        <f t="shared" si="0"/>
        <v>15000</v>
      </c>
      <c r="H9" s="31">
        <f t="shared" si="0"/>
        <v>15000</v>
      </c>
      <c r="I9" s="31">
        <f t="shared" si="0"/>
        <v>15000</v>
      </c>
      <c r="J9" s="31">
        <f t="shared" si="0"/>
        <v>15000</v>
      </c>
      <c r="K9" s="31">
        <f t="shared" si="0"/>
        <v>15000</v>
      </c>
      <c r="L9" s="31">
        <f t="shared" si="0"/>
        <v>15000</v>
      </c>
      <c r="M9" s="31">
        <f t="shared" si="0"/>
        <v>15000</v>
      </c>
      <c r="N9" s="31">
        <f t="shared" si="0"/>
        <v>15000</v>
      </c>
      <c r="O9" s="31">
        <f>SUM(C9:N9)</f>
        <v>165000</v>
      </c>
    </row>
    <row r="12" spans="1:15" x14ac:dyDescent="0.2">
      <c r="A12" s="1" t="s">
        <v>84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">
      <c r="B13" t="str">
        <f>'Monthly Budget'!B8</f>
        <v>Owner's Compensation</v>
      </c>
      <c r="C13" s="2">
        <f>'Monthly Budget'!D8</f>
        <v>0</v>
      </c>
      <c r="D13" s="2">
        <f>C13</f>
        <v>0</v>
      </c>
      <c r="E13" s="2">
        <f t="shared" ref="E13:N13" si="1">D13</f>
        <v>0</v>
      </c>
      <c r="F13" s="2">
        <f t="shared" si="1"/>
        <v>0</v>
      </c>
      <c r="G13" s="2">
        <f t="shared" si="1"/>
        <v>0</v>
      </c>
      <c r="H13" s="2">
        <f t="shared" si="1"/>
        <v>0</v>
      </c>
      <c r="I13" s="2">
        <f t="shared" si="1"/>
        <v>0</v>
      </c>
      <c r="J13" s="2">
        <f t="shared" si="1"/>
        <v>0</v>
      </c>
      <c r="K13" s="2">
        <f t="shared" si="1"/>
        <v>0</v>
      </c>
      <c r="L13" s="2">
        <f t="shared" si="1"/>
        <v>0</v>
      </c>
      <c r="M13" s="2">
        <f t="shared" si="1"/>
        <v>0</v>
      </c>
      <c r="N13" s="2">
        <f t="shared" si="1"/>
        <v>0</v>
      </c>
      <c r="O13" s="2">
        <f t="shared" ref="O13:O18" si="2">SUM(C13:N13)</f>
        <v>0</v>
      </c>
    </row>
    <row r="14" spans="1:15" x14ac:dyDescent="0.2">
      <c r="B14" t="str">
        <f>'Monthly Budget'!B9</f>
        <v>Salaries</v>
      </c>
      <c r="C14" s="2">
        <f>'Monthly Budget'!D9</f>
        <v>0</v>
      </c>
      <c r="D14" s="2">
        <f t="shared" ref="D14:N17" si="3">C14</f>
        <v>0</v>
      </c>
      <c r="E14" s="2">
        <f t="shared" si="3"/>
        <v>0</v>
      </c>
      <c r="F14" s="2">
        <f t="shared" si="3"/>
        <v>0</v>
      </c>
      <c r="G14" s="2">
        <f t="shared" si="3"/>
        <v>0</v>
      </c>
      <c r="H14" s="2">
        <f t="shared" si="3"/>
        <v>0</v>
      </c>
      <c r="I14" s="2">
        <f t="shared" si="3"/>
        <v>0</v>
      </c>
      <c r="J14" s="2">
        <f t="shared" si="3"/>
        <v>0</v>
      </c>
      <c r="K14" s="2">
        <f t="shared" si="3"/>
        <v>0</v>
      </c>
      <c r="L14" s="2">
        <f t="shared" si="3"/>
        <v>0</v>
      </c>
      <c r="M14" s="2">
        <f t="shared" si="3"/>
        <v>0</v>
      </c>
      <c r="N14" s="2">
        <f t="shared" si="3"/>
        <v>0</v>
      </c>
      <c r="O14" s="2">
        <f t="shared" si="2"/>
        <v>0</v>
      </c>
    </row>
    <row r="15" spans="1:15" x14ac:dyDescent="0.2">
      <c r="B15" t="s">
        <v>106</v>
      </c>
      <c r="C15" s="2">
        <f>'Monthly Budget'!D10+'Monthly Budget'!D11+'Monthly Budget'!D12+'Monthly Budget'!D13</f>
        <v>102.08333333333334</v>
      </c>
      <c r="D15" s="2">
        <f t="shared" si="3"/>
        <v>102.08333333333334</v>
      </c>
      <c r="E15" s="2">
        <f t="shared" si="3"/>
        <v>102.08333333333334</v>
      </c>
      <c r="F15" s="2">
        <f t="shared" si="3"/>
        <v>102.08333333333334</v>
      </c>
      <c r="G15" s="2">
        <f t="shared" si="3"/>
        <v>102.08333333333334</v>
      </c>
      <c r="H15" s="2">
        <f t="shared" si="3"/>
        <v>102.08333333333334</v>
      </c>
      <c r="I15" s="2">
        <f t="shared" si="3"/>
        <v>102.08333333333334</v>
      </c>
      <c r="J15" s="2">
        <f t="shared" si="3"/>
        <v>102.08333333333334</v>
      </c>
      <c r="K15" s="2">
        <f t="shared" si="3"/>
        <v>102.08333333333334</v>
      </c>
      <c r="L15" s="2">
        <f t="shared" si="3"/>
        <v>102.08333333333334</v>
      </c>
      <c r="M15" s="2">
        <f t="shared" si="3"/>
        <v>102.08333333333334</v>
      </c>
      <c r="N15" s="2">
        <f t="shared" si="3"/>
        <v>102.08333333333334</v>
      </c>
      <c r="O15" s="2">
        <f t="shared" si="2"/>
        <v>1225.0000000000002</v>
      </c>
    </row>
    <row r="16" spans="1:15" x14ac:dyDescent="0.2">
      <c r="B16" t="str">
        <f>'Monthly Budget'!B14</f>
        <v>Worker's Compensation</v>
      </c>
      <c r="C16" s="2">
        <f>'Monthly Budget'!D14</f>
        <v>0</v>
      </c>
      <c r="D16" s="2">
        <f t="shared" si="3"/>
        <v>0</v>
      </c>
      <c r="E16" s="2">
        <f t="shared" si="3"/>
        <v>0</v>
      </c>
      <c r="F16" s="2">
        <f t="shared" si="3"/>
        <v>0</v>
      </c>
      <c r="G16" s="2">
        <f t="shared" si="3"/>
        <v>0</v>
      </c>
      <c r="H16" s="2">
        <f t="shared" si="3"/>
        <v>0</v>
      </c>
      <c r="I16" s="2">
        <f t="shared" si="3"/>
        <v>0</v>
      </c>
      <c r="J16" s="2">
        <f t="shared" si="3"/>
        <v>0</v>
      </c>
      <c r="K16" s="2">
        <f t="shared" si="3"/>
        <v>0</v>
      </c>
      <c r="L16" s="2">
        <f t="shared" si="3"/>
        <v>0</v>
      </c>
      <c r="M16" s="2">
        <f t="shared" si="3"/>
        <v>0</v>
      </c>
      <c r="N16" s="2">
        <f t="shared" si="3"/>
        <v>0</v>
      </c>
      <c r="O16" s="2">
        <f t="shared" si="2"/>
        <v>0</v>
      </c>
    </row>
    <row r="17" spans="1:15" ht="14.25" x14ac:dyDescent="0.35">
      <c r="B17" t="str">
        <f>'Monthly Budget'!B15</f>
        <v>Employee Benefit Programs</v>
      </c>
      <c r="C17" s="5">
        <f>'Monthly Budget'!D15</f>
        <v>0</v>
      </c>
      <c r="D17" s="5">
        <f t="shared" si="3"/>
        <v>0</v>
      </c>
      <c r="E17" s="5">
        <f t="shared" si="3"/>
        <v>0</v>
      </c>
      <c r="F17" s="5">
        <f t="shared" si="3"/>
        <v>0</v>
      </c>
      <c r="G17" s="5">
        <f t="shared" si="3"/>
        <v>0</v>
      </c>
      <c r="H17" s="5">
        <f t="shared" si="3"/>
        <v>0</v>
      </c>
      <c r="I17" s="5">
        <f t="shared" si="3"/>
        <v>0</v>
      </c>
      <c r="J17" s="5">
        <f t="shared" si="3"/>
        <v>0</v>
      </c>
      <c r="K17" s="5">
        <f t="shared" si="3"/>
        <v>0</v>
      </c>
      <c r="L17" s="5">
        <f t="shared" si="3"/>
        <v>0</v>
      </c>
      <c r="M17" s="5">
        <f t="shared" si="3"/>
        <v>0</v>
      </c>
      <c r="N17" s="5">
        <f t="shared" si="3"/>
        <v>0</v>
      </c>
      <c r="O17" s="5">
        <f t="shared" si="2"/>
        <v>0</v>
      </c>
    </row>
    <row r="18" spans="1:15" x14ac:dyDescent="0.2">
      <c r="A18" s="1" t="s">
        <v>26</v>
      </c>
      <c r="C18" s="2">
        <f>SUM(C13:C17)</f>
        <v>102.08333333333334</v>
      </c>
      <c r="D18" s="2">
        <f>SUM(D13:D17)</f>
        <v>102.08333333333334</v>
      </c>
      <c r="E18" s="2">
        <f t="shared" ref="E18:N18" si="4">SUM(E13:E17)</f>
        <v>102.08333333333334</v>
      </c>
      <c r="F18" s="2">
        <f t="shared" si="4"/>
        <v>102.08333333333334</v>
      </c>
      <c r="G18" s="2">
        <f t="shared" si="4"/>
        <v>102.08333333333334</v>
      </c>
      <c r="H18" s="2">
        <f t="shared" si="4"/>
        <v>102.08333333333334</v>
      </c>
      <c r="I18" s="2">
        <f t="shared" si="4"/>
        <v>102.08333333333334</v>
      </c>
      <c r="J18" s="2">
        <f t="shared" si="4"/>
        <v>102.08333333333334</v>
      </c>
      <c r="K18" s="2">
        <f t="shared" si="4"/>
        <v>102.08333333333334</v>
      </c>
      <c r="L18" s="2">
        <f t="shared" si="4"/>
        <v>102.08333333333334</v>
      </c>
      <c r="M18" s="2">
        <f t="shared" si="4"/>
        <v>102.08333333333334</v>
      </c>
      <c r="N18" s="2">
        <f t="shared" si="4"/>
        <v>102.08333333333334</v>
      </c>
      <c r="O18" s="2">
        <f t="shared" si="2"/>
        <v>1225.0000000000002</v>
      </c>
    </row>
    <row r="19" spans="1:15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">
      <c r="A20" s="1" t="s">
        <v>83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B21" t="str">
        <f>'Monthly Budget'!B19</f>
        <v>Advertising</v>
      </c>
      <c r="C21" s="2">
        <f>'Monthly Budget'!D19</f>
        <v>50000</v>
      </c>
      <c r="D21" s="2">
        <f>C21</f>
        <v>50000</v>
      </c>
      <c r="E21" s="2">
        <f t="shared" ref="E21:N21" si="5">D21</f>
        <v>50000</v>
      </c>
      <c r="F21" s="2">
        <f t="shared" si="5"/>
        <v>50000</v>
      </c>
      <c r="G21" s="2">
        <f t="shared" si="5"/>
        <v>50000</v>
      </c>
      <c r="H21" s="2">
        <f t="shared" si="5"/>
        <v>50000</v>
      </c>
      <c r="I21" s="2">
        <f t="shared" si="5"/>
        <v>50000</v>
      </c>
      <c r="J21" s="2">
        <f t="shared" si="5"/>
        <v>50000</v>
      </c>
      <c r="K21" s="2">
        <f t="shared" si="5"/>
        <v>50000</v>
      </c>
      <c r="L21" s="2">
        <f t="shared" si="5"/>
        <v>50000</v>
      </c>
      <c r="M21" s="2">
        <f t="shared" si="5"/>
        <v>50000</v>
      </c>
      <c r="N21" s="2">
        <f t="shared" si="5"/>
        <v>50000</v>
      </c>
      <c r="O21" s="2">
        <f>SUM(C21:N21)</f>
        <v>600000</v>
      </c>
    </row>
    <row r="22" spans="1:15" x14ac:dyDescent="0.2">
      <c r="B22" t="str">
        <f>'Monthly Budget'!B20</f>
        <v>Car and Truck Expenses</v>
      </c>
      <c r="C22" s="2">
        <f>'Monthly Budget'!D20</f>
        <v>10948</v>
      </c>
      <c r="D22" s="2">
        <f t="shared" ref="D22:N36" si="6">C22</f>
        <v>10948</v>
      </c>
      <c r="E22" s="2">
        <f t="shared" si="6"/>
        <v>10948</v>
      </c>
      <c r="F22" s="2">
        <f t="shared" si="6"/>
        <v>10948</v>
      </c>
      <c r="G22" s="2">
        <f t="shared" si="6"/>
        <v>10948</v>
      </c>
      <c r="H22" s="2">
        <f t="shared" si="6"/>
        <v>10948</v>
      </c>
      <c r="I22" s="2">
        <f t="shared" si="6"/>
        <v>10948</v>
      </c>
      <c r="J22" s="2">
        <f t="shared" si="6"/>
        <v>10948</v>
      </c>
      <c r="K22" s="2">
        <f t="shared" si="6"/>
        <v>10948</v>
      </c>
      <c r="L22" s="2">
        <f t="shared" si="6"/>
        <v>10948</v>
      </c>
      <c r="M22" s="2">
        <f t="shared" si="6"/>
        <v>10948</v>
      </c>
      <c r="N22" s="2">
        <f t="shared" si="6"/>
        <v>10948</v>
      </c>
      <c r="O22" s="2">
        <f t="shared" ref="O22:O37" si="7">SUM(C22:N22)</f>
        <v>131376</v>
      </c>
    </row>
    <row r="23" spans="1:15" x14ac:dyDescent="0.2">
      <c r="B23" t="str">
        <f>'Monthly Budget'!B21</f>
        <v>Credit Card Charges</v>
      </c>
      <c r="C23" s="2">
        <f>'Monthly Budget'!D21</f>
        <v>100</v>
      </c>
      <c r="D23" s="2">
        <f t="shared" si="6"/>
        <v>100</v>
      </c>
      <c r="E23" s="2">
        <f t="shared" si="6"/>
        <v>100</v>
      </c>
      <c r="F23" s="2">
        <f t="shared" si="6"/>
        <v>100</v>
      </c>
      <c r="G23" s="2">
        <f t="shared" si="6"/>
        <v>100</v>
      </c>
      <c r="H23" s="2">
        <f t="shared" si="6"/>
        <v>100</v>
      </c>
      <c r="I23" s="2">
        <f t="shared" si="6"/>
        <v>100</v>
      </c>
      <c r="J23" s="2">
        <f t="shared" si="6"/>
        <v>100</v>
      </c>
      <c r="K23" s="2">
        <f t="shared" si="6"/>
        <v>100</v>
      </c>
      <c r="L23" s="2">
        <f t="shared" si="6"/>
        <v>100</v>
      </c>
      <c r="M23" s="2">
        <f t="shared" si="6"/>
        <v>100</v>
      </c>
      <c r="N23" s="2">
        <f t="shared" si="6"/>
        <v>100</v>
      </c>
      <c r="O23" s="2">
        <f t="shared" si="7"/>
        <v>1200</v>
      </c>
    </row>
    <row r="24" spans="1:15" x14ac:dyDescent="0.2">
      <c r="B24" t="str">
        <f>'Monthly Budget'!B22</f>
        <v>Insurance</v>
      </c>
      <c r="C24" s="2">
        <f>'Monthly Budget'!D22</f>
        <v>2943</v>
      </c>
      <c r="D24" s="2">
        <f t="shared" si="6"/>
        <v>2943</v>
      </c>
      <c r="E24" s="2">
        <f t="shared" si="6"/>
        <v>2943</v>
      </c>
      <c r="F24" s="2">
        <f t="shared" si="6"/>
        <v>2943</v>
      </c>
      <c r="G24" s="2">
        <f t="shared" si="6"/>
        <v>2943</v>
      </c>
      <c r="H24" s="2">
        <f t="shared" si="6"/>
        <v>2943</v>
      </c>
      <c r="I24" s="2">
        <f t="shared" si="6"/>
        <v>2943</v>
      </c>
      <c r="J24" s="2">
        <f t="shared" si="6"/>
        <v>2943</v>
      </c>
      <c r="K24" s="2">
        <f t="shared" si="6"/>
        <v>2943</v>
      </c>
      <c r="L24" s="2">
        <f t="shared" si="6"/>
        <v>2943</v>
      </c>
      <c r="M24" s="2">
        <f t="shared" si="6"/>
        <v>2943</v>
      </c>
      <c r="N24" s="2">
        <f t="shared" si="6"/>
        <v>2943</v>
      </c>
      <c r="O24" s="2">
        <f t="shared" si="7"/>
        <v>35316</v>
      </c>
    </row>
    <row r="25" spans="1:15" x14ac:dyDescent="0.2">
      <c r="B25" t="str">
        <f>'Monthly Budget'!B23</f>
        <v>Legal and Accounting Fees</v>
      </c>
      <c r="C25" s="2">
        <f>'Monthly Budget'!D23</f>
        <v>0</v>
      </c>
      <c r="D25" s="2">
        <f t="shared" si="6"/>
        <v>0</v>
      </c>
      <c r="E25" s="2">
        <f t="shared" si="6"/>
        <v>0</v>
      </c>
      <c r="F25" s="2">
        <f t="shared" si="6"/>
        <v>0</v>
      </c>
      <c r="G25" s="2">
        <f t="shared" si="6"/>
        <v>0</v>
      </c>
      <c r="H25" s="2">
        <f t="shared" si="6"/>
        <v>0</v>
      </c>
      <c r="I25" s="2">
        <f t="shared" si="6"/>
        <v>0</v>
      </c>
      <c r="J25" s="2">
        <f t="shared" si="6"/>
        <v>0</v>
      </c>
      <c r="K25" s="2">
        <f t="shared" si="6"/>
        <v>0</v>
      </c>
      <c r="L25" s="2">
        <f t="shared" si="6"/>
        <v>0</v>
      </c>
      <c r="M25" s="2">
        <f t="shared" si="6"/>
        <v>0</v>
      </c>
      <c r="N25" s="2">
        <f t="shared" si="6"/>
        <v>0</v>
      </c>
      <c r="O25" s="2">
        <f t="shared" si="7"/>
        <v>0</v>
      </c>
    </row>
    <row r="26" spans="1:15" x14ac:dyDescent="0.2">
      <c r="B26" t="str">
        <f>'Monthly Budget'!B24</f>
        <v>Office Expenses</v>
      </c>
      <c r="C26" s="2">
        <f>'Monthly Budget'!D24</f>
        <v>0</v>
      </c>
      <c r="D26" s="2">
        <f t="shared" si="6"/>
        <v>0</v>
      </c>
      <c r="E26" s="2">
        <f t="shared" si="6"/>
        <v>0</v>
      </c>
      <c r="F26" s="2">
        <f t="shared" si="6"/>
        <v>0</v>
      </c>
      <c r="G26" s="2">
        <f t="shared" si="6"/>
        <v>0</v>
      </c>
      <c r="H26" s="2">
        <f t="shared" si="6"/>
        <v>0</v>
      </c>
      <c r="I26" s="2">
        <f t="shared" si="6"/>
        <v>0</v>
      </c>
      <c r="J26" s="2">
        <f t="shared" si="6"/>
        <v>0</v>
      </c>
      <c r="K26" s="2">
        <f t="shared" si="6"/>
        <v>0</v>
      </c>
      <c r="L26" s="2">
        <f t="shared" si="6"/>
        <v>0</v>
      </c>
      <c r="M26" s="2">
        <f t="shared" si="6"/>
        <v>0</v>
      </c>
      <c r="N26" s="2">
        <f t="shared" si="6"/>
        <v>0</v>
      </c>
      <c r="O26" s="2">
        <f t="shared" si="7"/>
        <v>0</v>
      </c>
    </row>
    <row r="27" spans="1:15" x14ac:dyDescent="0.2">
      <c r="B27" t="str">
        <f>'Monthly Budget'!B25</f>
        <v>Postage and Shipping</v>
      </c>
      <c r="C27" s="2">
        <f>'Monthly Budget'!D25</f>
        <v>0</v>
      </c>
      <c r="D27" s="2">
        <f t="shared" si="6"/>
        <v>0</v>
      </c>
      <c r="E27" s="2">
        <f t="shared" si="6"/>
        <v>0</v>
      </c>
      <c r="F27" s="2">
        <f t="shared" si="6"/>
        <v>0</v>
      </c>
      <c r="G27" s="2">
        <f t="shared" si="6"/>
        <v>0</v>
      </c>
      <c r="H27" s="2">
        <f t="shared" si="6"/>
        <v>0</v>
      </c>
      <c r="I27" s="2">
        <f t="shared" si="6"/>
        <v>0</v>
      </c>
      <c r="J27" s="2">
        <f t="shared" si="6"/>
        <v>0</v>
      </c>
      <c r="K27" s="2">
        <f t="shared" si="6"/>
        <v>0</v>
      </c>
      <c r="L27" s="2">
        <f t="shared" si="6"/>
        <v>0</v>
      </c>
      <c r="M27" s="2">
        <f t="shared" si="6"/>
        <v>0</v>
      </c>
      <c r="N27" s="2">
        <f t="shared" si="6"/>
        <v>0</v>
      </c>
      <c r="O27" s="2">
        <f t="shared" si="7"/>
        <v>0</v>
      </c>
    </row>
    <row r="28" spans="1:15" x14ac:dyDescent="0.2">
      <c r="B28" t="str">
        <f>'Monthly Budget'!B26</f>
        <v>Rent on Business Property</v>
      </c>
      <c r="C28" s="2">
        <f>'Monthly Budget'!D26</f>
        <v>0</v>
      </c>
      <c r="D28" s="2">
        <f t="shared" si="6"/>
        <v>0</v>
      </c>
      <c r="E28" s="2">
        <f t="shared" si="6"/>
        <v>0</v>
      </c>
      <c r="F28" s="2">
        <f t="shared" si="6"/>
        <v>0</v>
      </c>
      <c r="G28" s="2">
        <f t="shared" si="6"/>
        <v>0</v>
      </c>
      <c r="H28" s="2">
        <f t="shared" si="6"/>
        <v>0</v>
      </c>
      <c r="I28" s="2">
        <f t="shared" si="6"/>
        <v>0</v>
      </c>
      <c r="J28" s="2">
        <f t="shared" si="6"/>
        <v>0</v>
      </c>
      <c r="K28" s="2">
        <f t="shared" si="6"/>
        <v>0</v>
      </c>
      <c r="L28" s="2">
        <f t="shared" si="6"/>
        <v>0</v>
      </c>
      <c r="M28" s="2">
        <f t="shared" si="6"/>
        <v>0</v>
      </c>
      <c r="N28" s="2">
        <f t="shared" si="6"/>
        <v>0</v>
      </c>
      <c r="O28" s="2">
        <f t="shared" si="7"/>
        <v>0</v>
      </c>
    </row>
    <row r="29" spans="1:15" x14ac:dyDescent="0.2">
      <c r="B29" t="str">
        <f>'Monthly Budget'!B27</f>
        <v>Rent on Equipment</v>
      </c>
      <c r="C29" s="2">
        <f>'Monthly Budget'!D27</f>
        <v>0</v>
      </c>
      <c r="D29" s="2">
        <f t="shared" si="6"/>
        <v>0</v>
      </c>
      <c r="E29" s="2">
        <f t="shared" si="6"/>
        <v>0</v>
      </c>
      <c r="F29" s="2">
        <f t="shared" si="6"/>
        <v>0</v>
      </c>
      <c r="G29" s="2">
        <f t="shared" si="6"/>
        <v>0</v>
      </c>
      <c r="H29" s="2">
        <f t="shared" si="6"/>
        <v>0</v>
      </c>
      <c r="I29" s="2">
        <f t="shared" si="6"/>
        <v>0</v>
      </c>
      <c r="J29" s="2">
        <f t="shared" si="6"/>
        <v>0</v>
      </c>
      <c r="K29" s="2">
        <f t="shared" si="6"/>
        <v>0</v>
      </c>
      <c r="L29" s="2">
        <f t="shared" si="6"/>
        <v>0</v>
      </c>
      <c r="M29" s="2">
        <f t="shared" si="6"/>
        <v>0</v>
      </c>
      <c r="N29" s="2">
        <f t="shared" si="6"/>
        <v>0</v>
      </c>
      <c r="O29" s="2">
        <f t="shared" si="7"/>
        <v>0</v>
      </c>
    </row>
    <row r="30" spans="1:15" x14ac:dyDescent="0.2">
      <c r="B30" t="str">
        <f>'Monthly Budget'!B28</f>
        <v>Repairs</v>
      </c>
      <c r="C30" s="2">
        <f>'Monthly Budget'!D28</f>
        <v>0</v>
      </c>
      <c r="D30" s="2">
        <f t="shared" si="6"/>
        <v>0</v>
      </c>
      <c r="E30" s="2">
        <f t="shared" si="6"/>
        <v>0</v>
      </c>
      <c r="F30" s="2">
        <f t="shared" si="6"/>
        <v>0</v>
      </c>
      <c r="G30" s="2">
        <f t="shared" si="6"/>
        <v>0</v>
      </c>
      <c r="H30" s="2">
        <f t="shared" si="6"/>
        <v>0</v>
      </c>
      <c r="I30" s="2">
        <f t="shared" si="6"/>
        <v>0</v>
      </c>
      <c r="J30" s="2">
        <f t="shared" si="6"/>
        <v>0</v>
      </c>
      <c r="K30" s="2">
        <f t="shared" si="6"/>
        <v>0</v>
      </c>
      <c r="L30" s="2">
        <f t="shared" si="6"/>
        <v>0</v>
      </c>
      <c r="M30" s="2">
        <f t="shared" si="6"/>
        <v>0</v>
      </c>
      <c r="N30" s="2">
        <f t="shared" si="6"/>
        <v>0</v>
      </c>
      <c r="O30" s="2">
        <f t="shared" si="7"/>
        <v>0</v>
      </c>
    </row>
    <row r="31" spans="1:15" x14ac:dyDescent="0.2">
      <c r="B31" t="str">
        <f>'Monthly Budget'!B29</f>
        <v>Supplies</v>
      </c>
      <c r="C31" s="2">
        <f>'Monthly Budget'!D29</f>
        <v>0</v>
      </c>
      <c r="D31" s="2">
        <f t="shared" si="6"/>
        <v>0</v>
      </c>
      <c r="E31" s="2">
        <f t="shared" si="6"/>
        <v>0</v>
      </c>
      <c r="F31" s="2">
        <f t="shared" si="6"/>
        <v>0</v>
      </c>
      <c r="G31" s="2">
        <f t="shared" si="6"/>
        <v>0</v>
      </c>
      <c r="H31" s="2">
        <f t="shared" si="6"/>
        <v>0</v>
      </c>
      <c r="I31" s="2">
        <f t="shared" si="6"/>
        <v>0</v>
      </c>
      <c r="J31" s="2">
        <f t="shared" si="6"/>
        <v>0</v>
      </c>
      <c r="K31" s="2">
        <f t="shared" si="6"/>
        <v>0</v>
      </c>
      <c r="L31" s="2">
        <f t="shared" si="6"/>
        <v>0</v>
      </c>
      <c r="M31" s="2">
        <f t="shared" si="6"/>
        <v>0</v>
      </c>
      <c r="N31" s="2">
        <f t="shared" si="6"/>
        <v>0</v>
      </c>
      <c r="O31" s="2">
        <f t="shared" si="7"/>
        <v>0</v>
      </c>
    </row>
    <row r="32" spans="1:15" x14ac:dyDescent="0.2">
      <c r="B32" t="str">
        <f>'Monthly Budget'!B30</f>
        <v>Telephone</v>
      </c>
      <c r="C32" s="2">
        <f>'Monthly Budget'!D30</f>
        <v>0</v>
      </c>
      <c r="D32" s="2">
        <f t="shared" si="6"/>
        <v>0</v>
      </c>
      <c r="E32" s="2">
        <f t="shared" si="6"/>
        <v>0</v>
      </c>
      <c r="F32" s="2">
        <f t="shared" si="6"/>
        <v>0</v>
      </c>
      <c r="G32" s="2">
        <f t="shared" si="6"/>
        <v>0</v>
      </c>
      <c r="H32" s="2">
        <f t="shared" si="6"/>
        <v>0</v>
      </c>
      <c r="I32" s="2">
        <f t="shared" si="6"/>
        <v>0</v>
      </c>
      <c r="J32" s="2">
        <f t="shared" si="6"/>
        <v>0</v>
      </c>
      <c r="K32" s="2">
        <f t="shared" si="6"/>
        <v>0</v>
      </c>
      <c r="L32" s="2">
        <f t="shared" si="6"/>
        <v>0</v>
      </c>
      <c r="M32" s="2">
        <f t="shared" si="6"/>
        <v>0</v>
      </c>
      <c r="N32" s="2">
        <f t="shared" si="6"/>
        <v>0</v>
      </c>
      <c r="O32" s="2">
        <f t="shared" si="7"/>
        <v>0</v>
      </c>
    </row>
    <row r="33" spans="1:15" x14ac:dyDescent="0.2">
      <c r="B33" t="str">
        <f>'Monthly Budget'!B31</f>
        <v>Travel</v>
      </c>
      <c r="C33" s="2">
        <f>'Monthly Budget'!D31</f>
        <v>0</v>
      </c>
      <c r="D33" s="2">
        <f t="shared" si="6"/>
        <v>0</v>
      </c>
      <c r="E33" s="2">
        <f t="shared" si="6"/>
        <v>0</v>
      </c>
      <c r="F33" s="2">
        <f t="shared" si="6"/>
        <v>0</v>
      </c>
      <c r="G33" s="2">
        <f t="shared" si="6"/>
        <v>0</v>
      </c>
      <c r="H33" s="2">
        <f t="shared" si="6"/>
        <v>0</v>
      </c>
      <c r="I33" s="2">
        <f t="shared" si="6"/>
        <v>0</v>
      </c>
      <c r="J33" s="2">
        <f t="shared" si="6"/>
        <v>0</v>
      </c>
      <c r="K33" s="2">
        <f t="shared" si="6"/>
        <v>0</v>
      </c>
      <c r="L33" s="2">
        <f t="shared" si="6"/>
        <v>0</v>
      </c>
      <c r="M33" s="2">
        <f t="shared" si="6"/>
        <v>0</v>
      </c>
      <c r="N33" s="2">
        <f t="shared" si="6"/>
        <v>0</v>
      </c>
      <c r="O33" s="2">
        <f t="shared" si="7"/>
        <v>0</v>
      </c>
    </row>
    <row r="34" spans="1:15" x14ac:dyDescent="0.2">
      <c r="B34" t="str">
        <f>'Monthly Budget'!B32</f>
        <v>Utilities</v>
      </c>
      <c r="C34" s="2">
        <f>'Monthly Budget'!D32</f>
        <v>0</v>
      </c>
      <c r="D34" s="2">
        <f t="shared" si="6"/>
        <v>0</v>
      </c>
      <c r="E34" s="2">
        <f t="shared" si="6"/>
        <v>0</v>
      </c>
      <c r="F34" s="2">
        <f t="shared" si="6"/>
        <v>0</v>
      </c>
      <c r="G34" s="2">
        <f t="shared" si="6"/>
        <v>0</v>
      </c>
      <c r="H34" s="2">
        <f t="shared" si="6"/>
        <v>0</v>
      </c>
      <c r="I34" s="2">
        <f t="shared" si="6"/>
        <v>0</v>
      </c>
      <c r="J34" s="2">
        <f t="shared" si="6"/>
        <v>0</v>
      </c>
      <c r="K34" s="2">
        <f t="shared" si="6"/>
        <v>0</v>
      </c>
      <c r="L34" s="2">
        <f t="shared" si="6"/>
        <v>0</v>
      </c>
      <c r="M34" s="2">
        <f t="shared" si="6"/>
        <v>0</v>
      </c>
      <c r="N34" s="2">
        <f t="shared" si="6"/>
        <v>0</v>
      </c>
      <c r="O34" s="2">
        <f t="shared" si="7"/>
        <v>0</v>
      </c>
    </row>
    <row r="35" spans="1:15" x14ac:dyDescent="0.2">
      <c r="B35" t="str">
        <f>'Monthly Budget'!B33</f>
        <v>Miscellaneous Expenses</v>
      </c>
      <c r="C35" s="32">
        <f>'Monthly Budget'!D33</f>
        <v>0</v>
      </c>
      <c r="D35" s="32">
        <f t="shared" si="6"/>
        <v>0</v>
      </c>
      <c r="E35" s="32">
        <f t="shared" si="6"/>
        <v>0</v>
      </c>
      <c r="F35" s="32">
        <f t="shared" si="6"/>
        <v>0</v>
      </c>
      <c r="G35" s="32">
        <f t="shared" si="6"/>
        <v>0</v>
      </c>
      <c r="H35" s="32">
        <f t="shared" si="6"/>
        <v>0</v>
      </c>
      <c r="I35" s="32">
        <f t="shared" si="6"/>
        <v>0</v>
      </c>
      <c r="J35" s="32">
        <f t="shared" si="6"/>
        <v>0</v>
      </c>
      <c r="K35" s="32">
        <f t="shared" si="6"/>
        <v>0</v>
      </c>
      <c r="L35" s="32">
        <f t="shared" si="6"/>
        <v>0</v>
      </c>
      <c r="M35" s="32">
        <f t="shared" si="6"/>
        <v>0</v>
      </c>
      <c r="N35" s="32">
        <f t="shared" si="6"/>
        <v>0</v>
      </c>
      <c r="O35" s="32">
        <f t="shared" si="7"/>
        <v>0</v>
      </c>
    </row>
    <row r="36" spans="1:15" ht="14.25" x14ac:dyDescent="0.35">
      <c r="B36" t="s">
        <v>47</v>
      </c>
      <c r="C36" s="5">
        <f>('Required Funds'!B9/'Required Funds'!C9/12)+('Required Funds'!B10/'Required Funds'!C10/12)+('Required Funds'!B11/'Required Funds'!C11/12)+('Required Funds'!B12/'Required Funds'!C12/12)+('Required Funds'!B22/'Required Funds'!C22/12)</f>
        <v>952.38095238095252</v>
      </c>
      <c r="D36" s="5">
        <f>C36</f>
        <v>952.38095238095252</v>
      </c>
      <c r="E36" s="5">
        <f t="shared" si="6"/>
        <v>952.38095238095252</v>
      </c>
      <c r="F36" s="5">
        <f t="shared" si="6"/>
        <v>952.38095238095252</v>
      </c>
      <c r="G36" s="5">
        <f t="shared" si="6"/>
        <v>952.38095238095252</v>
      </c>
      <c r="H36" s="5">
        <f t="shared" si="6"/>
        <v>952.38095238095252</v>
      </c>
      <c r="I36" s="5">
        <f t="shared" si="6"/>
        <v>952.38095238095252</v>
      </c>
      <c r="J36" s="5">
        <f t="shared" si="6"/>
        <v>952.38095238095252</v>
      </c>
      <c r="K36" s="5">
        <f t="shared" si="6"/>
        <v>952.38095238095252</v>
      </c>
      <c r="L36" s="5">
        <f t="shared" si="6"/>
        <v>952.38095238095252</v>
      </c>
      <c r="M36" s="5">
        <f t="shared" si="6"/>
        <v>952.38095238095252</v>
      </c>
      <c r="N36" s="5">
        <f t="shared" si="6"/>
        <v>952.38095238095252</v>
      </c>
      <c r="O36" s="5">
        <f t="shared" si="7"/>
        <v>11428.571428571429</v>
      </c>
    </row>
    <row r="37" spans="1:15" x14ac:dyDescent="0.2">
      <c r="A37" s="1" t="s">
        <v>30</v>
      </c>
      <c r="C37" s="31">
        <f>SUM(C21:C36)</f>
        <v>64943.380952380954</v>
      </c>
      <c r="D37" s="31">
        <f t="shared" ref="D37:N37" si="8">SUM(D21:D36)</f>
        <v>64943.380952380954</v>
      </c>
      <c r="E37" s="31">
        <f t="shared" si="8"/>
        <v>64943.380952380954</v>
      </c>
      <c r="F37" s="31">
        <f t="shared" si="8"/>
        <v>64943.380952380954</v>
      </c>
      <c r="G37" s="31">
        <f t="shared" si="8"/>
        <v>64943.380952380954</v>
      </c>
      <c r="H37" s="31">
        <f t="shared" si="8"/>
        <v>64943.380952380954</v>
      </c>
      <c r="I37" s="31">
        <f t="shared" si="8"/>
        <v>64943.380952380954</v>
      </c>
      <c r="J37" s="31">
        <f t="shared" si="8"/>
        <v>64943.380952380954</v>
      </c>
      <c r="K37" s="31">
        <f t="shared" si="8"/>
        <v>64943.380952380954</v>
      </c>
      <c r="L37" s="31">
        <f t="shared" si="8"/>
        <v>64943.380952380954</v>
      </c>
      <c r="M37" s="31">
        <f t="shared" si="8"/>
        <v>64943.380952380954</v>
      </c>
      <c r="N37" s="31">
        <f t="shared" si="8"/>
        <v>64943.380952380954</v>
      </c>
      <c r="O37" s="2">
        <f t="shared" si="7"/>
        <v>779320.57142857148</v>
      </c>
    </row>
    <row r="40" spans="1:15" ht="12.75" thickBot="1" x14ac:dyDescent="0.25">
      <c r="A40" s="1" t="s">
        <v>107</v>
      </c>
      <c r="C40" s="34">
        <f>C9-C18-C37</f>
        <v>-55045.46428571429</v>
      </c>
      <c r="D40" s="34">
        <f t="shared" ref="D40:O40" si="9">D9-D18-D37</f>
        <v>-55045.46428571429</v>
      </c>
      <c r="E40" s="34">
        <f t="shared" si="9"/>
        <v>-55045.46428571429</v>
      </c>
      <c r="F40" s="34">
        <f t="shared" si="9"/>
        <v>-50045.46428571429</v>
      </c>
      <c r="G40" s="34">
        <f t="shared" si="9"/>
        <v>-50045.46428571429</v>
      </c>
      <c r="H40" s="34">
        <f t="shared" si="9"/>
        <v>-50045.46428571429</v>
      </c>
      <c r="I40" s="34">
        <f t="shared" si="9"/>
        <v>-50045.46428571429</v>
      </c>
      <c r="J40" s="34">
        <f t="shared" si="9"/>
        <v>-50045.46428571429</v>
      </c>
      <c r="K40" s="34">
        <f t="shared" si="9"/>
        <v>-50045.46428571429</v>
      </c>
      <c r="L40" s="34">
        <f t="shared" si="9"/>
        <v>-50045.46428571429</v>
      </c>
      <c r="M40" s="34">
        <f t="shared" si="9"/>
        <v>-50045.46428571429</v>
      </c>
      <c r="N40" s="34">
        <f t="shared" si="9"/>
        <v>-50045.46428571429</v>
      </c>
      <c r="O40" s="34">
        <f t="shared" si="9"/>
        <v>-615545.57142857148</v>
      </c>
    </row>
    <row r="41" spans="1:15" ht="12.75" thickTop="1" x14ac:dyDescent="0.2"/>
  </sheetData>
  <phoneticPr fontId="0" type="noConversion"/>
  <pageMargins left="0.8" right="0.54" top="0.89" bottom="0.63" header="0.5" footer="0.5"/>
  <pageSetup scale="75" orientation="landscape" horizontalDpi="300" verticalDpi="300" r:id="rId1"/>
  <headerFooter alignWithMargins="0"/>
  <customProperties>
    <customPr name="FormulaDeskUniqueName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32"/>
  <sheetViews>
    <sheetView topLeftCell="A4" workbookViewId="0">
      <selection activeCell="A26" sqref="A26:XFD26"/>
    </sheetView>
  </sheetViews>
  <sheetFormatPr defaultRowHeight="12" x14ac:dyDescent="0.2"/>
  <cols>
    <col min="1" max="1" width="2.7109375" customWidth="1"/>
    <col min="2" max="2" width="45.28515625" customWidth="1"/>
    <col min="3" max="3" width="18.140625" customWidth="1"/>
    <col min="4" max="4" width="5.140625" customWidth="1"/>
    <col min="5" max="5" width="86.7109375" customWidth="1"/>
  </cols>
  <sheetData>
    <row r="1" spans="1:5" x14ac:dyDescent="0.2">
      <c r="A1" s="1" t="s">
        <v>125</v>
      </c>
    </row>
    <row r="2" spans="1:5" x14ac:dyDescent="0.2">
      <c r="A2" s="1"/>
    </row>
    <row r="3" spans="1:5" x14ac:dyDescent="0.2">
      <c r="A3" t="s">
        <v>138</v>
      </c>
    </row>
    <row r="4" spans="1:5" x14ac:dyDescent="0.2">
      <c r="A4" t="s">
        <v>136</v>
      </c>
    </row>
    <row r="5" spans="1:5" x14ac:dyDescent="0.2">
      <c r="A5" t="s">
        <v>137</v>
      </c>
    </row>
    <row r="8" spans="1:5" x14ac:dyDescent="0.2">
      <c r="A8" s="33" t="s">
        <v>120</v>
      </c>
      <c r="B8" s="1"/>
      <c r="C8" s="20" t="s">
        <v>118</v>
      </c>
      <c r="D8" s="1"/>
      <c r="E8" s="38" t="s">
        <v>119</v>
      </c>
    </row>
    <row r="10" spans="1:5" x14ac:dyDescent="0.2">
      <c r="A10" s="1" t="s">
        <v>121</v>
      </c>
    </row>
    <row r="11" spans="1:5" x14ac:dyDescent="0.2">
      <c r="B11" t="s">
        <v>131</v>
      </c>
      <c r="C11" s="3">
        <f>'Sources of Capital'!B12</f>
        <v>0</v>
      </c>
      <c r="E11" t="str">
        <f>IF('Sources of Capital'!B14&gt;0.2,"Owner's Injection is adequate","Owner's injection might be too low for amount of funds requested")</f>
        <v>Owner's injection might be too low for amount of funds requested</v>
      </c>
    </row>
    <row r="12" spans="1:5" x14ac:dyDescent="0.2">
      <c r="B12" t="s">
        <v>133</v>
      </c>
      <c r="C12" s="7">
        <f>IF('Required Funds'!B23=0,0,'Required Funds'!B23/'Required Funds'!B24)</f>
        <v>0</v>
      </c>
      <c r="E12" t="str">
        <f>IF(C12&lt;0.2,"Cash request seems reasonable with total request","Cash request exceeds 20% of total request.  This may be not in line.")</f>
        <v>Cash request seems reasonable with total request</v>
      </c>
    </row>
    <row r="15" spans="1:5" x14ac:dyDescent="0.2">
      <c r="A15" s="1" t="s">
        <v>122</v>
      </c>
    </row>
    <row r="16" spans="1:5" x14ac:dyDescent="0.2">
      <c r="B16" t="s">
        <v>123</v>
      </c>
      <c r="C16" s="35">
        <f>'Sources of Capital'!B22</f>
        <v>0.1</v>
      </c>
      <c r="E16" t="str">
        <f>IF(C16&lt;0.09,"Interest rate may be too low for type of loan requested","Interest rate seems reasonable")</f>
        <v>Interest rate seems reasonable</v>
      </c>
    </row>
    <row r="17" spans="1:5" x14ac:dyDescent="0.2">
      <c r="B17" t="s">
        <v>124</v>
      </c>
      <c r="C17">
        <f>'Sources of Capital'!B23</f>
        <v>84</v>
      </c>
      <c r="E17" t="str">
        <f>IF(C17&gt;120,"Loan term may be too high for this type of loan","Loan term seems within range for this type of loan")</f>
        <v>Loan term seems within range for this type of loan</v>
      </c>
    </row>
    <row r="19" spans="1:5" x14ac:dyDescent="0.2">
      <c r="B19" t="s">
        <v>126</v>
      </c>
      <c r="C19" s="35">
        <f>'Sources of Capital'!B27</f>
        <v>0.09</v>
      </c>
      <c r="E19" t="str">
        <f>IF(C19&lt;0.07,"Interest rate may be too low for type of loan requested","Interest rate seems reasonable")</f>
        <v>Interest rate seems reasonable</v>
      </c>
    </row>
    <row r="20" spans="1:5" x14ac:dyDescent="0.2">
      <c r="B20" t="s">
        <v>127</v>
      </c>
      <c r="C20">
        <f>'Sources of Capital'!B28</f>
        <v>240</v>
      </c>
      <c r="E20" t="str">
        <f>IF(C20&gt;240,"Loan term may be too high for this type of loan","Loan term seems within range for this type of loan")</f>
        <v>Loan term seems within range for this type of loan</v>
      </c>
    </row>
    <row r="22" spans="1:5" x14ac:dyDescent="0.2">
      <c r="B22" t="s">
        <v>134</v>
      </c>
      <c r="C22" s="7">
        <f>IF('Sources of Capital'!D31=0,0,('Sources of Capital'!D31*12)/'Income Statement'!O9)</f>
        <v>0.26484284752087695</v>
      </c>
      <c r="E22" t="str">
        <f>IF(C22&gt;0.1,"Calculated loan payments as a percent of sales may be too high","Calculated loan payments as a percent of sales seem resonable")</f>
        <v>Calculated loan payments as a percent of sales may be too high</v>
      </c>
    </row>
    <row r="25" spans="1:5" x14ac:dyDescent="0.2">
      <c r="A25" s="1" t="s">
        <v>128</v>
      </c>
    </row>
    <row r="26" spans="1:5" x14ac:dyDescent="0.2">
      <c r="B26" t="s">
        <v>129</v>
      </c>
      <c r="C26" s="3">
        <f>'Income Statement'!O13</f>
        <v>0</v>
      </c>
      <c r="E26" t="str">
        <f>IF(C26&gt;0,"An owner's compensation amount has been established","An owner's compensation amount has not been established")</f>
        <v>An owner's compensation amount has not been established</v>
      </c>
    </row>
    <row r="27" spans="1:5" x14ac:dyDescent="0.2">
      <c r="B27" t="s">
        <v>130</v>
      </c>
      <c r="C27" s="7">
        <f>C26/'Income Statement'!O40</f>
        <v>0</v>
      </c>
      <c r="E27" t="str">
        <f>IF(C27&gt;1,"Owner's compensation may be too high relative to profitability of business","Owner's compensation seems reasonable")</f>
        <v>Owner's compensation seems reasonable</v>
      </c>
    </row>
    <row r="28" spans="1:5" x14ac:dyDescent="0.2">
      <c r="B28" t="s">
        <v>132</v>
      </c>
      <c r="C28" s="7">
        <f>IF('Income Statement'!O21=0,0,'Income Statement'!O21/'Income Statement'!O9)</f>
        <v>3.6363636363636362</v>
      </c>
      <c r="E28" t="str">
        <f>IF(C28&lt;0.02,"Advertising as a percent of sales may be too low","Advertising as a percent of sales seems reasonable")</f>
        <v>Advertising as a percent of sales seems reasonable</v>
      </c>
    </row>
    <row r="29" spans="1:5" x14ac:dyDescent="0.2">
      <c r="B29" t="s">
        <v>135</v>
      </c>
      <c r="C29" s="4">
        <f>'Income Statement'!O40</f>
        <v>-615545.57142857148</v>
      </c>
      <c r="E29" t="str">
        <f>IF(C29&lt;0,"The business is not showing a profit","The business is showing a profit")</f>
        <v>The business is not showing a profit</v>
      </c>
    </row>
    <row r="32" spans="1:5" x14ac:dyDescent="0.2">
      <c r="A32" s="1"/>
    </row>
  </sheetData>
  <phoneticPr fontId="0" type="noConversion"/>
  <pageMargins left="0.89" right="0.75" top="1" bottom="1" header="0.5" footer="0.5"/>
  <pageSetup scale="7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Required Funds</vt:lpstr>
      <vt:lpstr>Sources of Capital</vt:lpstr>
      <vt:lpstr>Monthly Budget</vt:lpstr>
      <vt:lpstr>Sales Forecast</vt:lpstr>
      <vt:lpstr>Current Balance Sheet</vt:lpstr>
      <vt:lpstr>Income Statement</vt:lpstr>
      <vt:lpstr>Financial 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B. Hess</dc:creator>
  <cp:lastModifiedBy>Felienne</cp:lastModifiedBy>
  <cp:lastPrinted>2001-03-29T17:13:28Z</cp:lastPrinted>
  <dcterms:created xsi:type="dcterms:W3CDTF">2001-03-14T14:19:48Z</dcterms:created>
  <dcterms:modified xsi:type="dcterms:W3CDTF">2015-08-27T13:36:29Z</dcterms:modified>
</cp:coreProperties>
</file>