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Dropbox\TU Delft\Papers\end_user_refactoring\"/>
    </mc:Choice>
  </mc:AlternateContent>
  <bookViews>
    <workbookView xWindow="0" yWindow="0" windowWidth="16170" windowHeight="8220" activeTab="2"/>
  </bookViews>
  <sheets>
    <sheet name="AIAL" sheetId="1" r:id="rId1"/>
    <sheet name="WIAL" sheetId="2" r:id="rId2"/>
    <sheet name="CIAL" sheetId="3" r:id="rId3"/>
  </sheets>
  <calcPr calcId="152511"/>
</workbook>
</file>

<file path=xl/calcChain.xml><?xml version="1.0" encoding="utf-8"?>
<calcChain xmlns="http://schemas.openxmlformats.org/spreadsheetml/2006/main">
  <c r="B6" i="1" l="1"/>
  <c r="C6" i="1"/>
  <c r="I6" i="1"/>
  <c r="J6" i="1"/>
  <c r="K6" i="1"/>
  <c r="L6" i="1"/>
  <c r="M6" i="1"/>
  <c r="B7" i="1"/>
  <c r="C7" i="1"/>
  <c r="I7" i="1"/>
  <c r="J7" i="1"/>
  <c r="K7" i="1"/>
  <c r="L7" i="1"/>
  <c r="M7" i="1"/>
  <c r="B8" i="1"/>
  <c r="C8" i="1"/>
  <c r="I8" i="1"/>
  <c r="J8" i="1"/>
  <c r="J13" i="1" s="1"/>
  <c r="J17" i="1" s="1"/>
  <c r="J31" i="1" s="1"/>
  <c r="J35" i="1" s="1"/>
  <c r="J37" i="1" s="1"/>
  <c r="J39" i="1" s="1"/>
  <c r="J45" i="1" s="1"/>
  <c r="J49" i="1" s="1"/>
  <c r="K8" i="1"/>
  <c r="L8" i="1"/>
  <c r="M8" i="1"/>
  <c r="B9" i="1"/>
  <c r="C9" i="1"/>
  <c r="I9" i="1"/>
  <c r="J9" i="1"/>
  <c r="K9" i="1"/>
  <c r="K13" i="1" s="1"/>
  <c r="K17" i="1" s="1"/>
  <c r="K31" i="1" s="1"/>
  <c r="K35" i="1" s="1"/>
  <c r="K37" i="1" s="1"/>
  <c r="K39" i="1" s="1"/>
  <c r="K45" i="1" s="1"/>
  <c r="L9" i="1"/>
  <c r="M9" i="1"/>
  <c r="B10" i="1"/>
  <c r="C10" i="1"/>
  <c r="I10" i="1"/>
  <c r="J10" i="1"/>
  <c r="K10" i="1"/>
  <c r="L10" i="1"/>
  <c r="M10" i="1"/>
  <c r="B11" i="1"/>
  <c r="C11" i="1"/>
  <c r="I11" i="1"/>
  <c r="J11" i="1"/>
  <c r="K11" i="1"/>
  <c r="L11" i="1"/>
  <c r="M11" i="1"/>
  <c r="B12" i="1"/>
  <c r="C12" i="1"/>
  <c r="I12" i="1"/>
  <c r="J12" i="1"/>
  <c r="K12" i="1"/>
  <c r="L12" i="1"/>
  <c r="M12" i="1"/>
  <c r="B13" i="1"/>
  <c r="B17" i="1" s="1"/>
  <c r="B31" i="1" s="1"/>
  <c r="B35" i="1" s="1"/>
  <c r="B37" i="1" s="1"/>
  <c r="B39" i="1" s="1"/>
  <c r="B45" i="1" s="1"/>
  <c r="D13" i="1"/>
  <c r="E13" i="1"/>
  <c r="F13" i="1"/>
  <c r="F17" i="1" s="1"/>
  <c r="G13" i="1"/>
  <c r="H13" i="1"/>
  <c r="D17" i="1"/>
  <c r="E17" i="1"/>
  <c r="B21" i="1"/>
  <c r="C23" i="1"/>
  <c r="B24" i="1"/>
  <c r="C24" i="1"/>
  <c r="C29" i="1" s="1"/>
  <c r="H24" i="1"/>
  <c r="I24" i="1"/>
  <c r="J24" i="1"/>
  <c r="K24" i="1"/>
  <c r="L24" i="1"/>
  <c r="M24" i="1"/>
  <c r="C25" i="1"/>
  <c r="D25" i="1"/>
  <c r="E25" i="1"/>
  <c r="F25" i="1"/>
  <c r="G25" i="1"/>
  <c r="B26" i="1"/>
  <c r="B25" i="1" s="1"/>
  <c r="B29" i="1" s="1"/>
  <c r="C26" i="1"/>
  <c r="H26" i="1"/>
  <c r="I26" i="1"/>
  <c r="J26" i="1"/>
  <c r="K26" i="1"/>
  <c r="L26" i="1"/>
  <c r="M26" i="1"/>
  <c r="B27" i="1"/>
  <c r="C27" i="1"/>
  <c r="H27" i="1"/>
  <c r="H25" i="1" s="1"/>
  <c r="I27" i="1"/>
  <c r="I25" i="1" s="1"/>
  <c r="J27" i="1"/>
  <c r="J25" i="1" s="1"/>
  <c r="K27" i="1"/>
  <c r="L27" i="1"/>
  <c r="L25" i="1" s="1"/>
  <c r="M27" i="1"/>
  <c r="M25" i="1" s="1"/>
  <c r="D29" i="1"/>
  <c r="D31" i="1" s="1"/>
  <c r="D35" i="1" s="1"/>
  <c r="D37" i="1" s="1"/>
  <c r="D39" i="1" s="1"/>
  <c r="E29" i="1"/>
  <c r="F29" i="1"/>
  <c r="E31" i="1"/>
  <c r="G31" i="1"/>
  <c r="H31" i="1"/>
  <c r="E35" i="1"/>
  <c r="G35" i="1"/>
  <c r="H35" i="1"/>
  <c r="E37" i="1"/>
  <c r="G37" i="1"/>
  <c r="H37" i="1"/>
  <c r="E39" i="1"/>
  <c r="E45" i="1" s="1"/>
  <c r="G39" i="1"/>
  <c r="H39" i="1"/>
  <c r="I44" i="1"/>
  <c r="J44" i="1"/>
  <c r="K44" i="1"/>
  <c r="L44" i="1"/>
  <c r="D45" i="1"/>
  <c r="D49" i="1" s="1"/>
  <c r="G45" i="1"/>
  <c r="G49" i="1" s="1"/>
  <c r="H45" i="1"/>
  <c r="G47" i="1"/>
  <c r="H47" i="1"/>
  <c r="E49" i="1"/>
  <c r="F54" i="1"/>
  <c r="E54" i="1" s="1"/>
  <c r="F57" i="1"/>
  <c r="G57" i="1"/>
  <c r="H57" i="1"/>
  <c r="I57" i="1"/>
  <c r="J57" i="1"/>
  <c r="K57" i="1"/>
  <c r="L57" i="1"/>
  <c r="M57" i="1"/>
  <c r="B62" i="1"/>
  <c r="C62" i="1"/>
  <c r="D62" i="1"/>
  <c r="E62" i="1"/>
  <c r="F62" i="1"/>
  <c r="F76" i="1" s="1"/>
  <c r="G62" i="1"/>
  <c r="H62" i="1"/>
  <c r="I62" i="1"/>
  <c r="J62" i="1"/>
  <c r="J76" i="1" s="1"/>
  <c r="K62" i="1"/>
  <c r="L62" i="1"/>
  <c r="M62" i="1"/>
  <c r="B66" i="1"/>
  <c r="B74" i="1" s="1"/>
  <c r="E73" i="1"/>
  <c r="F73" i="1"/>
  <c r="G73" i="1"/>
  <c r="G74" i="1" s="1"/>
  <c r="G76" i="1" s="1"/>
  <c r="H73" i="1"/>
  <c r="H74" i="1" s="1"/>
  <c r="H76" i="1" s="1"/>
  <c r="I73" i="1"/>
  <c r="J73" i="1"/>
  <c r="K73" i="1"/>
  <c r="K74" i="1" s="1"/>
  <c r="K76" i="1" s="1"/>
  <c r="L73" i="1"/>
  <c r="C74" i="1"/>
  <c r="D74" i="1"/>
  <c r="E74" i="1"/>
  <c r="F74" i="1"/>
  <c r="I74" i="1"/>
  <c r="J74" i="1"/>
  <c r="L74" i="1"/>
  <c r="L76" i="1" s="1"/>
  <c r="M74" i="1"/>
  <c r="M76" i="1" s="1"/>
  <c r="I76" i="1"/>
  <c r="I83" i="1"/>
  <c r="J83" i="1"/>
  <c r="K83" i="1"/>
  <c r="L83" i="1"/>
  <c r="M83" i="1"/>
  <c r="B86" i="1"/>
  <c r="C86" i="1"/>
  <c r="D86" i="1"/>
  <c r="D101" i="1" s="1"/>
  <c r="E86" i="1"/>
  <c r="E101" i="1" s="1"/>
  <c r="F86" i="1"/>
  <c r="G86" i="1"/>
  <c r="H86" i="1"/>
  <c r="H101" i="1" s="1"/>
  <c r="I86" i="1"/>
  <c r="I101" i="1" s="1"/>
  <c r="J86" i="1"/>
  <c r="K86" i="1"/>
  <c r="L86" i="1"/>
  <c r="M86" i="1"/>
  <c r="J91" i="1"/>
  <c r="K91" i="1"/>
  <c r="L91" i="1"/>
  <c r="L97" i="1" s="1"/>
  <c r="L101" i="1" s="1"/>
  <c r="M91" i="1"/>
  <c r="M97" i="1" s="1"/>
  <c r="M101" i="1" s="1"/>
  <c r="M93" i="1"/>
  <c r="B97" i="1"/>
  <c r="C97" i="1"/>
  <c r="D97" i="1"/>
  <c r="E97" i="1"/>
  <c r="F97" i="1"/>
  <c r="G97" i="1"/>
  <c r="H97" i="1"/>
  <c r="I97" i="1"/>
  <c r="J97" i="1"/>
  <c r="K97" i="1"/>
  <c r="B101" i="1"/>
  <c r="C101" i="1"/>
  <c r="F101" i="1"/>
  <c r="G101" i="1"/>
  <c r="J101" i="1"/>
  <c r="K101" i="1"/>
  <c r="I108" i="1"/>
  <c r="J108" i="1"/>
  <c r="J110" i="1" s="1"/>
  <c r="B110" i="1"/>
  <c r="C110" i="1"/>
  <c r="D110" i="1"/>
  <c r="D118" i="1" s="1"/>
  <c r="E110" i="1"/>
  <c r="F110" i="1"/>
  <c r="G110" i="1"/>
  <c r="H110" i="1"/>
  <c r="I110" i="1"/>
  <c r="K110" i="1"/>
  <c r="L110" i="1"/>
  <c r="M110" i="1"/>
  <c r="B113" i="1"/>
  <c r="L114" i="1"/>
  <c r="M114" i="1"/>
  <c r="M116" i="1" s="1"/>
  <c r="M118" i="1" s="1"/>
  <c r="C115" i="1"/>
  <c r="C116" i="1" s="1"/>
  <c r="C118" i="1" s="1"/>
  <c r="E115" i="1"/>
  <c r="G115" i="1"/>
  <c r="H115" i="1"/>
  <c r="H116" i="1" s="1"/>
  <c r="I115" i="1"/>
  <c r="J115" i="1"/>
  <c r="K115" i="1"/>
  <c r="L115" i="1"/>
  <c r="L116" i="1" s="1"/>
  <c r="B116" i="1"/>
  <c r="D116" i="1"/>
  <c r="E116" i="1"/>
  <c r="E118" i="1" s="1"/>
  <c r="F116" i="1"/>
  <c r="G116" i="1"/>
  <c r="I116" i="1"/>
  <c r="J116" i="1"/>
  <c r="J118" i="1" s="1"/>
  <c r="K116" i="1"/>
  <c r="B118" i="1"/>
  <c r="F118" i="1"/>
  <c r="G118" i="1"/>
  <c r="I118" i="1"/>
  <c r="K118" i="1"/>
  <c r="B125" i="1"/>
  <c r="B132" i="1" s="1"/>
  <c r="C125" i="1"/>
  <c r="C132" i="1" s="1"/>
  <c r="D125" i="1"/>
  <c r="E125" i="1"/>
  <c r="F125" i="1"/>
  <c r="F132" i="1" s="1"/>
  <c r="G125" i="1"/>
  <c r="G132" i="1" s="1"/>
  <c r="H125" i="1"/>
  <c r="I125" i="1"/>
  <c r="J125" i="1"/>
  <c r="J132" i="1" s="1"/>
  <c r="K125" i="1"/>
  <c r="K132" i="1" s="1"/>
  <c r="L125" i="1"/>
  <c r="M125" i="1"/>
  <c r="L129" i="1"/>
  <c r="L130" i="1" s="1"/>
  <c r="B130" i="1"/>
  <c r="C130" i="1"/>
  <c r="D130" i="1"/>
  <c r="E130" i="1"/>
  <c r="F130" i="1"/>
  <c r="G130" i="1"/>
  <c r="H130" i="1"/>
  <c r="I130" i="1"/>
  <c r="J130" i="1"/>
  <c r="K130" i="1"/>
  <c r="M130" i="1"/>
  <c r="D132" i="1"/>
  <c r="D147" i="1" s="1"/>
  <c r="D149" i="1" s="1"/>
  <c r="E132" i="1"/>
  <c r="H132" i="1"/>
  <c r="I132" i="1"/>
  <c r="I147" i="1" s="1"/>
  <c r="I149" i="1" s="1"/>
  <c r="L132" i="1"/>
  <c r="M132" i="1"/>
  <c r="M147" i="1" s="1"/>
  <c r="M149" i="1" s="1"/>
  <c r="J140" i="1"/>
  <c r="L140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B145" i="1"/>
  <c r="C145" i="1"/>
  <c r="D145" i="1"/>
  <c r="E145" i="1"/>
  <c r="F145" i="1"/>
  <c r="G145" i="1"/>
  <c r="G147" i="1" s="1"/>
  <c r="G149" i="1" s="1"/>
  <c r="H145" i="1"/>
  <c r="I145" i="1"/>
  <c r="J145" i="1"/>
  <c r="J147" i="1" s="1"/>
  <c r="J149" i="1" s="1"/>
  <c r="K145" i="1"/>
  <c r="L145" i="1"/>
  <c r="M145" i="1"/>
  <c r="B147" i="1"/>
  <c r="C147" i="1"/>
  <c r="C149" i="1" s="1"/>
  <c r="B148" i="1" s="1"/>
  <c r="K147" i="1"/>
  <c r="K149" i="1" s="1"/>
  <c r="D7" i="3"/>
  <c r="D9" i="3" s="1"/>
  <c r="D15" i="3" s="1"/>
  <c r="E7" i="3"/>
  <c r="E9" i="3" s="1"/>
  <c r="E15" i="3" s="1"/>
  <c r="F7" i="3"/>
  <c r="F9" i="3" s="1"/>
  <c r="G7" i="3"/>
  <c r="G9" i="3" s="1"/>
  <c r="H7" i="3"/>
  <c r="H9" i="3" s="1"/>
  <c r="I7" i="3"/>
  <c r="I9" i="3" s="1"/>
  <c r="B9" i="3"/>
  <c r="C9" i="3"/>
  <c r="J9" i="3"/>
  <c r="K9" i="3"/>
  <c r="L9" i="3"/>
  <c r="M9" i="3"/>
  <c r="M12" i="3"/>
  <c r="M13" i="3" s="1"/>
  <c r="B13" i="3"/>
  <c r="B15" i="3" s="1"/>
  <c r="B34" i="3" s="1"/>
  <c r="B38" i="3" s="1"/>
  <c r="B41" i="3" s="1"/>
  <c r="B49" i="3" s="1"/>
  <c r="B52" i="3" s="1"/>
  <c r="C13" i="3"/>
  <c r="C15" i="3" s="1"/>
  <c r="D13" i="3"/>
  <c r="E13" i="3"/>
  <c r="F13" i="3"/>
  <c r="G13" i="3"/>
  <c r="H13" i="3"/>
  <c r="I13" i="3"/>
  <c r="J13" i="3"/>
  <c r="J15" i="3" s="1"/>
  <c r="K13" i="3"/>
  <c r="L13" i="3"/>
  <c r="B25" i="3"/>
  <c r="B32" i="3" s="1"/>
  <c r="C25" i="3"/>
  <c r="C32" i="3" s="1"/>
  <c r="D25" i="3"/>
  <c r="E25" i="3"/>
  <c r="E32" i="3" s="1"/>
  <c r="C27" i="3"/>
  <c r="D27" i="3"/>
  <c r="C29" i="3"/>
  <c r="F32" i="3"/>
  <c r="G32" i="3"/>
  <c r="H32" i="3"/>
  <c r="I32" i="3"/>
  <c r="J32" i="3"/>
  <c r="K32" i="3"/>
  <c r="L32" i="3"/>
  <c r="M32" i="3"/>
  <c r="D63" i="3"/>
  <c r="C64" i="3"/>
  <c r="E68" i="3"/>
  <c r="F68" i="3"/>
  <c r="G68" i="3"/>
  <c r="H68" i="3"/>
  <c r="I68" i="3"/>
  <c r="J68" i="3"/>
  <c r="K68" i="3"/>
  <c r="L68" i="3"/>
  <c r="M68" i="3"/>
  <c r="B74" i="3"/>
  <c r="C74" i="3"/>
  <c r="D74" i="3"/>
  <c r="E74" i="3"/>
  <c r="F74" i="3"/>
  <c r="G74" i="3"/>
  <c r="H74" i="3"/>
  <c r="I74" i="3"/>
  <c r="J74" i="3"/>
  <c r="K74" i="3"/>
  <c r="L74" i="3"/>
  <c r="M74" i="3"/>
  <c r="B86" i="3"/>
  <c r="C86" i="3"/>
  <c r="D86" i="3"/>
  <c r="E86" i="3"/>
  <c r="E88" i="3" s="1"/>
  <c r="F86" i="3"/>
  <c r="G86" i="3"/>
  <c r="H86" i="3"/>
  <c r="I86" i="3"/>
  <c r="J86" i="3"/>
  <c r="J88" i="3" s="1"/>
  <c r="K86" i="3"/>
  <c r="L86" i="3"/>
  <c r="L88" i="3" s="1"/>
  <c r="M86" i="3"/>
  <c r="M88" i="3" s="1"/>
  <c r="H88" i="3"/>
  <c r="I88" i="3"/>
  <c r="I97" i="3"/>
  <c r="J97" i="3"/>
  <c r="K97" i="3"/>
  <c r="L97" i="3"/>
  <c r="L103" i="3" s="1"/>
  <c r="M97" i="3"/>
  <c r="M103" i="3" s="1"/>
  <c r="M119" i="3" s="1"/>
  <c r="I99" i="3"/>
  <c r="I103" i="3" s="1"/>
  <c r="I119" i="3" s="1"/>
  <c r="J99" i="3"/>
  <c r="K99" i="3"/>
  <c r="L99" i="3"/>
  <c r="B103" i="3"/>
  <c r="C103" i="3"/>
  <c r="D103" i="3"/>
  <c r="E103" i="3"/>
  <c r="F103" i="3"/>
  <c r="F119" i="3" s="1"/>
  <c r="G103" i="3"/>
  <c r="H103" i="3"/>
  <c r="B117" i="3"/>
  <c r="C117" i="3"/>
  <c r="D117" i="3"/>
  <c r="E117" i="3"/>
  <c r="F117" i="3"/>
  <c r="G117" i="3"/>
  <c r="H117" i="3"/>
  <c r="H119" i="3" s="1"/>
  <c r="I117" i="3"/>
  <c r="J117" i="3"/>
  <c r="K117" i="3"/>
  <c r="L117" i="3"/>
  <c r="M117" i="3"/>
  <c r="B142" i="3"/>
  <c r="C142" i="3"/>
  <c r="D142" i="3"/>
  <c r="E142" i="3"/>
  <c r="F142" i="3"/>
  <c r="G142" i="3"/>
  <c r="G151" i="3" s="1"/>
  <c r="H142" i="3"/>
  <c r="I142" i="3"/>
  <c r="I151" i="3" s="1"/>
  <c r="J142" i="3"/>
  <c r="J151" i="3" s="1"/>
  <c r="J176" i="3" s="1"/>
  <c r="J178" i="3" s="1"/>
  <c r="K142" i="3"/>
  <c r="L142" i="3"/>
  <c r="M142" i="3"/>
  <c r="B149" i="3"/>
  <c r="C149" i="3"/>
  <c r="C151" i="3" s="1"/>
  <c r="D149" i="3"/>
  <c r="D151" i="3" s="1"/>
  <c r="E149" i="3"/>
  <c r="E151" i="3" s="1"/>
  <c r="F149" i="3"/>
  <c r="F151" i="3" s="1"/>
  <c r="G149" i="3"/>
  <c r="H149" i="3"/>
  <c r="I149" i="3"/>
  <c r="J149" i="3"/>
  <c r="K149" i="3"/>
  <c r="K151" i="3" s="1"/>
  <c r="L149" i="3"/>
  <c r="L151" i="3" s="1"/>
  <c r="M149" i="3"/>
  <c r="M151" i="3" s="1"/>
  <c r="B15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K170" i="3"/>
  <c r="K172" i="3" s="1"/>
  <c r="K174" i="3" s="1"/>
  <c r="B172" i="3"/>
  <c r="C172" i="3"/>
  <c r="C174" i="3" s="1"/>
  <c r="D172" i="3"/>
  <c r="E172" i="3"/>
  <c r="F172" i="3"/>
  <c r="F174" i="3" s="1"/>
  <c r="G172" i="3"/>
  <c r="G174" i="3" s="1"/>
  <c r="G176" i="3" s="1"/>
  <c r="G178" i="3" s="1"/>
  <c r="H172" i="3"/>
  <c r="H174" i="3" s="1"/>
  <c r="I172" i="3"/>
  <c r="I174" i="3" s="1"/>
  <c r="J172" i="3"/>
  <c r="J174" i="3" s="1"/>
  <c r="L172" i="3"/>
  <c r="L174" i="3" s="1"/>
  <c r="L176" i="3" s="1"/>
  <c r="L178" i="3" s="1"/>
  <c r="M172" i="3"/>
  <c r="M174" i="3" s="1"/>
  <c r="B174" i="3"/>
  <c r="D174" i="3"/>
  <c r="E174" i="3"/>
  <c r="B12" i="2"/>
  <c r="B16" i="2" s="1"/>
  <c r="B33" i="2" s="1"/>
  <c r="C12" i="2"/>
  <c r="D12" i="2"/>
  <c r="E12" i="2"/>
  <c r="F12" i="2"/>
  <c r="F16" i="2" s="1"/>
  <c r="F33" i="2" s="1"/>
  <c r="F35" i="2" s="1"/>
  <c r="F44" i="2" s="1"/>
  <c r="F49" i="2" s="1"/>
  <c r="G12" i="2"/>
  <c r="H12" i="2"/>
  <c r="I12" i="2"/>
  <c r="J12" i="2"/>
  <c r="J16" i="2" s="1"/>
  <c r="J33" i="2" s="1"/>
  <c r="K12" i="2"/>
  <c r="C16" i="2"/>
  <c r="C33" i="2" s="1"/>
  <c r="C35" i="2" s="1"/>
  <c r="C44" i="2" s="1"/>
  <c r="C49" i="2" s="1"/>
  <c r="B42" i="2" s="1"/>
  <c r="B49" i="2" s="1"/>
  <c r="D16" i="2"/>
  <c r="E16" i="2"/>
  <c r="G16" i="2"/>
  <c r="H16" i="2"/>
  <c r="I16" i="2"/>
  <c r="K16" i="2"/>
  <c r="B31" i="2"/>
  <c r="C31" i="2"/>
  <c r="D31" i="2"/>
  <c r="E31" i="2"/>
  <c r="F31" i="2"/>
  <c r="G31" i="2"/>
  <c r="G33" i="2" s="1"/>
  <c r="G35" i="2" s="1"/>
  <c r="G44" i="2" s="1"/>
  <c r="G49" i="2" s="1"/>
  <c r="H31" i="2"/>
  <c r="I31" i="2"/>
  <c r="I33" i="2" s="1"/>
  <c r="I35" i="2" s="1"/>
  <c r="I44" i="2" s="1"/>
  <c r="I49" i="2" s="1"/>
  <c r="J31" i="2"/>
  <c r="K31" i="2"/>
  <c r="D33" i="2"/>
  <c r="H33" i="2"/>
  <c r="H35" i="2" s="1"/>
  <c r="H44" i="2" s="1"/>
  <c r="H49" i="2" s="1"/>
  <c r="B35" i="2"/>
  <c r="B44" i="2" s="1"/>
  <c r="D35" i="2"/>
  <c r="J35" i="2"/>
  <c r="J44" i="2" s="1"/>
  <c r="D44" i="2"/>
  <c r="D49" i="2" s="1"/>
  <c r="E47" i="2"/>
  <c r="F47" i="2"/>
  <c r="G47" i="2"/>
  <c r="H47" i="2"/>
  <c r="J49" i="2"/>
  <c r="F54" i="2"/>
  <c r="E54" i="2" s="1"/>
  <c r="G54" i="2"/>
  <c r="B57" i="2"/>
  <c r="G57" i="2"/>
  <c r="H57" i="2"/>
  <c r="I57" i="2"/>
  <c r="J57" i="2"/>
  <c r="K57" i="2"/>
  <c r="B64" i="2"/>
  <c r="C64" i="2"/>
  <c r="D64" i="2"/>
  <c r="E64" i="2"/>
  <c r="F64" i="2"/>
  <c r="G64" i="2"/>
  <c r="H64" i="2"/>
  <c r="I64" i="2"/>
  <c r="J64" i="2"/>
  <c r="K64" i="2"/>
  <c r="J69" i="2"/>
  <c r="K69" i="2"/>
  <c r="K76" i="2" s="1"/>
  <c r="K78" i="2" s="1"/>
  <c r="B76" i="2"/>
  <c r="C76" i="2"/>
  <c r="D76" i="2"/>
  <c r="E76" i="2"/>
  <c r="F76" i="2"/>
  <c r="G76" i="2"/>
  <c r="H76" i="2"/>
  <c r="I76" i="2"/>
  <c r="I78" i="2" s="1"/>
  <c r="J76" i="2"/>
  <c r="B78" i="2"/>
  <c r="G78" i="2"/>
  <c r="H78" i="2"/>
  <c r="J78" i="2"/>
  <c r="J84" i="2"/>
  <c r="J87" i="2" s="1"/>
  <c r="K84" i="2"/>
  <c r="B87" i="2"/>
  <c r="C87" i="2"/>
  <c r="D87" i="2"/>
  <c r="E87" i="2"/>
  <c r="F87" i="2"/>
  <c r="G87" i="2"/>
  <c r="H87" i="2"/>
  <c r="I87" i="2"/>
  <c r="K87" i="2"/>
  <c r="J91" i="2"/>
  <c r="J96" i="2" s="1"/>
  <c r="K91" i="2"/>
  <c r="B96" i="2"/>
  <c r="C96" i="2"/>
  <c r="C98" i="2" s="1"/>
  <c r="D96" i="2"/>
  <c r="D98" i="2" s="1"/>
  <c r="E96" i="2"/>
  <c r="F96" i="2"/>
  <c r="F98" i="2" s="1"/>
  <c r="G96" i="2"/>
  <c r="G98" i="2" s="1"/>
  <c r="H96" i="2"/>
  <c r="I96" i="2"/>
  <c r="K96" i="2"/>
  <c r="K98" i="2" s="1"/>
  <c r="B98" i="2"/>
  <c r="E98" i="2"/>
  <c r="H98" i="2"/>
  <c r="I98" i="2"/>
  <c r="B107" i="2"/>
  <c r="C107" i="2"/>
  <c r="C115" i="2" s="1"/>
  <c r="D107" i="2"/>
  <c r="E107" i="2"/>
  <c r="F107" i="2"/>
  <c r="F115" i="2" s="1"/>
  <c r="G107" i="2"/>
  <c r="G115" i="2" s="1"/>
  <c r="H107" i="2"/>
  <c r="I107" i="2"/>
  <c r="J107" i="2"/>
  <c r="K107" i="2"/>
  <c r="K115" i="2" s="1"/>
  <c r="B112" i="2"/>
  <c r="B113" i="2" s="1"/>
  <c r="C112" i="2"/>
  <c r="D112" i="2"/>
  <c r="E112" i="2"/>
  <c r="E113" i="2" s="1"/>
  <c r="E115" i="2" s="1"/>
  <c r="F112" i="2"/>
  <c r="F113" i="2" s="1"/>
  <c r="C113" i="2"/>
  <c r="D113" i="2"/>
  <c r="G113" i="2"/>
  <c r="H113" i="2"/>
  <c r="I113" i="2"/>
  <c r="J113" i="2"/>
  <c r="K113" i="2"/>
  <c r="B115" i="2"/>
  <c r="I115" i="2"/>
  <c r="J115" i="2"/>
  <c r="K124" i="2"/>
  <c r="B125" i="2"/>
  <c r="B127" i="2" s="1"/>
  <c r="B143" i="2" s="1"/>
  <c r="C125" i="2"/>
  <c r="C127" i="2" s="1"/>
  <c r="D125" i="2"/>
  <c r="E125" i="2"/>
  <c r="F125" i="2"/>
  <c r="G125" i="2"/>
  <c r="G127" i="2" s="1"/>
  <c r="H125" i="2"/>
  <c r="I125" i="2"/>
  <c r="J125" i="2"/>
  <c r="K125" i="2"/>
  <c r="K127" i="2" s="1"/>
  <c r="D127" i="2"/>
  <c r="E127" i="2"/>
  <c r="F127" i="2"/>
  <c r="H127" i="2"/>
  <c r="I127" i="2"/>
  <c r="J127" i="2"/>
  <c r="K132" i="2"/>
  <c r="K141" i="2" s="1"/>
  <c r="K143" i="2" s="1"/>
  <c r="K145" i="2" s="1"/>
  <c r="B139" i="2"/>
  <c r="D139" i="2"/>
  <c r="E139" i="2"/>
  <c r="F139" i="2"/>
  <c r="F141" i="2" s="1"/>
  <c r="F143" i="2" s="1"/>
  <c r="F145" i="2" s="1"/>
  <c r="G139" i="2"/>
  <c r="G141" i="2" s="1"/>
  <c r="H139" i="2"/>
  <c r="H141" i="2" s="1"/>
  <c r="I139" i="2"/>
  <c r="J139" i="2"/>
  <c r="J141" i="2" s="1"/>
  <c r="J143" i="2" s="1"/>
  <c r="J145" i="2" s="1"/>
  <c r="K139" i="2"/>
  <c r="B141" i="2"/>
  <c r="C141" i="2"/>
  <c r="D141" i="2"/>
  <c r="E141" i="2"/>
  <c r="I141" i="2"/>
  <c r="I143" i="2" s="1"/>
  <c r="I145" i="2"/>
  <c r="C34" i="3" l="1"/>
  <c r="C38" i="3" s="1"/>
  <c r="C41" i="3" s="1"/>
  <c r="C49" i="3" s="1"/>
  <c r="C52" i="3" s="1"/>
  <c r="D176" i="3"/>
  <c r="D178" i="3" s="1"/>
  <c r="B176" i="3"/>
  <c r="E119" i="3"/>
  <c r="J34" i="3"/>
  <c r="J38" i="3" s="1"/>
  <c r="K88" i="3"/>
  <c r="G88" i="3"/>
  <c r="M15" i="3"/>
  <c r="M34" i="3" s="1"/>
  <c r="M38" i="3" s="1"/>
  <c r="M41" i="3" s="1"/>
  <c r="M49" i="3" s="1"/>
  <c r="M52" i="3" s="1"/>
  <c r="M56" i="3" s="1"/>
  <c r="B119" i="3"/>
  <c r="F88" i="3"/>
  <c r="L15" i="3"/>
  <c r="H151" i="3"/>
  <c r="H176" i="3" s="1"/>
  <c r="H178" i="3" s="1"/>
  <c r="F15" i="3"/>
  <c r="F34" i="3" s="1"/>
  <c r="F38" i="3" s="1"/>
  <c r="F41" i="3" s="1"/>
  <c r="F49" i="3" s="1"/>
  <c r="F52" i="3" s="1"/>
  <c r="F56" i="3" s="1"/>
  <c r="G119" i="3"/>
  <c r="J103" i="3"/>
  <c r="C176" i="3"/>
  <c r="C178" i="3" s="1"/>
  <c r="B177" i="3" s="1"/>
  <c r="B178" i="3" s="1"/>
  <c r="K176" i="3"/>
  <c r="K178" i="3" s="1"/>
  <c r="F176" i="3"/>
  <c r="F178" i="3" s="1"/>
  <c r="E34" i="3"/>
  <c r="E38" i="3" s="1"/>
  <c r="E41" i="3" s="1"/>
  <c r="E49" i="3" s="1"/>
  <c r="E52" i="3" s="1"/>
  <c r="E56" i="3" s="1"/>
  <c r="D46" i="3" s="1"/>
  <c r="M176" i="3"/>
  <c r="M178" i="3" s="1"/>
  <c r="L34" i="3"/>
  <c r="L38" i="3" s="1"/>
  <c r="L41" i="3" s="1"/>
  <c r="L49" i="3" s="1"/>
  <c r="L52" i="3" s="1"/>
  <c r="L56" i="3" s="1"/>
  <c r="C119" i="3"/>
  <c r="D32" i="3"/>
  <c r="D34" i="3" s="1"/>
  <c r="D38" i="3" s="1"/>
  <c r="D41" i="3" s="1"/>
  <c r="D49" i="3" s="1"/>
  <c r="D52" i="3" s="1"/>
  <c r="D56" i="3" s="1"/>
  <c r="C46" i="3" s="1"/>
  <c r="C56" i="3" s="1"/>
  <c r="B46" i="3" s="1"/>
  <c r="B56" i="3" s="1"/>
  <c r="I15" i="3"/>
  <c r="I34" i="3" s="1"/>
  <c r="I38" i="3" s="1"/>
  <c r="I39" i="3" s="1"/>
  <c r="I176" i="3"/>
  <c r="I178" i="3" s="1"/>
  <c r="K15" i="3"/>
  <c r="K34" i="3" s="1"/>
  <c r="K38" i="3" s="1"/>
  <c r="K41" i="3" s="1"/>
  <c r="K49" i="3" s="1"/>
  <c r="K52" i="3" s="1"/>
  <c r="K56" i="3" s="1"/>
  <c r="H15" i="3"/>
  <c r="H34" i="3" s="1"/>
  <c r="H38" i="3" s="1"/>
  <c r="E176" i="3"/>
  <c r="E178" i="3" s="1"/>
  <c r="J119" i="3"/>
  <c r="L119" i="3"/>
  <c r="D119" i="3"/>
  <c r="H143" i="2"/>
  <c r="H145" i="2" s="1"/>
  <c r="G143" i="2"/>
  <c r="G145" i="2" s="1"/>
  <c r="C143" i="2"/>
  <c r="C145" i="2" s="1"/>
  <c r="B144" i="2" s="1"/>
  <c r="B145" i="2" s="1"/>
  <c r="H39" i="3"/>
  <c r="H41" i="3" s="1"/>
  <c r="H49" i="3" s="1"/>
  <c r="H52" i="3" s="1"/>
  <c r="H56" i="3" s="1"/>
  <c r="J39" i="3"/>
  <c r="J41" i="3" s="1"/>
  <c r="J49" i="3" s="1"/>
  <c r="J52" i="3" s="1"/>
  <c r="J56" i="3" s="1"/>
  <c r="J98" i="2"/>
  <c r="E57" i="2"/>
  <c r="E78" i="2" s="1"/>
  <c r="D54" i="2"/>
  <c r="K33" i="2"/>
  <c r="K35" i="2" s="1"/>
  <c r="K44" i="2" s="1"/>
  <c r="K49" i="2" s="1"/>
  <c r="E33" i="2"/>
  <c r="E35" i="2" s="1"/>
  <c r="E44" i="2" s="1"/>
  <c r="E49" i="2" s="1"/>
  <c r="C63" i="3"/>
  <c r="D68" i="3"/>
  <c r="D88" i="3" s="1"/>
  <c r="E147" i="1"/>
  <c r="E149" i="1" s="1"/>
  <c r="H44" i="1"/>
  <c r="E143" i="2"/>
  <c r="E145" i="2" s="1"/>
  <c r="H115" i="2"/>
  <c r="D115" i="2"/>
  <c r="D143" i="2" s="1"/>
  <c r="D145" i="2" s="1"/>
  <c r="F57" i="2"/>
  <c r="F78" i="2" s="1"/>
  <c r="K103" i="3"/>
  <c r="B149" i="1"/>
  <c r="F147" i="1"/>
  <c r="F149" i="1" s="1"/>
  <c r="L147" i="1"/>
  <c r="L149" i="1" s="1"/>
  <c r="L118" i="1"/>
  <c r="K25" i="1"/>
  <c r="K49" i="1"/>
  <c r="L13" i="1"/>
  <c r="L17" i="1" s="1"/>
  <c r="L31" i="1" s="1"/>
  <c r="L35" i="1" s="1"/>
  <c r="L37" i="1" s="1"/>
  <c r="L39" i="1" s="1"/>
  <c r="L45" i="1" s="1"/>
  <c r="L49" i="1" s="1"/>
  <c r="C13" i="1"/>
  <c r="C17" i="1" s="1"/>
  <c r="C31" i="1" s="1"/>
  <c r="C35" i="1" s="1"/>
  <c r="C37" i="1" s="1"/>
  <c r="C39" i="1" s="1"/>
  <c r="C45" i="1" s="1"/>
  <c r="C49" i="1" s="1"/>
  <c r="B44" i="1" s="1"/>
  <c r="B49" i="1" s="1"/>
  <c r="K119" i="3"/>
  <c r="G15" i="3"/>
  <c r="G34" i="3" s="1"/>
  <c r="G38" i="3" s="1"/>
  <c r="D54" i="1"/>
  <c r="E57" i="1"/>
  <c r="E76" i="1" s="1"/>
  <c r="F31" i="1"/>
  <c r="F35" i="1" s="1"/>
  <c r="F37" i="1" s="1"/>
  <c r="F39" i="1" s="1"/>
  <c r="F45" i="1" s="1"/>
  <c r="F49" i="1" s="1"/>
  <c r="H118" i="1"/>
  <c r="H147" i="1" s="1"/>
  <c r="H149" i="1" s="1"/>
  <c r="M13" i="1"/>
  <c r="M17" i="1" s="1"/>
  <c r="M31" i="1" s="1"/>
  <c r="M35" i="1" s="1"/>
  <c r="M37" i="1" s="1"/>
  <c r="M39" i="1" s="1"/>
  <c r="M45" i="1" s="1"/>
  <c r="M49" i="1" s="1"/>
  <c r="I13" i="1"/>
  <c r="I17" i="1" s="1"/>
  <c r="I31" i="1" s="1"/>
  <c r="I35" i="1" s="1"/>
  <c r="I37" i="1" s="1"/>
  <c r="I39" i="1" s="1"/>
  <c r="I45" i="1" s="1"/>
  <c r="I49" i="1" s="1"/>
  <c r="I41" i="3" l="1"/>
  <c r="I49" i="3" s="1"/>
  <c r="I52" i="3" s="1"/>
  <c r="I56" i="3" s="1"/>
  <c r="G39" i="3"/>
  <c r="G41" i="3" s="1"/>
  <c r="G49" i="3" s="1"/>
  <c r="G52" i="3" s="1"/>
  <c r="G56" i="3" s="1"/>
  <c r="C68" i="3"/>
  <c r="C88" i="3" s="1"/>
  <c r="B63" i="3"/>
  <c r="B68" i="3" s="1"/>
  <c r="B88" i="3" s="1"/>
  <c r="C54" i="2"/>
  <c r="C57" i="2" s="1"/>
  <c r="C78" i="2" s="1"/>
  <c r="D57" i="2"/>
  <c r="D78" i="2" s="1"/>
  <c r="D57" i="1"/>
  <c r="D76" i="1" s="1"/>
  <c r="C54" i="1"/>
  <c r="C57" i="1" l="1"/>
  <c r="C76" i="1" s="1"/>
  <c r="B54" i="1"/>
  <c r="B57" i="1" s="1"/>
  <c r="B76" i="1" s="1"/>
</calcChain>
</file>

<file path=xl/sharedStrings.xml><?xml version="1.0" encoding="utf-8"?>
<sst xmlns="http://schemas.openxmlformats.org/spreadsheetml/2006/main" count="489" uniqueCount="195">
  <si>
    <t>STATEMENT OF FINANCIAL PERFORMANCE</t>
  </si>
  <si>
    <t>15 months</t>
  </si>
  <si>
    <t xml:space="preserve">For the period ended </t>
  </si>
  <si>
    <t>$000</t>
  </si>
  <si>
    <t>REVENUE</t>
  </si>
  <si>
    <t>Airport Development Charge</t>
  </si>
  <si>
    <t>Landing Charges</t>
  </si>
  <si>
    <t>Terminal Services Charges</t>
  </si>
  <si>
    <t>Rental Income</t>
  </si>
  <si>
    <t>Carpark Income</t>
  </si>
  <si>
    <t>Concession Income</t>
  </si>
  <si>
    <t xml:space="preserve">Utilities and General </t>
  </si>
  <si>
    <t>OPERATING REVENUE</t>
  </si>
  <si>
    <t>INTEREST INCOME</t>
  </si>
  <si>
    <t>TOTAL REVENUE</t>
  </si>
  <si>
    <t>EXPENSES</t>
  </si>
  <si>
    <t>Audit Fees</t>
  </si>
  <si>
    <t>Depreciation</t>
  </si>
  <si>
    <t>Directors' Fees</t>
  </si>
  <si>
    <t>Repairs, Maintenance and Supplies</t>
  </si>
  <si>
    <t>Utilities and General</t>
  </si>
  <si>
    <t>Rates, Tax and Insurance</t>
  </si>
  <si>
    <t>Staff and Associated Costs</t>
  </si>
  <si>
    <t>Interest</t>
  </si>
  <si>
    <t>TOTAL EXPENSES</t>
  </si>
  <si>
    <t>Net Profit Before Extraordinaries</t>
  </si>
  <si>
    <t>Extraordinary Items</t>
  </si>
  <si>
    <t>Profit on disposal of subsidiary</t>
  </si>
  <si>
    <t>Costs of Initial Public Offering (IPO)</t>
  </si>
  <si>
    <t>NET PROFIT BEFORE TAX (NPBT)</t>
  </si>
  <si>
    <t>Income Tax</t>
  </si>
  <si>
    <t>NET PROFIT AFTER TAX (NPAT)</t>
  </si>
  <si>
    <t>Share of After Tax Profit of Associates</t>
  </si>
  <si>
    <t>NET PROFIT AFTER TAX INCLUDING ASSOCIATES</t>
  </si>
  <si>
    <t>STATEMENT OF MOVEMENTS IN EQUITY</t>
  </si>
  <si>
    <t>EQUITY AT THE BEGINNING OF THE YEAR</t>
  </si>
  <si>
    <t>Operating Surplus After Tax</t>
  </si>
  <si>
    <t>Increase in Asset Revaluation Reserve</t>
  </si>
  <si>
    <t>Dividends to Shareholders</t>
  </si>
  <si>
    <t>Prior Period Adjustment - Associated Company</t>
  </si>
  <si>
    <t>EQUITY AT THE END OF THE YEAR</t>
  </si>
  <si>
    <t>STATEMENT OF FINANCIAL POSITION</t>
  </si>
  <si>
    <t xml:space="preserve">As at </t>
  </si>
  <si>
    <t>EQUITY</t>
  </si>
  <si>
    <t>Share Capital (420m shares @ 50c/210m ordinary shares @ $1)</t>
  </si>
  <si>
    <t>Asset Revaluation Reserve</t>
  </si>
  <si>
    <t>Retained Earnings</t>
  </si>
  <si>
    <t>Total Equity</t>
  </si>
  <si>
    <t>NON-CURRENT LIABILITIES</t>
  </si>
  <si>
    <t>Long-Term Borrowing (coupon bonds, promissory notes)</t>
  </si>
  <si>
    <t>Other Term Borrowings</t>
  </si>
  <si>
    <t>Total Non-Current Liabilities</t>
  </si>
  <si>
    <t>CURRENT LIABILITIES</t>
  </si>
  <si>
    <t>Bank Overdraft</t>
  </si>
  <si>
    <t>Accounts Payable</t>
  </si>
  <si>
    <t>Provision for Runway Repairs</t>
  </si>
  <si>
    <t>Employee Entitlements (Leave Provision)</t>
  </si>
  <si>
    <t>Goods and Services Tax</t>
  </si>
  <si>
    <t>Proposed Dividend</t>
  </si>
  <si>
    <t>Taxation Payable</t>
  </si>
  <si>
    <t>Fixed Asset Payables and Retentions</t>
  </si>
  <si>
    <t>Other Payables</t>
  </si>
  <si>
    <t>Total Current Liabilities</t>
  </si>
  <si>
    <t>TOTAL EQUITY AND LIABILITIES</t>
  </si>
  <si>
    <r>
      <t>NON-CURRENT ASSETS</t>
    </r>
    <r>
      <rPr>
        <sz val="8"/>
        <rFont val="Arial"/>
        <family val="2"/>
      </rPr>
      <t xml:space="preserve"> ( @ cost less accumlated depreciation)</t>
    </r>
  </si>
  <si>
    <t>Freehold Land</t>
  </si>
  <si>
    <t>Buildings</t>
  </si>
  <si>
    <t>Runways, Taxiways and Aprons</t>
  </si>
  <si>
    <t>Vehicles and Plant</t>
  </si>
  <si>
    <t>Infrastructure</t>
  </si>
  <si>
    <t>Investment Properties</t>
  </si>
  <si>
    <t>Total Non-Current Assets</t>
  </si>
  <si>
    <t>CURRENT ASSETS</t>
  </si>
  <si>
    <t>Cash and Bank Balances</t>
  </si>
  <si>
    <t>Bank  Deposits</t>
  </si>
  <si>
    <t>NZ Government Stock</t>
  </si>
  <si>
    <t>Receivables (@ net realisable value)</t>
  </si>
  <si>
    <t>Prepayments</t>
  </si>
  <si>
    <t>Inventories</t>
  </si>
  <si>
    <t>Taxation Receivable</t>
  </si>
  <si>
    <t>Total Current Assets</t>
  </si>
  <si>
    <t>Investment in Associates (50% Marriott-AIAL &amp; Waste Resources)</t>
  </si>
  <si>
    <t>TOTAL ASSETS</t>
  </si>
  <si>
    <t>STATEMENT OF CASHFLOWS</t>
  </si>
  <si>
    <t>CASHFLOWS FROM OPERATING ACTIVITIES</t>
  </si>
  <si>
    <t>Cash was provided from:</t>
  </si>
  <si>
    <t>Receipts from Customers</t>
  </si>
  <si>
    <t>Interest Received</t>
  </si>
  <si>
    <t>Cash was applied to:</t>
  </si>
  <si>
    <t>Payments to Suppliers and Employees</t>
  </si>
  <si>
    <t>Interest Paid</t>
  </si>
  <si>
    <t>Taxes Paid</t>
  </si>
  <si>
    <t>Net Cash Flows from Operating Activities</t>
  </si>
  <si>
    <t>CASHFLOWS USED IN INVESTING ACTIVITIES</t>
  </si>
  <si>
    <t>Proceeds from Sale of Fixed Assets</t>
  </si>
  <si>
    <t>Repayment of Associates Advance</t>
  </si>
  <si>
    <t>Purchase of Fixed Assets and Airport Development Expenditure</t>
  </si>
  <si>
    <t>Advance to/Shares in Associates</t>
  </si>
  <si>
    <t>Net Cash Flows Used in Investing Activities</t>
  </si>
  <si>
    <t>CASHFLOWS FROM FINANCING ACTIVITIES</t>
  </si>
  <si>
    <t>Term Borrowings</t>
  </si>
  <si>
    <t>Net Repayment of Borrowings</t>
  </si>
  <si>
    <t>Re-Purchase of Bonds</t>
  </si>
  <si>
    <t>Dividends Paid</t>
  </si>
  <si>
    <t>Net Cash Flows from Financing Activities</t>
  </si>
  <si>
    <t>NET INCREASE (DECREASE) IN CASH HELD</t>
  </si>
  <si>
    <t>Add cash at the beginning of the year</t>
  </si>
  <si>
    <t>CASH AT END OF THE YEAR</t>
  </si>
  <si>
    <t>9 months</t>
  </si>
  <si>
    <t>8.5 months</t>
  </si>
  <si>
    <t>For the period ended</t>
  </si>
  <si>
    <t>Rental, Lease and Concession</t>
  </si>
  <si>
    <t>Carparking Services</t>
  </si>
  <si>
    <t>Other</t>
  </si>
  <si>
    <t>Business Development Costs</t>
  </si>
  <si>
    <t>Employee Remuneration and Benefits</t>
  </si>
  <si>
    <t>Rental and Leasing Costs</t>
  </si>
  <si>
    <t>Repairs and Maintenance</t>
  </si>
  <si>
    <t>Other Operating Costs</t>
  </si>
  <si>
    <t>Increase in Revaluation Reserve</t>
  </si>
  <si>
    <t>Repurchase of Shares</t>
  </si>
  <si>
    <t>As at</t>
  </si>
  <si>
    <t>Share Capital (56.55 m ordinary shares @ $1)</t>
  </si>
  <si>
    <t>Revaluation Reserve</t>
  </si>
  <si>
    <t>Bank Loans</t>
  </si>
  <si>
    <t>Subordinated Debt</t>
  </si>
  <si>
    <t>Rental in Advance</t>
  </si>
  <si>
    <t>Land Acquisitions</t>
  </si>
  <si>
    <t>Bank Overdraft/Advance</t>
  </si>
  <si>
    <t>Trade Creditors</t>
  </si>
  <si>
    <t>Accruals and Other Liabilities</t>
  </si>
  <si>
    <t>Employee Entitlements</t>
  </si>
  <si>
    <r>
      <t>NON-CURRENT ASSETS</t>
    </r>
    <r>
      <rPr>
        <sz val="8"/>
        <rFont val="Arial"/>
        <family val="2"/>
      </rPr>
      <t xml:space="preserve"> </t>
    </r>
  </si>
  <si>
    <t>Buildings (@ net current value)</t>
  </si>
  <si>
    <t>Vehicles, Plant and Equipment (@ net current value)</t>
  </si>
  <si>
    <t>Capital work in progress</t>
  </si>
  <si>
    <t>Deferred Tax</t>
  </si>
  <si>
    <t>Cash and Bank</t>
  </si>
  <si>
    <t>Short Term Deposits</t>
  </si>
  <si>
    <t>Trade Accounts Receivable</t>
  </si>
  <si>
    <t>Sundry Accounts Receivable</t>
  </si>
  <si>
    <t>Purchase of Fixed Assets</t>
  </si>
  <si>
    <t>Capitalised Interest</t>
  </si>
  <si>
    <t>Proceeds of Bank Deposits and Bills/Drawdown of Debt</t>
  </si>
  <si>
    <t>Repayment of Loans</t>
  </si>
  <si>
    <t>Repayment of Debentures</t>
  </si>
  <si>
    <t xml:space="preserve">Other </t>
  </si>
  <si>
    <t>Realised Gain on Sale of Fixed Assets</t>
  </si>
  <si>
    <t>Short Term Bank Deposits</t>
  </si>
  <si>
    <t>Other Deposits</t>
  </si>
  <si>
    <t>Employee Remuneration</t>
  </si>
  <si>
    <t>Financing and Interest Costs</t>
  </si>
  <si>
    <t>Other Administrative Expenses</t>
  </si>
  <si>
    <t>Electrictity, Fuel &amp; Oil</t>
  </si>
  <si>
    <t>Maintenance - Buildings &amp; Plant</t>
  </si>
  <si>
    <t>Maintenance - Sealed Surfaces</t>
  </si>
  <si>
    <t>Movement in Provision for Future Expenses in Resealing Surfaces</t>
  </si>
  <si>
    <t>Provision for Depreciation re Terminal Expansion</t>
  </si>
  <si>
    <t>SURPLUS AND REVALUATIONS</t>
  </si>
  <si>
    <t>Increase in Capital Reserve</t>
  </si>
  <si>
    <t>Total Recognised Revenues and Expenses</t>
  </si>
  <si>
    <t>Share Capital (57.6 m ordinary shares @ $1)</t>
  </si>
  <si>
    <t>Capital Reserve</t>
  </si>
  <si>
    <t>90-day Short Term Notes (@ discounted value)</t>
  </si>
  <si>
    <t>Construction Creditors</t>
  </si>
  <si>
    <t>Accrued Expenses</t>
  </si>
  <si>
    <t>Current Portion of Term Borrowing</t>
  </si>
  <si>
    <t>STATEMENT OF FINANCIAL POSITION (cont)</t>
  </si>
  <si>
    <r>
      <t>NON-CURRENT ASSETS</t>
    </r>
    <r>
      <rPr>
        <sz val="8"/>
        <rFont val="Arial"/>
        <family val="2"/>
      </rPr>
      <t xml:space="preserve"> (unless stated, @ cost of acquisition from Christchurch Airport Authority less accumlated depreciation)</t>
    </r>
  </si>
  <si>
    <t>Land (@ current valuation)</t>
  </si>
  <si>
    <t>Terminal Facilities</t>
  </si>
  <si>
    <t>Sealed Surfaces (after provision for future resealing expenses)</t>
  </si>
  <si>
    <t>Plant and Equipment</t>
  </si>
  <si>
    <t>Furniture</t>
  </si>
  <si>
    <t>Motor Vehicles</t>
  </si>
  <si>
    <t>Work in Progress</t>
  </si>
  <si>
    <t>Cash</t>
  </si>
  <si>
    <t>Bank and Short Term Deposits</t>
  </si>
  <si>
    <t>Receivables and Prepayments (@ net realisable value)</t>
  </si>
  <si>
    <t>Future Income Tax Benefit</t>
  </si>
  <si>
    <t>Inventories (@ lower of weighted average cost or NRV)</t>
  </si>
  <si>
    <t xml:space="preserve"> - Materials</t>
  </si>
  <si>
    <t xml:space="preserve"> - Retail Stock</t>
  </si>
  <si>
    <t xml:space="preserve"> - Livestock (@ IRD rates)</t>
  </si>
  <si>
    <t>Net GST Received</t>
  </si>
  <si>
    <t>Income Tax Paid</t>
  </si>
  <si>
    <t>Net GST Paid</t>
  </si>
  <si>
    <t>Bank Bill Facility Repaid</t>
  </si>
  <si>
    <t>Other Term Borrowings Repaid</t>
  </si>
  <si>
    <t>Terminal Services Charge</t>
  </si>
  <si>
    <t>Landing Charge</t>
  </si>
  <si>
    <t>Land Improvements (@ net current value)</t>
  </si>
  <si>
    <t>Land (@ net current value)</t>
  </si>
  <si>
    <t>Terminal Component of Airport Charge</t>
  </si>
  <si>
    <t>Landing Charge Component of Airport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</si>
</sst>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#,##0;\(#,##0\)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/>
    <xf numFmtId="164" fontId="2" fillId="0" borderId="0" xfId="0" applyNumberFormat="1" applyFont="1"/>
    <xf numFmtId="164" fontId="2" fillId="0" borderId="1" xfId="0" applyNumberFormat="1" applyFont="1" applyBorder="1"/>
    <xf numFmtId="164" fontId="2" fillId="0" borderId="0" xfId="0" applyNumberFormat="1" applyFont="1" applyBorder="1"/>
    <xf numFmtId="0" fontId="3" fillId="0" borderId="0" xfId="0" applyFont="1" applyAlignment="1">
      <alignment horizontal="right"/>
    </xf>
    <xf numFmtId="164" fontId="2" fillId="0" borderId="2" xfId="0" applyNumberFormat="1" applyFont="1" applyBorder="1"/>
    <xf numFmtId="0" fontId="5" fillId="0" borderId="0" xfId="0" applyFont="1"/>
    <xf numFmtId="166" fontId="2" fillId="0" borderId="0" xfId="0" applyNumberFormat="1" applyFont="1"/>
    <xf numFmtId="164" fontId="2" fillId="0" borderId="3" xfId="0" applyNumberFormat="1" applyFont="1" applyBorder="1"/>
    <xf numFmtId="0" fontId="3" fillId="0" borderId="0" xfId="0" applyFont="1"/>
    <xf numFmtId="164" fontId="3" fillId="0" borderId="3" xfId="0" applyNumberFormat="1" applyFont="1" applyBorder="1"/>
    <xf numFmtId="164" fontId="3" fillId="0" borderId="0" xfId="0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166" fontId="2" fillId="0" borderId="0" xfId="0" applyNumberFormat="1" applyFont="1" applyBorder="1"/>
    <xf numFmtId="164" fontId="3" fillId="0" borderId="2" xfId="0" applyNumberFormat="1" applyFont="1" applyBorder="1"/>
    <xf numFmtId="0" fontId="4" fillId="0" borderId="0" xfId="0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166" fontId="2" fillId="0" borderId="2" xfId="0" applyNumberFormat="1" applyFont="1" applyBorder="1"/>
    <xf numFmtId="166" fontId="3" fillId="0" borderId="0" xfId="0" applyNumberFormat="1" applyFont="1"/>
    <xf numFmtId="164" fontId="3" fillId="0" borderId="0" xfId="0" applyNumberFormat="1" applyFont="1"/>
    <xf numFmtId="166" fontId="3" fillId="0" borderId="2" xfId="0" applyNumberFormat="1" applyFont="1" applyBorder="1"/>
    <xf numFmtId="0" fontId="3" fillId="0" borderId="4" xfId="0" applyFont="1" applyBorder="1"/>
    <xf numFmtId="164" fontId="3" fillId="0" borderId="4" xfId="0" applyNumberFormat="1" applyFont="1" applyBorder="1"/>
    <xf numFmtId="0" fontId="3" fillId="0" borderId="3" xfId="0" applyFont="1" applyBorder="1"/>
    <xf numFmtId="0" fontId="3" fillId="0" borderId="0" xfId="0" applyFont="1" applyBorder="1" applyAlignment="1">
      <alignment horizontal="right"/>
    </xf>
    <xf numFmtId="0" fontId="2" fillId="0" borderId="4" xfId="0" applyFont="1" applyBorder="1"/>
    <xf numFmtId="164" fontId="2" fillId="0" borderId="4" xfId="0" applyNumberFormat="1" applyFont="1" applyBorder="1"/>
    <xf numFmtId="0" fontId="2" fillId="0" borderId="3" xfId="0" applyFont="1" applyBorder="1"/>
    <xf numFmtId="165" fontId="2" fillId="0" borderId="0" xfId="0" applyNumberFormat="1" applyFont="1"/>
    <xf numFmtId="165" fontId="3" fillId="0" borderId="0" xfId="0" applyNumberFormat="1" applyFont="1" applyBorder="1"/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/>
  </sheetViews>
  <sheetFormatPr defaultRowHeight="11.25" x14ac:dyDescent="0.2"/>
  <cols>
    <col min="1" max="1" width="46.85546875" style="2" customWidth="1"/>
    <col min="2" max="16384" width="9.140625" style="2"/>
  </cols>
  <sheetData>
    <row r="1" spans="1:13" ht="12.75" x14ac:dyDescent="0.2">
      <c r="A1" s="1" t="s">
        <v>0</v>
      </c>
      <c r="I1" s="3" t="s">
        <v>1</v>
      </c>
    </row>
    <row r="2" spans="1:13" x14ac:dyDescent="0.2">
      <c r="A2" s="2" t="s">
        <v>2</v>
      </c>
      <c r="B2" s="4">
        <v>36678</v>
      </c>
      <c r="C2" s="4">
        <v>36312</v>
      </c>
      <c r="D2" s="4">
        <v>35947</v>
      </c>
      <c r="E2" s="4">
        <v>35582</v>
      </c>
      <c r="F2" s="4">
        <v>35217</v>
      </c>
      <c r="G2" s="4">
        <v>34851</v>
      </c>
      <c r="H2" s="4">
        <v>34486</v>
      </c>
      <c r="I2" s="4">
        <v>34121</v>
      </c>
      <c r="J2" s="4">
        <v>2699935</v>
      </c>
      <c r="K2" s="4">
        <v>33298</v>
      </c>
      <c r="L2" s="4">
        <v>32933</v>
      </c>
      <c r="M2" s="4">
        <v>32568</v>
      </c>
    </row>
    <row r="3" spans="1:13" x14ac:dyDescent="0.2">
      <c r="B3" s="5" t="s">
        <v>3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  <c r="L3" s="5" t="s">
        <v>3</v>
      </c>
      <c r="M3" s="5" t="s">
        <v>3</v>
      </c>
    </row>
    <row r="4" spans="1:13" x14ac:dyDescent="0.2">
      <c r="A4" s="6" t="s">
        <v>4</v>
      </c>
    </row>
    <row r="6" spans="1:13" x14ac:dyDescent="0.2">
      <c r="A6" s="2" t="s">
        <v>5</v>
      </c>
      <c r="B6" s="7">
        <f>0.15*169990</f>
        <v>25498.5</v>
      </c>
      <c r="C6" s="7">
        <f>0.15*160366</f>
        <v>24054.899999999998</v>
      </c>
      <c r="D6" s="7">
        <v>23176.35</v>
      </c>
      <c r="E6" s="7">
        <v>24534</v>
      </c>
      <c r="F6" s="7">
        <v>22477.89</v>
      </c>
      <c r="G6" s="7">
        <v>20674</v>
      </c>
      <c r="H6" s="7">
        <v>19297</v>
      </c>
      <c r="I6" s="7">
        <f>0.177*124496</f>
        <v>22035.791999999998</v>
      </c>
      <c r="J6" s="7">
        <f>0.143*89149</f>
        <v>12748.306999999999</v>
      </c>
      <c r="K6" s="7">
        <f>0.137*88914</f>
        <v>12181.218000000001</v>
      </c>
      <c r="L6" s="7">
        <f>0.143*82919</f>
        <v>11857.416999999999</v>
      </c>
      <c r="M6" s="7">
        <f>0.165*65359</f>
        <v>10784.235000000001</v>
      </c>
    </row>
    <row r="7" spans="1:13" x14ac:dyDescent="0.2">
      <c r="A7" s="2" t="s">
        <v>6</v>
      </c>
      <c r="B7" s="7">
        <f>169990*0.27</f>
        <v>45897.3</v>
      </c>
      <c r="C7" s="7">
        <f>160366*0.28</f>
        <v>44902.48</v>
      </c>
      <c r="D7" s="7">
        <v>42644.483999999997</v>
      </c>
      <c r="E7" s="7">
        <v>41697</v>
      </c>
      <c r="F7" s="7">
        <v>41317.74</v>
      </c>
      <c r="G7" s="7">
        <v>37551</v>
      </c>
      <c r="H7" s="7">
        <v>33477</v>
      </c>
      <c r="I7" s="7">
        <f>0.329*124496</f>
        <v>40959.184000000001</v>
      </c>
      <c r="J7" s="7">
        <f>0.347*89149</f>
        <v>30934.702999999998</v>
      </c>
      <c r="K7" s="7">
        <f>0.361*88914</f>
        <v>32097.953999999998</v>
      </c>
      <c r="L7" s="7">
        <f>0.368*82919</f>
        <v>30514.191999999999</v>
      </c>
      <c r="M7" s="7">
        <f>0.39*65359</f>
        <v>25490.010000000002</v>
      </c>
    </row>
    <row r="8" spans="1:13" x14ac:dyDescent="0.2">
      <c r="A8" s="2" t="s">
        <v>7</v>
      </c>
      <c r="B8" s="7">
        <f>169990*0.08</f>
        <v>13599.2</v>
      </c>
      <c r="C8" s="7">
        <f>0.09*160366</f>
        <v>14432.939999999999</v>
      </c>
      <c r="D8" s="7">
        <v>13751.300999999999</v>
      </c>
      <c r="E8" s="7">
        <v>11977</v>
      </c>
      <c r="F8" s="7">
        <v>8965.17</v>
      </c>
      <c r="G8" s="7">
        <v>7822</v>
      </c>
      <c r="H8" s="7">
        <v>7676</v>
      </c>
      <c r="I8" s="7">
        <f>0.063*124496</f>
        <v>7843.2480000000005</v>
      </c>
      <c r="J8" s="7">
        <f>0.06*89149</f>
        <v>5348.94</v>
      </c>
      <c r="K8" s="7">
        <f>0.058*88914</f>
        <v>5157.0120000000006</v>
      </c>
      <c r="L8" s="7">
        <f>0.09*82919</f>
        <v>7462.71</v>
      </c>
      <c r="M8" s="7">
        <f>0.069*65359</f>
        <v>4509.7710000000006</v>
      </c>
    </row>
    <row r="9" spans="1:13" x14ac:dyDescent="0.2">
      <c r="A9" s="2" t="s">
        <v>8</v>
      </c>
      <c r="B9" s="7">
        <f>0.1*169990</f>
        <v>16999</v>
      </c>
      <c r="C9" s="7">
        <f>0.1*160366</f>
        <v>16036.6</v>
      </c>
      <c r="D9" s="7">
        <v>14832.864</v>
      </c>
      <c r="E9" s="7">
        <v>11378</v>
      </c>
      <c r="F9" s="7">
        <v>9225.0300000000007</v>
      </c>
      <c r="G9" s="7">
        <v>8366</v>
      </c>
      <c r="H9" s="7">
        <v>8316</v>
      </c>
      <c r="I9" s="7">
        <f>0.084*124496</f>
        <v>10457.664000000001</v>
      </c>
      <c r="J9" s="7">
        <f>0.092*89149</f>
        <v>8201.7080000000005</v>
      </c>
      <c r="K9" s="7">
        <f>0.088*88914</f>
        <v>7824.4319999999998</v>
      </c>
      <c r="L9" s="7">
        <f>0.07*82919</f>
        <v>5804.3300000000008</v>
      </c>
      <c r="M9" s="7">
        <f>0.061*65359</f>
        <v>3986.8989999999999</v>
      </c>
    </row>
    <row r="10" spans="1:13" x14ac:dyDescent="0.2">
      <c r="A10" s="2" t="s">
        <v>9</v>
      </c>
      <c r="B10" s="7">
        <f>0.07*169990</f>
        <v>11899.300000000001</v>
      </c>
      <c r="C10" s="7">
        <f>0.06*160366</f>
        <v>9621.9599999999991</v>
      </c>
      <c r="D10" s="7">
        <v>8343.4860000000008</v>
      </c>
      <c r="E10" s="7">
        <v>7027</v>
      </c>
      <c r="F10" s="7">
        <v>6236.64</v>
      </c>
      <c r="G10" s="7">
        <v>5850</v>
      </c>
      <c r="H10" s="7">
        <v>5224</v>
      </c>
      <c r="I10" s="7">
        <f>0.046*124496</f>
        <v>5726.8159999999998</v>
      </c>
      <c r="J10" s="7">
        <f>0.051*89149</f>
        <v>4546.5990000000002</v>
      </c>
      <c r="K10" s="7">
        <f>0.053*88914</f>
        <v>4712.442</v>
      </c>
      <c r="L10" s="7">
        <f>0.056*82919</f>
        <v>4643.4639999999999</v>
      </c>
      <c r="M10" s="7">
        <f>0.066*65359</f>
        <v>4313.6940000000004</v>
      </c>
    </row>
    <row r="11" spans="1:13" x14ac:dyDescent="0.2">
      <c r="A11" s="2" t="s">
        <v>10</v>
      </c>
      <c r="B11" s="7">
        <f>0.3*169990</f>
        <v>50997</v>
      </c>
      <c r="C11" s="7">
        <f>0.29*160366</f>
        <v>46506.14</v>
      </c>
      <c r="D11" s="7">
        <v>41562.921000000002</v>
      </c>
      <c r="E11" s="7">
        <v>34634</v>
      </c>
      <c r="F11" s="7">
        <v>34041.660000000003</v>
      </c>
      <c r="G11" s="7">
        <v>30999</v>
      </c>
      <c r="H11" s="7">
        <v>25375</v>
      </c>
      <c r="I11" s="7">
        <f>0.236*124496</f>
        <v>29381.055999999997</v>
      </c>
      <c r="J11" s="7">
        <f>0.202*89149</f>
        <v>18008.098000000002</v>
      </c>
      <c r="K11" s="7">
        <f>0.189*88914</f>
        <v>16804.745999999999</v>
      </c>
      <c r="L11" s="7">
        <f>0.194*82919</f>
        <v>16086.286</v>
      </c>
      <c r="M11" s="7">
        <f>0.166*65359</f>
        <v>10849.594000000001</v>
      </c>
    </row>
    <row r="12" spans="1:13" x14ac:dyDescent="0.2">
      <c r="A12" s="2" t="s">
        <v>11</v>
      </c>
      <c r="B12" s="7">
        <f>0.03*169990</f>
        <v>5099.7</v>
      </c>
      <c r="C12" s="7">
        <f>0.03*160366</f>
        <v>4810.9799999999996</v>
      </c>
      <c r="D12" s="7">
        <v>10197.593999999999</v>
      </c>
      <c r="E12" s="7">
        <v>8827</v>
      </c>
      <c r="F12" s="7">
        <v>7665.87</v>
      </c>
      <c r="G12" s="7">
        <v>6184</v>
      </c>
      <c r="H12" s="7">
        <v>6203</v>
      </c>
      <c r="I12" s="7">
        <f>0.065*124496</f>
        <v>8092.2400000000007</v>
      </c>
      <c r="J12" s="7">
        <f>0.105*89149</f>
        <v>9360.6450000000004</v>
      </c>
      <c r="K12" s="7">
        <f>0.114*88914</f>
        <v>10136.196</v>
      </c>
      <c r="L12" s="7">
        <f>0.079*82919</f>
        <v>6550.6009999999997</v>
      </c>
      <c r="M12" s="7">
        <f>0.083*65359</f>
        <v>5424.7970000000005</v>
      </c>
    </row>
    <row r="13" spans="1:13" x14ac:dyDescent="0.2">
      <c r="A13" s="2" t="s">
        <v>12</v>
      </c>
      <c r="B13" s="8">
        <f>SUM(B6:B12)</f>
        <v>169990</v>
      </c>
      <c r="C13" s="8">
        <f>SUM(C6:C12)</f>
        <v>160366.00000000003</v>
      </c>
      <c r="D13" s="8">
        <f>SUM(D6:D12)</f>
        <v>154509.00000000003</v>
      </c>
      <c r="E13" s="8">
        <f t="shared" ref="E13:K13" si="0">SUM(E6:E12)</f>
        <v>140074</v>
      </c>
      <c r="F13" s="8">
        <f t="shared" si="0"/>
        <v>129930</v>
      </c>
      <c r="G13" s="8">
        <f t="shared" si="0"/>
        <v>117446</v>
      </c>
      <c r="H13" s="8">
        <f t="shared" si="0"/>
        <v>105568</v>
      </c>
      <c r="I13" s="8">
        <f t="shared" si="0"/>
        <v>124496.00000000001</v>
      </c>
      <c r="J13" s="8">
        <f t="shared" si="0"/>
        <v>89149</v>
      </c>
      <c r="K13" s="8">
        <f t="shared" si="0"/>
        <v>88914</v>
      </c>
      <c r="L13" s="8">
        <f>SUM(L6:L12)</f>
        <v>82919</v>
      </c>
      <c r="M13" s="8">
        <f>SUM(M6:M12)</f>
        <v>65359.000000000007</v>
      </c>
    </row>
    <row r="15" spans="1:13" x14ac:dyDescent="0.2">
      <c r="A15" s="2" t="s">
        <v>13</v>
      </c>
      <c r="B15" s="9">
        <v>110</v>
      </c>
      <c r="C15" s="9">
        <v>207</v>
      </c>
      <c r="D15" s="9">
        <v>477</v>
      </c>
      <c r="E15" s="9">
        <v>288</v>
      </c>
      <c r="F15" s="9">
        <v>1253</v>
      </c>
      <c r="G15" s="9">
        <v>1119</v>
      </c>
      <c r="H15" s="9">
        <v>1047</v>
      </c>
      <c r="I15" s="9">
        <v>1589</v>
      </c>
      <c r="J15" s="9">
        <v>2862</v>
      </c>
      <c r="K15" s="9">
        <v>3314</v>
      </c>
      <c r="L15" s="9">
        <v>1543</v>
      </c>
      <c r="M15" s="9">
        <v>637</v>
      </c>
    </row>
    <row r="16" spans="1:13" x14ac:dyDescent="0.2">
      <c r="B16" s="7"/>
      <c r="C16" s="7"/>
      <c r="D16" s="7"/>
      <c r="E16" s="7"/>
      <c r="F16" s="7"/>
      <c r="G16" s="7"/>
      <c r="H16" s="7"/>
    </row>
    <row r="17" spans="1:13" ht="12" thickBot="1" x14ac:dyDescent="0.25">
      <c r="A17" s="10" t="s">
        <v>14</v>
      </c>
      <c r="B17" s="11">
        <f>+B13+B15</f>
        <v>170100</v>
      </c>
      <c r="C17" s="11">
        <f>+C13+C15</f>
        <v>160573.00000000003</v>
      </c>
      <c r="D17" s="11">
        <f>+D13+D15</f>
        <v>154986.00000000003</v>
      </c>
      <c r="E17" s="11">
        <f>+E13+E15</f>
        <v>140362</v>
      </c>
      <c r="F17" s="11">
        <f>+F13+F15</f>
        <v>131183</v>
      </c>
      <c r="G17" s="11">
        <v>118565</v>
      </c>
      <c r="H17" s="11">
        <v>106616</v>
      </c>
      <c r="I17" s="11">
        <f>+I13+I15</f>
        <v>126085.00000000001</v>
      </c>
      <c r="J17" s="11">
        <f>+J13+J15</f>
        <v>92011</v>
      </c>
      <c r="K17" s="11">
        <f>+K13+K15</f>
        <v>92228</v>
      </c>
      <c r="L17" s="11">
        <f>+L13+L15</f>
        <v>84462</v>
      </c>
      <c r="M17" s="11">
        <f>+M13+M15</f>
        <v>65996</v>
      </c>
    </row>
    <row r="18" spans="1:13" ht="12" thickTop="1" x14ac:dyDescent="0.2"/>
    <row r="19" spans="1:13" x14ac:dyDescent="0.2">
      <c r="A19" s="6" t="s">
        <v>15</v>
      </c>
      <c r="B19" s="7"/>
      <c r="C19" s="7"/>
      <c r="D19" s="7"/>
      <c r="E19" s="7"/>
      <c r="F19" s="7"/>
      <c r="G19" s="7"/>
      <c r="H19" s="7"/>
    </row>
    <row r="21" spans="1:13" x14ac:dyDescent="0.2">
      <c r="A21" s="2" t="s">
        <v>16</v>
      </c>
      <c r="B21" s="7">
        <f>45+31</f>
        <v>76</v>
      </c>
      <c r="C21" s="7">
        <v>45</v>
      </c>
      <c r="D21" s="7">
        <v>171</v>
      </c>
      <c r="E21" s="7">
        <v>46</v>
      </c>
      <c r="F21" s="7">
        <v>36</v>
      </c>
      <c r="G21" s="7">
        <v>36</v>
      </c>
      <c r="H21" s="7">
        <v>36</v>
      </c>
      <c r="I21" s="7">
        <v>37</v>
      </c>
      <c r="J21" s="7">
        <v>39</v>
      </c>
      <c r="K21" s="7">
        <v>38</v>
      </c>
      <c r="L21" s="7">
        <v>34</v>
      </c>
      <c r="M21" s="7">
        <v>36</v>
      </c>
    </row>
    <row r="22" spans="1:13" x14ac:dyDescent="0.2">
      <c r="A22" s="2" t="s">
        <v>17</v>
      </c>
      <c r="B22" s="7">
        <v>29488</v>
      </c>
      <c r="C22" s="7">
        <v>30094</v>
      </c>
      <c r="D22" s="7">
        <v>31857</v>
      </c>
      <c r="E22" s="7">
        <v>27859</v>
      </c>
      <c r="F22" s="7">
        <v>21712</v>
      </c>
      <c r="G22" s="7">
        <v>19415</v>
      </c>
      <c r="H22" s="7">
        <v>16874</v>
      </c>
      <c r="I22" s="7">
        <v>24187</v>
      </c>
      <c r="J22" s="7">
        <v>16033</v>
      </c>
      <c r="K22" s="7">
        <v>15541</v>
      </c>
      <c r="L22" s="7">
        <v>12288</v>
      </c>
      <c r="M22" s="7">
        <v>10845</v>
      </c>
    </row>
    <row r="23" spans="1:13" x14ac:dyDescent="0.2">
      <c r="A23" s="2" t="s">
        <v>18</v>
      </c>
      <c r="B23" s="7">
        <v>19</v>
      </c>
      <c r="C23" s="7">
        <f>215+77</f>
        <v>292</v>
      </c>
      <c r="D23" s="7">
        <v>175</v>
      </c>
      <c r="E23" s="7">
        <v>135</v>
      </c>
      <c r="F23" s="7">
        <v>121</v>
      </c>
      <c r="G23" s="7">
        <v>110</v>
      </c>
      <c r="H23" s="7">
        <v>110</v>
      </c>
      <c r="I23" s="7">
        <v>138</v>
      </c>
      <c r="J23" s="7">
        <v>110</v>
      </c>
      <c r="K23" s="7">
        <v>110</v>
      </c>
      <c r="L23" s="7">
        <v>100</v>
      </c>
      <c r="M23" s="7">
        <v>96</v>
      </c>
    </row>
    <row r="24" spans="1:13" x14ac:dyDescent="0.2">
      <c r="A24" s="2" t="s">
        <v>19</v>
      </c>
      <c r="B24" s="7">
        <f>94251*0.19</f>
        <v>17907.689999999999</v>
      </c>
      <c r="C24" s="7">
        <f>97136*0.21</f>
        <v>20398.559999999998</v>
      </c>
      <c r="D24" s="7">
        <v>18520.907999999999</v>
      </c>
      <c r="E24" s="7">
        <v>19909</v>
      </c>
      <c r="F24" s="7">
        <v>18731</v>
      </c>
      <c r="G24" s="7">
        <v>15538</v>
      </c>
      <c r="H24" s="7">
        <f>+H$29*0.247</f>
        <v>14837.289999999999</v>
      </c>
      <c r="I24" s="7">
        <f>0.247*79960</f>
        <v>19750.12</v>
      </c>
      <c r="J24" s="7">
        <f>0.216*61753</f>
        <v>13338.647999999999</v>
      </c>
      <c r="K24" s="7">
        <f>0.236*67779</f>
        <v>15995.843999999999</v>
      </c>
      <c r="L24" s="7">
        <f>0.226*62404</f>
        <v>14103.304</v>
      </c>
      <c r="M24" s="7">
        <f>0.216*59468</f>
        <v>12845.088</v>
      </c>
    </row>
    <row r="25" spans="1:13" x14ac:dyDescent="0.2">
      <c r="A25" s="2" t="s">
        <v>20</v>
      </c>
      <c r="B25" s="7">
        <f>94361-B26-B27-B28-B24-B22-B23-B21</f>
        <v>8445.5999999999913</v>
      </c>
      <c r="C25" s="7">
        <f>47495-C21-C23-C24-C26-C27</f>
        <v>8303.5999999999985</v>
      </c>
      <c r="D25" s="7">
        <f>10698-3536</f>
        <v>7162</v>
      </c>
      <c r="E25" s="7">
        <f>4621-E23-E21</f>
        <v>4440</v>
      </c>
      <c r="F25" s="7">
        <f>5018-F23-F21</f>
        <v>4861</v>
      </c>
      <c r="G25" s="7">
        <f>5387-G23-G21</f>
        <v>5241</v>
      </c>
      <c r="H25" s="7">
        <f t="shared" ref="H25:M25" si="1">+H29-H28-H27-H26-H24-H23-H22-H21</f>
        <v>5166.4700000000012</v>
      </c>
      <c r="I25" s="7">
        <f t="shared" si="1"/>
        <v>4579.84</v>
      </c>
      <c r="J25" s="7">
        <f t="shared" si="1"/>
        <v>3482.4089999999997</v>
      </c>
      <c r="K25" s="7">
        <f t="shared" si="1"/>
        <v>2413.461000000003</v>
      </c>
      <c r="L25" s="7">
        <f t="shared" si="1"/>
        <v>2489.2599999999984</v>
      </c>
      <c r="M25" s="7">
        <f t="shared" si="1"/>
        <v>2199.5680000000029</v>
      </c>
    </row>
    <row r="26" spans="1:13" x14ac:dyDescent="0.2">
      <c r="A26" s="2" t="s">
        <v>21</v>
      </c>
      <c r="B26" s="7">
        <f>94251*0.02</f>
        <v>1885.02</v>
      </c>
      <c r="C26" s="7">
        <f>97136*0.02</f>
        <v>1942.72</v>
      </c>
      <c r="D26" s="7">
        <v>2098.4279999999999</v>
      </c>
      <c r="E26" s="7">
        <v>2286</v>
      </c>
      <c r="F26" s="7">
        <v>2189</v>
      </c>
      <c r="G26" s="7">
        <v>2282</v>
      </c>
      <c r="H26" s="7">
        <f>+H29*0.036</f>
        <v>2162.52</v>
      </c>
      <c r="I26" s="7">
        <f>0.027*79960</f>
        <v>2158.92</v>
      </c>
      <c r="J26" s="7">
        <f>0.032*61753</f>
        <v>1976.096</v>
      </c>
      <c r="K26" s="7">
        <f>0.06*67779</f>
        <v>4066.74</v>
      </c>
      <c r="L26" s="7">
        <f>0.06*62404</f>
        <v>3744.24</v>
      </c>
      <c r="M26" s="7">
        <f>0.058*59468</f>
        <v>3449.1440000000002</v>
      </c>
    </row>
    <row r="27" spans="1:13" x14ac:dyDescent="0.2">
      <c r="A27" s="2" t="s">
        <v>22</v>
      </c>
      <c r="B27" s="7">
        <f>94251*0.19</f>
        <v>17907.689999999999</v>
      </c>
      <c r="C27" s="7">
        <f>97136*0.17</f>
        <v>16513.120000000003</v>
      </c>
      <c r="D27" s="7">
        <v>15418.884</v>
      </c>
      <c r="E27" s="7">
        <v>15480</v>
      </c>
      <c r="F27" s="7">
        <v>13517</v>
      </c>
      <c r="G27" s="7">
        <v>12281</v>
      </c>
      <c r="H27" s="7">
        <f>+H29*0.196</f>
        <v>11773.720000000001</v>
      </c>
      <c r="I27" s="7">
        <f>0.197*79960</f>
        <v>15752.12</v>
      </c>
      <c r="J27" s="7">
        <f>0.199*61753</f>
        <v>12288.847</v>
      </c>
      <c r="K27" s="7">
        <f>0.145*67779</f>
        <v>9827.9549999999999</v>
      </c>
      <c r="L27" s="7">
        <f>0.149*62404</f>
        <v>9298.1959999999999</v>
      </c>
      <c r="M27" s="7">
        <f>0.15*59468</f>
        <v>8920.1999999999989</v>
      </c>
    </row>
    <row r="28" spans="1:13" x14ac:dyDescent="0.2">
      <c r="A28" s="2" t="s">
        <v>23</v>
      </c>
      <c r="B28" s="7">
        <v>18632</v>
      </c>
      <c r="C28" s="7">
        <v>19754</v>
      </c>
      <c r="D28" s="7">
        <v>12774</v>
      </c>
      <c r="E28" s="7">
        <v>10741</v>
      </c>
      <c r="F28" s="7">
        <v>9170</v>
      </c>
      <c r="G28" s="7">
        <v>7990</v>
      </c>
      <c r="H28" s="7">
        <v>9110</v>
      </c>
      <c r="I28" s="7">
        <v>13357</v>
      </c>
      <c r="J28" s="7">
        <v>14485</v>
      </c>
      <c r="K28" s="7">
        <v>19786</v>
      </c>
      <c r="L28" s="7">
        <v>20347</v>
      </c>
      <c r="M28" s="7">
        <v>21077</v>
      </c>
    </row>
    <row r="29" spans="1:13" ht="12" thickBot="1" x14ac:dyDescent="0.25">
      <c r="A29" s="10" t="s">
        <v>24</v>
      </c>
      <c r="B29" s="11">
        <f>SUM(B21:B28)</f>
        <v>94360.999999999985</v>
      </c>
      <c r="C29" s="11">
        <f>SUM(C21:C28)</f>
        <v>97343</v>
      </c>
      <c r="D29" s="11">
        <f>SUM(D21:D28)</f>
        <v>88177.22</v>
      </c>
      <c r="E29" s="11">
        <f>288+80608</f>
        <v>80896</v>
      </c>
      <c r="F29" s="11">
        <f>1253+69084</f>
        <v>70337</v>
      </c>
      <c r="G29" s="11">
        <v>62893</v>
      </c>
      <c r="H29" s="11">
        <v>60070</v>
      </c>
      <c r="I29" s="11">
        <v>79960</v>
      </c>
      <c r="J29" s="11">
        <v>61753</v>
      </c>
      <c r="K29" s="11">
        <v>67779</v>
      </c>
      <c r="L29" s="11">
        <v>62404</v>
      </c>
      <c r="M29" s="11">
        <v>59468</v>
      </c>
    </row>
    <row r="30" spans="1:13" ht="12" thickTop="1" x14ac:dyDescent="0.2"/>
    <row r="31" spans="1:13" x14ac:dyDescent="0.2">
      <c r="A31" s="2" t="s">
        <v>25</v>
      </c>
      <c r="B31" s="7">
        <f>+B17-B29</f>
        <v>75739.000000000015</v>
      </c>
      <c r="C31" s="7">
        <f>+C17-C29</f>
        <v>63230.000000000029</v>
      </c>
      <c r="D31" s="7">
        <f t="shared" ref="D31:K31" si="2">+D17-D29</f>
        <v>66808.780000000028</v>
      </c>
      <c r="E31" s="7">
        <f t="shared" si="2"/>
        <v>59466</v>
      </c>
      <c r="F31" s="7">
        <f t="shared" si="2"/>
        <v>60846</v>
      </c>
      <c r="G31" s="7">
        <f t="shared" si="2"/>
        <v>55672</v>
      </c>
      <c r="H31" s="7">
        <f t="shared" si="2"/>
        <v>46546</v>
      </c>
      <c r="I31" s="7">
        <f t="shared" si="2"/>
        <v>46125.000000000015</v>
      </c>
      <c r="J31" s="7">
        <f t="shared" si="2"/>
        <v>30258</v>
      </c>
      <c r="K31" s="7">
        <f t="shared" si="2"/>
        <v>24449</v>
      </c>
      <c r="L31" s="7">
        <f>+L17-L29</f>
        <v>22058</v>
      </c>
      <c r="M31" s="7">
        <f>+M17-M29</f>
        <v>6528</v>
      </c>
    </row>
    <row r="32" spans="1:13" x14ac:dyDescent="0.2">
      <c r="A32" s="12" t="s">
        <v>26</v>
      </c>
      <c r="B32" s="7"/>
      <c r="C32" s="7"/>
      <c r="D32" s="7"/>
      <c r="E32" s="7"/>
      <c r="F32" s="7"/>
      <c r="G32" s="7"/>
      <c r="H32" s="7"/>
    </row>
    <row r="33" spans="1:13" x14ac:dyDescent="0.2">
      <c r="A33" s="2" t="s">
        <v>27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4995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3" x14ac:dyDescent="0.2">
      <c r="A34" s="2" t="s">
        <v>28</v>
      </c>
      <c r="B34" s="7">
        <v>0</v>
      </c>
      <c r="C34" s="7">
        <v>0</v>
      </c>
      <c r="D34" s="13">
        <v>-3536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3" x14ac:dyDescent="0.2">
      <c r="A35" s="2" t="s">
        <v>29</v>
      </c>
      <c r="B35" s="14">
        <f>+B31-B33+B34</f>
        <v>75739.000000000015</v>
      </c>
      <c r="C35" s="14">
        <f>+C31-C33+C34</f>
        <v>63230.000000000029</v>
      </c>
      <c r="D35" s="14">
        <f>+D31-D33+D34</f>
        <v>63272.780000000028</v>
      </c>
      <c r="E35" s="14">
        <f>+E31-E33</f>
        <v>59466</v>
      </c>
      <c r="F35" s="14">
        <f t="shared" ref="F35:K35" si="3">SUM(F31:F33)</f>
        <v>60846</v>
      </c>
      <c r="G35" s="14">
        <f t="shared" si="3"/>
        <v>55672</v>
      </c>
      <c r="H35" s="14">
        <f t="shared" si="3"/>
        <v>51541</v>
      </c>
      <c r="I35" s="14">
        <f t="shared" si="3"/>
        <v>46125.000000000015</v>
      </c>
      <c r="J35" s="14">
        <f t="shared" si="3"/>
        <v>30258</v>
      </c>
      <c r="K35" s="14">
        <f t="shared" si="3"/>
        <v>24449</v>
      </c>
      <c r="L35" s="14">
        <f>SUM(L31:L33)</f>
        <v>22058</v>
      </c>
      <c r="M35" s="14">
        <f>SUM(M31:M33)</f>
        <v>6528</v>
      </c>
    </row>
    <row r="36" spans="1:13" x14ac:dyDescent="0.2">
      <c r="A36" s="2" t="s">
        <v>30</v>
      </c>
      <c r="B36" s="7">
        <v>25005</v>
      </c>
      <c r="C36" s="7">
        <v>20962</v>
      </c>
      <c r="D36" s="7">
        <v>22389</v>
      </c>
      <c r="E36" s="7">
        <v>19277</v>
      </c>
      <c r="F36" s="7">
        <v>22005</v>
      </c>
      <c r="G36" s="7">
        <v>21059</v>
      </c>
      <c r="H36" s="7">
        <v>18589</v>
      </c>
      <c r="I36" s="7">
        <v>18951</v>
      </c>
      <c r="J36" s="7">
        <v>12130</v>
      </c>
      <c r="K36" s="7">
        <v>8713</v>
      </c>
      <c r="L36" s="7">
        <v>8605</v>
      </c>
      <c r="M36" s="7">
        <v>2734</v>
      </c>
    </row>
    <row r="37" spans="1:13" x14ac:dyDescent="0.2">
      <c r="A37" s="15" t="s">
        <v>31</v>
      </c>
      <c r="B37" s="16">
        <f t="shared" ref="B37:K37" si="4">+B35-B36</f>
        <v>50734.000000000015</v>
      </c>
      <c r="C37" s="16">
        <f t="shared" si="4"/>
        <v>42268.000000000029</v>
      </c>
      <c r="D37" s="16">
        <f t="shared" si="4"/>
        <v>40883.780000000028</v>
      </c>
      <c r="E37" s="16">
        <f t="shared" si="4"/>
        <v>40189</v>
      </c>
      <c r="F37" s="16">
        <f t="shared" si="4"/>
        <v>38841</v>
      </c>
      <c r="G37" s="16">
        <f t="shared" si="4"/>
        <v>34613</v>
      </c>
      <c r="H37" s="16">
        <f t="shared" si="4"/>
        <v>32952</v>
      </c>
      <c r="I37" s="16">
        <f t="shared" si="4"/>
        <v>27174.000000000015</v>
      </c>
      <c r="J37" s="16">
        <f t="shared" si="4"/>
        <v>18128</v>
      </c>
      <c r="K37" s="16">
        <f t="shared" si="4"/>
        <v>15736</v>
      </c>
      <c r="L37" s="16">
        <f>+L35-L36</f>
        <v>13453</v>
      </c>
      <c r="M37" s="16">
        <f>+M35-M36</f>
        <v>3794</v>
      </c>
    </row>
    <row r="38" spans="1:13" x14ac:dyDescent="0.2">
      <c r="A38" s="2" t="s">
        <v>32</v>
      </c>
      <c r="B38" s="9">
        <v>319</v>
      </c>
      <c r="C38" s="9">
        <v>148</v>
      </c>
      <c r="D38" s="9">
        <v>205</v>
      </c>
      <c r="E38" s="9">
        <v>321</v>
      </c>
      <c r="F38" s="9">
        <v>189</v>
      </c>
      <c r="G38" s="9">
        <v>210</v>
      </c>
      <c r="H38" s="9">
        <v>323</v>
      </c>
      <c r="I38" s="9">
        <v>91</v>
      </c>
      <c r="J38" s="9">
        <v>9</v>
      </c>
      <c r="K38" s="9">
        <v>41</v>
      </c>
      <c r="L38" s="9">
        <v>0</v>
      </c>
      <c r="M38" s="9">
        <v>0</v>
      </c>
    </row>
    <row r="39" spans="1:13" ht="12" thickBot="1" x14ac:dyDescent="0.25">
      <c r="A39" s="2" t="s">
        <v>33</v>
      </c>
      <c r="B39" s="11">
        <f t="shared" ref="B39:K39" si="5">+B38+B37</f>
        <v>51053.000000000015</v>
      </c>
      <c r="C39" s="11">
        <f t="shared" si="5"/>
        <v>42416.000000000029</v>
      </c>
      <c r="D39" s="11">
        <f t="shared" si="5"/>
        <v>41088.780000000028</v>
      </c>
      <c r="E39" s="11">
        <f t="shared" si="5"/>
        <v>40510</v>
      </c>
      <c r="F39" s="11">
        <f t="shared" si="5"/>
        <v>39030</v>
      </c>
      <c r="G39" s="11">
        <f t="shared" si="5"/>
        <v>34823</v>
      </c>
      <c r="H39" s="11">
        <f t="shared" si="5"/>
        <v>33275</v>
      </c>
      <c r="I39" s="11">
        <f t="shared" si="5"/>
        <v>27265.000000000015</v>
      </c>
      <c r="J39" s="11">
        <f t="shared" si="5"/>
        <v>18137</v>
      </c>
      <c r="K39" s="11">
        <f t="shared" si="5"/>
        <v>15777</v>
      </c>
      <c r="L39" s="11">
        <f>+L38+L37</f>
        <v>13453</v>
      </c>
      <c r="M39" s="11">
        <f>+M38+M37</f>
        <v>3794</v>
      </c>
    </row>
    <row r="40" spans="1:13" ht="12" thickTop="1" x14ac:dyDescent="0.2">
      <c r="A40" s="15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ht="12.75" x14ac:dyDescent="0.2">
      <c r="A41" s="1" t="s">
        <v>34</v>
      </c>
    </row>
    <row r="42" spans="1:13" x14ac:dyDescent="0.2">
      <c r="A42" s="2" t="s">
        <v>2</v>
      </c>
      <c r="B42" s="4">
        <v>36678</v>
      </c>
      <c r="C42" s="4">
        <v>36312</v>
      </c>
      <c r="D42" s="4">
        <v>35947</v>
      </c>
      <c r="E42" s="4">
        <v>35582</v>
      </c>
      <c r="F42" s="4">
        <v>35217</v>
      </c>
      <c r="G42" s="4">
        <v>34851</v>
      </c>
      <c r="H42" s="4">
        <v>34486</v>
      </c>
      <c r="I42" s="4">
        <v>34121</v>
      </c>
      <c r="J42" s="4">
        <v>2699935</v>
      </c>
      <c r="K42" s="4">
        <v>33298</v>
      </c>
      <c r="L42" s="4">
        <v>32933</v>
      </c>
      <c r="M42" s="4">
        <v>32568</v>
      </c>
    </row>
    <row r="43" spans="1:13" x14ac:dyDescent="0.2">
      <c r="B43" s="5" t="s">
        <v>3</v>
      </c>
      <c r="C43" s="5" t="s">
        <v>3</v>
      </c>
      <c r="D43" s="5" t="s">
        <v>3</v>
      </c>
      <c r="E43" s="5" t="s">
        <v>3</v>
      </c>
      <c r="F43" s="5" t="s">
        <v>3</v>
      </c>
      <c r="G43" s="5" t="s">
        <v>3</v>
      </c>
      <c r="H43" s="5" t="s">
        <v>3</v>
      </c>
      <c r="I43" s="5" t="s">
        <v>3</v>
      </c>
      <c r="J43" s="5" t="s">
        <v>3</v>
      </c>
      <c r="K43" s="5" t="s">
        <v>3</v>
      </c>
      <c r="L43" s="5" t="s">
        <v>3</v>
      </c>
      <c r="M43" s="5" t="s">
        <v>3</v>
      </c>
    </row>
    <row r="44" spans="1:13" x14ac:dyDescent="0.2">
      <c r="A44" s="18" t="s">
        <v>35</v>
      </c>
      <c r="B44" s="9">
        <f>+C49</f>
        <v>510189</v>
      </c>
      <c r="C44" s="9">
        <v>220051</v>
      </c>
      <c r="D44" s="9">
        <v>324765</v>
      </c>
      <c r="E44" s="9">
        <v>308510</v>
      </c>
      <c r="F44" s="9">
        <v>292895</v>
      </c>
      <c r="G44" s="9">
        <v>278967</v>
      </c>
      <c r="H44" s="9">
        <f>+H49-H47-H45</f>
        <v>259006</v>
      </c>
      <c r="I44" s="7">
        <f>32891+210000</f>
        <v>242891</v>
      </c>
      <c r="J44" s="7">
        <f>210000+21999</f>
        <v>231999</v>
      </c>
      <c r="K44" s="7">
        <f>210000+12522</f>
        <v>222522</v>
      </c>
      <c r="L44" s="7">
        <f>210000+3794</f>
        <v>213794</v>
      </c>
      <c r="M44" s="7">
        <v>210000</v>
      </c>
    </row>
    <row r="45" spans="1:13" x14ac:dyDescent="0.2">
      <c r="A45" s="18" t="s">
        <v>36</v>
      </c>
      <c r="B45" s="9">
        <f>+B39</f>
        <v>51053.000000000015</v>
      </c>
      <c r="C45" s="9">
        <f>+C39</f>
        <v>42416.000000000029</v>
      </c>
      <c r="D45" s="9">
        <f t="shared" ref="D45:K45" si="6">+D39</f>
        <v>41088.780000000028</v>
      </c>
      <c r="E45" s="9">
        <f t="shared" si="6"/>
        <v>40510</v>
      </c>
      <c r="F45" s="9">
        <f t="shared" si="6"/>
        <v>39030</v>
      </c>
      <c r="G45" s="9">
        <f t="shared" si="6"/>
        <v>34823</v>
      </c>
      <c r="H45" s="9">
        <f t="shared" si="6"/>
        <v>33275</v>
      </c>
      <c r="I45" s="9">
        <f t="shared" si="6"/>
        <v>27265.000000000015</v>
      </c>
      <c r="J45" s="9">
        <f t="shared" si="6"/>
        <v>18137</v>
      </c>
      <c r="K45" s="9">
        <f t="shared" si="6"/>
        <v>15777</v>
      </c>
      <c r="L45" s="9">
        <f>+L39</f>
        <v>13453</v>
      </c>
      <c r="M45" s="9">
        <f>+M39</f>
        <v>3794</v>
      </c>
    </row>
    <row r="46" spans="1:13" x14ac:dyDescent="0.2">
      <c r="A46" s="18" t="s">
        <v>37</v>
      </c>
      <c r="B46" s="9">
        <v>2544</v>
      </c>
      <c r="C46" s="9">
        <v>281322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</row>
    <row r="47" spans="1:13" x14ac:dyDescent="0.2">
      <c r="A47" s="19" t="s">
        <v>38</v>
      </c>
      <c r="B47" s="20">
        <v>-63840</v>
      </c>
      <c r="C47" s="20">
        <v>-33600</v>
      </c>
      <c r="D47" s="20">
        <v>-145803</v>
      </c>
      <c r="E47" s="20">
        <v>-24255</v>
      </c>
      <c r="F47" s="20">
        <v>-23415</v>
      </c>
      <c r="G47" s="20">
        <f>-8400-12495</f>
        <v>-20895</v>
      </c>
      <c r="H47" s="20">
        <f>-5250-8064</f>
        <v>-13314</v>
      </c>
      <c r="I47" s="13">
        <v>-10920</v>
      </c>
      <c r="J47" s="13">
        <v>-7245</v>
      </c>
      <c r="K47" s="13">
        <v>-6300</v>
      </c>
      <c r="L47" s="13">
        <v>-4725</v>
      </c>
      <c r="M47" s="9">
        <v>0</v>
      </c>
    </row>
    <row r="48" spans="1:13" x14ac:dyDescent="0.2">
      <c r="A48" s="19" t="s">
        <v>39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13">
        <v>-230</v>
      </c>
      <c r="J48" s="9">
        <v>0</v>
      </c>
      <c r="K48" s="9">
        <v>0</v>
      </c>
      <c r="L48" s="9">
        <v>0</v>
      </c>
      <c r="M48" s="9">
        <v>0</v>
      </c>
    </row>
    <row r="49" spans="1:13" ht="12" thickBot="1" x14ac:dyDescent="0.25">
      <c r="A49" s="15" t="s">
        <v>40</v>
      </c>
      <c r="B49" s="21">
        <f t="shared" ref="B49:G49" si="7">SUM(B44:B47)</f>
        <v>499946</v>
      </c>
      <c r="C49" s="21">
        <f t="shared" si="7"/>
        <v>510189</v>
      </c>
      <c r="D49" s="21">
        <f t="shared" si="7"/>
        <v>220050.78000000003</v>
      </c>
      <c r="E49" s="21">
        <f t="shared" si="7"/>
        <v>324765</v>
      </c>
      <c r="F49" s="21">
        <f t="shared" si="7"/>
        <v>308510</v>
      </c>
      <c r="G49" s="21">
        <f t="shared" si="7"/>
        <v>292895</v>
      </c>
      <c r="H49" s="21">
        <v>278967</v>
      </c>
      <c r="I49" s="21">
        <f>SUM(I44:I48)</f>
        <v>259006</v>
      </c>
      <c r="J49" s="21">
        <f>SUM(J44:J47)</f>
        <v>242891</v>
      </c>
      <c r="K49" s="21">
        <f>SUM(K44:K47)</f>
        <v>231999</v>
      </c>
      <c r="L49" s="21">
        <f>SUM(L44:L47)</f>
        <v>222522</v>
      </c>
      <c r="M49" s="21">
        <f>SUM(M44:M47)</f>
        <v>213794</v>
      </c>
    </row>
    <row r="50" spans="1:13" ht="13.5" thickTop="1" x14ac:dyDescent="0.2">
      <c r="A50" s="1" t="s">
        <v>41</v>
      </c>
    </row>
    <row r="51" spans="1:13" x14ac:dyDescent="0.2">
      <c r="A51" s="2" t="s">
        <v>42</v>
      </c>
      <c r="B51" s="4">
        <v>36678</v>
      </c>
      <c r="C51" s="4">
        <v>36312</v>
      </c>
      <c r="D51" s="4">
        <v>35947</v>
      </c>
      <c r="E51" s="4">
        <v>35582</v>
      </c>
      <c r="F51" s="4">
        <v>35217</v>
      </c>
      <c r="G51" s="4">
        <v>34851</v>
      </c>
      <c r="H51" s="4">
        <v>34486</v>
      </c>
      <c r="I51" s="4">
        <v>34121</v>
      </c>
      <c r="J51" s="4">
        <v>2699935</v>
      </c>
      <c r="K51" s="4">
        <v>33298</v>
      </c>
      <c r="L51" s="4">
        <v>32933</v>
      </c>
      <c r="M51" s="4">
        <v>32568</v>
      </c>
    </row>
    <row r="52" spans="1:13" x14ac:dyDescent="0.2">
      <c r="B52" s="5" t="s">
        <v>3</v>
      </c>
      <c r="C52" s="5" t="s">
        <v>3</v>
      </c>
      <c r="D52" s="5" t="s">
        <v>3</v>
      </c>
      <c r="E52" s="5" t="s">
        <v>3</v>
      </c>
      <c r="F52" s="5" t="s">
        <v>3</v>
      </c>
      <c r="G52" s="5" t="s">
        <v>3</v>
      </c>
      <c r="H52" s="5" t="s">
        <v>3</v>
      </c>
      <c r="I52" s="5" t="s">
        <v>3</v>
      </c>
      <c r="J52" s="5" t="s">
        <v>3</v>
      </c>
      <c r="K52" s="5" t="s">
        <v>3</v>
      </c>
      <c r="L52" s="5" t="s">
        <v>3</v>
      </c>
      <c r="M52" s="5" t="s">
        <v>3</v>
      </c>
    </row>
    <row r="53" spans="1:13" x14ac:dyDescent="0.2">
      <c r="A53" s="22" t="s">
        <v>43</v>
      </c>
      <c r="B53" s="9"/>
      <c r="C53" s="9"/>
      <c r="D53" s="9"/>
      <c r="E53" s="9"/>
      <c r="F53" s="9"/>
      <c r="G53" s="9"/>
      <c r="H53" s="9"/>
    </row>
    <row r="54" spans="1:13" x14ac:dyDescent="0.2">
      <c r="A54" s="2" t="s">
        <v>44</v>
      </c>
      <c r="B54" s="7">
        <f>+C54</f>
        <v>210000</v>
      </c>
      <c r="C54" s="7">
        <f>+D54</f>
        <v>210000</v>
      </c>
      <c r="D54" s="7">
        <f>+E54</f>
        <v>210000</v>
      </c>
      <c r="E54" s="7">
        <f>+F54</f>
        <v>210000</v>
      </c>
      <c r="F54" s="7">
        <f>+G54</f>
        <v>210000</v>
      </c>
      <c r="G54" s="7">
        <v>210000</v>
      </c>
      <c r="H54" s="7">
        <v>210000</v>
      </c>
      <c r="I54" s="7">
        <v>210000</v>
      </c>
      <c r="J54" s="7">
        <v>210000</v>
      </c>
      <c r="K54" s="7">
        <v>210000</v>
      </c>
      <c r="L54" s="7">
        <v>210000</v>
      </c>
      <c r="M54" s="7">
        <v>210000</v>
      </c>
    </row>
    <row r="55" spans="1:13" x14ac:dyDescent="0.2">
      <c r="A55" s="2" t="s">
        <v>45</v>
      </c>
      <c r="B55" s="7">
        <v>283866</v>
      </c>
      <c r="C55" s="7">
        <v>281322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</row>
    <row r="56" spans="1:13" x14ac:dyDescent="0.2">
      <c r="A56" s="2" t="s">
        <v>46</v>
      </c>
      <c r="B56" s="7">
        <v>6080</v>
      </c>
      <c r="C56" s="7">
        <v>18867</v>
      </c>
      <c r="D56" s="7">
        <v>10051</v>
      </c>
      <c r="E56" s="7">
        <v>114765</v>
      </c>
      <c r="F56" s="7">
        <v>98510</v>
      </c>
      <c r="G56" s="7">
        <v>82895</v>
      </c>
      <c r="H56" s="7">
        <v>68967</v>
      </c>
      <c r="I56" s="7">
        <v>49006</v>
      </c>
      <c r="J56" s="7">
        <v>32891</v>
      </c>
      <c r="K56" s="7">
        <v>21999</v>
      </c>
      <c r="L56" s="7">
        <v>12522</v>
      </c>
      <c r="M56" s="7">
        <v>3794</v>
      </c>
    </row>
    <row r="57" spans="1:13" x14ac:dyDescent="0.2">
      <c r="A57" s="10" t="s">
        <v>47</v>
      </c>
      <c r="B57" s="8">
        <f>SUM(B54:B56)</f>
        <v>499946</v>
      </c>
      <c r="C57" s="8">
        <f>SUM(C54:C56)</f>
        <v>510189</v>
      </c>
      <c r="D57" s="8">
        <f>SUM(D54:D56)</f>
        <v>220051</v>
      </c>
      <c r="E57" s="8">
        <f t="shared" ref="E57:K57" si="8">SUM(E54:E56)</f>
        <v>324765</v>
      </c>
      <c r="F57" s="8">
        <f t="shared" si="8"/>
        <v>308510</v>
      </c>
      <c r="G57" s="8">
        <f t="shared" si="8"/>
        <v>292895</v>
      </c>
      <c r="H57" s="8">
        <f t="shared" si="8"/>
        <v>278967</v>
      </c>
      <c r="I57" s="8">
        <f t="shared" si="8"/>
        <v>259006</v>
      </c>
      <c r="J57" s="8">
        <f t="shared" si="8"/>
        <v>242891</v>
      </c>
      <c r="K57" s="8">
        <f t="shared" si="8"/>
        <v>231999</v>
      </c>
      <c r="L57" s="8">
        <f>SUM(L54:L56)</f>
        <v>222522</v>
      </c>
      <c r="M57" s="8">
        <f>SUM(M54:M56)</f>
        <v>213794</v>
      </c>
    </row>
    <row r="58" spans="1:13" x14ac:dyDescent="0.2">
      <c r="B58" s="7"/>
      <c r="C58" s="7"/>
      <c r="D58" s="7"/>
      <c r="E58" s="7"/>
      <c r="F58" s="7"/>
      <c r="G58" s="7"/>
      <c r="H58" s="7"/>
    </row>
    <row r="59" spans="1:13" x14ac:dyDescent="0.2">
      <c r="A59" s="6" t="s">
        <v>48</v>
      </c>
      <c r="B59" s="7"/>
      <c r="C59" s="7"/>
      <c r="D59" s="7"/>
      <c r="E59" s="7"/>
      <c r="F59" s="7"/>
      <c r="G59" s="7"/>
      <c r="H59" s="7"/>
    </row>
    <row r="60" spans="1:13" x14ac:dyDescent="0.2">
      <c r="A60" s="2" t="s">
        <v>49</v>
      </c>
      <c r="B60" s="7">
        <v>290000</v>
      </c>
      <c r="C60" s="7">
        <v>265800</v>
      </c>
      <c r="D60" s="7">
        <v>156200</v>
      </c>
      <c r="E60" s="7">
        <v>153400</v>
      </c>
      <c r="F60" s="7">
        <v>113500</v>
      </c>
      <c r="G60" s="7">
        <v>79350</v>
      </c>
      <c r="H60" s="7">
        <v>87000</v>
      </c>
      <c r="I60" s="7">
        <v>110000</v>
      </c>
      <c r="J60" s="7">
        <v>130000</v>
      </c>
      <c r="K60" s="7">
        <v>152050</v>
      </c>
      <c r="L60" s="7">
        <v>141495</v>
      </c>
      <c r="M60" s="7">
        <v>141330</v>
      </c>
    </row>
    <row r="61" spans="1:13" x14ac:dyDescent="0.2">
      <c r="A61" s="2" t="s">
        <v>50</v>
      </c>
      <c r="B61" s="7">
        <v>538</v>
      </c>
      <c r="C61" s="7">
        <v>537</v>
      </c>
      <c r="D61" s="7">
        <v>805</v>
      </c>
      <c r="E61" s="7">
        <v>554</v>
      </c>
      <c r="F61" s="7">
        <v>526</v>
      </c>
      <c r="G61" s="7">
        <v>538</v>
      </c>
      <c r="H61" s="7">
        <v>1256</v>
      </c>
      <c r="I61" s="7">
        <v>2484</v>
      </c>
      <c r="J61" s="7">
        <v>4610</v>
      </c>
      <c r="K61" s="7">
        <v>0</v>
      </c>
      <c r="L61" s="7">
        <v>0</v>
      </c>
      <c r="M61" s="7">
        <v>0</v>
      </c>
    </row>
    <row r="62" spans="1:13" x14ac:dyDescent="0.2">
      <c r="A62" s="10" t="s">
        <v>51</v>
      </c>
      <c r="B62" s="8">
        <f>SUM(B60:B61)</f>
        <v>290538</v>
      </c>
      <c r="C62" s="8">
        <f>SUM(C60:C61)</f>
        <v>266337</v>
      </c>
      <c r="D62" s="8">
        <f>SUM(D60:D61)</f>
        <v>157005</v>
      </c>
      <c r="E62" s="8">
        <f t="shared" ref="E62:K62" si="9">SUM(E60:E61)</f>
        <v>153954</v>
      </c>
      <c r="F62" s="8">
        <f t="shared" si="9"/>
        <v>114026</v>
      </c>
      <c r="G62" s="8">
        <f t="shared" si="9"/>
        <v>79888</v>
      </c>
      <c r="H62" s="8">
        <f t="shared" si="9"/>
        <v>88256</v>
      </c>
      <c r="I62" s="8">
        <f t="shared" si="9"/>
        <v>112484</v>
      </c>
      <c r="J62" s="8">
        <f t="shared" si="9"/>
        <v>134610</v>
      </c>
      <c r="K62" s="8">
        <f t="shared" si="9"/>
        <v>152050</v>
      </c>
      <c r="L62" s="8">
        <f>SUM(L60:L61)</f>
        <v>141495</v>
      </c>
      <c r="M62" s="8">
        <f>SUM(M60:M61)</f>
        <v>141330</v>
      </c>
    </row>
    <row r="63" spans="1:13" x14ac:dyDescent="0.2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3" x14ac:dyDescent="0.2">
      <c r="A64" s="6" t="s">
        <v>52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2" t="s">
        <v>53</v>
      </c>
      <c r="B65" s="7">
        <v>1186</v>
      </c>
      <c r="C65" s="7">
        <v>1029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</row>
    <row r="66" spans="1:13" x14ac:dyDescent="0.2">
      <c r="A66" s="2" t="s">
        <v>54</v>
      </c>
      <c r="B66" s="7">
        <f>20797-B68-B69</f>
        <v>17758</v>
      </c>
      <c r="C66" s="7">
        <v>13664</v>
      </c>
      <c r="D66" s="7">
        <v>8851</v>
      </c>
      <c r="E66" s="7">
        <v>9295</v>
      </c>
      <c r="F66" s="7">
        <v>8782</v>
      </c>
      <c r="G66" s="7">
        <v>7061</v>
      </c>
      <c r="H66" s="7">
        <v>4264</v>
      </c>
      <c r="I66" s="7">
        <v>1971</v>
      </c>
      <c r="J66" s="7">
        <v>3596</v>
      </c>
      <c r="K66" s="7">
        <v>2866</v>
      </c>
      <c r="L66" s="7">
        <v>2360</v>
      </c>
      <c r="M66" s="7">
        <v>1973</v>
      </c>
    </row>
    <row r="67" spans="1:13" x14ac:dyDescent="0.2">
      <c r="A67" s="2" t="s">
        <v>55</v>
      </c>
      <c r="B67" s="7">
        <v>0</v>
      </c>
      <c r="C67" s="7">
        <v>0</v>
      </c>
      <c r="D67" s="7">
        <v>0</v>
      </c>
      <c r="E67" s="7">
        <v>790</v>
      </c>
      <c r="F67" s="7">
        <v>790</v>
      </c>
      <c r="G67" s="7">
        <v>790</v>
      </c>
      <c r="H67" s="7">
        <v>790</v>
      </c>
      <c r="I67" s="7">
        <v>791</v>
      </c>
      <c r="J67" s="7">
        <v>283</v>
      </c>
      <c r="K67" s="7">
        <v>1781</v>
      </c>
      <c r="L67" s="7">
        <v>0</v>
      </c>
      <c r="M67" s="7">
        <v>0</v>
      </c>
    </row>
    <row r="68" spans="1:13" x14ac:dyDescent="0.2">
      <c r="A68" s="2" t="s">
        <v>56</v>
      </c>
      <c r="B68" s="7">
        <v>1815</v>
      </c>
      <c r="C68" s="7">
        <v>1509</v>
      </c>
      <c r="D68" s="7">
        <v>1532</v>
      </c>
      <c r="E68" s="7">
        <v>1457</v>
      </c>
      <c r="F68" s="7">
        <v>1342</v>
      </c>
      <c r="G68" s="7">
        <v>1347</v>
      </c>
      <c r="H68" s="7">
        <v>1346</v>
      </c>
      <c r="I68" s="7">
        <v>1059</v>
      </c>
      <c r="J68" s="7">
        <v>1138</v>
      </c>
      <c r="K68" s="7">
        <v>868</v>
      </c>
      <c r="L68" s="7">
        <v>831</v>
      </c>
      <c r="M68" s="7">
        <v>1114</v>
      </c>
    </row>
    <row r="69" spans="1:13" x14ac:dyDescent="0.2">
      <c r="A69" s="2" t="s">
        <v>57</v>
      </c>
      <c r="B69" s="7">
        <v>1224</v>
      </c>
      <c r="C69" s="7">
        <v>466</v>
      </c>
      <c r="D69" s="7">
        <v>489</v>
      </c>
      <c r="E69" s="7">
        <v>118</v>
      </c>
      <c r="F69" s="7">
        <v>50</v>
      </c>
      <c r="G69" s="7">
        <v>444</v>
      </c>
      <c r="H69" s="7">
        <v>535</v>
      </c>
      <c r="I69" s="7">
        <v>686</v>
      </c>
      <c r="J69" s="7">
        <v>447</v>
      </c>
      <c r="K69" s="7">
        <v>294</v>
      </c>
      <c r="L69" s="7">
        <v>864</v>
      </c>
      <c r="M69" s="7">
        <v>1066</v>
      </c>
    </row>
    <row r="70" spans="1:13" x14ac:dyDescent="0.2">
      <c r="A70" s="2" t="s">
        <v>58</v>
      </c>
      <c r="B70" s="7">
        <v>21840</v>
      </c>
      <c r="C70" s="7">
        <v>21420</v>
      </c>
      <c r="D70" s="7">
        <v>134988</v>
      </c>
      <c r="E70" s="7">
        <v>13440</v>
      </c>
      <c r="F70" s="7">
        <v>12600</v>
      </c>
      <c r="G70" s="7">
        <v>12495</v>
      </c>
      <c r="H70" s="7">
        <v>8064</v>
      </c>
      <c r="I70" s="7">
        <v>7770</v>
      </c>
      <c r="J70" s="7">
        <v>4620</v>
      </c>
      <c r="K70" s="7">
        <v>3675</v>
      </c>
      <c r="L70" s="7">
        <v>4725</v>
      </c>
      <c r="M70" s="7">
        <v>0</v>
      </c>
    </row>
    <row r="71" spans="1:13" x14ac:dyDescent="0.2">
      <c r="A71" s="2" t="s">
        <v>59</v>
      </c>
      <c r="B71" s="7">
        <v>1186</v>
      </c>
      <c r="C71" s="7">
        <v>522</v>
      </c>
      <c r="D71" s="7">
        <v>1101</v>
      </c>
      <c r="E71" s="7">
        <v>0</v>
      </c>
      <c r="F71" s="7">
        <v>35</v>
      </c>
      <c r="G71" s="7">
        <v>1030</v>
      </c>
      <c r="H71" s="7">
        <v>715</v>
      </c>
      <c r="I71" s="7">
        <v>628</v>
      </c>
      <c r="J71" s="7">
        <v>1178</v>
      </c>
      <c r="K71" s="7">
        <v>1502</v>
      </c>
      <c r="L71" s="7">
        <v>1325</v>
      </c>
      <c r="M71" s="7">
        <v>2734</v>
      </c>
    </row>
    <row r="72" spans="1:13" x14ac:dyDescent="0.2">
      <c r="A72" s="2" t="s">
        <v>60</v>
      </c>
      <c r="B72" s="7">
        <v>5314</v>
      </c>
      <c r="C72" s="7">
        <v>8779</v>
      </c>
      <c r="D72" s="7">
        <v>9926</v>
      </c>
      <c r="E72" s="7">
        <v>13772</v>
      </c>
      <c r="F72" s="7">
        <v>12417</v>
      </c>
      <c r="G72" s="7">
        <v>6994</v>
      </c>
      <c r="H72" s="7">
        <v>2532</v>
      </c>
      <c r="I72" s="7">
        <v>3333</v>
      </c>
      <c r="J72" s="7">
        <v>2268</v>
      </c>
      <c r="K72" s="7">
        <v>0</v>
      </c>
      <c r="L72" s="7">
        <v>0</v>
      </c>
      <c r="M72" s="7">
        <v>0</v>
      </c>
    </row>
    <row r="73" spans="1:13" x14ac:dyDescent="0.2">
      <c r="A73" s="2" t="s">
        <v>61</v>
      </c>
      <c r="B73" s="7">
        <v>516</v>
      </c>
      <c r="C73" s="7">
        <v>0</v>
      </c>
      <c r="D73" s="7">
        <v>8425</v>
      </c>
      <c r="E73" s="7">
        <f>4042-790</f>
        <v>3252</v>
      </c>
      <c r="F73" s="7">
        <f>2402-790</f>
        <v>1612</v>
      </c>
      <c r="G73" s="7">
        <f>2295-790</f>
        <v>1505</v>
      </c>
      <c r="H73" s="7">
        <f>8293-2532</f>
        <v>5761</v>
      </c>
      <c r="I73" s="7">
        <f>7124-3333+17</f>
        <v>3808</v>
      </c>
      <c r="J73" s="7">
        <f>3936-2268+658+1117</f>
        <v>3443</v>
      </c>
      <c r="K73" s="7">
        <f>4+4060+731+645</f>
        <v>5440</v>
      </c>
      <c r="L73" s="7">
        <f>900+741+2340+275</f>
        <v>4256</v>
      </c>
      <c r="M73" s="7">
        <v>5330</v>
      </c>
    </row>
    <row r="74" spans="1:13" x14ac:dyDescent="0.2">
      <c r="A74" s="10" t="s">
        <v>62</v>
      </c>
      <c r="B74" s="8">
        <f>SUM(B65:B73)</f>
        <v>50839</v>
      </c>
      <c r="C74" s="8">
        <f>SUM(C65:C73)</f>
        <v>47389</v>
      </c>
      <c r="D74" s="8">
        <f>SUM(D66:D73)</f>
        <v>165312</v>
      </c>
      <c r="E74" s="8">
        <f t="shared" ref="E74:K74" si="10">SUM(E66:E73)</f>
        <v>42124</v>
      </c>
      <c r="F74" s="8">
        <f t="shared" si="10"/>
        <v>37628</v>
      </c>
      <c r="G74" s="8">
        <f t="shared" si="10"/>
        <v>31666</v>
      </c>
      <c r="H74" s="8">
        <f t="shared" si="10"/>
        <v>24007</v>
      </c>
      <c r="I74" s="8">
        <f t="shared" si="10"/>
        <v>20046</v>
      </c>
      <c r="J74" s="8">
        <f t="shared" si="10"/>
        <v>16973</v>
      </c>
      <c r="K74" s="8">
        <f t="shared" si="10"/>
        <v>16426</v>
      </c>
      <c r="L74" s="8">
        <f>SUM(L66:L73)</f>
        <v>14361</v>
      </c>
      <c r="M74" s="8">
        <f>SUM(M66:M73)</f>
        <v>12217</v>
      </c>
    </row>
    <row r="75" spans="1:13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 ht="12" thickBot="1" x14ac:dyDescent="0.25">
      <c r="A76" s="23" t="s">
        <v>63</v>
      </c>
      <c r="B76" s="21">
        <f>+B74+B62+B57</f>
        <v>841323</v>
      </c>
      <c r="C76" s="21">
        <f>+C74+C62+C57</f>
        <v>823915</v>
      </c>
      <c r="D76" s="21">
        <f t="shared" ref="D76:M76" si="11">+D74+D62+D57</f>
        <v>542368</v>
      </c>
      <c r="E76" s="21">
        <f t="shared" si="11"/>
        <v>520843</v>
      </c>
      <c r="F76" s="21">
        <f t="shared" si="11"/>
        <v>460164</v>
      </c>
      <c r="G76" s="21">
        <f t="shared" si="11"/>
        <v>404449</v>
      </c>
      <c r="H76" s="21">
        <f t="shared" si="11"/>
        <v>391230</v>
      </c>
      <c r="I76" s="21">
        <f t="shared" si="11"/>
        <v>391536</v>
      </c>
      <c r="J76" s="21">
        <f t="shared" si="11"/>
        <v>394474</v>
      </c>
      <c r="K76" s="21">
        <f t="shared" si="11"/>
        <v>400475</v>
      </c>
      <c r="L76" s="21">
        <f t="shared" si="11"/>
        <v>378378</v>
      </c>
      <c r="M76" s="21">
        <f t="shared" si="11"/>
        <v>367341</v>
      </c>
    </row>
    <row r="77" spans="1:13" ht="12" thickTop="1" x14ac:dyDescent="0.2">
      <c r="A77" s="23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1:13" x14ac:dyDescent="0.2">
      <c r="A78" s="6" t="s">
        <v>64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 x14ac:dyDescent="0.2">
      <c r="A80" s="2" t="s">
        <v>65</v>
      </c>
      <c r="B80" s="7">
        <v>312939</v>
      </c>
      <c r="C80" s="7">
        <v>313996</v>
      </c>
      <c r="D80" s="7">
        <v>208397</v>
      </c>
      <c r="E80" s="7">
        <v>190965</v>
      </c>
      <c r="F80" s="7">
        <v>179799</v>
      </c>
      <c r="G80" s="7">
        <v>171156</v>
      </c>
      <c r="H80" s="7">
        <v>164491</v>
      </c>
      <c r="I80" s="7">
        <v>158860</v>
      </c>
      <c r="J80" s="7">
        <v>156916</v>
      </c>
      <c r="K80" s="7">
        <v>147711</v>
      </c>
      <c r="L80" s="7">
        <v>134278</v>
      </c>
      <c r="M80" s="7">
        <v>132310</v>
      </c>
    </row>
    <row r="81" spans="1:13" x14ac:dyDescent="0.2">
      <c r="A81" s="2" t="s">
        <v>66</v>
      </c>
      <c r="B81" s="7">
        <v>256808</v>
      </c>
      <c r="C81" s="7">
        <v>271627</v>
      </c>
      <c r="D81" s="7">
        <v>264376</v>
      </c>
      <c r="E81" s="7">
        <v>258024</v>
      </c>
      <c r="F81" s="7">
        <v>200640</v>
      </c>
      <c r="G81" s="7">
        <v>136208</v>
      </c>
      <c r="H81" s="7">
        <v>124498</v>
      </c>
      <c r="I81" s="7">
        <v>129749</v>
      </c>
      <c r="J81" s="7">
        <v>121664</v>
      </c>
      <c r="K81" s="7">
        <v>134025</v>
      </c>
      <c r="L81" s="7">
        <v>132102</v>
      </c>
      <c r="M81" s="7">
        <v>130395</v>
      </c>
    </row>
    <row r="82" spans="1:13" x14ac:dyDescent="0.2">
      <c r="A82" s="2" t="s">
        <v>67</v>
      </c>
      <c r="B82" s="7">
        <v>78201</v>
      </c>
      <c r="C82" s="7">
        <v>60985</v>
      </c>
      <c r="D82" s="7">
        <v>50041</v>
      </c>
      <c r="E82" s="7">
        <v>52959</v>
      </c>
      <c r="F82" s="7">
        <v>58797</v>
      </c>
      <c r="G82" s="7">
        <v>64698</v>
      </c>
      <c r="H82" s="7">
        <v>69580</v>
      </c>
      <c r="I82" s="7">
        <v>75441</v>
      </c>
      <c r="J82" s="7">
        <v>77441</v>
      </c>
      <c r="K82" s="7">
        <v>81142</v>
      </c>
      <c r="L82" s="7">
        <v>82593</v>
      </c>
      <c r="M82" s="7">
        <v>83893</v>
      </c>
    </row>
    <row r="83" spans="1:13" x14ac:dyDescent="0.2">
      <c r="A83" s="2" t="s">
        <v>68</v>
      </c>
      <c r="B83" s="7">
        <v>11017</v>
      </c>
      <c r="C83" s="7">
        <v>10251</v>
      </c>
      <c r="D83" s="7">
        <v>8072</v>
      </c>
      <c r="E83" s="7">
        <v>6983</v>
      </c>
      <c r="F83" s="7">
        <v>8643</v>
      </c>
      <c r="G83" s="7">
        <v>4177</v>
      </c>
      <c r="H83" s="7">
        <v>2999</v>
      </c>
      <c r="I83" s="7">
        <f>1929+1458</f>
        <v>3387</v>
      </c>
      <c r="J83" s="7">
        <f>2885+2019</f>
        <v>4904</v>
      </c>
      <c r="K83" s="7">
        <f>3158+1602</f>
        <v>4760</v>
      </c>
      <c r="L83" s="7">
        <f>3200+1761</f>
        <v>4961</v>
      </c>
      <c r="M83" s="7">
        <f>2018+1689</f>
        <v>3707</v>
      </c>
    </row>
    <row r="84" spans="1:13" x14ac:dyDescent="0.2">
      <c r="A84" s="2" t="s">
        <v>69</v>
      </c>
      <c r="B84" s="7">
        <v>108990</v>
      </c>
      <c r="C84" s="7">
        <v>105624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</row>
    <row r="85" spans="1:13" x14ac:dyDescent="0.2">
      <c r="A85" s="2" t="s">
        <v>70</v>
      </c>
      <c r="B85" s="7">
        <v>59933</v>
      </c>
      <c r="C85" s="7">
        <v>50600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</row>
    <row r="86" spans="1:13" x14ac:dyDescent="0.2">
      <c r="A86" s="10" t="s">
        <v>71</v>
      </c>
      <c r="B86" s="8">
        <f>SUM(B80:B85)</f>
        <v>827888</v>
      </c>
      <c r="C86" s="8">
        <f>SUM(C80:C85)</f>
        <v>813083</v>
      </c>
      <c r="D86" s="8">
        <f>SUM(D80:D83)</f>
        <v>530886</v>
      </c>
      <c r="E86" s="8">
        <f t="shared" ref="E86:K86" si="12">SUM(E80:E83)</f>
        <v>508931</v>
      </c>
      <c r="F86" s="8">
        <f t="shared" si="12"/>
        <v>447879</v>
      </c>
      <c r="G86" s="8">
        <f t="shared" si="12"/>
        <v>376239</v>
      </c>
      <c r="H86" s="8">
        <f t="shared" si="12"/>
        <v>361568</v>
      </c>
      <c r="I86" s="8">
        <f t="shared" si="12"/>
        <v>367437</v>
      </c>
      <c r="J86" s="8">
        <f t="shared" si="12"/>
        <v>360925</v>
      </c>
      <c r="K86" s="8">
        <f t="shared" si="12"/>
        <v>367638</v>
      </c>
      <c r="L86" s="8">
        <f>SUM(L80:L83)</f>
        <v>353934</v>
      </c>
      <c r="M86" s="8">
        <f>SUM(M80:M83)</f>
        <v>350305</v>
      </c>
    </row>
    <row r="87" spans="1:13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2">
      <c r="A88" s="6" t="s">
        <v>72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3" x14ac:dyDescent="0.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3" x14ac:dyDescent="0.2">
      <c r="A90" s="2" t="s">
        <v>73</v>
      </c>
      <c r="B90" s="7">
        <v>0</v>
      </c>
      <c r="C90" s="7">
        <v>0</v>
      </c>
      <c r="D90" s="7">
        <v>57</v>
      </c>
      <c r="E90" s="7">
        <v>108</v>
      </c>
      <c r="F90" s="7">
        <v>294</v>
      </c>
      <c r="G90" s="7">
        <v>20</v>
      </c>
      <c r="H90" s="7">
        <v>284</v>
      </c>
      <c r="I90" s="7">
        <v>133</v>
      </c>
      <c r="J90" s="13">
        <v>-118</v>
      </c>
      <c r="K90" s="7">
        <v>170</v>
      </c>
      <c r="L90" s="13">
        <v>-57</v>
      </c>
      <c r="M90" s="7">
        <v>211</v>
      </c>
    </row>
    <row r="91" spans="1:13" x14ac:dyDescent="0.2">
      <c r="A91" s="2" t="s">
        <v>74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2400</v>
      </c>
      <c r="I91" s="7">
        <v>13700</v>
      </c>
      <c r="J91" s="7">
        <f>14247+5953</f>
        <v>20200</v>
      </c>
      <c r="K91" s="7">
        <f>7533+15830</f>
        <v>23363</v>
      </c>
      <c r="L91" s="7">
        <f>11063+1955</f>
        <v>13018</v>
      </c>
      <c r="M91" s="7">
        <f>5962-1502</f>
        <v>4460</v>
      </c>
    </row>
    <row r="92" spans="1:13" x14ac:dyDescent="0.2">
      <c r="A92" s="2" t="s">
        <v>75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15000</v>
      </c>
      <c r="H92" s="7">
        <v>15000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</row>
    <row r="93" spans="1:13" x14ac:dyDescent="0.2">
      <c r="A93" s="2" t="s">
        <v>76</v>
      </c>
      <c r="B93" s="7">
        <v>7562</v>
      </c>
      <c r="C93" s="7">
        <v>6936</v>
      </c>
      <c r="D93" s="7">
        <v>8580</v>
      </c>
      <c r="E93" s="7">
        <v>6924</v>
      </c>
      <c r="F93" s="7">
        <v>9314</v>
      </c>
      <c r="G93" s="7">
        <v>8013</v>
      </c>
      <c r="H93" s="7">
        <v>5858</v>
      </c>
      <c r="I93" s="7">
        <v>4855</v>
      </c>
      <c r="J93" s="7">
        <v>5321</v>
      </c>
      <c r="K93" s="7">
        <v>5952</v>
      </c>
      <c r="L93" s="7">
        <v>8087</v>
      </c>
      <c r="M93" s="7">
        <f>12587-504</f>
        <v>12083</v>
      </c>
    </row>
    <row r="94" spans="1:13" x14ac:dyDescent="0.2">
      <c r="A94" s="2" t="s">
        <v>77</v>
      </c>
      <c r="B94" s="7">
        <v>3320</v>
      </c>
      <c r="C94" s="7">
        <v>1258</v>
      </c>
      <c r="D94" s="7">
        <v>486</v>
      </c>
      <c r="E94" s="7">
        <v>1136</v>
      </c>
      <c r="F94" s="7">
        <v>845</v>
      </c>
      <c r="G94" s="7">
        <v>1092</v>
      </c>
      <c r="H94" s="7">
        <v>2430</v>
      </c>
      <c r="I94" s="7">
        <v>1640</v>
      </c>
      <c r="J94" s="7">
        <v>2486</v>
      </c>
      <c r="K94" s="7">
        <v>221</v>
      </c>
      <c r="L94" s="7">
        <v>309</v>
      </c>
      <c r="M94" s="7">
        <v>189</v>
      </c>
    </row>
    <row r="95" spans="1:13" x14ac:dyDescent="0.2">
      <c r="A95" s="2" t="s">
        <v>78</v>
      </c>
      <c r="B95" s="7">
        <v>314</v>
      </c>
      <c r="C95" s="7">
        <v>186</v>
      </c>
      <c r="D95" s="7">
        <v>55</v>
      </c>
      <c r="E95" s="7">
        <v>58</v>
      </c>
      <c r="F95" s="7">
        <v>54</v>
      </c>
      <c r="G95" s="7">
        <v>55</v>
      </c>
      <c r="H95" s="7">
        <v>64</v>
      </c>
      <c r="I95" s="7">
        <v>68</v>
      </c>
      <c r="J95" s="7">
        <v>68</v>
      </c>
      <c r="K95" s="7">
        <v>48</v>
      </c>
      <c r="L95" s="7">
        <v>45</v>
      </c>
      <c r="M95" s="7">
        <v>93</v>
      </c>
    </row>
    <row r="96" spans="1:13" x14ac:dyDescent="0.2">
      <c r="A96" s="2" t="s">
        <v>79</v>
      </c>
      <c r="B96" s="7">
        <v>0</v>
      </c>
      <c r="C96" s="7">
        <v>0</v>
      </c>
      <c r="D96" s="7">
        <v>0</v>
      </c>
      <c r="E96" s="7">
        <v>1588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</row>
    <row r="97" spans="1:13" x14ac:dyDescent="0.2">
      <c r="A97" s="10" t="s">
        <v>80</v>
      </c>
      <c r="B97" s="8">
        <f>SUM(B90:B95)</f>
        <v>11196</v>
      </c>
      <c r="C97" s="8">
        <f>SUM(C90:C95)</f>
        <v>8380</v>
      </c>
      <c r="D97" s="8">
        <f>SUM(D90:D95)</f>
        <v>9178</v>
      </c>
      <c r="E97" s="8">
        <f>SUM(E90:E96)</f>
        <v>9814</v>
      </c>
      <c r="F97" s="8">
        <f t="shared" ref="F97:K97" si="13">SUM(F90:F95)</f>
        <v>10507</v>
      </c>
      <c r="G97" s="8">
        <f t="shared" si="13"/>
        <v>24180</v>
      </c>
      <c r="H97" s="8">
        <f t="shared" si="13"/>
        <v>26036</v>
      </c>
      <c r="I97" s="8">
        <f t="shared" si="13"/>
        <v>20396</v>
      </c>
      <c r="J97" s="8">
        <f t="shared" si="13"/>
        <v>27957</v>
      </c>
      <c r="K97" s="8">
        <f t="shared" si="13"/>
        <v>29754</v>
      </c>
      <c r="L97" s="8">
        <f>SUM(L90:L95)</f>
        <v>21402</v>
      </c>
      <c r="M97" s="8">
        <f>SUM(M90:M95)</f>
        <v>17036</v>
      </c>
    </row>
    <row r="98" spans="1:13" x14ac:dyDescent="0.2">
      <c r="A98" s="10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x14ac:dyDescent="0.2">
      <c r="A99" s="24" t="s">
        <v>81</v>
      </c>
      <c r="B99" s="9">
        <v>2239</v>
      </c>
      <c r="C99" s="9">
        <v>2452</v>
      </c>
      <c r="D99" s="9">
        <v>2304</v>
      </c>
      <c r="E99" s="9">
        <v>2098</v>
      </c>
      <c r="F99" s="9">
        <v>1778</v>
      </c>
      <c r="G99" s="9">
        <v>4030</v>
      </c>
      <c r="H99" s="9">
        <v>3626</v>
      </c>
      <c r="I99" s="9">
        <v>3703</v>
      </c>
      <c r="J99" s="9">
        <v>5592</v>
      </c>
      <c r="K99" s="9">
        <v>3083</v>
      </c>
      <c r="L99" s="9">
        <v>3042</v>
      </c>
      <c r="M99" s="9">
        <v>0</v>
      </c>
    </row>
    <row r="100" spans="1:13" x14ac:dyDescent="0.2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 ht="12" thickBot="1" x14ac:dyDescent="0.25">
      <c r="A101" s="15" t="s">
        <v>82</v>
      </c>
      <c r="B101" s="21">
        <f>+B97+B86+B99</f>
        <v>841323</v>
      </c>
      <c r="C101" s="21">
        <f>+C97+C86+C99</f>
        <v>823915</v>
      </c>
      <c r="D101" s="21">
        <f>+D97+D86+D99</f>
        <v>542368</v>
      </c>
      <c r="E101" s="21">
        <f t="shared" ref="E101:K101" si="14">+E97+E86+E99</f>
        <v>520843</v>
      </c>
      <c r="F101" s="21">
        <f t="shared" si="14"/>
        <v>460164</v>
      </c>
      <c r="G101" s="21">
        <f t="shared" si="14"/>
        <v>404449</v>
      </c>
      <c r="H101" s="21">
        <f t="shared" si="14"/>
        <v>391230</v>
      </c>
      <c r="I101" s="21">
        <f t="shared" si="14"/>
        <v>391536</v>
      </c>
      <c r="J101" s="21">
        <f t="shared" si="14"/>
        <v>394474</v>
      </c>
      <c r="K101" s="21">
        <f t="shared" si="14"/>
        <v>400475</v>
      </c>
      <c r="L101" s="21">
        <f>+L97+L86+L99</f>
        <v>378378</v>
      </c>
      <c r="M101" s="21">
        <f>+M97+M86+M99</f>
        <v>367341</v>
      </c>
    </row>
    <row r="102" spans="1:13" ht="13.5" thickTop="1" x14ac:dyDescent="0.2">
      <c r="A102" s="1" t="s">
        <v>83</v>
      </c>
    </row>
    <row r="103" spans="1:13" x14ac:dyDescent="0.2">
      <c r="A103" s="2" t="s">
        <v>2</v>
      </c>
      <c r="B103" s="4">
        <v>36678</v>
      </c>
      <c r="C103" s="4">
        <v>36312</v>
      </c>
      <c r="D103" s="4">
        <v>35947</v>
      </c>
      <c r="E103" s="4">
        <v>35582</v>
      </c>
      <c r="F103" s="4">
        <v>35217</v>
      </c>
      <c r="G103" s="4">
        <v>34851</v>
      </c>
      <c r="H103" s="4">
        <v>34486</v>
      </c>
      <c r="I103" s="4">
        <v>34121</v>
      </c>
      <c r="J103" s="4">
        <v>2699935</v>
      </c>
      <c r="K103" s="4">
        <v>33298</v>
      </c>
      <c r="L103" s="4">
        <v>32933</v>
      </c>
      <c r="M103" s="4">
        <v>32568</v>
      </c>
    </row>
    <row r="104" spans="1:13" x14ac:dyDescent="0.2">
      <c r="B104" s="5" t="s">
        <v>3</v>
      </c>
      <c r="C104" s="5" t="s">
        <v>3</v>
      </c>
      <c r="D104" s="5" t="s">
        <v>3</v>
      </c>
      <c r="E104" s="5" t="s">
        <v>3</v>
      </c>
      <c r="F104" s="5" t="s">
        <v>3</v>
      </c>
      <c r="G104" s="5" t="s">
        <v>3</v>
      </c>
      <c r="H104" s="5" t="s">
        <v>3</v>
      </c>
      <c r="I104" s="5" t="s">
        <v>3</v>
      </c>
      <c r="J104" s="5" t="s">
        <v>3</v>
      </c>
      <c r="K104" s="5" t="s">
        <v>3</v>
      </c>
      <c r="L104" s="5" t="s">
        <v>3</v>
      </c>
      <c r="M104" s="5" t="s">
        <v>3</v>
      </c>
    </row>
    <row r="105" spans="1:13" x14ac:dyDescent="0.2">
      <c r="A105" s="6" t="s">
        <v>84</v>
      </c>
    </row>
    <row r="107" spans="1:13" x14ac:dyDescent="0.2">
      <c r="A107" s="25" t="s">
        <v>85</v>
      </c>
      <c r="B107" s="7"/>
      <c r="C107" s="7"/>
      <c r="D107" s="7"/>
      <c r="E107" s="7"/>
      <c r="F107" s="7"/>
      <c r="G107" s="7"/>
      <c r="H107" s="7"/>
    </row>
    <row r="108" spans="1:13" x14ac:dyDescent="0.2">
      <c r="A108" s="2" t="s">
        <v>86</v>
      </c>
      <c r="B108" s="7">
        <v>169183</v>
      </c>
      <c r="C108" s="7">
        <v>161490</v>
      </c>
      <c r="D108" s="7">
        <v>154742</v>
      </c>
      <c r="E108" s="7">
        <v>142382</v>
      </c>
      <c r="F108" s="7">
        <v>128629</v>
      </c>
      <c r="G108" s="7">
        <v>116905</v>
      </c>
      <c r="H108" s="7">
        <v>104477</v>
      </c>
      <c r="I108" s="7">
        <f>-62+125051</f>
        <v>124989</v>
      </c>
      <c r="J108" s="7">
        <f>89260+386</f>
        <v>89646</v>
      </c>
      <c r="K108" s="7">
        <v>91636</v>
      </c>
      <c r="L108" s="7">
        <v>86826</v>
      </c>
      <c r="M108" s="7">
        <v>54954.1</v>
      </c>
    </row>
    <row r="109" spans="1:13" x14ac:dyDescent="0.2">
      <c r="A109" s="2" t="s">
        <v>87</v>
      </c>
      <c r="B109" s="7">
        <v>137</v>
      </c>
      <c r="C109" s="7">
        <v>180</v>
      </c>
      <c r="D109" s="7">
        <v>477</v>
      </c>
      <c r="E109" s="7">
        <v>288</v>
      </c>
      <c r="F109" s="7">
        <v>1572</v>
      </c>
      <c r="G109" s="7">
        <v>1594</v>
      </c>
      <c r="H109" s="7">
        <v>1102</v>
      </c>
      <c r="I109" s="7">
        <v>1562</v>
      </c>
      <c r="J109" s="7">
        <v>2982</v>
      </c>
      <c r="K109" s="7">
        <v>2951</v>
      </c>
      <c r="L109" s="7">
        <v>1512</v>
      </c>
      <c r="M109" s="7">
        <v>635</v>
      </c>
    </row>
    <row r="110" spans="1:13" x14ac:dyDescent="0.2">
      <c r="B110" s="8">
        <f>SUM(B108:B109)</f>
        <v>169320</v>
      </c>
      <c r="C110" s="8">
        <f>SUM(C108:C109)</f>
        <v>161670</v>
      </c>
      <c r="D110" s="8">
        <f>SUM(D108:D109)</f>
        <v>155219</v>
      </c>
      <c r="E110" s="8">
        <f t="shared" ref="E110:K110" si="15">SUM(E108:E109)</f>
        <v>142670</v>
      </c>
      <c r="F110" s="8">
        <f t="shared" si="15"/>
        <v>130201</v>
      </c>
      <c r="G110" s="8">
        <f t="shared" si="15"/>
        <v>118499</v>
      </c>
      <c r="H110" s="8">
        <f t="shared" si="15"/>
        <v>105579</v>
      </c>
      <c r="I110" s="8">
        <f t="shared" si="15"/>
        <v>126551</v>
      </c>
      <c r="J110" s="8">
        <f t="shared" si="15"/>
        <v>92628</v>
      </c>
      <c r="K110" s="8">
        <f t="shared" si="15"/>
        <v>94587</v>
      </c>
      <c r="L110" s="8">
        <f>SUM(L108:L109)</f>
        <v>88338</v>
      </c>
      <c r="M110" s="8">
        <f>SUM(M108:M109)</f>
        <v>55589.1</v>
      </c>
    </row>
    <row r="111" spans="1:13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 x14ac:dyDescent="0.2">
      <c r="A112" s="25" t="s">
        <v>88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13" x14ac:dyDescent="0.2">
      <c r="A113" s="2" t="s">
        <v>89</v>
      </c>
      <c r="B113" s="7">
        <f>35014+11918</f>
        <v>46932</v>
      </c>
      <c r="C113" s="7">
        <v>50554</v>
      </c>
      <c r="D113" s="7">
        <v>45032</v>
      </c>
      <c r="E113" s="7">
        <v>39694</v>
      </c>
      <c r="F113" s="7">
        <v>37466</v>
      </c>
      <c r="G113" s="7">
        <v>37171</v>
      </c>
      <c r="H113" s="7">
        <v>29931</v>
      </c>
      <c r="I113" s="7">
        <v>41652</v>
      </c>
      <c r="J113" s="7">
        <v>27778</v>
      </c>
      <c r="K113" s="7">
        <v>31196</v>
      </c>
      <c r="L113" s="7">
        <v>27994</v>
      </c>
      <c r="M113" s="7">
        <v>21987</v>
      </c>
    </row>
    <row r="114" spans="1:13" x14ac:dyDescent="0.2">
      <c r="A114" s="2" t="s">
        <v>90</v>
      </c>
      <c r="B114" s="7">
        <v>21308</v>
      </c>
      <c r="C114" s="7">
        <v>20115</v>
      </c>
      <c r="D114" s="7">
        <v>11329</v>
      </c>
      <c r="E114" s="7">
        <v>10741</v>
      </c>
      <c r="F114" s="7">
        <v>9242</v>
      </c>
      <c r="G114" s="7">
        <v>7536</v>
      </c>
      <c r="H114" s="7">
        <v>9299</v>
      </c>
      <c r="I114" s="7">
        <v>11379</v>
      </c>
      <c r="J114" s="7">
        <v>18387</v>
      </c>
      <c r="K114" s="7">
        <v>7092</v>
      </c>
      <c r="L114" s="7">
        <f>9291+20</f>
        <v>9311</v>
      </c>
      <c r="M114" s="7">
        <f>18143.7+470.4+26</f>
        <v>18640.100000000002</v>
      </c>
    </row>
    <row r="115" spans="1:13" x14ac:dyDescent="0.2">
      <c r="A115" s="2" t="s">
        <v>91</v>
      </c>
      <c r="B115" s="7">
        <v>25011</v>
      </c>
      <c r="C115" s="7">
        <f>21541+142</f>
        <v>21683</v>
      </c>
      <c r="D115" s="7">
        <v>19834</v>
      </c>
      <c r="E115" s="7">
        <f>20900+112</f>
        <v>21012</v>
      </c>
      <c r="F115" s="7">
        <v>23046</v>
      </c>
      <c r="G115" s="7">
        <f>20745+83</f>
        <v>20828</v>
      </c>
      <c r="H115" s="7">
        <f>18592+354</f>
        <v>18946</v>
      </c>
      <c r="I115" s="7">
        <f>19500+138</f>
        <v>19638</v>
      </c>
      <c r="J115" s="7">
        <f>12750+346</f>
        <v>13096</v>
      </c>
      <c r="K115" s="7">
        <f>8536+684</f>
        <v>9220</v>
      </c>
      <c r="L115" s="7">
        <f>10013+1016</f>
        <v>11029</v>
      </c>
      <c r="M115" s="7">
        <v>1455</v>
      </c>
    </row>
    <row r="116" spans="1:13" x14ac:dyDescent="0.2">
      <c r="B116" s="8">
        <f>SUM(B113:B115)</f>
        <v>93251</v>
      </c>
      <c r="C116" s="8">
        <f>SUM(C113:C115)</f>
        <v>92352</v>
      </c>
      <c r="D116" s="8">
        <f>SUM(D113:D115)</f>
        <v>76195</v>
      </c>
      <c r="E116" s="8">
        <f t="shared" ref="E116:K116" si="16">SUM(E113:E115)</f>
        <v>71447</v>
      </c>
      <c r="F116" s="8">
        <f t="shared" si="16"/>
        <v>69754</v>
      </c>
      <c r="G116" s="8">
        <f t="shared" si="16"/>
        <v>65535</v>
      </c>
      <c r="H116" s="8">
        <f t="shared" si="16"/>
        <v>58176</v>
      </c>
      <c r="I116" s="8">
        <f t="shared" si="16"/>
        <v>72669</v>
      </c>
      <c r="J116" s="8">
        <f t="shared" si="16"/>
        <v>59261</v>
      </c>
      <c r="K116" s="8">
        <f t="shared" si="16"/>
        <v>47508</v>
      </c>
      <c r="L116" s="8">
        <f>SUM(L113:L115)</f>
        <v>48334</v>
      </c>
      <c r="M116" s="8">
        <f>SUM(M113:M115)</f>
        <v>42082.100000000006</v>
      </c>
    </row>
    <row r="117" spans="1:13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13" ht="12" thickBot="1" x14ac:dyDescent="0.25">
      <c r="A118" s="15" t="s">
        <v>92</v>
      </c>
      <c r="B118" s="11">
        <f>+B110-B116</f>
        <v>76069</v>
      </c>
      <c r="C118" s="11">
        <f>+C110-C116</f>
        <v>69318</v>
      </c>
      <c r="D118" s="11">
        <f>+D110-D116</f>
        <v>79024</v>
      </c>
      <c r="E118" s="11">
        <f t="shared" ref="E118:K118" si="17">+E110-E116</f>
        <v>71223</v>
      </c>
      <c r="F118" s="11">
        <f t="shared" si="17"/>
        <v>60447</v>
      </c>
      <c r="G118" s="11">
        <f t="shared" si="17"/>
        <v>52964</v>
      </c>
      <c r="H118" s="11">
        <f t="shared" si="17"/>
        <v>47403</v>
      </c>
      <c r="I118" s="11">
        <f t="shared" si="17"/>
        <v>53882</v>
      </c>
      <c r="J118" s="11">
        <f t="shared" si="17"/>
        <v>33367</v>
      </c>
      <c r="K118" s="11">
        <f t="shared" si="17"/>
        <v>47079</v>
      </c>
      <c r="L118" s="11">
        <f>+L110-L116</f>
        <v>40004</v>
      </c>
      <c r="M118" s="11">
        <f>+M110-M116</f>
        <v>13506.999999999993</v>
      </c>
    </row>
    <row r="119" spans="1:13" ht="12" thickTop="1" x14ac:dyDescent="0.2">
      <c r="I119" s="7"/>
      <c r="J119" s="7"/>
      <c r="K119" s="7"/>
      <c r="L119" s="7"/>
      <c r="M119" s="7"/>
    </row>
    <row r="120" spans="1:13" x14ac:dyDescent="0.2">
      <c r="A120" s="6" t="s">
        <v>93</v>
      </c>
      <c r="I120" s="7"/>
      <c r="J120" s="7"/>
      <c r="K120" s="7"/>
      <c r="L120" s="7"/>
      <c r="M120" s="7"/>
    </row>
    <row r="121" spans="1:13" x14ac:dyDescent="0.2">
      <c r="I121" s="7"/>
      <c r="J121" s="7"/>
      <c r="K121" s="7"/>
      <c r="L121" s="7"/>
      <c r="M121" s="7"/>
    </row>
    <row r="122" spans="1:13" x14ac:dyDescent="0.2">
      <c r="A122" s="25" t="s">
        <v>85</v>
      </c>
      <c r="I122" s="7"/>
      <c r="J122" s="7"/>
      <c r="K122" s="7"/>
      <c r="L122" s="7"/>
      <c r="M122" s="7"/>
    </row>
    <row r="123" spans="1:13" x14ac:dyDescent="0.2">
      <c r="A123" s="2" t="s">
        <v>94</v>
      </c>
      <c r="B123" s="7">
        <v>124</v>
      </c>
      <c r="C123" s="7">
        <v>93</v>
      </c>
      <c r="D123" s="7">
        <v>119</v>
      </c>
      <c r="E123" s="7">
        <v>152</v>
      </c>
      <c r="F123" s="7">
        <v>162</v>
      </c>
      <c r="G123" s="7">
        <v>59</v>
      </c>
      <c r="H123" s="7">
        <v>5110</v>
      </c>
      <c r="I123" s="7">
        <v>199</v>
      </c>
      <c r="J123" s="7">
        <v>9127</v>
      </c>
      <c r="K123" s="7">
        <v>105</v>
      </c>
      <c r="L123" s="7">
        <v>120</v>
      </c>
      <c r="M123" s="7">
        <v>66.400000000000006</v>
      </c>
    </row>
    <row r="124" spans="1:13" x14ac:dyDescent="0.2">
      <c r="A124" s="2" t="s">
        <v>95</v>
      </c>
      <c r="B124" s="7">
        <v>532</v>
      </c>
      <c r="C124" s="7">
        <v>0</v>
      </c>
      <c r="D124" s="7">
        <v>0</v>
      </c>
      <c r="E124" s="7">
        <v>0</v>
      </c>
      <c r="F124" s="7">
        <v>0</v>
      </c>
      <c r="G124" s="7">
        <v>250</v>
      </c>
      <c r="H124" s="7">
        <v>600</v>
      </c>
      <c r="I124" s="7">
        <v>750</v>
      </c>
      <c r="J124" s="7">
        <v>950</v>
      </c>
      <c r="K124" s="7">
        <v>273</v>
      </c>
      <c r="L124" s="7">
        <v>0</v>
      </c>
      <c r="M124" s="7">
        <v>0</v>
      </c>
    </row>
    <row r="125" spans="1:13" x14ac:dyDescent="0.2">
      <c r="B125" s="8">
        <f>SUM(B123:B124)</f>
        <v>656</v>
      </c>
      <c r="C125" s="8">
        <f>SUM(C123:C124)</f>
        <v>93</v>
      </c>
      <c r="D125" s="8">
        <f>SUM(D123:D124)</f>
        <v>119</v>
      </c>
      <c r="E125" s="8">
        <f t="shared" ref="E125:K125" si="18">SUM(E123:E124)</f>
        <v>152</v>
      </c>
      <c r="F125" s="8">
        <f t="shared" si="18"/>
        <v>162</v>
      </c>
      <c r="G125" s="8">
        <f t="shared" si="18"/>
        <v>309</v>
      </c>
      <c r="H125" s="8">
        <f t="shared" si="18"/>
        <v>5710</v>
      </c>
      <c r="I125" s="8">
        <f t="shared" si="18"/>
        <v>949</v>
      </c>
      <c r="J125" s="8">
        <f t="shared" si="18"/>
        <v>10077</v>
      </c>
      <c r="K125" s="8">
        <f t="shared" si="18"/>
        <v>378</v>
      </c>
      <c r="L125" s="8">
        <f>SUM(L123:L124)</f>
        <v>120</v>
      </c>
      <c r="M125" s="8">
        <f>SUM(M123:M124)</f>
        <v>66.400000000000006</v>
      </c>
    </row>
    <row r="126" spans="1:13" x14ac:dyDescent="0.2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1:13" x14ac:dyDescent="0.2">
      <c r="A127" s="25" t="s">
        <v>88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1:13" x14ac:dyDescent="0.2">
      <c r="A128" s="2" t="s">
        <v>96</v>
      </c>
      <c r="B128" s="7">
        <v>44162</v>
      </c>
      <c r="C128" s="7">
        <v>32929</v>
      </c>
      <c r="D128" s="7">
        <v>57739</v>
      </c>
      <c r="E128" s="7">
        <v>88046</v>
      </c>
      <c r="F128" s="7">
        <v>83794</v>
      </c>
      <c r="G128" s="7">
        <v>31378</v>
      </c>
      <c r="H128" s="7">
        <v>13042</v>
      </c>
      <c r="I128" s="7">
        <v>33310</v>
      </c>
      <c r="J128" s="7">
        <v>15095</v>
      </c>
      <c r="K128" s="7">
        <v>29535</v>
      </c>
      <c r="L128" s="7">
        <v>18792</v>
      </c>
      <c r="M128" s="7">
        <v>14513.6</v>
      </c>
    </row>
    <row r="129" spans="1:13" x14ac:dyDescent="0.2">
      <c r="A129" s="2" t="s">
        <v>97</v>
      </c>
      <c r="B129" s="7">
        <v>0</v>
      </c>
      <c r="C129" s="7">
        <v>0</v>
      </c>
      <c r="D129" s="7">
        <v>0</v>
      </c>
      <c r="E129" s="7">
        <v>0</v>
      </c>
      <c r="F129" s="7">
        <v>2381</v>
      </c>
      <c r="G129" s="7">
        <v>445</v>
      </c>
      <c r="H129" s="7">
        <v>200</v>
      </c>
      <c r="I129" s="7">
        <v>0</v>
      </c>
      <c r="J129" s="7">
        <v>3450</v>
      </c>
      <c r="K129" s="7">
        <v>0</v>
      </c>
      <c r="L129" s="7">
        <f>2992+50</f>
        <v>3042</v>
      </c>
      <c r="M129" s="7">
        <v>0</v>
      </c>
    </row>
    <row r="130" spans="1:13" x14ac:dyDescent="0.2">
      <c r="B130" s="8">
        <f>SUM(B128:B129)</f>
        <v>44162</v>
      </c>
      <c r="C130" s="8">
        <f>SUM(C128:C129)</f>
        <v>32929</v>
      </c>
      <c r="D130" s="8">
        <f>SUM(D128:D129)</f>
        <v>57739</v>
      </c>
      <c r="E130" s="8">
        <f t="shared" ref="E130:K130" si="19">SUM(E128:E129)</f>
        <v>88046</v>
      </c>
      <c r="F130" s="8">
        <f t="shared" si="19"/>
        <v>86175</v>
      </c>
      <c r="G130" s="8">
        <f t="shared" si="19"/>
        <v>31823</v>
      </c>
      <c r="H130" s="8">
        <f t="shared" si="19"/>
        <v>13242</v>
      </c>
      <c r="I130" s="8">
        <f t="shared" si="19"/>
        <v>33310</v>
      </c>
      <c r="J130" s="8">
        <f t="shared" si="19"/>
        <v>18545</v>
      </c>
      <c r="K130" s="8">
        <f t="shared" si="19"/>
        <v>29535</v>
      </c>
      <c r="L130" s="8">
        <f>SUM(L128:L129)</f>
        <v>21834</v>
      </c>
      <c r="M130" s="8">
        <f>SUM(M128:M129)</f>
        <v>14513.6</v>
      </c>
    </row>
    <row r="131" spans="1:13" x14ac:dyDescent="0.2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1:13" ht="12" thickBot="1" x14ac:dyDescent="0.25">
      <c r="A132" s="15" t="s">
        <v>98</v>
      </c>
      <c r="B132" s="26">
        <f>+B125-B130</f>
        <v>-43506</v>
      </c>
      <c r="C132" s="26">
        <f>+C125-C130</f>
        <v>-32836</v>
      </c>
      <c r="D132" s="26">
        <f t="shared" ref="D132:K132" si="20">+D125-D130</f>
        <v>-57620</v>
      </c>
      <c r="E132" s="26">
        <f t="shared" si="20"/>
        <v>-87894</v>
      </c>
      <c r="F132" s="26">
        <f t="shared" si="20"/>
        <v>-86013</v>
      </c>
      <c r="G132" s="26">
        <f t="shared" si="20"/>
        <v>-31514</v>
      </c>
      <c r="H132" s="26">
        <f t="shared" si="20"/>
        <v>-7532</v>
      </c>
      <c r="I132" s="26">
        <f t="shared" si="20"/>
        <v>-32361</v>
      </c>
      <c r="J132" s="26">
        <f t="shared" si="20"/>
        <v>-8468</v>
      </c>
      <c r="K132" s="26">
        <f t="shared" si="20"/>
        <v>-29157</v>
      </c>
      <c r="L132" s="26">
        <f>+L125-L130</f>
        <v>-21714</v>
      </c>
      <c r="M132" s="26">
        <f>+M125-M130</f>
        <v>-14447.2</v>
      </c>
    </row>
    <row r="133" spans="1:13" ht="12" thickTop="1" x14ac:dyDescent="0.2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1:13" x14ac:dyDescent="0.2">
      <c r="A134" s="6" t="s">
        <v>99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1:13" x14ac:dyDescent="0.2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1:13" x14ac:dyDescent="0.2">
      <c r="A136" s="25" t="s">
        <v>85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1:13" x14ac:dyDescent="0.2">
      <c r="A137" s="2" t="s">
        <v>100</v>
      </c>
      <c r="B137" s="7">
        <v>30700</v>
      </c>
      <c r="C137" s="7">
        <v>109600</v>
      </c>
      <c r="D137" s="7">
        <v>2800</v>
      </c>
      <c r="E137" s="7">
        <v>39900</v>
      </c>
      <c r="F137" s="7">
        <v>71150</v>
      </c>
      <c r="G137" s="7">
        <v>0</v>
      </c>
      <c r="H137" s="7">
        <v>0</v>
      </c>
      <c r="I137" s="7">
        <v>0</v>
      </c>
      <c r="J137" s="7">
        <v>141000</v>
      </c>
      <c r="K137" s="7">
        <v>0</v>
      </c>
      <c r="L137" s="7">
        <v>67860</v>
      </c>
      <c r="M137" s="7">
        <v>73470.399999999994</v>
      </c>
    </row>
    <row r="138" spans="1:13" x14ac:dyDescent="0.2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1:13" x14ac:dyDescent="0.2">
      <c r="A139" s="25" t="s">
        <v>88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1:13" x14ac:dyDescent="0.2">
      <c r="A140" s="2" t="s">
        <v>101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2631</v>
      </c>
      <c r="H140" s="7">
        <v>23000</v>
      </c>
      <c r="I140" s="7">
        <v>15000</v>
      </c>
      <c r="J140" s="7">
        <f>152050+1000</f>
        <v>153050</v>
      </c>
      <c r="K140" s="7">
        <v>0</v>
      </c>
      <c r="L140" s="7">
        <f>10000+67860</f>
        <v>77860</v>
      </c>
      <c r="M140" s="7">
        <v>67859.5</v>
      </c>
    </row>
    <row r="141" spans="1:13" x14ac:dyDescent="0.2">
      <c r="A141" s="2" t="s">
        <v>102</v>
      </c>
      <c r="B141" s="7">
        <v>0</v>
      </c>
      <c r="C141" s="7">
        <v>0</v>
      </c>
      <c r="D141" s="7">
        <v>0</v>
      </c>
      <c r="E141" s="7">
        <v>0</v>
      </c>
      <c r="F141" s="7">
        <v>37000</v>
      </c>
      <c r="G141" s="7">
        <v>5019</v>
      </c>
      <c r="H141" s="7">
        <v>0</v>
      </c>
      <c r="I141" s="7">
        <v>5000</v>
      </c>
      <c r="J141" s="7">
        <v>10000</v>
      </c>
      <c r="K141" s="7">
        <v>0</v>
      </c>
      <c r="L141" s="7">
        <v>0</v>
      </c>
      <c r="M141" s="7">
        <v>0</v>
      </c>
    </row>
    <row r="142" spans="1:13" x14ac:dyDescent="0.2">
      <c r="A142" s="2" t="s">
        <v>103</v>
      </c>
      <c r="B142" s="7">
        <v>63420</v>
      </c>
      <c r="C142" s="7">
        <v>147168</v>
      </c>
      <c r="D142" s="7">
        <v>24255</v>
      </c>
      <c r="E142" s="7">
        <v>23415</v>
      </c>
      <c r="F142" s="7">
        <v>23310</v>
      </c>
      <c r="G142" s="7">
        <v>16464</v>
      </c>
      <c r="H142" s="7">
        <v>13020</v>
      </c>
      <c r="I142" s="7">
        <v>7770</v>
      </c>
      <c r="J142" s="7">
        <v>6300</v>
      </c>
      <c r="K142" s="7">
        <v>7350</v>
      </c>
      <c r="L142" s="7">
        <v>0</v>
      </c>
      <c r="M142" s="7">
        <v>0</v>
      </c>
    </row>
    <row r="143" spans="1:13" x14ac:dyDescent="0.2">
      <c r="B143" s="8">
        <f>SUM(B140:B142)</f>
        <v>63420</v>
      </c>
      <c r="C143" s="8">
        <f>SUM(C140:C142)</f>
        <v>147168</v>
      </c>
      <c r="D143" s="8">
        <f>SUM(D140:D142)</f>
        <v>24255</v>
      </c>
      <c r="E143" s="8">
        <f t="shared" ref="E143:K143" si="21">SUM(E140:E142)</f>
        <v>23415</v>
      </c>
      <c r="F143" s="8">
        <f t="shared" si="21"/>
        <v>60310</v>
      </c>
      <c r="G143" s="8">
        <f t="shared" si="21"/>
        <v>24114</v>
      </c>
      <c r="H143" s="8">
        <f t="shared" si="21"/>
        <v>36020</v>
      </c>
      <c r="I143" s="8">
        <f t="shared" si="21"/>
        <v>27770</v>
      </c>
      <c r="J143" s="8">
        <f t="shared" si="21"/>
        <v>169350</v>
      </c>
      <c r="K143" s="8">
        <f t="shared" si="21"/>
        <v>7350</v>
      </c>
      <c r="L143" s="8">
        <f>SUM(L140:L142)</f>
        <v>77860</v>
      </c>
      <c r="M143" s="8">
        <f>SUM(M140:M142)</f>
        <v>67859.5</v>
      </c>
    </row>
    <row r="144" spans="1:13" x14ac:dyDescent="0.2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1:13" ht="12" thickBot="1" x14ac:dyDescent="0.25">
      <c r="A145" s="15" t="s">
        <v>104</v>
      </c>
      <c r="B145" s="26">
        <f>+B137-B143</f>
        <v>-32720</v>
      </c>
      <c r="C145" s="26">
        <f>+C137-C143</f>
        <v>-37568</v>
      </c>
      <c r="D145" s="26">
        <f t="shared" ref="D145:K145" si="22">+D137-D143</f>
        <v>-21455</v>
      </c>
      <c r="E145" s="11">
        <f t="shared" si="22"/>
        <v>16485</v>
      </c>
      <c r="F145" s="11">
        <f t="shared" si="22"/>
        <v>10840</v>
      </c>
      <c r="G145" s="26">
        <f t="shared" si="22"/>
        <v>-24114</v>
      </c>
      <c r="H145" s="26">
        <f t="shared" si="22"/>
        <v>-36020</v>
      </c>
      <c r="I145" s="26">
        <f t="shared" si="22"/>
        <v>-27770</v>
      </c>
      <c r="J145" s="26">
        <f t="shared" si="22"/>
        <v>-28350</v>
      </c>
      <c r="K145" s="26">
        <f t="shared" si="22"/>
        <v>-7350</v>
      </c>
      <c r="L145" s="26">
        <f>+L137-L143</f>
        <v>-10000</v>
      </c>
      <c r="M145" s="11">
        <f>+M137-M143</f>
        <v>5610.8999999999942</v>
      </c>
    </row>
    <row r="146" spans="1:13" ht="12" thickTop="1" x14ac:dyDescent="0.2">
      <c r="I146" s="7"/>
      <c r="J146" s="7"/>
      <c r="K146" s="7"/>
      <c r="L146" s="7"/>
      <c r="M146" s="7"/>
    </row>
    <row r="147" spans="1:13" s="15" customFormat="1" x14ac:dyDescent="0.2">
      <c r="A147" s="15" t="s">
        <v>105</v>
      </c>
      <c r="B147" s="27">
        <f>+B145+B132+B118</f>
        <v>-157</v>
      </c>
      <c r="C147" s="27">
        <f>+C145+C132+C118</f>
        <v>-1086</v>
      </c>
      <c r="D147" s="27">
        <f t="shared" ref="D147:K147" si="23">+D145+D132+D118</f>
        <v>-51</v>
      </c>
      <c r="E147" s="27">
        <f t="shared" si="23"/>
        <v>-186</v>
      </c>
      <c r="F147" s="27">
        <f t="shared" si="23"/>
        <v>-14726</v>
      </c>
      <c r="G147" s="27">
        <f t="shared" si="23"/>
        <v>-2664</v>
      </c>
      <c r="H147" s="28">
        <f t="shared" si="23"/>
        <v>3851</v>
      </c>
      <c r="I147" s="27">
        <f t="shared" si="23"/>
        <v>-6249</v>
      </c>
      <c r="J147" s="27">
        <f t="shared" si="23"/>
        <v>-3451</v>
      </c>
      <c r="K147" s="28">
        <f t="shared" si="23"/>
        <v>10572</v>
      </c>
      <c r="L147" s="28">
        <f>+L145+L132+L118</f>
        <v>8290</v>
      </c>
      <c r="M147" s="28">
        <f>+M145+M132+M118</f>
        <v>4670.6999999999862</v>
      </c>
    </row>
    <row r="148" spans="1:13" x14ac:dyDescent="0.2">
      <c r="A148" s="2" t="s">
        <v>106</v>
      </c>
      <c r="B148" s="13">
        <f>+C149</f>
        <v>-1029</v>
      </c>
      <c r="C148" s="7">
        <v>57</v>
      </c>
      <c r="D148" s="7">
        <v>108</v>
      </c>
      <c r="E148" s="7">
        <v>294</v>
      </c>
      <c r="F148" s="7">
        <v>15020</v>
      </c>
      <c r="G148" s="7">
        <v>17684</v>
      </c>
      <c r="H148" s="7">
        <v>13833</v>
      </c>
      <c r="I148" s="7">
        <v>20082</v>
      </c>
      <c r="J148" s="7">
        <v>23533</v>
      </c>
      <c r="K148" s="7">
        <v>12961</v>
      </c>
      <c r="L148" s="7">
        <v>4671</v>
      </c>
      <c r="M148" s="7">
        <v>0</v>
      </c>
    </row>
    <row r="149" spans="1:13" s="15" customFormat="1" ht="12" thickBot="1" x14ac:dyDescent="0.25">
      <c r="A149" s="15" t="s">
        <v>107</v>
      </c>
      <c r="B149" s="29">
        <f>SUM(B147:B148)</f>
        <v>-1186</v>
      </c>
      <c r="C149" s="29">
        <f>SUM(C147:C148)</f>
        <v>-1029</v>
      </c>
      <c r="D149" s="21">
        <f>SUM(D147:D148)</f>
        <v>57</v>
      </c>
      <c r="E149" s="21">
        <f t="shared" ref="E149:K149" si="24">SUM(E147:E148)</f>
        <v>108</v>
      </c>
      <c r="F149" s="21">
        <f t="shared" si="24"/>
        <v>294</v>
      </c>
      <c r="G149" s="21">
        <f t="shared" si="24"/>
        <v>15020</v>
      </c>
      <c r="H149" s="21">
        <f t="shared" si="24"/>
        <v>17684</v>
      </c>
      <c r="I149" s="21">
        <f t="shared" si="24"/>
        <v>13833</v>
      </c>
      <c r="J149" s="21">
        <f t="shared" si="24"/>
        <v>20082</v>
      </c>
      <c r="K149" s="21">
        <f t="shared" si="24"/>
        <v>23533</v>
      </c>
      <c r="L149" s="21">
        <f>SUM(L147:L148)</f>
        <v>12961</v>
      </c>
      <c r="M149" s="21">
        <f>SUM(M147:M148)</f>
        <v>4670.6999999999862</v>
      </c>
    </row>
    <row r="150" spans="1:13" ht="12" thickTop="1" x14ac:dyDescent="0.2"/>
  </sheetData>
  <pageMargins left="0.27" right="0.28000000000000003" top="0.45" bottom="0.26" header="0.25" footer="0.26"/>
  <pageSetup paperSize="9" scale="90" orientation="landscape" r:id="rId1"/>
  <headerFooter alignWithMargins="0">
    <oddHeader>&amp;CAIAL FINANCIAL ACCOUNTS</oddHeader>
  </headerFooter>
  <rowBreaks count="2" manualBreakCount="2">
    <brk id="49" max="16383" man="1"/>
    <brk id="10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workbookViewId="0"/>
  </sheetViews>
  <sheetFormatPr defaultRowHeight="11.25" x14ac:dyDescent="0.2"/>
  <cols>
    <col min="1" max="1" width="46.85546875" style="2" customWidth="1"/>
    <col min="2" max="10" width="9.140625" style="2"/>
    <col min="11" max="11" width="10" style="2" customWidth="1"/>
    <col min="12" max="16384" width="9.140625" style="2"/>
  </cols>
  <sheetData>
    <row r="1" spans="1:11" ht="12.75" x14ac:dyDescent="0.2">
      <c r="A1" s="1" t="s">
        <v>0</v>
      </c>
      <c r="B1" s="3"/>
      <c r="C1" s="3" t="s">
        <v>108</v>
      </c>
      <c r="K1" s="3" t="s">
        <v>109</v>
      </c>
    </row>
    <row r="2" spans="1:11" x14ac:dyDescent="0.2">
      <c r="A2" s="2" t="s">
        <v>110</v>
      </c>
      <c r="B2" s="4">
        <v>36586</v>
      </c>
      <c r="C2" s="4">
        <v>36220</v>
      </c>
      <c r="D2" s="4">
        <v>35947</v>
      </c>
      <c r="E2" s="4">
        <v>35582</v>
      </c>
      <c r="F2" s="4">
        <v>35217</v>
      </c>
      <c r="G2" s="4">
        <v>34851</v>
      </c>
      <c r="H2" s="4">
        <v>34486</v>
      </c>
      <c r="I2" s="4">
        <v>34121</v>
      </c>
      <c r="J2" s="4">
        <v>33756</v>
      </c>
      <c r="K2" s="4">
        <v>33390</v>
      </c>
    </row>
    <row r="3" spans="1:11" x14ac:dyDescent="0.2">
      <c r="B3" s="5" t="s">
        <v>3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</row>
    <row r="4" spans="1:11" x14ac:dyDescent="0.2">
      <c r="A4" s="6" t="s">
        <v>4</v>
      </c>
    </row>
    <row r="6" spans="1:11" x14ac:dyDescent="0.2">
      <c r="A6" s="2" t="s">
        <v>190</v>
      </c>
      <c r="B6" s="7">
        <v>12985</v>
      </c>
      <c r="C6" s="7">
        <v>10717</v>
      </c>
      <c r="D6" s="7">
        <v>14241</v>
      </c>
      <c r="E6" s="7">
        <v>13448</v>
      </c>
      <c r="F6" s="7">
        <v>13272</v>
      </c>
      <c r="G6" s="7">
        <v>12629</v>
      </c>
      <c r="H6" s="7">
        <v>12158</v>
      </c>
      <c r="I6" s="7">
        <v>11521</v>
      </c>
      <c r="J6" s="7">
        <v>11678</v>
      </c>
      <c r="K6" s="7">
        <v>6539</v>
      </c>
    </row>
    <row r="7" spans="1:11" x14ac:dyDescent="0.2">
      <c r="A7" s="2" t="s">
        <v>189</v>
      </c>
      <c r="B7" s="7">
        <v>2841</v>
      </c>
      <c r="C7" s="7">
        <v>1616</v>
      </c>
      <c r="D7" s="7">
        <v>1877</v>
      </c>
      <c r="E7" s="7">
        <v>1686</v>
      </c>
      <c r="F7" s="7">
        <v>1516</v>
      </c>
      <c r="G7" s="7">
        <v>1477</v>
      </c>
      <c r="H7" s="7">
        <v>1382</v>
      </c>
      <c r="I7" s="7">
        <v>2045</v>
      </c>
      <c r="J7" s="7">
        <v>2433</v>
      </c>
      <c r="K7" s="7">
        <v>1712</v>
      </c>
    </row>
    <row r="8" spans="1:11" x14ac:dyDescent="0.2">
      <c r="A8" s="2" t="s">
        <v>111</v>
      </c>
      <c r="B8" s="7">
        <v>7276</v>
      </c>
      <c r="C8" s="7">
        <v>4135</v>
      </c>
      <c r="D8" s="7">
        <v>5277</v>
      </c>
      <c r="E8" s="7">
        <v>4977</v>
      </c>
      <c r="F8" s="7">
        <v>4991</v>
      </c>
      <c r="G8" s="7">
        <v>4814</v>
      </c>
      <c r="H8" s="7">
        <v>4133</v>
      </c>
      <c r="I8" s="7">
        <v>3944</v>
      </c>
      <c r="J8" s="7">
        <v>3658</v>
      </c>
      <c r="K8" s="7">
        <v>2764</v>
      </c>
    </row>
    <row r="9" spans="1:11" x14ac:dyDescent="0.2">
      <c r="A9" s="2" t="s">
        <v>5</v>
      </c>
      <c r="B9" s="7">
        <v>3698</v>
      </c>
      <c r="C9" s="7">
        <v>2683</v>
      </c>
      <c r="D9" s="7">
        <v>2929</v>
      </c>
      <c r="E9" s="7">
        <v>2389</v>
      </c>
      <c r="F9" s="7">
        <v>2168</v>
      </c>
      <c r="G9" s="7">
        <v>1929</v>
      </c>
      <c r="H9" s="7">
        <v>1769</v>
      </c>
      <c r="I9" s="7">
        <v>1662</v>
      </c>
      <c r="J9" s="7">
        <v>1552</v>
      </c>
      <c r="K9" s="7">
        <v>965</v>
      </c>
    </row>
    <row r="10" spans="1:11" x14ac:dyDescent="0.2">
      <c r="A10" s="2" t="s">
        <v>112</v>
      </c>
      <c r="B10" s="7">
        <v>3948</v>
      </c>
      <c r="C10" s="7">
        <v>2225</v>
      </c>
      <c r="D10" s="7">
        <v>2954</v>
      </c>
      <c r="E10" s="7">
        <v>2873</v>
      </c>
      <c r="F10" s="7">
        <v>2584</v>
      </c>
      <c r="G10" s="7">
        <v>2442</v>
      </c>
      <c r="H10" s="7">
        <v>2276</v>
      </c>
      <c r="I10" s="7">
        <v>2048</v>
      </c>
      <c r="J10" s="7">
        <v>1651</v>
      </c>
      <c r="K10" s="7">
        <v>1178</v>
      </c>
    </row>
    <row r="11" spans="1:11" x14ac:dyDescent="0.2">
      <c r="A11" s="2" t="s">
        <v>113</v>
      </c>
      <c r="B11" s="7">
        <v>500</v>
      </c>
      <c r="C11" s="7">
        <v>376</v>
      </c>
      <c r="D11" s="7">
        <v>408</v>
      </c>
      <c r="E11" s="7">
        <v>478</v>
      </c>
      <c r="F11" s="7">
        <v>514</v>
      </c>
      <c r="G11" s="7">
        <v>584</v>
      </c>
      <c r="H11" s="7">
        <v>495</v>
      </c>
      <c r="I11" s="7">
        <v>178</v>
      </c>
      <c r="J11" s="7">
        <v>501</v>
      </c>
      <c r="K11" s="7">
        <v>159</v>
      </c>
    </row>
    <row r="12" spans="1:11" x14ac:dyDescent="0.2">
      <c r="A12" s="2" t="s">
        <v>12</v>
      </c>
      <c r="B12" s="8">
        <f t="shared" ref="B12:K12" si="0">SUM(B6:B11)</f>
        <v>31248</v>
      </c>
      <c r="C12" s="8">
        <f t="shared" si="0"/>
        <v>21752</v>
      </c>
      <c r="D12" s="8">
        <f t="shared" si="0"/>
        <v>27686</v>
      </c>
      <c r="E12" s="8">
        <f t="shared" si="0"/>
        <v>25851</v>
      </c>
      <c r="F12" s="8">
        <f t="shared" si="0"/>
        <v>25045</v>
      </c>
      <c r="G12" s="8">
        <f t="shared" si="0"/>
        <v>23875</v>
      </c>
      <c r="H12" s="8">
        <f t="shared" si="0"/>
        <v>22213</v>
      </c>
      <c r="I12" s="8">
        <f t="shared" si="0"/>
        <v>21398</v>
      </c>
      <c r="J12" s="8">
        <f t="shared" si="0"/>
        <v>21473</v>
      </c>
      <c r="K12" s="8">
        <f t="shared" si="0"/>
        <v>13317</v>
      </c>
    </row>
    <row r="13" spans="1:11" x14ac:dyDescent="0.2">
      <c r="B13" s="7"/>
      <c r="C13" s="7"/>
      <c r="D13" s="7"/>
      <c r="E13" s="7"/>
      <c r="F13" s="7"/>
      <c r="G13" s="7"/>
      <c r="H13" s="7"/>
    </row>
    <row r="14" spans="1:11" x14ac:dyDescent="0.2">
      <c r="A14" s="2" t="s">
        <v>13</v>
      </c>
      <c r="B14" s="7">
        <v>24</v>
      </c>
      <c r="C14" s="7">
        <v>39</v>
      </c>
      <c r="D14" s="7">
        <v>41</v>
      </c>
      <c r="E14" s="7">
        <v>14</v>
      </c>
      <c r="F14" s="7">
        <v>9</v>
      </c>
      <c r="G14" s="7">
        <v>48</v>
      </c>
      <c r="H14" s="7">
        <v>765</v>
      </c>
      <c r="I14" s="7">
        <v>167</v>
      </c>
      <c r="J14" s="7">
        <v>229</v>
      </c>
      <c r="K14" s="7">
        <v>81</v>
      </c>
    </row>
    <row r="15" spans="1:11" x14ac:dyDescent="0.2">
      <c r="B15" s="7"/>
      <c r="C15" s="7"/>
      <c r="D15" s="7"/>
      <c r="E15" s="7"/>
      <c r="F15" s="7"/>
      <c r="G15" s="7"/>
      <c r="H15" s="7"/>
    </row>
    <row r="16" spans="1:11" ht="12" thickBot="1" x14ac:dyDescent="0.25">
      <c r="A16" s="10" t="s">
        <v>14</v>
      </c>
      <c r="B16" s="11">
        <f>+B14+B12</f>
        <v>31272</v>
      </c>
      <c r="C16" s="11">
        <f t="shared" ref="C16:K16" si="1">+C14+C12</f>
        <v>21791</v>
      </c>
      <c r="D16" s="11">
        <f t="shared" si="1"/>
        <v>27727</v>
      </c>
      <c r="E16" s="11">
        <f t="shared" si="1"/>
        <v>25865</v>
      </c>
      <c r="F16" s="11">
        <f t="shared" si="1"/>
        <v>25054</v>
      </c>
      <c r="G16" s="11">
        <f t="shared" si="1"/>
        <v>23923</v>
      </c>
      <c r="H16" s="11">
        <f t="shared" si="1"/>
        <v>22978</v>
      </c>
      <c r="I16" s="11">
        <f t="shared" si="1"/>
        <v>21565</v>
      </c>
      <c r="J16" s="11">
        <f t="shared" si="1"/>
        <v>21702</v>
      </c>
      <c r="K16" s="11">
        <f t="shared" si="1"/>
        <v>13398</v>
      </c>
    </row>
    <row r="17" spans="1:11" ht="12" thickTop="1" x14ac:dyDescent="0.2"/>
    <row r="19" spans="1:11" x14ac:dyDescent="0.2">
      <c r="A19" s="6" t="s">
        <v>15</v>
      </c>
    </row>
    <row r="21" spans="1:11" x14ac:dyDescent="0.2">
      <c r="A21" s="2" t="s">
        <v>16</v>
      </c>
      <c r="B21" s="7">
        <v>32</v>
      </c>
      <c r="C21" s="7">
        <v>32</v>
      </c>
      <c r="D21" s="7">
        <v>32</v>
      </c>
      <c r="E21" s="7">
        <v>26</v>
      </c>
      <c r="F21" s="7">
        <v>26</v>
      </c>
      <c r="G21" s="7">
        <v>31</v>
      </c>
      <c r="H21" s="7">
        <v>31</v>
      </c>
      <c r="I21" s="7">
        <v>32</v>
      </c>
      <c r="J21" s="7">
        <v>21</v>
      </c>
      <c r="K21" s="7">
        <v>25</v>
      </c>
    </row>
    <row r="22" spans="1:11" x14ac:dyDescent="0.2">
      <c r="A22" s="2" t="s">
        <v>114</v>
      </c>
      <c r="B22" s="7">
        <v>573</v>
      </c>
      <c r="C22" s="7">
        <v>883</v>
      </c>
      <c r="D22" s="7">
        <v>491</v>
      </c>
      <c r="E22" s="7">
        <v>478</v>
      </c>
      <c r="F22" s="7">
        <v>540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</row>
    <row r="23" spans="1:11" x14ac:dyDescent="0.2">
      <c r="A23" s="2" t="s">
        <v>17</v>
      </c>
      <c r="B23" s="7">
        <v>6579</v>
      </c>
      <c r="C23" s="7">
        <v>3594</v>
      </c>
      <c r="D23" s="7">
        <v>5098</v>
      </c>
      <c r="E23" s="7">
        <v>4671</v>
      </c>
      <c r="F23" s="7">
        <v>4477</v>
      </c>
      <c r="G23" s="7">
        <v>3964</v>
      </c>
      <c r="H23" s="7">
        <v>3728</v>
      </c>
      <c r="I23" s="7">
        <v>2105</v>
      </c>
      <c r="J23" s="7">
        <v>1975</v>
      </c>
      <c r="K23" s="7">
        <v>1338</v>
      </c>
    </row>
    <row r="24" spans="1:11" x14ac:dyDescent="0.2">
      <c r="A24" s="2" t="s">
        <v>18</v>
      </c>
      <c r="B24" s="7">
        <v>165</v>
      </c>
      <c r="C24" s="7">
        <v>103</v>
      </c>
      <c r="D24" s="7">
        <v>118</v>
      </c>
      <c r="E24" s="7">
        <v>115</v>
      </c>
      <c r="F24" s="7">
        <v>115</v>
      </c>
      <c r="G24" s="7">
        <v>105</v>
      </c>
      <c r="H24" s="7">
        <v>105</v>
      </c>
      <c r="I24" s="7">
        <v>101</v>
      </c>
      <c r="J24" s="7">
        <v>105</v>
      </c>
      <c r="K24" s="7">
        <v>74</v>
      </c>
    </row>
    <row r="25" spans="1:11" x14ac:dyDescent="0.2">
      <c r="A25" s="2" t="s">
        <v>115</v>
      </c>
      <c r="B25" s="7">
        <v>4709</v>
      </c>
      <c r="C25" s="7">
        <v>4212</v>
      </c>
      <c r="D25" s="7">
        <v>5330</v>
      </c>
      <c r="E25" s="7">
        <v>4761</v>
      </c>
      <c r="F25" s="7">
        <v>4292</v>
      </c>
      <c r="G25" s="7">
        <v>3911</v>
      </c>
      <c r="H25" s="7">
        <v>3155</v>
      </c>
      <c r="I25" s="7">
        <v>2685</v>
      </c>
      <c r="J25" s="7">
        <v>2317</v>
      </c>
      <c r="K25" s="7">
        <v>1413</v>
      </c>
    </row>
    <row r="26" spans="1:11" x14ac:dyDescent="0.2">
      <c r="A26" s="2" t="s">
        <v>23</v>
      </c>
      <c r="B26" s="7">
        <v>8445</v>
      </c>
      <c r="C26" s="7">
        <v>4361</v>
      </c>
      <c r="D26" s="7">
        <v>3817</v>
      </c>
      <c r="E26" s="7">
        <v>2970</v>
      </c>
      <c r="F26" s="7">
        <v>2097</v>
      </c>
      <c r="G26" s="7">
        <v>2472</v>
      </c>
      <c r="H26" s="7">
        <v>1736</v>
      </c>
      <c r="I26" s="7">
        <v>2381</v>
      </c>
      <c r="J26" s="7">
        <v>2797</v>
      </c>
      <c r="K26" s="7">
        <v>2950</v>
      </c>
    </row>
    <row r="27" spans="1:11" x14ac:dyDescent="0.2">
      <c r="A27" s="2" t="s">
        <v>116</v>
      </c>
      <c r="B27" s="7">
        <v>141</v>
      </c>
      <c r="C27" s="7">
        <v>119</v>
      </c>
      <c r="D27" s="7">
        <v>132</v>
      </c>
      <c r="E27" s="7">
        <v>110</v>
      </c>
      <c r="F27" s="7">
        <v>66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</row>
    <row r="28" spans="1:11" x14ac:dyDescent="0.2">
      <c r="A28" s="2" t="s">
        <v>117</v>
      </c>
      <c r="B28" s="7">
        <v>1424</v>
      </c>
      <c r="C28" s="7">
        <v>742</v>
      </c>
      <c r="D28" s="7">
        <v>776</v>
      </c>
      <c r="E28" s="7">
        <v>731</v>
      </c>
      <c r="F28" s="7">
        <v>742</v>
      </c>
      <c r="G28" s="7">
        <v>1306</v>
      </c>
      <c r="H28" s="7">
        <v>769</v>
      </c>
      <c r="I28" s="7">
        <v>1152</v>
      </c>
      <c r="J28" s="7">
        <v>976</v>
      </c>
      <c r="K28" s="7">
        <v>673</v>
      </c>
    </row>
    <row r="29" spans="1:11" x14ac:dyDescent="0.2">
      <c r="A29" s="2" t="s">
        <v>118</v>
      </c>
      <c r="B29" s="7">
        <v>5109</v>
      </c>
      <c r="C29" s="7">
        <v>3587</v>
      </c>
      <c r="D29" s="7">
        <v>5213</v>
      </c>
      <c r="E29" s="7">
        <v>5926</v>
      </c>
      <c r="F29" s="7">
        <v>5387</v>
      </c>
      <c r="G29" s="7">
        <v>4595</v>
      </c>
      <c r="H29" s="7">
        <v>6383</v>
      </c>
      <c r="I29" s="7">
        <v>8413</v>
      </c>
      <c r="J29" s="7">
        <v>8085</v>
      </c>
      <c r="K29" s="7">
        <v>5088</v>
      </c>
    </row>
    <row r="30" spans="1:11" x14ac:dyDescent="0.2">
      <c r="B30" s="7"/>
      <c r="C30" s="7"/>
      <c r="D30" s="7"/>
      <c r="E30" s="7"/>
      <c r="F30" s="7"/>
      <c r="G30" s="7"/>
      <c r="H30" s="7"/>
    </row>
    <row r="31" spans="1:11" ht="12" thickBot="1" x14ac:dyDescent="0.25">
      <c r="A31" s="10" t="s">
        <v>24</v>
      </c>
      <c r="B31" s="11">
        <f>SUM(B21:B29)</f>
        <v>27177</v>
      </c>
      <c r="C31" s="11">
        <f t="shared" ref="C31:K31" si="2">SUM(C21:C29)</f>
        <v>17633</v>
      </c>
      <c r="D31" s="11">
        <f t="shared" si="2"/>
        <v>21007</v>
      </c>
      <c r="E31" s="11">
        <f t="shared" si="2"/>
        <v>19788</v>
      </c>
      <c r="F31" s="11">
        <f t="shared" si="2"/>
        <v>17742</v>
      </c>
      <c r="G31" s="11">
        <f t="shared" si="2"/>
        <v>16384</v>
      </c>
      <c r="H31" s="11">
        <f t="shared" si="2"/>
        <v>15907</v>
      </c>
      <c r="I31" s="11">
        <f t="shared" si="2"/>
        <v>16869</v>
      </c>
      <c r="J31" s="11">
        <f t="shared" si="2"/>
        <v>16276</v>
      </c>
      <c r="K31" s="11">
        <f t="shared" si="2"/>
        <v>11561</v>
      </c>
    </row>
    <row r="32" spans="1:11" ht="12" thickTop="1" x14ac:dyDescent="0.2"/>
    <row r="33" spans="1:11" x14ac:dyDescent="0.2">
      <c r="A33" s="2" t="s">
        <v>29</v>
      </c>
      <c r="B33" s="7">
        <f>+B16-B31</f>
        <v>4095</v>
      </c>
      <c r="C33" s="7">
        <f>+C16-C31</f>
        <v>4158</v>
      </c>
      <c r="D33" s="7">
        <f t="shared" ref="D33:I33" si="3">+D16-D31</f>
        <v>6720</v>
      </c>
      <c r="E33" s="7">
        <f t="shared" si="3"/>
        <v>6077</v>
      </c>
      <c r="F33" s="7">
        <f t="shared" si="3"/>
        <v>7312</v>
      </c>
      <c r="G33" s="7">
        <f t="shared" si="3"/>
        <v>7539</v>
      </c>
      <c r="H33" s="7">
        <f t="shared" si="3"/>
        <v>7071</v>
      </c>
      <c r="I33" s="7">
        <f t="shared" si="3"/>
        <v>4696</v>
      </c>
      <c r="J33" s="7">
        <f>+J16-J31</f>
        <v>5426</v>
      </c>
      <c r="K33" s="7">
        <f>+K16-K31</f>
        <v>1837</v>
      </c>
    </row>
    <row r="34" spans="1:11" x14ac:dyDescent="0.2">
      <c r="A34" s="2" t="s">
        <v>30</v>
      </c>
      <c r="B34" s="13">
        <v>-185</v>
      </c>
      <c r="C34" s="13">
        <v>-29</v>
      </c>
      <c r="D34" s="7">
        <v>2335</v>
      </c>
      <c r="E34" s="7">
        <v>2219</v>
      </c>
      <c r="F34" s="7">
        <v>2744</v>
      </c>
      <c r="G34" s="7">
        <v>3129</v>
      </c>
      <c r="H34" s="7">
        <v>2913</v>
      </c>
      <c r="I34" s="7">
        <v>1750</v>
      </c>
      <c r="J34" s="7">
        <v>2164</v>
      </c>
      <c r="K34" s="7">
        <v>626</v>
      </c>
    </row>
    <row r="35" spans="1:11" ht="12" thickBot="1" x14ac:dyDescent="0.25">
      <c r="A35" s="15" t="s">
        <v>31</v>
      </c>
      <c r="B35" s="21">
        <f t="shared" ref="B35:K35" si="4">+B33-B34</f>
        <v>4280</v>
      </c>
      <c r="C35" s="21">
        <f t="shared" si="4"/>
        <v>4187</v>
      </c>
      <c r="D35" s="21">
        <f t="shared" si="4"/>
        <v>4385</v>
      </c>
      <c r="E35" s="21">
        <f t="shared" si="4"/>
        <v>3858</v>
      </c>
      <c r="F35" s="21">
        <f t="shared" si="4"/>
        <v>4568</v>
      </c>
      <c r="G35" s="21">
        <f t="shared" si="4"/>
        <v>4410</v>
      </c>
      <c r="H35" s="21">
        <f t="shared" si="4"/>
        <v>4158</v>
      </c>
      <c r="I35" s="21">
        <f t="shared" si="4"/>
        <v>2946</v>
      </c>
      <c r="J35" s="21">
        <f t="shared" si="4"/>
        <v>3262</v>
      </c>
      <c r="K35" s="21">
        <f t="shared" si="4"/>
        <v>1211</v>
      </c>
    </row>
    <row r="36" spans="1:11" ht="12" thickTop="1" x14ac:dyDescent="0.2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</row>
    <row r="37" spans="1:11" x14ac:dyDescent="0.2">
      <c r="A37" s="32"/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spans="1:11" ht="12.75" x14ac:dyDescent="0.2">
      <c r="A38" s="1" t="s">
        <v>34</v>
      </c>
    </row>
    <row r="39" spans="1:11" x14ac:dyDescent="0.2">
      <c r="A39" s="2" t="s">
        <v>110</v>
      </c>
      <c r="B39" s="4">
        <v>36586</v>
      </c>
      <c r="C39" s="4">
        <v>36220</v>
      </c>
      <c r="D39" s="4">
        <v>35947</v>
      </c>
      <c r="E39" s="4">
        <v>35582</v>
      </c>
      <c r="F39" s="4">
        <v>35217</v>
      </c>
      <c r="G39" s="4">
        <v>34851</v>
      </c>
      <c r="H39" s="4">
        <v>34486</v>
      </c>
      <c r="I39" s="4">
        <v>34121</v>
      </c>
      <c r="J39" s="4">
        <v>33756</v>
      </c>
      <c r="K39" s="4">
        <v>33390</v>
      </c>
    </row>
    <row r="40" spans="1:11" x14ac:dyDescent="0.2">
      <c r="B40" s="5" t="s">
        <v>3</v>
      </c>
      <c r="C40" s="5" t="s">
        <v>3</v>
      </c>
      <c r="D40" s="5" t="s">
        <v>3</v>
      </c>
      <c r="E40" s="5" t="s">
        <v>3</v>
      </c>
      <c r="F40" s="5" t="s">
        <v>3</v>
      </c>
      <c r="G40" s="5" t="s">
        <v>3</v>
      </c>
      <c r="H40" s="5" t="s">
        <v>3</v>
      </c>
      <c r="I40" s="5" t="s">
        <v>3</v>
      </c>
      <c r="J40" s="5" t="s">
        <v>3</v>
      </c>
      <c r="K40" s="5" t="s">
        <v>3</v>
      </c>
    </row>
    <row r="41" spans="1:11" x14ac:dyDescent="0.2">
      <c r="A41" s="6"/>
    </row>
    <row r="42" spans="1:11" x14ac:dyDescent="0.2">
      <c r="A42" s="18" t="s">
        <v>35</v>
      </c>
      <c r="B42" s="9">
        <f>+C49</f>
        <v>115717</v>
      </c>
      <c r="C42" s="9">
        <v>111530</v>
      </c>
      <c r="D42" s="9">
        <v>108106</v>
      </c>
      <c r="E42" s="9">
        <v>105791</v>
      </c>
      <c r="F42" s="9">
        <v>100509</v>
      </c>
      <c r="G42" s="9">
        <v>71940</v>
      </c>
      <c r="H42" s="9">
        <v>70625</v>
      </c>
      <c r="I42" s="7">
        <v>59718</v>
      </c>
      <c r="J42" s="7">
        <v>57761</v>
      </c>
      <c r="K42" s="7">
        <v>56550</v>
      </c>
    </row>
    <row r="43" spans="1:11" x14ac:dyDescent="0.2">
      <c r="A43" s="18"/>
      <c r="B43" s="9"/>
      <c r="C43" s="9"/>
      <c r="D43" s="9"/>
      <c r="E43" s="9"/>
      <c r="F43" s="9"/>
      <c r="G43" s="9"/>
      <c r="H43" s="9"/>
      <c r="J43" s="7"/>
      <c r="K43" s="7"/>
    </row>
    <row r="44" spans="1:11" x14ac:dyDescent="0.2">
      <c r="A44" s="18" t="s">
        <v>36</v>
      </c>
      <c r="B44" s="9">
        <f>+B35</f>
        <v>4280</v>
      </c>
      <c r="C44" s="9">
        <f>+C35</f>
        <v>4187</v>
      </c>
      <c r="D44" s="9">
        <f t="shared" ref="D44:K44" si="5">+D35</f>
        <v>4385</v>
      </c>
      <c r="E44" s="9">
        <f t="shared" si="5"/>
        <v>3858</v>
      </c>
      <c r="F44" s="9">
        <f t="shared" si="5"/>
        <v>4568</v>
      </c>
      <c r="G44" s="9">
        <f t="shared" si="5"/>
        <v>4410</v>
      </c>
      <c r="H44" s="9">
        <f t="shared" si="5"/>
        <v>4158</v>
      </c>
      <c r="I44" s="9">
        <f t="shared" si="5"/>
        <v>2946</v>
      </c>
      <c r="J44" s="9">
        <f t="shared" si="5"/>
        <v>3262</v>
      </c>
      <c r="K44" s="9">
        <f t="shared" si="5"/>
        <v>1211</v>
      </c>
    </row>
    <row r="45" spans="1:11" x14ac:dyDescent="0.2">
      <c r="A45" s="18" t="s">
        <v>119</v>
      </c>
      <c r="B45" s="9">
        <v>149</v>
      </c>
      <c r="C45" s="9">
        <v>0</v>
      </c>
      <c r="D45" s="9">
        <v>0</v>
      </c>
      <c r="E45" s="9">
        <v>0</v>
      </c>
      <c r="F45" s="9">
        <v>2541</v>
      </c>
      <c r="G45" s="9">
        <v>25923</v>
      </c>
      <c r="H45" s="9">
        <v>0</v>
      </c>
      <c r="I45" s="9">
        <v>7961</v>
      </c>
      <c r="J45" s="9">
        <v>0</v>
      </c>
      <c r="K45" s="9">
        <v>0</v>
      </c>
    </row>
    <row r="46" spans="1:11" x14ac:dyDescent="0.2">
      <c r="A46" s="18" t="s">
        <v>120</v>
      </c>
      <c r="B46" s="20">
        <v>-47500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</row>
    <row r="47" spans="1:11" x14ac:dyDescent="0.2">
      <c r="A47" s="19" t="s">
        <v>38</v>
      </c>
      <c r="B47" s="20">
        <v>-7500</v>
      </c>
      <c r="C47" s="9">
        <v>0</v>
      </c>
      <c r="D47" s="20">
        <v>-961</v>
      </c>
      <c r="E47" s="20">
        <f>-775-768</f>
        <v>-1543</v>
      </c>
      <c r="F47" s="20">
        <f>-934-893</f>
        <v>-1827</v>
      </c>
      <c r="G47" s="20">
        <f>-926-838</f>
        <v>-1764</v>
      </c>
      <c r="H47" s="20">
        <f>-(1867+976)</f>
        <v>-2843</v>
      </c>
      <c r="I47" s="9">
        <v>0</v>
      </c>
      <c r="J47" s="20">
        <v>-1305</v>
      </c>
      <c r="K47" s="7">
        <v>0</v>
      </c>
    </row>
    <row r="48" spans="1:11" x14ac:dyDescent="0.2">
      <c r="B48" s="7"/>
      <c r="C48" s="7"/>
      <c r="D48" s="7"/>
      <c r="E48" s="7"/>
      <c r="F48" s="7"/>
      <c r="G48" s="7"/>
      <c r="H48" s="7"/>
    </row>
    <row r="49" spans="1:11" ht="12" thickBot="1" x14ac:dyDescent="0.25">
      <c r="A49" s="15" t="s">
        <v>40</v>
      </c>
      <c r="B49" s="21">
        <f>SUM(B42:B47)</f>
        <v>65146</v>
      </c>
      <c r="C49" s="21">
        <f>SUM(C42:C47)</f>
        <v>115717</v>
      </c>
      <c r="D49" s="21">
        <f t="shared" ref="D49:K49" si="6">SUM(D42:D47)</f>
        <v>111530</v>
      </c>
      <c r="E49" s="21">
        <f t="shared" si="6"/>
        <v>108106</v>
      </c>
      <c r="F49" s="21">
        <f t="shared" si="6"/>
        <v>105791</v>
      </c>
      <c r="G49" s="21">
        <f t="shared" si="6"/>
        <v>100509</v>
      </c>
      <c r="H49" s="21">
        <f t="shared" si="6"/>
        <v>71940</v>
      </c>
      <c r="I49" s="21">
        <f t="shared" si="6"/>
        <v>70625</v>
      </c>
      <c r="J49" s="21">
        <f t="shared" si="6"/>
        <v>59718</v>
      </c>
      <c r="K49" s="21">
        <f t="shared" si="6"/>
        <v>57761</v>
      </c>
    </row>
    <row r="50" spans="1:11" ht="13.5" thickTop="1" x14ac:dyDescent="0.2">
      <c r="A50" s="1" t="s">
        <v>41</v>
      </c>
    </row>
    <row r="51" spans="1:11" x14ac:dyDescent="0.2">
      <c r="A51" s="2" t="s">
        <v>121</v>
      </c>
      <c r="B51" s="4">
        <v>36586</v>
      </c>
      <c r="C51" s="4">
        <v>36220</v>
      </c>
      <c r="D51" s="4">
        <v>35947</v>
      </c>
      <c r="E51" s="4">
        <v>35582</v>
      </c>
      <c r="F51" s="4">
        <v>35217</v>
      </c>
      <c r="G51" s="4">
        <v>34851</v>
      </c>
      <c r="H51" s="4">
        <v>34486</v>
      </c>
      <c r="I51" s="4">
        <v>34121</v>
      </c>
      <c r="J51" s="4">
        <v>33756</v>
      </c>
      <c r="K51" s="4">
        <v>33390</v>
      </c>
    </row>
    <row r="52" spans="1:11" x14ac:dyDescent="0.2">
      <c r="B52" s="5" t="s">
        <v>3</v>
      </c>
      <c r="C52" s="5" t="s">
        <v>3</v>
      </c>
      <c r="D52" s="5" t="s">
        <v>3</v>
      </c>
      <c r="E52" s="5" t="s">
        <v>3</v>
      </c>
      <c r="F52" s="5" t="s">
        <v>3</v>
      </c>
      <c r="G52" s="5" t="s">
        <v>3</v>
      </c>
      <c r="H52" s="5" t="s">
        <v>3</v>
      </c>
      <c r="I52" s="5" t="s">
        <v>3</v>
      </c>
      <c r="J52" s="5" t="s">
        <v>3</v>
      </c>
      <c r="K52" s="5" t="s">
        <v>3</v>
      </c>
    </row>
    <row r="53" spans="1:11" x14ac:dyDescent="0.2">
      <c r="A53" s="22" t="s">
        <v>43</v>
      </c>
      <c r="B53" s="9"/>
      <c r="C53" s="9"/>
      <c r="D53" s="9"/>
      <c r="E53" s="9"/>
      <c r="F53" s="9"/>
      <c r="G53" s="9"/>
      <c r="H53" s="9"/>
    </row>
    <row r="54" spans="1:11" x14ac:dyDescent="0.2">
      <c r="A54" s="2" t="s">
        <v>122</v>
      </c>
      <c r="B54" s="7">
        <v>9050</v>
      </c>
      <c r="C54" s="7">
        <f>+D54</f>
        <v>56550</v>
      </c>
      <c r="D54" s="7">
        <f>+E54</f>
        <v>56550</v>
      </c>
      <c r="E54" s="7">
        <f>+F54</f>
        <v>56550</v>
      </c>
      <c r="F54" s="7">
        <f>+G54</f>
        <v>56550</v>
      </c>
      <c r="G54" s="7">
        <f>+H54</f>
        <v>56550</v>
      </c>
      <c r="H54" s="7">
        <v>56550</v>
      </c>
      <c r="I54" s="7">
        <v>56550</v>
      </c>
      <c r="J54" s="7">
        <v>56550</v>
      </c>
      <c r="K54" s="7">
        <v>56550</v>
      </c>
    </row>
    <row r="55" spans="1:11" x14ac:dyDescent="0.2">
      <c r="A55" s="2" t="s">
        <v>123</v>
      </c>
      <c r="B55" s="7">
        <v>36499</v>
      </c>
      <c r="C55" s="7">
        <v>36398</v>
      </c>
      <c r="D55" s="7">
        <v>36949</v>
      </c>
      <c r="E55" s="7">
        <v>37026</v>
      </c>
      <c r="F55" s="7">
        <v>36926</v>
      </c>
      <c r="G55" s="7">
        <v>34209</v>
      </c>
      <c r="H55" s="7">
        <v>8265</v>
      </c>
      <c r="I55" s="7">
        <v>7961</v>
      </c>
      <c r="J55" s="7">
        <v>0</v>
      </c>
      <c r="K55" s="7">
        <v>0</v>
      </c>
    </row>
    <row r="56" spans="1:11" x14ac:dyDescent="0.2">
      <c r="A56" s="2" t="s">
        <v>46</v>
      </c>
      <c r="B56" s="7">
        <v>19597</v>
      </c>
      <c r="C56" s="7">
        <v>22769</v>
      </c>
      <c r="D56" s="7">
        <v>18031</v>
      </c>
      <c r="E56" s="7">
        <v>14530</v>
      </c>
      <c r="F56" s="7">
        <v>12315</v>
      </c>
      <c r="G56" s="7">
        <v>9750</v>
      </c>
      <c r="H56" s="7">
        <v>7125</v>
      </c>
      <c r="I56" s="7">
        <v>6114</v>
      </c>
      <c r="J56" s="7">
        <v>3168</v>
      </c>
      <c r="K56" s="7">
        <v>1211</v>
      </c>
    </row>
    <row r="57" spans="1:11" x14ac:dyDescent="0.2">
      <c r="A57" s="10" t="s">
        <v>47</v>
      </c>
      <c r="B57" s="8">
        <f t="shared" ref="B57:K57" si="7">SUM(B54:B56)</f>
        <v>65146</v>
      </c>
      <c r="C57" s="8">
        <f t="shared" si="7"/>
        <v>115717</v>
      </c>
      <c r="D57" s="8">
        <f t="shared" si="7"/>
        <v>111530</v>
      </c>
      <c r="E57" s="8">
        <f t="shared" si="7"/>
        <v>108106</v>
      </c>
      <c r="F57" s="8">
        <f t="shared" si="7"/>
        <v>105791</v>
      </c>
      <c r="G57" s="8">
        <f t="shared" si="7"/>
        <v>100509</v>
      </c>
      <c r="H57" s="8">
        <f t="shared" si="7"/>
        <v>71940</v>
      </c>
      <c r="I57" s="8">
        <f t="shared" si="7"/>
        <v>70625</v>
      </c>
      <c r="J57" s="8">
        <f t="shared" si="7"/>
        <v>59718</v>
      </c>
      <c r="K57" s="8">
        <f t="shared" si="7"/>
        <v>57761</v>
      </c>
    </row>
    <row r="58" spans="1:11" x14ac:dyDescent="0.2">
      <c r="B58" s="7"/>
      <c r="C58" s="7"/>
      <c r="D58" s="7"/>
      <c r="E58" s="7"/>
      <c r="F58" s="7"/>
      <c r="G58" s="7"/>
      <c r="H58" s="7"/>
      <c r="J58" s="7"/>
      <c r="K58" s="7"/>
    </row>
    <row r="59" spans="1:11" x14ac:dyDescent="0.2">
      <c r="A59" s="6" t="s">
        <v>48</v>
      </c>
      <c r="B59" s="7"/>
      <c r="C59" s="7"/>
      <c r="D59" s="7"/>
      <c r="E59" s="7"/>
      <c r="F59" s="7"/>
      <c r="G59" s="7"/>
      <c r="H59" s="7"/>
      <c r="J59" s="7"/>
      <c r="K59" s="7"/>
    </row>
    <row r="60" spans="1:11" x14ac:dyDescent="0.2">
      <c r="A60" s="2" t="s">
        <v>124</v>
      </c>
      <c r="B60" s="7">
        <v>118700</v>
      </c>
      <c r="C60" s="7">
        <v>105492</v>
      </c>
      <c r="D60" s="7">
        <v>75000</v>
      </c>
      <c r="E60" s="7">
        <v>47000</v>
      </c>
      <c r="F60" s="7">
        <v>36900</v>
      </c>
      <c r="G60" s="7">
        <v>27500</v>
      </c>
      <c r="H60" s="7">
        <v>28400</v>
      </c>
      <c r="I60" s="7">
        <v>31000</v>
      </c>
      <c r="J60" s="7">
        <v>30450</v>
      </c>
      <c r="K60" s="7">
        <v>30450</v>
      </c>
    </row>
    <row r="61" spans="1:11" x14ac:dyDescent="0.2">
      <c r="A61" s="2" t="s">
        <v>125</v>
      </c>
      <c r="B61" s="7">
        <v>55000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</row>
    <row r="62" spans="1:11" x14ac:dyDescent="0.2">
      <c r="A62" s="2" t="s">
        <v>126</v>
      </c>
      <c r="B62" s="7">
        <v>0</v>
      </c>
      <c r="C62" s="7">
        <v>0</v>
      </c>
      <c r="D62" s="7">
        <v>0</v>
      </c>
      <c r="E62" s="7">
        <v>146</v>
      </c>
      <c r="F62" s="7">
        <v>323</v>
      </c>
      <c r="G62" s="7">
        <v>598</v>
      </c>
      <c r="H62" s="7">
        <v>1235</v>
      </c>
      <c r="I62" s="7">
        <v>706</v>
      </c>
      <c r="J62" s="7">
        <v>0</v>
      </c>
      <c r="K62" s="7">
        <v>0</v>
      </c>
    </row>
    <row r="63" spans="1:11" x14ac:dyDescent="0.2">
      <c r="A63" s="2" t="s">
        <v>127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1500</v>
      </c>
      <c r="I63" s="7">
        <v>0</v>
      </c>
      <c r="J63" s="7">
        <v>0</v>
      </c>
      <c r="K63" s="7">
        <v>0</v>
      </c>
    </row>
    <row r="64" spans="1:11" x14ac:dyDescent="0.2">
      <c r="A64" s="10" t="s">
        <v>51</v>
      </c>
      <c r="B64" s="8">
        <f t="shared" ref="B64:K64" si="8">SUM(B60:B63)</f>
        <v>173700</v>
      </c>
      <c r="C64" s="8">
        <f t="shared" si="8"/>
        <v>105492</v>
      </c>
      <c r="D64" s="8">
        <f t="shared" si="8"/>
        <v>75000</v>
      </c>
      <c r="E64" s="8">
        <f t="shared" si="8"/>
        <v>47146</v>
      </c>
      <c r="F64" s="8">
        <f t="shared" si="8"/>
        <v>37223</v>
      </c>
      <c r="G64" s="8">
        <f t="shared" si="8"/>
        <v>28098</v>
      </c>
      <c r="H64" s="8">
        <f t="shared" si="8"/>
        <v>31135</v>
      </c>
      <c r="I64" s="8">
        <f t="shared" si="8"/>
        <v>31706</v>
      </c>
      <c r="J64" s="8">
        <f t="shared" si="8"/>
        <v>30450</v>
      </c>
      <c r="K64" s="8">
        <f t="shared" si="8"/>
        <v>30450</v>
      </c>
    </row>
    <row r="65" spans="1:11" x14ac:dyDescent="0.2">
      <c r="B65" s="7"/>
      <c r="C65" s="7"/>
      <c r="D65" s="7"/>
      <c r="E65" s="7"/>
      <c r="F65" s="7"/>
      <c r="G65" s="7"/>
      <c r="H65" s="7"/>
      <c r="J65" s="7"/>
      <c r="K65" s="7"/>
    </row>
    <row r="66" spans="1:11" x14ac:dyDescent="0.2">
      <c r="A66" s="6" t="s">
        <v>52</v>
      </c>
      <c r="B66" s="7"/>
      <c r="C66" s="7"/>
      <c r="D66" s="7"/>
      <c r="E66" s="7"/>
      <c r="F66" s="7"/>
      <c r="G66" s="7"/>
      <c r="H66" s="7"/>
      <c r="J66" s="7"/>
      <c r="K66" s="7"/>
    </row>
    <row r="67" spans="1:11" x14ac:dyDescent="0.2">
      <c r="A67" s="2" t="s">
        <v>128</v>
      </c>
      <c r="B67" s="7">
        <v>4147</v>
      </c>
      <c r="C67" s="7">
        <v>1641</v>
      </c>
      <c r="D67" s="7">
        <v>252</v>
      </c>
      <c r="E67" s="7">
        <v>4300</v>
      </c>
      <c r="F67" s="7">
        <v>526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</row>
    <row r="68" spans="1:11" x14ac:dyDescent="0.2">
      <c r="A68" s="2" t="s">
        <v>129</v>
      </c>
      <c r="B68" s="7">
        <v>2552</v>
      </c>
      <c r="C68" s="7">
        <v>5920</v>
      </c>
      <c r="D68" s="7">
        <v>1873</v>
      </c>
      <c r="E68" s="7">
        <v>1341</v>
      </c>
      <c r="F68" s="7">
        <v>1231</v>
      </c>
      <c r="G68" s="7">
        <v>651</v>
      </c>
      <c r="H68" s="7">
        <v>979</v>
      </c>
      <c r="I68" s="7">
        <v>1584</v>
      </c>
      <c r="J68" s="7">
        <v>705</v>
      </c>
      <c r="K68" s="7">
        <v>439</v>
      </c>
    </row>
    <row r="69" spans="1:11" x14ac:dyDescent="0.2">
      <c r="A69" s="2" t="s">
        <v>130</v>
      </c>
      <c r="B69" s="7">
        <v>3856</v>
      </c>
      <c r="C69" s="7">
        <v>333</v>
      </c>
      <c r="D69" s="7">
        <v>4620</v>
      </c>
      <c r="E69" s="7">
        <v>1885</v>
      </c>
      <c r="F69" s="7">
        <v>1568</v>
      </c>
      <c r="G69" s="7">
        <v>1728</v>
      </c>
      <c r="H69" s="7">
        <v>660</v>
      </c>
      <c r="I69" s="7">
        <v>524</v>
      </c>
      <c r="J69" s="7">
        <f>1350-202</f>
        <v>1148</v>
      </c>
      <c r="K69" s="7">
        <f>1534-276</f>
        <v>1258</v>
      </c>
    </row>
    <row r="70" spans="1:11" x14ac:dyDescent="0.2">
      <c r="A70" s="2" t="s">
        <v>131</v>
      </c>
      <c r="B70" s="7">
        <v>340</v>
      </c>
      <c r="C70" s="7">
        <v>824</v>
      </c>
      <c r="D70" s="7">
        <v>553</v>
      </c>
      <c r="E70" s="7">
        <v>404</v>
      </c>
      <c r="F70" s="7">
        <v>307</v>
      </c>
      <c r="G70" s="7">
        <v>0</v>
      </c>
      <c r="H70" s="7">
        <v>0</v>
      </c>
      <c r="I70" s="7">
        <v>0</v>
      </c>
      <c r="J70" s="7">
        <v>202</v>
      </c>
      <c r="K70" s="7">
        <v>276</v>
      </c>
    </row>
    <row r="71" spans="1:11" x14ac:dyDescent="0.2">
      <c r="A71" s="2" t="s">
        <v>126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618</v>
      </c>
      <c r="I71" s="7">
        <v>664</v>
      </c>
      <c r="J71" s="7">
        <v>0</v>
      </c>
      <c r="K71" s="7">
        <v>0</v>
      </c>
    </row>
    <row r="72" spans="1:11" x14ac:dyDescent="0.2">
      <c r="A72" s="2" t="s">
        <v>57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93</v>
      </c>
      <c r="I72" s="7">
        <v>188</v>
      </c>
      <c r="J72" s="7">
        <v>897</v>
      </c>
      <c r="K72" s="7">
        <v>349</v>
      </c>
    </row>
    <row r="73" spans="1:11" x14ac:dyDescent="0.2">
      <c r="A73" s="2" t="s">
        <v>127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1500</v>
      </c>
      <c r="H73" s="7">
        <v>6634</v>
      </c>
      <c r="I73" s="7">
        <v>0</v>
      </c>
      <c r="J73" s="7">
        <v>0</v>
      </c>
      <c r="K73" s="7">
        <v>0</v>
      </c>
    </row>
    <row r="74" spans="1:11" x14ac:dyDescent="0.2">
      <c r="A74" s="2" t="s">
        <v>59</v>
      </c>
      <c r="B74" s="7">
        <v>0</v>
      </c>
      <c r="C74" s="7">
        <v>0</v>
      </c>
      <c r="D74" s="7">
        <v>135</v>
      </c>
      <c r="E74" s="7">
        <v>40</v>
      </c>
      <c r="F74" s="7">
        <v>0</v>
      </c>
      <c r="G74" s="7">
        <v>0</v>
      </c>
      <c r="H74" s="7">
        <v>0</v>
      </c>
      <c r="I74" s="7">
        <v>319</v>
      </c>
      <c r="J74" s="7">
        <v>0</v>
      </c>
      <c r="K74" s="7">
        <v>201</v>
      </c>
    </row>
    <row r="75" spans="1:11" x14ac:dyDescent="0.2">
      <c r="A75" s="2" t="s">
        <v>58</v>
      </c>
      <c r="B75" s="7">
        <v>0</v>
      </c>
      <c r="C75" s="7">
        <v>0</v>
      </c>
      <c r="D75" s="7">
        <v>0</v>
      </c>
      <c r="E75" s="7">
        <v>768</v>
      </c>
      <c r="F75" s="7">
        <v>893</v>
      </c>
      <c r="G75" s="7">
        <v>838</v>
      </c>
      <c r="H75" s="7">
        <v>976</v>
      </c>
      <c r="I75" s="7">
        <v>0</v>
      </c>
      <c r="J75" s="7">
        <v>1305</v>
      </c>
      <c r="K75" s="7">
        <v>0</v>
      </c>
    </row>
    <row r="76" spans="1:11" x14ac:dyDescent="0.2">
      <c r="A76" s="10" t="s">
        <v>62</v>
      </c>
      <c r="B76" s="8">
        <f>SUM(B67:B75)</f>
        <v>10895</v>
      </c>
      <c r="C76" s="8">
        <f>SUM(C67:C75)</f>
        <v>8718</v>
      </c>
      <c r="D76" s="8">
        <f>SUM(D67:D75)</f>
        <v>7433</v>
      </c>
      <c r="E76" s="8">
        <f>SUM(E67:E75)</f>
        <v>8738</v>
      </c>
      <c r="F76" s="8">
        <f>SUM(F67:F75)</f>
        <v>4525</v>
      </c>
      <c r="G76" s="8">
        <f>SUM(G68:G75)</f>
        <v>4717</v>
      </c>
      <c r="H76" s="8">
        <f>SUM(H68:H75)</f>
        <v>9960</v>
      </c>
      <c r="I76" s="8">
        <f>SUM(I68:I75)</f>
        <v>3279</v>
      </c>
      <c r="J76" s="8">
        <f>SUM(J68:J75)</f>
        <v>4257</v>
      </c>
      <c r="K76" s="8">
        <f>SUM(K68:K75)</f>
        <v>2523</v>
      </c>
    </row>
    <row r="77" spans="1:11" x14ac:dyDescent="0.2">
      <c r="B77" s="7"/>
      <c r="C77" s="7"/>
      <c r="D77" s="7"/>
      <c r="E77" s="7"/>
      <c r="F77" s="7"/>
      <c r="G77" s="7"/>
      <c r="H77" s="7"/>
      <c r="J77" s="7"/>
      <c r="K77" s="7"/>
    </row>
    <row r="78" spans="1:11" ht="12" thickBot="1" x14ac:dyDescent="0.25">
      <c r="A78" s="23" t="s">
        <v>63</v>
      </c>
      <c r="B78" s="21">
        <f>+B76+B64+B57</f>
        <v>249741</v>
      </c>
      <c r="C78" s="21">
        <f>+C76+C64+C57</f>
        <v>229927</v>
      </c>
      <c r="D78" s="21">
        <f t="shared" ref="D78:K78" si="9">+D76+D64+D57</f>
        <v>193963</v>
      </c>
      <c r="E78" s="21">
        <f t="shared" si="9"/>
        <v>163990</v>
      </c>
      <c r="F78" s="21">
        <f t="shared" si="9"/>
        <v>147539</v>
      </c>
      <c r="G78" s="21">
        <f t="shared" si="9"/>
        <v>133324</v>
      </c>
      <c r="H78" s="21">
        <f t="shared" si="9"/>
        <v>113035</v>
      </c>
      <c r="I78" s="21">
        <f t="shared" si="9"/>
        <v>105610</v>
      </c>
      <c r="J78" s="21">
        <f t="shared" si="9"/>
        <v>94425</v>
      </c>
      <c r="K78" s="21">
        <f t="shared" si="9"/>
        <v>90734</v>
      </c>
    </row>
    <row r="79" spans="1:11" ht="12" thickTop="1" x14ac:dyDescent="0.2">
      <c r="A79" s="23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 x14ac:dyDescent="0.2">
      <c r="A80" s="6" t="s">
        <v>132</v>
      </c>
      <c r="B80" s="7"/>
      <c r="C80" s="7"/>
      <c r="D80" s="7"/>
      <c r="E80" s="7"/>
      <c r="F80" s="7"/>
      <c r="G80" s="7"/>
      <c r="H80" s="7"/>
      <c r="J80" s="7"/>
      <c r="K80" s="7"/>
    </row>
    <row r="81" spans="1:11" x14ac:dyDescent="0.2">
      <c r="A81" s="2" t="s">
        <v>192</v>
      </c>
      <c r="B81" s="7">
        <v>48565</v>
      </c>
      <c r="C81" s="7">
        <v>48924</v>
      </c>
      <c r="D81" s="7">
        <v>47788</v>
      </c>
      <c r="E81" s="7">
        <v>47203</v>
      </c>
      <c r="F81" s="7">
        <v>47125</v>
      </c>
      <c r="G81" s="7">
        <v>49199</v>
      </c>
      <c r="H81" s="7">
        <v>39795</v>
      </c>
      <c r="I81" s="7">
        <v>34813</v>
      </c>
      <c r="J81" s="7">
        <v>47083</v>
      </c>
      <c r="K81" s="7">
        <v>44840</v>
      </c>
    </row>
    <row r="82" spans="1:11" x14ac:dyDescent="0.2">
      <c r="A82" s="2" t="s">
        <v>191</v>
      </c>
      <c r="B82" s="7">
        <v>64952</v>
      </c>
      <c r="C82" s="7">
        <v>70271</v>
      </c>
      <c r="D82" s="7">
        <v>70359</v>
      </c>
      <c r="E82" s="7">
        <v>67766</v>
      </c>
      <c r="F82" s="7">
        <v>65978</v>
      </c>
      <c r="G82" s="7">
        <v>50304</v>
      </c>
      <c r="H82" s="7">
        <v>40688</v>
      </c>
      <c r="I82" s="7">
        <v>36930</v>
      </c>
      <c r="J82" s="7">
        <v>14534</v>
      </c>
      <c r="K82" s="7">
        <v>15323</v>
      </c>
    </row>
    <row r="83" spans="1:11" x14ac:dyDescent="0.2">
      <c r="A83" s="2" t="s">
        <v>133</v>
      </c>
      <c r="B83" s="7">
        <v>116763</v>
      </c>
      <c r="C83" s="7">
        <v>25922</v>
      </c>
      <c r="D83" s="7">
        <v>26667</v>
      </c>
      <c r="E83" s="7">
        <v>17788</v>
      </c>
      <c r="F83" s="7">
        <v>17793</v>
      </c>
      <c r="G83" s="7">
        <v>22774</v>
      </c>
      <c r="H83" s="7">
        <v>18502</v>
      </c>
      <c r="I83" s="7">
        <v>17743</v>
      </c>
      <c r="J83" s="7">
        <v>19001</v>
      </c>
      <c r="K83" s="7">
        <v>21328</v>
      </c>
    </row>
    <row r="84" spans="1:11" x14ac:dyDescent="0.2">
      <c r="A84" s="2" t="s">
        <v>134</v>
      </c>
      <c r="B84" s="7">
        <v>10497</v>
      </c>
      <c r="C84" s="7">
        <v>5470</v>
      </c>
      <c r="D84" s="7">
        <v>5635</v>
      </c>
      <c r="E84" s="7">
        <v>5774</v>
      </c>
      <c r="F84" s="7">
        <v>5787</v>
      </c>
      <c r="G84" s="7">
        <v>6767</v>
      </c>
      <c r="H84" s="7">
        <v>6518</v>
      </c>
      <c r="I84" s="7">
        <v>5514</v>
      </c>
      <c r="J84" s="7">
        <f>281+3958</f>
        <v>4239</v>
      </c>
      <c r="K84" s="7">
        <f>237+4175</f>
        <v>4412</v>
      </c>
    </row>
    <row r="85" spans="1:11" x14ac:dyDescent="0.2">
      <c r="A85" s="2" t="s">
        <v>135</v>
      </c>
      <c r="B85" s="7">
        <v>1330</v>
      </c>
      <c r="C85" s="7">
        <v>74485</v>
      </c>
      <c r="D85" s="7">
        <v>38172</v>
      </c>
      <c r="E85" s="7">
        <v>21948</v>
      </c>
      <c r="F85" s="7">
        <v>7778</v>
      </c>
      <c r="G85" s="7">
        <v>1501</v>
      </c>
      <c r="H85" s="7">
        <v>0</v>
      </c>
      <c r="I85" s="7">
        <v>0</v>
      </c>
      <c r="J85" s="7">
        <v>0</v>
      </c>
      <c r="K85" s="7">
        <v>0</v>
      </c>
    </row>
    <row r="86" spans="1:11" x14ac:dyDescent="0.2">
      <c r="A86" s="2" t="s">
        <v>136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50</v>
      </c>
      <c r="H86" s="7">
        <v>32</v>
      </c>
      <c r="I86" s="7">
        <v>13</v>
      </c>
      <c r="J86" s="13">
        <v>-2106</v>
      </c>
      <c r="K86" s="7">
        <v>75</v>
      </c>
    </row>
    <row r="87" spans="1:11" x14ac:dyDescent="0.2">
      <c r="A87" s="10" t="s">
        <v>71</v>
      </c>
      <c r="B87" s="8">
        <f t="shared" ref="B87:K87" si="10">SUM(B81:B86)</f>
        <v>242107</v>
      </c>
      <c r="C87" s="8">
        <f t="shared" si="10"/>
        <v>225072</v>
      </c>
      <c r="D87" s="8">
        <f t="shared" si="10"/>
        <v>188621</v>
      </c>
      <c r="E87" s="8">
        <f t="shared" si="10"/>
        <v>160479</v>
      </c>
      <c r="F87" s="8">
        <f t="shared" si="10"/>
        <v>144461</v>
      </c>
      <c r="G87" s="8">
        <f t="shared" si="10"/>
        <v>130595</v>
      </c>
      <c r="H87" s="8">
        <f t="shared" si="10"/>
        <v>105535</v>
      </c>
      <c r="I87" s="8">
        <f t="shared" si="10"/>
        <v>95013</v>
      </c>
      <c r="J87" s="8">
        <f t="shared" si="10"/>
        <v>82751</v>
      </c>
      <c r="K87" s="8">
        <f t="shared" si="10"/>
        <v>85978</v>
      </c>
    </row>
    <row r="88" spans="1:11" x14ac:dyDescent="0.2">
      <c r="B88" s="7"/>
      <c r="C88" s="7"/>
      <c r="D88" s="7"/>
      <c r="E88" s="7"/>
      <c r="F88" s="7"/>
      <c r="G88" s="7"/>
      <c r="H88" s="7"/>
      <c r="J88" s="7"/>
      <c r="K88" s="7"/>
    </row>
    <row r="89" spans="1:11" x14ac:dyDescent="0.2">
      <c r="A89" s="6" t="s">
        <v>72</v>
      </c>
      <c r="B89" s="7"/>
      <c r="C89" s="7"/>
      <c r="D89" s="7"/>
      <c r="E89" s="7"/>
      <c r="F89" s="7"/>
      <c r="G89" s="7"/>
      <c r="H89" s="7"/>
      <c r="J89" s="7"/>
      <c r="K89" s="7"/>
    </row>
    <row r="90" spans="1:11" x14ac:dyDescent="0.2">
      <c r="A90" s="2" t="s">
        <v>137</v>
      </c>
      <c r="B90" s="7">
        <v>1</v>
      </c>
      <c r="C90" s="7">
        <v>2</v>
      </c>
      <c r="D90" s="7">
        <v>400</v>
      </c>
      <c r="E90" s="7">
        <v>333</v>
      </c>
      <c r="F90" s="7">
        <v>2</v>
      </c>
      <c r="G90" s="7">
        <v>221</v>
      </c>
      <c r="H90" s="7">
        <v>410</v>
      </c>
      <c r="I90" s="7">
        <v>206</v>
      </c>
      <c r="J90" s="7">
        <v>54</v>
      </c>
      <c r="K90" s="7">
        <v>3</v>
      </c>
    </row>
    <row r="91" spans="1:11" x14ac:dyDescent="0.2">
      <c r="A91" s="2" t="s">
        <v>138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887</v>
      </c>
      <c r="I91" s="7">
        <v>0</v>
      </c>
      <c r="J91" s="7">
        <f>2753+497</f>
        <v>3250</v>
      </c>
      <c r="K91" s="7">
        <f>551+997</f>
        <v>1548</v>
      </c>
    </row>
    <row r="92" spans="1:11" x14ac:dyDescent="0.2">
      <c r="A92" s="2" t="s">
        <v>77</v>
      </c>
      <c r="B92" s="7">
        <v>1624</v>
      </c>
      <c r="C92" s="7">
        <v>505</v>
      </c>
      <c r="D92" s="7">
        <v>1214</v>
      </c>
      <c r="E92" s="7">
        <v>631</v>
      </c>
      <c r="F92" s="7">
        <v>221</v>
      </c>
      <c r="G92" s="7">
        <v>252</v>
      </c>
      <c r="H92" s="7">
        <v>935</v>
      </c>
      <c r="I92" s="7">
        <v>981</v>
      </c>
      <c r="J92" s="7">
        <v>163</v>
      </c>
      <c r="K92" s="7">
        <v>123</v>
      </c>
    </row>
    <row r="93" spans="1:11" x14ac:dyDescent="0.2">
      <c r="A93" s="2" t="s">
        <v>139</v>
      </c>
      <c r="B93" s="7">
        <v>3785</v>
      </c>
      <c r="C93" s="7">
        <v>2511</v>
      </c>
      <c r="D93" s="7">
        <v>2734</v>
      </c>
      <c r="E93" s="7">
        <v>2248</v>
      </c>
      <c r="F93" s="7">
        <v>2168</v>
      </c>
      <c r="G93" s="7">
        <v>1882</v>
      </c>
      <c r="H93" s="7">
        <v>1702</v>
      </c>
      <c r="I93" s="7">
        <v>9392</v>
      </c>
      <c r="J93" s="7">
        <v>8207</v>
      </c>
      <c r="K93" s="7">
        <v>2837</v>
      </c>
    </row>
    <row r="94" spans="1:11" x14ac:dyDescent="0.2">
      <c r="A94" s="2" t="s">
        <v>140</v>
      </c>
      <c r="B94" s="7">
        <v>68</v>
      </c>
      <c r="C94" s="7">
        <v>1157</v>
      </c>
      <c r="D94" s="7">
        <v>994</v>
      </c>
      <c r="E94" s="7">
        <v>299</v>
      </c>
      <c r="F94" s="7">
        <v>297</v>
      </c>
      <c r="G94" s="7">
        <v>226</v>
      </c>
      <c r="H94" s="7">
        <v>3497</v>
      </c>
      <c r="I94" s="7">
        <v>18</v>
      </c>
      <c r="J94" s="7">
        <v>0</v>
      </c>
      <c r="K94" s="7">
        <v>245</v>
      </c>
    </row>
    <row r="95" spans="1:11" x14ac:dyDescent="0.2">
      <c r="A95" s="2" t="s">
        <v>79</v>
      </c>
      <c r="B95" s="7">
        <v>2156</v>
      </c>
      <c r="C95" s="7">
        <v>680</v>
      </c>
      <c r="D95" s="7">
        <v>0</v>
      </c>
      <c r="E95" s="7">
        <v>0</v>
      </c>
      <c r="F95" s="7">
        <v>390</v>
      </c>
      <c r="G95" s="7">
        <v>148</v>
      </c>
      <c r="H95" s="7">
        <v>69</v>
      </c>
      <c r="I95" s="7">
        <v>0</v>
      </c>
      <c r="J95" s="7">
        <v>0</v>
      </c>
      <c r="K95" s="7">
        <v>0</v>
      </c>
    </row>
    <row r="96" spans="1:11" x14ac:dyDescent="0.2">
      <c r="A96" s="10" t="s">
        <v>80</v>
      </c>
      <c r="B96" s="8">
        <f t="shared" ref="B96:K96" si="11">SUM(B90:B95)</f>
        <v>7634</v>
      </c>
      <c r="C96" s="8">
        <f t="shared" si="11"/>
        <v>4855</v>
      </c>
      <c r="D96" s="8">
        <f t="shared" si="11"/>
        <v>5342</v>
      </c>
      <c r="E96" s="8">
        <f t="shared" si="11"/>
        <v>3511</v>
      </c>
      <c r="F96" s="8">
        <f t="shared" si="11"/>
        <v>3078</v>
      </c>
      <c r="G96" s="8">
        <f t="shared" si="11"/>
        <v>2729</v>
      </c>
      <c r="H96" s="8">
        <f t="shared" si="11"/>
        <v>7500</v>
      </c>
      <c r="I96" s="8">
        <f t="shared" si="11"/>
        <v>10597</v>
      </c>
      <c r="J96" s="8">
        <f t="shared" si="11"/>
        <v>11674</v>
      </c>
      <c r="K96" s="8">
        <f t="shared" si="11"/>
        <v>4756</v>
      </c>
    </row>
    <row r="97" spans="1:11" x14ac:dyDescent="0.2">
      <c r="B97" s="7"/>
      <c r="C97" s="7"/>
      <c r="D97" s="7"/>
      <c r="E97" s="7"/>
      <c r="F97" s="7"/>
      <c r="G97" s="7"/>
      <c r="H97" s="7"/>
      <c r="J97" s="7"/>
      <c r="K97" s="7"/>
    </row>
    <row r="98" spans="1:11" ht="12" thickBot="1" x14ac:dyDescent="0.25">
      <c r="A98" s="15" t="s">
        <v>82</v>
      </c>
      <c r="B98" s="21">
        <f>+B96+B87</f>
        <v>249741</v>
      </c>
      <c r="C98" s="21">
        <f>+C96+C87</f>
        <v>229927</v>
      </c>
      <c r="D98" s="21">
        <f t="shared" ref="D98:K98" si="12">+D96+D87</f>
        <v>193963</v>
      </c>
      <c r="E98" s="21">
        <f t="shared" si="12"/>
        <v>163990</v>
      </c>
      <c r="F98" s="21">
        <f t="shared" si="12"/>
        <v>147539</v>
      </c>
      <c r="G98" s="21">
        <f t="shared" si="12"/>
        <v>133324</v>
      </c>
      <c r="H98" s="21">
        <f t="shared" si="12"/>
        <v>113035</v>
      </c>
      <c r="I98" s="21">
        <f t="shared" si="12"/>
        <v>105610</v>
      </c>
      <c r="J98" s="21">
        <f t="shared" si="12"/>
        <v>94425</v>
      </c>
      <c r="K98" s="21">
        <f t="shared" si="12"/>
        <v>90734</v>
      </c>
    </row>
    <row r="99" spans="1:11" ht="13.5" thickTop="1" x14ac:dyDescent="0.2">
      <c r="A99" s="1" t="s">
        <v>83</v>
      </c>
      <c r="J99" s="7"/>
      <c r="K99" s="7"/>
    </row>
    <row r="100" spans="1:11" x14ac:dyDescent="0.2">
      <c r="A100" s="2" t="s">
        <v>110</v>
      </c>
      <c r="B100" s="4">
        <v>36586</v>
      </c>
      <c r="C100" s="4">
        <v>36220</v>
      </c>
      <c r="D100" s="4">
        <v>35947</v>
      </c>
      <c r="E100" s="4">
        <v>35582</v>
      </c>
      <c r="F100" s="4">
        <v>35217</v>
      </c>
      <c r="G100" s="4">
        <v>34851</v>
      </c>
      <c r="H100" s="4">
        <v>34486</v>
      </c>
      <c r="I100" s="4">
        <v>34121</v>
      </c>
      <c r="J100" s="4">
        <v>33756</v>
      </c>
      <c r="K100" s="4">
        <v>33390</v>
      </c>
    </row>
    <row r="101" spans="1:11" x14ac:dyDescent="0.2">
      <c r="B101" s="5" t="s">
        <v>3</v>
      </c>
      <c r="C101" s="5" t="s">
        <v>3</v>
      </c>
      <c r="D101" s="5" t="s">
        <v>3</v>
      </c>
      <c r="E101" s="5" t="s">
        <v>3</v>
      </c>
      <c r="F101" s="5" t="s">
        <v>3</v>
      </c>
      <c r="G101" s="5" t="s">
        <v>3</v>
      </c>
      <c r="H101" s="5" t="s">
        <v>3</v>
      </c>
      <c r="I101" s="5" t="s">
        <v>3</v>
      </c>
      <c r="J101" s="5" t="s">
        <v>3</v>
      </c>
      <c r="K101" s="5" t="s">
        <v>3</v>
      </c>
    </row>
    <row r="102" spans="1:11" x14ac:dyDescent="0.2">
      <c r="A102" s="6" t="s">
        <v>84</v>
      </c>
    </row>
    <row r="104" spans="1:11" x14ac:dyDescent="0.2">
      <c r="A104" s="25" t="s">
        <v>85</v>
      </c>
      <c r="B104" s="7"/>
      <c r="C104" s="7"/>
      <c r="D104" s="7"/>
      <c r="E104" s="7"/>
      <c r="F104" s="7"/>
      <c r="G104" s="7"/>
      <c r="H104" s="7"/>
      <c r="J104" s="7"/>
      <c r="K104" s="7"/>
    </row>
    <row r="105" spans="1:11" x14ac:dyDescent="0.2">
      <c r="A105" s="2" t="s">
        <v>86</v>
      </c>
      <c r="B105" s="7">
        <v>29165</v>
      </c>
      <c r="C105" s="7">
        <v>21907</v>
      </c>
      <c r="D105" s="7">
        <v>26757</v>
      </c>
      <c r="E105" s="7">
        <v>25459</v>
      </c>
      <c r="F105" s="7">
        <v>24435</v>
      </c>
      <c r="G105" s="7">
        <v>25756</v>
      </c>
      <c r="H105" s="7">
        <v>26122</v>
      </c>
      <c r="I105" s="7">
        <v>19938</v>
      </c>
      <c r="J105" s="7">
        <v>17750</v>
      </c>
      <c r="K105" s="7">
        <v>10329</v>
      </c>
    </row>
    <row r="106" spans="1:11" x14ac:dyDescent="0.2">
      <c r="A106" s="2" t="s">
        <v>87</v>
      </c>
      <c r="B106" s="7">
        <v>24</v>
      </c>
      <c r="C106" s="7">
        <v>39</v>
      </c>
      <c r="D106" s="7">
        <v>41</v>
      </c>
      <c r="E106" s="7">
        <v>41</v>
      </c>
      <c r="F106" s="7">
        <v>9</v>
      </c>
      <c r="G106" s="7">
        <v>48</v>
      </c>
      <c r="H106" s="7">
        <v>764</v>
      </c>
      <c r="I106" s="7">
        <v>167</v>
      </c>
      <c r="J106" s="7">
        <v>216</v>
      </c>
      <c r="K106" s="7">
        <v>81</v>
      </c>
    </row>
    <row r="107" spans="1:11" x14ac:dyDescent="0.2">
      <c r="B107" s="8">
        <f t="shared" ref="B107:K107" si="13">SUM(B105:B106)</f>
        <v>29189</v>
      </c>
      <c r="C107" s="8">
        <f t="shared" si="13"/>
        <v>21946</v>
      </c>
      <c r="D107" s="8">
        <f t="shared" si="13"/>
        <v>26798</v>
      </c>
      <c r="E107" s="8">
        <f t="shared" si="13"/>
        <v>25500</v>
      </c>
      <c r="F107" s="8">
        <f t="shared" si="13"/>
        <v>24444</v>
      </c>
      <c r="G107" s="8">
        <f t="shared" si="13"/>
        <v>25804</v>
      </c>
      <c r="H107" s="8">
        <f t="shared" si="13"/>
        <v>26886</v>
      </c>
      <c r="I107" s="8">
        <f t="shared" si="13"/>
        <v>20105</v>
      </c>
      <c r="J107" s="8">
        <f t="shared" si="13"/>
        <v>17966</v>
      </c>
      <c r="K107" s="8">
        <f t="shared" si="13"/>
        <v>10410</v>
      </c>
    </row>
    <row r="108" spans="1:11" x14ac:dyDescent="0.2"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 x14ac:dyDescent="0.2">
      <c r="A109" s="25" t="s">
        <v>88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x14ac:dyDescent="0.2">
      <c r="A110" s="2" t="s">
        <v>89</v>
      </c>
      <c r="B110" s="7">
        <v>6727</v>
      </c>
      <c r="C110" s="7">
        <v>9864</v>
      </c>
      <c r="D110" s="7">
        <v>8458</v>
      </c>
      <c r="E110" s="7">
        <v>11564</v>
      </c>
      <c r="F110" s="7">
        <v>10625</v>
      </c>
      <c r="G110" s="7">
        <v>10631</v>
      </c>
      <c r="H110" s="7">
        <v>10938</v>
      </c>
      <c r="I110" s="7">
        <v>11300</v>
      </c>
      <c r="J110" s="7">
        <v>11691</v>
      </c>
      <c r="K110" s="7">
        <v>5604</v>
      </c>
    </row>
    <row r="111" spans="1:11" x14ac:dyDescent="0.2">
      <c r="A111" s="2" t="s">
        <v>90</v>
      </c>
      <c r="B111" s="7">
        <v>7567</v>
      </c>
      <c r="C111" s="7">
        <v>4114</v>
      </c>
      <c r="D111" s="7">
        <v>4618</v>
      </c>
      <c r="E111" s="7">
        <v>3304</v>
      </c>
      <c r="F111" s="7">
        <v>1817</v>
      </c>
      <c r="G111" s="7">
        <v>1914</v>
      </c>
      <c r="H111" s="7">
        <v>1715</v>
      </c>
      <c r="I111" s="7">
        <v>3449</v>
      </c>
      <c r="J111" s="7">
        <v>3040</v>
      </c>
      <c r="K111" s="7">
        <v>2165</v>
      </c>
    </row>
    <row r="112" spans="1:11" x14ac:dyDescent="0.2">
      <c r="A112" s="2" t="s">
        <v>91</v>
      </c>
      <c r="B112" s="7">
        <f>1358+25</f>
        <v>1383</v>
      </c>
      <c r="C112" s="7">
        <f>786-332</f>
        <v>454</v>
      </c>
      <c r="D112" s="7">
        <f>2240+398</f>
        <v>2638</v>
      </c>
      <c r="E112" s="7">
        <f>1816+2</f>
        <v>1818</v>
      </c>
      <c r="F112" s="7">
        <f>223+2922</f>
        <v>3145</v>
      </c>
      <c r="G112" s="7">
        <v>3226</v>
      </c>
      <c r="H112" s="7">
        <v>3414</v>
      </c>
      <c r="I112" s="7">
        <v>4260</v>
      </c>
      <c r="J112" s="7">
        <v>562</v>
      </c>
      <c r="K112" s="7">
        <v>849</v>
      </c>
    </row>
    <row r="113" spans="1:11" x14ac:dyDescent="0.2">
      <c r="B113" s="8">
        <f t="shared" ref="B113:K113" si="14">SUM(B110:B112)</f>
        <v>15677</v>
      </c>
      <c r="C113" s="8">
        <f t="shared" si="14"/>
        <v>14432</v>
      </c>
      <c r="D113" s="8">
        <f t="shared" si="14"/>
        <v>15714</v>
      </c>
      <c r="E113" s="8">
        <f t="shared" si="14"/>
        <v>16686</v>
      </c>
      <c r="F113" s="8">
        <f t="shared" si="14"/>
        <v>15587</v>
      </c>
      <c r="G113" s="8">
        <f t="shared" si="14"/>
        <v>15771</v>
      </c>
      <c r="H113" s="8">
        <f t="shared" si="14"/>
        <v>16067</v>
      </c>
      <c r="I113" s="8">
        <f t="shared" si="14"/>
        <v>19009</v>
      </c>
      <c r="J113" s="8">
        <f t="shared" si="14"/>
        <v>15293</v>
      </c>
      <c r="K113" s="8">
        <f t="shared" si="14"/>
        <v>8618</v>
      </c>
    </row>
    <row r="114" spans="1:11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 ht="12" thickBot="1" x14ac:dyDescent="0.25">
      <c r="A115" s="15" t="s">
        <v>92</v>
      </c>
      <c r="B115" s="11">
        <f>+B107-B113</f>
        <v>13512</v>
      </c>
      <c r="C115" s="11">
        <f>+C107-C113</f>
        <v>7514</v>
      </c>
      <c r="D115" s="11">
        <f t="shared" ref="D115:K115" si="15">+D107-D113</f>
        <v>11084</v>
      </c>
      <c r="E115" s="11">
        <f t="shared" si="15"/>
        <v>8814</v>
      </c>
      <c r="F115" s="11">
        <f t="shared" si="15"/>
        <v>8857</v>
      </c>
      <c r="G115" s="11">
        <f t="shared" si="15"/>
        <v>10033</v>
      </c>
      <c r="H115" s="11">
        <f t="shared" si="15"/>
        <v>10819</v>
      </c>
      <c r="I115" s="11">
        <f t="shared" si="15"/>
        <v>1096</v>
      </c>
      <c r="J115" s="11">
        <f t="shared" si="15"/>
        <v>2673</v>
      </c>
      <c r="K115" s="11">
        <f t="shared" si="15"/>
        <v>1792</v>
      </c>
    </row>
    <row r="116" spans="1:11" ht="12" thickTop="1" x14ac:dyDescent="0.2">
      <c r="I116" s="7"/>
      <c r="J116" s="7"/>
      <c r="K116" s="7"/>
    </row>
    <row r="117" spans="1:11" x14ac:dyDescent="0.2">
      <c r="A117" s="6" t="s">
        <v>93</v>
      </c>
      <c r="I117" s="7"/>
      <c r="J117" s="7"/>
      <c r="K117" s="7"/>
    </row>
    <row r="118" spans="1:11" x14ac:dyDescent="0.2">
      <c r="I118" s="7"/>
      <c r="J118" s="7"/>
      <c r="K118" s="7"/>
    </row>
    <row r="119" spans="1:11" x14ac:dyDescent="0.2">
      <c r="A119" s="25" t="s">
        <v>85</v>
      </c>
      <c r="I119" s="7"/>
      <c r="J119" s="7"/>
      <c r="K119" s="7"/>
    </row>
    <row r="120" spans="1:11" x14ac:dyDescent="0.2">
      <c r="A120" s="2" t="s">
        <v>94</v>
      </c>
      <c r="B120" s="7">
        <v>18</v>
      </c>
      <c r="C120" s="7">
        <v>22</v>
      </c>
      <c r="D120" s="7">
        <v>383</v>
      </c>
      <c r="E120" s="7">
        <v>218</v>
      </c>
      <c r="F120" s="7">
        <v>20</v>
      </c>
      <c r="G120" s="7">
        <v>2083</v>
      </c>
      <c r="H120" s="7">
        <v>1359</v>
      </c>
      <c r="I120" s="7">
        <v>0</v>
      </c>
      <c r="J120" s="7">
        <v>0</v>
      </c>
      <c r="K120" s="7">
        <v>0</v>
      </c>
    </row>
    <row r="121" spans="1:11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x14ac:dyDescent="0.2">
      <c r="A122" s="25" t="s">
        <v>88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1:11" x14ac:dyDescent="0.2">
      <c r="A123" s="2" t="s">
        <v>141</v>
      </c>
      <c r="B123" s="7">
        <v>28478</v>
      </c>
      <c r="C123" s="7">
        <v>36036</v>
      </c>
      <c r="D123" s="7">
        <v>32288</v>
      </c>
      <c r="E123" s="7">
        <v>19716</v>
      </c>
      <c r="F123" s="7">
        <v>16585</v>
      </c>
      <c r="G123" s="7">
        <v>10390</v>
      </c>
      <c r="H123" s="7">
        <v>6620</v>
      </c>
      <c r="I123" s="7">
        <v>3439</v>
      </c>
      <c r="J123" s="7">
        <v>917</v>
      </c>
      <c r="K123" s="7">
        <v>87241</v>
      </c>
    </row>
    <row r="124" spans="1:11" x14ac:dyDescent="0.2">
      <c r="A124" s="2" t="s">
        <v>142</v>
      </c>
      <c r="B124" s="7">
        <v>767</v>
      </c>
      <c r="C124" s="7">
        <v>3779</v>
      </c>
      <c r="D124" s="7">
        <v>1335</v>
      </c>
      <c r="E124" s="7">
        <v>1191</v>
      </c>
      <c r="F124" s="7">
        <v>665</v>
      </c>
      <c r="G124" s="7">
        <v>0</v>
      </c>
      <c r="H124" s="7">
        <v>0</v>
      </c>
      <c r="I124" s="7">
        <v>0</v>
      </c>
      <c r="J124" s="7">
        <v>1705</v>
      </c>
      <c r="K124" s="7">
        <f>551+997</f>
        <v>1548</v>
      </c>
    </row>
    <row r="125" spans="1:11" x14ac:dyDescent="0.2">
      <c r="B125" s="8">
        <f t="shared" ref="B125:K125" si="16">SUM(B123:B124)</f>
        <v>29245</v>
      </c>
      <c r="C125" s="8">
        <f t="shared" si="16"/>
        <v>39815</v>
      </c>
      <c r="D125" s="8">
        <f t="shared" si="16"/>
        <v>33623</v>
      </c>
      <c r="E125" s="8">
        <f t="shared" si="16"/>
        <v>20907</v>
      </c>
      <c r="F125" s="8">
        <f t="shared" si="16"/>
        <v>17250</v>
      </c>
      <c r="G125" s="8">
        <f t="shared" si="16"/>
        <v>10390</v>
      </c>
      <c r="H125" s="8">
        <f t="shared" si="16"/>
        <v>6620</v>
      </c>
      <c r="I125" s="8">
        <f t="shared" si="16"/>
        <v>3439</v>
      </c>
      <c r="J125" s="8">
        <f t="shared" si="16"/>
        <v>2622</v>
      </c>
      <c r="K125" s="8">
        <f t="shared" si="16"/>
        <v>88789</v>
      </c>
    </row>
    <row r="126" spans="1:11" x14ac:dyDescent="0.2"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1:11" ht="12" thickBot="1" x14ac:dyDescent="0.25">
      <c r="A127" s="15" t="s">
        <v>98</v>
      </c>
      <c r="B127" s="26">
        <f>+B120-B125</f>
        <v>-29227</v>
      </c>
      <c r="C127" s="26">
        <f t="shared" ref="C127:K127" si="17">+C120-C125</f>
        <v>-39793</v>
      </c>
      <c r="D127" s="26">
        <f t="shared" si="17"/>
        <v>-33240</v>
      </c>
      <c r="E127" s="26">
        <f t="shared" si="17"/>
        <v>-20689</v>
      </c>
      <c r="F127" s="26">
        <f t="shared" si="17"/>
        <v>-17230</v>
      </c>
      <c r="G127" s="26">
        <f t="shared" si="17"/>
        <v>-8307</v>
      </c>
      <c r="H127" s="26">
        <f t="shared" si="17"/>
        <v>-5261</v>
      </c>
      <c r="I127" s="26">
        <f t="shared" si="17"/>
        <v>-3439</v>
      </c>
      <c r="J127" s="26">
        <f t="shared" si="17"/>
        <v>-2622</v>
      </c>
      <c r="K127" s="26">
        <f t="shared" si="17"/>
        <v>-88789</v>
      </c>
    </row>
    <row r="128" spans="1:11" ht="12" thickTop="1" x14ac:dyDescent="0.2"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1:11" x14ac:dyDescent="0.2">
      <c r="A129" s="6" t="s">
        <v>99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1:11" x14ac:dyDescent="0.2"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1:11" x14ac:dyDescent="0.2">
      <c r="A131" s="25" t="s">
        <v>85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1:11" x14ac:dyDescent="0.2">
      <c r="A132" s="2" t="s">
        <v>143</v>
      </c>
      <c r="B132" s="7">
        <v>68208</v>
      </c>
      <c r="C132" s="7">
        <v>30492</v>
      </c>
      <c r="D132" s="7">
        <v>28000</v>
      </c>
      <c r="E132" s="7">
        <v>10100</v>
      </c>
      <c r="F132" s="7">
        <v>9400</v>
      </c>
      <c r="G132" s="7">
        <v>0</v>
      </c>
      <c r="H132" s="7">
        <v>0</v>
      </c>
      <c r="I132" s="7">
        <v>34250</v>
      </c>
      <c r="J132" s="7">
        <v>0</v>
      </c>
      <c r="K132" s="7">
        <f>30450+56550</f>
        <v>87000</v>
      </c>
    </row>
    <row r="133" spans="1:11" x14ac:dyDescent="0.2"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 x14ac:dyDescent="0.2">
      <c r="A134" s="25" t="s">
        <v>88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 x14ac:dyDescent="0.2">
      <c r="A135" s="2" t="s">
        <v>144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900</v>
      </c>
      <c r="H135" s="7">
        <v>2600</v>
      </c>
      <c r="I135" s="7">
        <v>0</v>
      </c>
      <c r="J135" s="7">
        <v>0</v>
      </c>
      <c r="K135" s="7">
        <v>0</v>
      </c>
    </row>
    <row r="136" spans="1:11" x14ac:dyDescent="0.2">
      <c r="A136" s="2" t="s">
        <v>145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30450</v>
      </c>
      <c r="J136" s="7">
        <v>0</v>
      </c>
      <c r="K136" s="7">
        <v>0</v>
      </c>
    </row>
    <row r="137" spans="1:11" x14ac:dyDescent="0.2">
      <c r="A137" s="2" t="s">
        <v>120</v>
      </c>
      <c r="B137" s="7">
        <v>47500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</row>
    <row r="138" spans="1:11" x14ac:dyDescent="0.2">
      <c r="A138" s="2" t="s">
        <v>103</v>
      </c>
      <c r="B138" s="7">
        <v>7500</v>
      </c>
      <c r="C138" s="7">
        <v>0</v>
      </c>
      <c r="D138" s="7">
        <v>1729</v>
      </c>
      <c r="E138" s="7">
        <v>1668</v>
      </c>
      <c r="F138" s="7">
        <v>1772</v>
      </c>
      <c r="G138" s="7">
        <v>1902</v>
      </c>
      <c r="H138" s="7">
        <v>1867</v>
      </c>
      <c r="I138" s="7">
        <v>1305</v>
      </c>
      <c r="J138" s="7">
        <v>0</v>
      </c>
      <c r="K138" s="7">
        <v>0</v>
      </c>
    </row>
    <row r="139" spans="1:11" x14ac:dyDescent="0.2">
      <c r="B139" s="8">
        <f t="shared" ref="B139:K139" si="18">SUM(B135:B138)</f>
        <v>55000</v>
      </c>
      <c r="C139" s="8">
        <v>0</v>
      </c>
      <c r="D139" s="8">
        <f t="shared" si="18"/>
        <v>1729</v>
      </c>
      <c r="E139" s="8">
        <f t="shared" si="18"/>
        <v>1668</v>
      </c>
      <c r="F139" s="8">
        <f t="shared" si="18"/>
        <v>1772</v>
      </c>
      <c r="G139" s="8">
        <f t="shared" si="18"/>
        <v>2802</v>
      </c>
      <c r="H139" s="8">
        <f t="shared" si="18"/>
        <v>4467</v>
      </c>
      <c r="I139" s="8">
        <f t="shared" si="18"/>
        <v>31755</v>
      </c>
      <c r="J139" s="8">
        <f t="shared" si="18"/>
        <v>0</v>
      </c>
      <c r="K139" s="8">
        <f t="shared" si="18"/>
        <v>0</v>
      </c>
    </row>
    <row r="140" spans="1:11" x14ac:dyDescent="0.2"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 ht="12" thickBot="1" x14ac:dyDescent="0.25">
      <c r="A141" s="15" t="s">
        <v>104</v>
      </c>
      <c r="B141" s="11">
        <f>+B132-B139</f>
        <v>13208</v>
      </c>
      <c r="C141" s="11">
        <f t="shared" ref="C141:K141" si="19">+C132-C139</f>
        <v>30492</v>
      </c>
      <c r="D141" s="11">
        <f t="shared" si="19"/>
        <v>26271</v>
      </c>
      <c r="E141" s="11">
        <f t="shared" si="19"/>
        <v>8432</v>
      </c>
      <c r="F141" s="11">
        <f t="shared" si="19"/>
        <v>7628</v>
      </c>
      <c r="G141" s="26">
        <f t="shared" si="19"/>
        <v>-2802</v>
      </c>
      <c r="H141" s="26">
        <f t="shared" si="19"/>
        <v>-4467</v>
      </c>
      <c r="I141" s="11">
        <f t="shared" si="19"/>
        <v>2495</v>
      </c>
      <c r="J141" s="11">
        <f t="shared" si="19"/>
        <v>0</v>
      </c>
      <c r="K141" s="11">
        <f t="shared" si="19"/>
        <v>87000</v>
      </c>
    </row>
    <row r="142" spans="1:11" ht="12" thickTop="1" x14ac:dyDescent="0.2">
      <c r="I142" s="7"/>
      <c r="J142" s="7"/>
      <c r="K142" s="7"/>
    </row>
    <row r="143" spans="1:11" s="15" customFormat="1" x14ac:dyDescent="0.2">
      <c r="A143" s="15" t="s">
        <v>105</v>
      </c>
      <c r="B143" s="27">
        <f>+B141+B127+B115</f>
        <v>-2507</v>
      </c>
      <c r="C143" s="27">
        <f t="shared" ref="C143:K143" si="20">+C141+C127+C115</f>
        <v>-1787</v>
      </c>
      <c r="D143" s="28">
        <f t="shared" si="20"/>
        <v>4115</v>
      </c>
      <c r="E143" s="27">
        <f t="shared" si="20"/>
        <v>-3443</v>
      </c>
      <c r="F143" s="27">
        <f t="shared" si="20"/>
        <v>-745</v>
      </c>
      <c r="G143" s="27">
        <f t="shared" si="20"/>
        <v>-1076</v>
      </c>
      <c r="H143" s="28">
        <f t="shared" si="20"/>
        <v>1091</v>
      </c>
      <c r="I143" s="28">
        <f t="shared" si="20"/>
        <v>152</v>
      </c>
      <c r="J143" s="28">
        <f t="shared" si="20"/>
        <v>51</v>
      </c>
      <c r="K143" s="28">
        <f t="shared" si="20"/>
        <v>3</v>
      </c>
    </row>
    <row r="144" spans="1:11" x14ac:dyDescent="0.2">
      <c r="A144" s="2" t="s">
        <v>106</v>
      </c>
      <c r="B144" s="13">
        <f>+C145</f>
        <v>-1639</v>
      </c>
      <c r="C144" s="7">
        <v>148</v>
      </c>
      <c r="D144" s="13">
        <v>-3967</v>
      </c>
      <c r="E144" s="13">
        <v>-524</v>
      </c>
      <c r="F144" s="7">
        <v>221</v>
      </c>
      <c r="G144" s="7">
        <v>1297</v>
      </c>
      <c r="H144" s="7">
        <v>206</v>
      </c>
      <c r="I144" s="7">
        <v>54</v>
      </c>
      <c r="J144" s="7">
        <v>3</v>
      </c>
      <c r="K144" s="7">
        <v>0</v>
      </c>
    </row>
    <row r="145" spans="1:11" s="15" customFormat="1" ht="12" thickBot="1" x14ac:dyDescent="0.25">
      <c r="A145" s="15" t="s">
        <v>107</v>
      </c>
      <c r="B145" s="29">
        <f t="shared" ref="B145:K145" si="21">SUM(B143:B144)</f>
        <v>-4146</v>
      </c>
      <c r="C145" s="29">
        <f t="shared" si="21"/>
        <v>-1639</v>
      </c>
      <c r="D145" s="21">
        <f t="shared" si="21"/>
        <v>148</v>
      </c>
      <c r="E145" s="29">
        <f t="shared" si="21"/>
        <v>-3967</v>
      </c>
      <c r="F145" s="29">
        <f t="shared" si="21"/>
        <v>-524</v>
      </c>
      <c r="G145" s="21">
        <f t="shared" si="21"/>
        <v>221</v>
      </c>
      <c r="H145" s="21">
        <f t="shared" si="21"/>
        <v>1297</v>
      </c>
      <c r="I145" s="21">
        <f t="shared" si="21"/>
        <v>206</v>
      </c>
      <c r="J145" s="21">
        <f t="shared" si="21"/>
        <v>54</v>
      </c>
      <c r="K145" s="21">
        <f t="shared" si="21"/>
        <v>3</v>
      </c>
    </row>
    <row r="146" spans="1:11" ht="12" thickTop="1" x14ac:dyDescent="0.2">
      <c r="J146" s="7"/>
      <c r="K146" s="7"/>
    </row>
    <row r="147" spans="1:11" x14ac:dyDescent="0.2">
      <c r="J147" s="7"/>
      <c r="K147" s="7"/>
    </row>
  </sheetData>
  <pageMargins left="0.33" right="0.32" top="0.34" bottom="0.26" header="0.18" footer="0.26"/>
  <pageSetup paperSize="9" scale="96" orientation="landscape" r:id="rId1"/>
  <headerFooter alignWithMargins="0">
    <oddHeader>&amp;CWIAL FINANCIAL ACCOUNTS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tabSelected="1" zoomScale="130" zoomScaleNormal="130" workbookViewId="0">
      <selection activeCell="B13" sqref="B13"/>
    </sheetView>
  </sheetViews>
  <sheetFormatPr defaultRowHeight="11.25" x14ac:dyDescent="0.2"/>
  <cols>
    <col min="1" max="1" width="40" style="2" customWidth="1"/>
    <col min="2" max="16384" width="9.140625" style="2"/>
  </cols>
  <sheetData>
    <row r="1" spans="1:13" ht="12.75" x14ac:dyDescent="0.2">
      <c r="A1" s="1" t="s">
        <v>0</v>
      </c>
      <c r="K1" s="3" t="s">
        <v>1</v>
      </c>
      <c r="M1" s="3" t="s">
        <v>108</v>
      </c>
    </row>
    <row r="2" spans="1:13" x14ac:dyDescent="0.2">
      <c r="A2" s="2" t="s">
        <v>110</v>
      </c>
      <c r="B2" s="4">
        <v>36678</v>
      </c>
      <c r="C2" s="4">
        <v>36312</v>
      </c>
      <c r="D2" s="4">
        <v>35947</v>
      </c>
      <c r="E2" s="4">
        <v>35582</v>
      </c>
      <c r="F2" s="4">
        <v>35217</v>
      </c>
      <c r="G2" s="4">
        <v>34851</v>
      </c>
      <c r="H2" s="4">
        <v>34486</v>
      </c>
      <c r="I2" s="4">
        <v>34121</v>
      </c>
      <c r="J2" s="4">
        <v>33756</v>
      </c>
      <c r="K2" s="4">
        <v>33390</v>
      </c>
      <c r="L2" s="4">
        <v>32933</v>
      </c>
      <c r="M2" s="4">
        <v>32568</v>
      </c>
    </row>
    <row r="3" spans="1:13" x14ac:dyDescent="0.2">
      <c r="B3" s="5" t="s">
        <v>3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  <c r="L3" s="5" t="s">
        <v>3</v>
      </c>
      <c r="M3" s="5" t="s">
        <v>3</v>
      </c>
    </row>
    <row r="4" spans="1:13" x14ac:dyDescent="0.2">
      <c r="A4" s="6" t="s">
        <v>4</v>
      </c>
    </row>
    <row r="5" spans="1:13" x14ac:dyDescent="0.2">
      <c r="A5" s="2" t="s">
        <v>194</v>
      </c>
      <c r="B5" s="7">
        <v>10081</v>
      </c>
      <c r="C5" s="7">
        <v>11299</v>
      </c>
      <c r="D5" s="7">
        <v>11048</v>
      </c>
      <c r="E5" s="7">
        <v>11126</v>
      </c>
      <c r="F5" s="7">
        <v>11053</v>
      </c>
      <c r="G5" s="7">
        <v>10585</v>
      </c>
      <c r="H5" s="7">
        <v>9804</v>
      </c>
      <c r="I5" s="7">
        <v>9244</v>
      </c>
      <c r="J5" s="7">
        <v>8505</v>
      </c>
      <c r="K5" s="7">
        <v>10939</v>
      </c>
      <c r="L5" s="7">
        <v>8939</v>
      </c>
      <c r="M5" s="40">
        <v>9874</v>
      </c>
    </row>
    <row r="6" spans="1:13" x14ac:dyDescent="0.2">
      <c r="A6" s="2" t="s">
        <v>193</v>
      </c>
      <c r="B6" s="7">
        <v>9394</v>
      </c>
      <c r="C6" s="7">
        <v>8817</v>
      </c>
      <c r="D6" s="7">
        <v>8313</v>
      </c>
      <c r="E6" s="7">
        <v>8462</v>
      </c>
      <c r="F6" s="7">
        <v>8279</v>
      </c>
      <c r="G6" s="7">
        <v>7871</v>
      </c>
      <c r="H6" s="7">
        <v>7367</v>
      </c>
      <c r="I6" s="7">
        <v>6947</v>
      </c>
      <c r="J6" s="7">
        <v>6391</v>
      </c>
      <c r="K6" s="7">
        <v>8219</v>
      </c>
      <c r="L6" s="7">
        <v>6712</v>
      </c>
      <c r="M6" s="40"/>
    </row>
    <row r="7" spans="1:13" x14ac:dyDescent="0.2">
      <c r="A7" s="2" t="s">
        <v>146</v>
      </c>
      <c r="B7" s="39"/>
      <c r="C7" s="39"/>
      <c r="D7" s="7" t="e">
        <f>4279-#REF!</f>
        <v>#REF!</v>
      </c>
      <c r="E7" s="7" t="e">
        <f>3690-#REF!</f>
        <v>#REF!</v>
      </c>
      <c r="F7" s="7" t="e">
        <f>3701-#REF!</f>
        <v>#REF!</v>
      </c>
      <c r="G7" s="7" t="e">
        <f>3762-#REF!</f>
        <v>#REF!</v>
      </c>
      <c r="H7" s="7" t="e">
        <f>3502-#REF!</f>
        <v>#REF!</v>
      </c>
      <c r="I7" s="7" t="e">
        <f>2764-#REF!</f>
        <v>#REF!</v>
      </c>
      <c r="J7" s="7">
        <v>714</v>
      </c>
      <c r="K7" s="7">
        <v>985</v>
      </c>
      <c r="L7" s="7">
        <v>631</v>
      </c>
      <c r="M7" s="7">
        <v>890</v>
      </c>
    </row>
    <row r="8" spans="1:13" x14ac:dyDescent="0.2">
      <c r="A8" s="2" t="s">
        <v>147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46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2">
      <c r="A9" s="2" t="s">
        <v>12</v>
      </c>
      <c r="B9" s="8">
        <f>SUM(B5:B7)</f>
        <v>19475</v>
      </c>
      <c r="C9" s="8">
        <f>SUM(C5:C7)</f>
        <v>20116</v>
      </c>
      <c r="D9" s="8" t="e">
        <f>SUM(D5:D7)</f>
        <v>#REF!</v>
      </c>
      <c r="E9" s="8" t="e">
        <f>SUM(E5:E7)</f>
        <v>#REF!</v>
      </c>
      <c r="F9" s="8" t="e">
        <f>SUM(F5:F7)</f>
        <v>#REF!</v>
      </c>
      <c r="G9" s="8" t="e">
        <f>SUM(G5:G7)</f>
        <v>#REF!</v>
      </c>
      <c r="H9" s="8" t="e">
        <f>SUM(H5:H8)</f>
        <v>#REF!</v>
      </c>
      <c r="I9" s="8" t="e">
        <f>SUM(I5:I7)</f>
        <v>#REF!</v>
      </c>
      <c r="J9" s="8">
        <f>SUM(J5:J7)</f>
        <v>15610</v>
      </c>
      <c r="K9" s="8">
        <f>SUM(K5:K7)</f>
        <v>20143</v>
      </c>
      <c r="L9" s="8">
        <f>SUM(L5:L7)</f>
        <v>16282</v>
      </c>
      <c r="M9" s="8">
        <f>SUM(M5:M7)</f>
        <v>10764</v>
      </c>
    </row>
    <row r="10" spans="1:13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">
      <c r="A11" s="2" t="s">
        <v>148</v>
      </c>
      <c r="B11" s="7">
        <v>229</v>
      </c>
      <c r="C11" s="7">
        <v>129</v>
      </c>
      <c r="D11" s="7">
        <v>297</v>
      </c>
      <c r="E11" s="7">
        <v>368</v>
      </c>
      <c r="F11" s="7">
        <v>271</v>
      </c>
      <c r="G11" s="7">
        <v>106</v>
      </c>
      <c r="H11" s="7">
        <v>54</v>
      </c>
      <c r="I11" s="7">
        <v>46</v>
      </c>
      <c r="J11" s="7">
        <v>75</v>
      </c>
      <c r="K11" s="7">
        <v>22</v>
      </c>
      <c r="L11" s="7">
        <v>294</v>
      </c>
      <c r="M11" s="7">
        <v>247</v>
      </c>
    </row>
    <row r="12" spans="1:13" x14ac:dyDescent="0.2">
      <c r="A12" s="2" t="s">
        <v>149</v>
      </c>
      <c r="B12" s="7">
        <v>7</v>
      </c>
      <c r="C12" s="7">
        <v>26</v>
      </c>
      <c r="D12" s="7">
        <v>340</v>
      </c>
      <c r="E12" s="7">
        <v>205</v>
      </c>
      <c r="F12" s="7">
        <v>3</v>
      </c>
      <c r="G12" s="7">
        <v>71</v>
      </c>
      <c r="H12" s="7">
        <v>69</v>
      </c>
      <c r="I12" s="7">
        <v>74</v>
      </c>
      <c r="J12" s="7">
        <v>96</v>
      </c>
      <c r="K12" s="7">
        <v>148</v>
      </c>
      <c r="L12" s="7">
        <v>108</v>
      </c>
      <c r="M12" s="7">
        <f>55+876</f>
        <v>931</v>
      </c>
    </row>
    <row r="13" spans="1:13" x14ac:dyDescent="0.2">
      <c r="A13" s="2" t="s">
        <v>13</v>
      </c>
      <c r="B13" s="8">
        <f t="shared" ref="B13:K13" si="0">SUM(B11:B12)</f>
        <v>236</v>
      </c>
      <c r="C13" s="8">
        <f t="shared" si="0"/>
        <v>155</v>
      </c>
      <c r="D13" s="8">
        <f t="shared" si="0"/>
        <v>637</v>
      </c>
      <c r="E13" s="8">
        <f t="shared" si="0"/>
        <v>573</v>
      </c>
      <c r="F13" s="8">
        <f t="shared" si="0"/>
        <v>274</v>
      </c>
      <c r="G13" s="8">
        <f t="shared" si="0"/>
        <v>177</v>
      </c>
      <c r="H13" s="8">
        <f t="shared" si="0"/>
        <v>123</v>
      </c>
      <c r="I13" s="8">
        <f t="shared" si="0"/>
        <v>120</v>
      </c>
      <c r="J13" s="8">
        <f t="shared" si="0"/>
        <v>171</v>
      </c>
      <c r="K13" s="8">
        <f t="shared" si="0"/>
        <v>170</v>
      </c>
      <c r="L13" s="8">
        <f>SUM(L11:L12)</f>
        <v>402</v>
      </c>
      <c r="M13" s="8">
        <f>SUM(M11:M12)</f>
        <v>1178</v>
      </c>
    </row>
    <row r="14" spans="1:13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2" thickBot="1" x14ac:dyDescent="0.25">
      <c r="A15" s="10" t="s">
        <v>14</v>
      </c>
      <c r="B15" s="11">
        <f t="shared" ref="B15:M15" si="1">+B9+B13</f>
        <v>19711</v>
      </c>
      <c r="C15" s="11">
        <f t="shared" si="1"/>
        <v>20271</v>
      </c>
      <c r="D15" s="11" t="e">
        <f t="shared" si="1"/>
        <v>#REF!</v>
      </c>
      <c r="E15" s="11" t="e">
        <f t="shared" si="1"/>
        <v>#REF!</v>
      </c>
      <c r="F15" s="11" t="e">
        <f t="shared" si="1"/>
        <v>#REF!</v>
      </c>
      <c r="G15" s="11" t="e">
        <f t="shared" si="1"/>
        <v>#REF!</v>
      </c>
      <c r="H15" s="11" t="e">
        <f t="shared" si="1"/>
        <v>#REF!</v>
      </c>
      <c r="I15" s="11" t="e">
        <f t="shared" si="1"/>
        <v>#REF!</v>
      </c>
      <c r="J15" s="11">
        <f t="shared" si="1"/>
        <v>15781</v>
      </c>
      <c r="K15" s="11">
        <f t="shared" si="1"/>
        <v>20313</v>
      </c>
      <c r="L15" s="11">
        <f t="shared" si="1"/>
        <v>16684</v>
      </c>
      <c r="M15" s="11">
        <f t="shared" si="1"/>
        <v>11942</v>
      </c>
    </row>
    <row r="16" spans="1:13" ht="12" thickTop="1" x14ac:dyDescent="0.2">
      <c r="I16" s="7"/>
      <c r="J16" s="7"/>
      <c r="K16" s="7"/>
      <c r="L16" s="7"/>
      <c r="M16" s="7"/>
    </row>
    <row r="17" spans="1:13" x14ac:dyDescent="0.2">
      <c r="I17" s="7"/>
      <c r="J17" s="7"/>
      <c r="K17" s="7"/>
      <c r="L17" s="7"/>
      <c r="M17" s="7"/>
    </row>
    <row r="18" spans="1:13" x14ac:dyDescent="0.2">
      <c r="A18" s="6" t="s">
        <v>15</v>
      </c>
      <c r="I18" s="7"/>
      <c r="J18" s="7"/>
      <c r="K18" s="7"/>
      <c r="L18" s="7"/>
      <c r="M18" s="7"/>
    </row>
    <row r="19" spans="1:13" x14ac:dyDescent="0.2">
      <c r="I19" s="7"/>
      <c r="J19" s="7"/>
      <c r="K19" s="7"/>
      <c r="L19" s="7"/>
      <c r="M19" s="7"/>
    </row>
    <row r="20" spans="1:13" x14ac:dyDescent="0.2">
      <c r="A20" s="2" t="s">
        <v>16</v>
      </c>
      <c r="B20" s="7">
        <v>32</v>
      </c>
      <c r="C20" s="7">
        <v>35</v>
      </c>
      <c r="D20" s="7">
        <v>30</v>
      </c>
      <c r="E20" s="7">
        <v>30</v>
      </c>
      <c r="F20" s="7">
        <v>25</v>
      </c>
      <c r="G20" s="7">
        <v>25</v>
      </c>
      <c r="H20" s="7">
        <v>25</v>
      </c>
      <c r="I20" s="7">
        <v>22</v>
      </c>
      <c r="J20" s="7">
        <v>23</v>
      </c>
      <c r="K20" s="7">
        <v>34</v>
      </c>
      <c r="L20" s="7">
        <v>43</v>
      </c>
      <c r="M20" s="7">
        <v>20</v>
      </c>
    </row>
    <row r="21" spans="1:13" x14ac:dyDescent="0.2">
      <c r="A21" s="2" t="s">
        <v>17</v>
      </c>
      <c r="B21" s="7">
        <v>9778</v>
      </c>
      <c r="C21" s="7">
        <v>9515</v>
      </c>
      <c r="D21" s="7">
        <v>7532</v>
      </c>
      <c r="E21" s="7">
        <v>6605</v>
      </c>
      <c r="F21" s="7">
        <v>4230</v>
      </c>
      <c r="G21" s="7">
        <v>3680</v>
      </c>
      <c r="H21" s="7">
        <v>3883</v>
      </c>
      <c r="I21" s="7">
        <v>3730</v>
      </c>
      <c r="J21" s="7">
        <v>2690</v>
      </c>
      <c r="K21" s="7">
        <v>4353</v>
      </c>
      <c r="L21" s="7">
        <v>3680</v>
      </c>
      <c r="M21" s="7">
        <v>2695</v>
      </c>
    </row>
    <row r="22" spans="1:13" x14ac:dyDescent="0.2">
      <c r="A22" s="2" t="s">
        <v>18</v>
      </c>
      <c r="B22" s="7">
        <v>135</v>
      </c>
      <c r="C22" s="7">
        <v>124</v>
      </c>
      <c r="D22" s="7">
        <v>122</v>
      </c>
      <c r="E22" s="7">
        <v>104</v>
      </c>
      <c r="F22" s="7">
        <v>95</v>
      </c>
      <c r="G22" s="7">
        <v>95</v>
      </c>
      <c r="H22" s="7">
        <v>95</v>
      </c>
      <c r="I22" s="7">
        <v>84</v>
      </c>
      <c r="J22" s="7">
        <v>84</v>
      </c>
      <c r="K22" s="7">
        <v>105</v>
      </c>
      <c r="L22" s="7">
        <v>84</v>
      </c>
      <c r="M22" s="7">
        <v>84</v>
      </c>
    </row>
    <row r="23" spans="1:13" x14ac:dyDescent="0.2">
      <c r="A23" s="2" t="s">
        <v>150</v>
      </c>
      <c r="B23" s="7">
        <v>8336</v>
      </c>
      <c r="C23" s="7">
        <v>7921</v>
      </c>
      <c r="D23" s="7">
        <v>7783</v>
      </c>
      <c r="E23" s="7">
        <v>8068</v>
      </c>
      <c r="F23" s="7">
        <v>7756</v>
      </c>
      <c r="G23" s="7">
        <v>7553</v>
      </c>
      <c r="H23" s="7">
        <v>6923</v>
      </c>
      <c r="I23" s="7">
        <v>7061</v>
      </c>
      <c r="J23" s="7">
        <v>6291</v>
      </c>
      <c r="K23" s="7">
        <v>7317</v>
      </c>
      <c r="L23" s="7">
        <v>6040</v>
      </c>
      <c r="M23" s="7">
        <v>5031</v>
      </c>
    </row>
    <row r="24" spans="1:13" x14ac:dyDescent="0.2">
      <c r="A24" s="2" t="s">
        <v>151</v>
      </c>
      <c r="B24" s="7">
        <v>5420</v>
      </c>
      <c r="C24" s="7">
        <v>4959</v>
      </c>
      <c r="D24" s="7">
        <v>4883</v>
      </c>
      <c r="E24" s="7">
        <v>3145</v>
      </c>
      <c r="F24" s="7">
        <v>2424</v>
      </c>
      <c r="G24" s="7">
        <v>2478</v>
      </c>
      <c r="H24" s="7">
        <v>2579</v>
      </c>
      <c r="I24" s="7">
        <v>3236</v>
      </c>
      <c r="J24" s="7">
        <v>3809</v>
      </c>
      <c r="K24" s="7">
        <v>6760</v>
      </c>
      <c r="L24" s="7">
        <v>5119</v>
      </c>
      <c r="M24" s="7">
        <v>5034</v>
      </c>
    </row>
    <row r="25" spans="1:13" x14ac:dyDescent="0.2">
      <c r="A25" s="2" t="s">
        <v>152</v>
      </c>
      <c r="B25" s="7">
        <f>35017-32027</f>
        <v>2990</v>
      </c>
      <c r="C25" s="7">
        <f>3181+1+7</f>
        <v>3189</v>
      </c>
      <c r="D25" s="7">
        <f>2855+3+5</f>
        <v>2863</v>
      </c>
      <c r="E25" s="7">
        <f>2645+64</f>
        <v>2709</v>
      </c>
      <c r="F25" s="7">
        <v>2928</v>
      </c>
      <c r="G25" s="7">
        <v>2254</v>
      </c>
      <c r="H25" s="7">
        <v>2318</v>
      </c>
      <c r="I25" s="7">
        <v>2183</v>
      </c>
      <c r="J25" s="7">
        <v>1633</v>
      </c>
      <c r="K25" s="7">
        <v>1755</v>
      </c>
      <c r="L25" s="7">
        <v>1221</v>
      </c>
      <c r="M25" s="7">
        <v>0</v>
      </c>
    </row>
    <row r="26" spans="1:13" x14ac:dyDescent="0.2">
      <c r="A26" s="2" t="s">
        <v>153</v>
      </c>
      <c r="B26" s="7">
        <v>1175</v>
      </c>
      <c r="C26" s="7">
        <v>1157</v>
      </c>
      <c r="D26" s="7">
        <v>1107</v>
      </c>
      <c r="E26" s="7">
        <v>811</v>
      </c>
      <c r="F26" s="7">
        <v>845</v>
      </c>
      <c r="G26" s="7">
        <v>829</v>
      </c>
      <c r="H26" s="7">
        <v>828</v>
      </c>
      <c r="I26" s="7">
        <v>868</v>
      </c>
      <c r="J26" s="7">
        <v>925</v>
      </c>
      <c r="K26" s="7">
        <v>1148</v>
      </c>
      <c r="L26" s="7">
        <v>973</v>
      </c>
      <c r="M26" s="7">
        <v>0</v>
      </c>
    </row>
    <row r="27" spans="1:13" x14ac:dyDescent="0.2">
      <c r="A27" s="2" t="s">
        <v>154</v>
      </c>
      <c r="B27" s="7">
        <v>1348</v>
      </c>
      <c r="C27" s="7">
        <f>1034+1259</f>
        <v>2293</v>
      </c>
      <c r="D27" s="7">
        <f>2228+1037</f>
        <v>3265</v>
      </c>
      <c r="E27" s="7">
        <v>2509</v>
      </c>
      <c r="F27" s="7">
        <v>1125</v>
      </c>
      <c r="G27" s="7">
        <v>1050</v>
      </c>
      <c r="H27" s="7">
        <v>1061</v>
      </c>
      <c r="I27" s="7">
        <v>1201</v>
      </c>
      <c r="J27" s="7">
        <v>950</v>
      </c>
      <c r="K27" s="7">
        <v>938</v>
      </c>
      <c r="L27" s="7">
        <v>931</v>
      </c>
      <c r="M27" s="7">
        <v>0</v>
      </c>
    </row>
    <row r="28" spans="1:13" x14ac:dyDescent="0.2">
      <c r="A28" s="2" t="s">
        <v>155</v>
      </c>
      <c r="B28" s="7">
        <v>904</v>
      </c>
      <c r="C28" s="7">
        <v>690</v>
      </c>
      <c r="D28" s="7">
        <v>1652</v>
      </c>
      <c r="E28" s="7">
        <v>887</v>
      </c>
      <c r="F28" s="7">
        <v>1142</v>
      </c>
      <c r="G28" s="7">
        <v>987</v>
      </c>
      <c r="H28" s="7">
        <v>1136</v>
      </c>
      <c r="I28" s="7">
        <v>1033</v>
      </c>
      <c r="J28" s="7">
        <v>1009</v>
      </c>
      <c r="K28" s="7">
        <v>649</v>
      </c>
      <c r="L28" s="7">
        <v>475</v>
      </c>
      <c r="M28" s="7">
        <v>0</v>
      </c>
    </row>
    <row r="29" spans="1:13" x14ac:dyDescent="0.2">
      <c r="A29" s="2" t="s">
        <v>118</v>
      </c>
      <c r="B29" s="7">
        <v>4093</v>
      </c>
      <c r="C29" s="7">
        <f>3769-31</f>
        <v>3738</v>
      </c>
      <c r="D29" s="7">
        <v>2982</v>
      </c>
      <c r="E29" s="7">
        <v>2975</v>
      </c>
      <c r="F29" s="7">
        <v>2205</v>
      </c>
      <c r="G29" s="7">
        <v>2260</v>
      </c>
      <c r="H29" s="7">
        <v>2286</v>
      </c>
      <c r="I29" s="7">
        <v>1388</v>
      </c>
      <c r="J29" s="7">
        <v>1015</v>
      </c>
      <c r="K29" s="7">
        <v>1354</v>
      </c>
      <c r="L29" s="7">
        <v>1285</v>
      </c>
      <c r="M29" s="7">
        <v>5901</v>
      </c>
    </row>
    <row r="30" spans="1:13" x14ac:dyDescent="0.2">
      <c r="A30" s="2" t="s">
        <v>156</v>
      </c>
      <c r="B30" s="7">
        <v>806</v>
      </c>
      <c r="C30" s="7">
        <v>31</v>
      </c>
      <c r="D30" s="7">
        <v>100</v>
      </c>
      <c r="E30" s="13">
        <v>-80</v>
      </c>
      <c r="F30" s="7">
        <v>1007</v>
      </c>
      <c r="G30" s="7">
        <v>811</v>
      </c>
      <c r="H30" s="7">
        <v>1177</v>
      </c>
      <c r="I30" s="7">
        <v>746</v>
      </c>
      <c r="J30" s="7">
        <v>745</v>
      </c>
      <c r="K30" s="7">
        <v>931</v>
      </c>
      <c r="L30" s="7">
        <v>709</v>
      </c>
      <c r="M30" s="7">
        <v>650</v>
      </c>
    </row>
    <row r="31" spans="1:13" x14ac:dyDescent="0.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ht="12" thickBot="1" x14ac:dyDescent="0.25">
      <c r="A32" s="10" t="s">
        <v>24</v>
      </c>
      <c r="B32" s="11">
        <f t="shared" ref="B32:M32" si="2">SUM(B20:B30)</f>
        <v>35017</v>
      </c>
      <c r="C32" s="11">
        <f t="shared" si="2"/>
        <v>33652</v>
      </c>
      <c r="D32" s="11">
        <f t="shared" si="2"/>
        <v>32319</v>
      </c>
      <c r="E32" s="11">
        <f t="shared" si="2"/>
        <v>27763</v>
      </c>
      <c r="F32" s="11">
        <f t="shared" si="2"/>
        <v>23782</v>
      </c>
      <c r="G32" s="11">
        <f t="shared" si="2"/>
        <v>22022</v>
      </c>
      <c r="H32" s="11">
        <f t="shared" si="2"/>
        <v>22311</v>
      </c>
      <c r="I32" s="11">
        <f t="shared" si="2"/>
        <v>21552</v>
      </c>
      <c r="J32" s="11">
        <f t="shared" si="2"/>
        <v>19174</v>
      </c>
      <c r="K32" s="11">
        <f t="shared" si="2"/>
        <v>25344</v>
      </c>
      <c r="L32" s="11">
        <f t="shared" si="2"/>
        <v>20560</v>
      </c>
      <c r="M32" s="11">
        <f t="shared" si="2"/>
        <v>19415</v>
      </c>
    </row>
    <row r="33" spans="1:13" ht="12" thickTop="1" x14ac:dyDescent="0.2">
      <c r="I33" s="7"/>
      <c r="J33" s="7"/>
      <c r="K33" s="7"/>
      <c r="L33" s="7"/>
      <c r="M33" s="7"/>
    </row>
    <row r="34" spans="1:13" x14ac:dyDescent="0.2">
      <c r="A34" s="2" t="s">
        <v>25</v>
      </c>
      <c r="B34" s="7">
        <f>+B15-B32</f>
        <v>-15306</v>
      </c>
      <c r="C34" s="7">
        <f t="shared" ref="C34:M34" si="3">+C15-C32</f>
        <v>-13381</v>
      </c>
      <c r="D34" s="7" t="e">
        <f t="shared" si="3"/>
        <v>#REF!</v>
      </c>
      <c r="E34" s="7" t="e">
        <f t="shared" si="3"/>
        <v>#REF!</v>
      </c>
      <c r="F34" s="7" t="e">
        <f t="shared" si="3"/>
        <v>#REF!</v>
      </c>
      <c r="G34" s="7" t="e">
        <f t="shared" si="3"/>
        <v>#REF!</v>
      </c>
      <c r="H34" s="7" t="e">
        <f t="shared" si="3"/>
        <v>#REF!</v>
      </c>
      <c r="I34" s="7" t="e">
        <f t="shared" si="3"/>
        <v>#REF!</v>
      </c>
      <c r="J34" s="7">
        <f t="shared" si="3"/>
        <v>-3393</v>
      </c>
      <c r="K34" s="7">
        <f t="shared" si="3"/>
        <v>-5031</v>
      </c>
      <c r="L34" s="7">
        <f t="shared" si="3"/>
        <v>-3876</v>
      </c>
      <c r="M34" s="7">
        <f t="shared" si="3"/>
        <v>-7473</v>
      </c>
    </row>
    <row r="35" spans="1:13" x14ac:dyDescent="0.2">
      <c r="A35" s="12" t="s">
        <v>26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2" t="s">
        <v>157</v>
      </c>
      <c r="B36" s="7">
        <v>0</v>
      </c>
      <c r="C36" s="7">
        <v>0</v>
      </c>
      <c r="D36" s="7">
        <v>0</v>
      </c>
      <c r="E36" s="7">
        <v>8746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3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">
      <c r="A38" s="2" t="s">
        <v>29</v>
      </c>
      <c r="B38" s="14">
        <f>+B34-B36</f>
        <v>-15306</v>
      </c>
      <c r="C38" s="14">
        <f>+C34-C36</f>
        <v>-13381</v>
      </c>
      <c r="D38" s="14" t="e">
        <f>+D34-D36</f>
        <v>#REF!</v>
      </c>
      <c r="E38" s="14" t="e">
        <f>+E34-E36</f>
        <v>#REF!</v>
      </c>
      <c r="F38" s="14" t="e">
        <f t="shared" ref="F38:K38" si="4">SUM(F34:F36)</f>
        <v>#REF!</v>
      </c>
      <c r="G38" s="14" t="e">
        <f t="shared" si="4"/>
        <v>#REF!</v>
      </c>
      <c r="H38" s="14" t="e">
        <f t="shared" si="4"/>
        <v>#REF!</v>
      </c>
      <c r="I38" s="14" t="e">
        <f t="shared" si="4"/>
        <v>#REF!</v>
      </c>
      <c r="J38" s="14">
        <f t="shared" si="4"/>
        <v>-3393</v>
      </c>
      <c r="K38" s="14">
        <f t="shared" si="4"/>
        <v>-5031</v>
      </c>
      <c r="L38" s="14">
        <f>SUM(L34:L36)</f>
        <v>-3876</v>
      </c>
      <c r="M38" s="14">
        <f>SUM(M34:M36)</f>
        <v>-7473</v>
      </c>
    </row>
    <row r="39" spans="1:13" x14ac:dyDescent="0.2">
      <c r="A39" s="2" t="s">
        <v>30</v>
      </c>
      <c r="B39" s="7">
        <v>6658</v>
      </c>
      <c r="C39" s="7">
        <v>5553</v>
      </c>
      <c r="D39" s="7">
        <v>5233</v>
      </c>
      <c r="E39" s="7">
        <v>3946</v>
      </c>
      <c r="F39" s="7">
        <v>6471</v>
      </c>
      <c r="G39" s="7" t="e">
        <f>+G38-12238</f>
        <v>#REF!</v>
      </c>
      <c r="H39" s="7" t="e">
        <f>+H38-9412</f>
        <v>#REF!</v>
      </c>
      <c r="I39" s="7" t="e">
        <f>+I38-8053</f>
        <v>#REF!</v>
      </c>
      <c r="J39" s="7">
        <f>+J38-6743</f>
        <v>-10136</v>
      </c>
      <c r="K39" s="7">
        <v>3712</v>
      </c>
      <c r="L39" s="7">
        <v>2800</v>
      </c>
      <c r="M39" s="7">
        <v>947</v>
      </c>
    </row>
    <row r="40" spans="1:13" x14ac:dyDescent="0.2">
      <c r="I40" s="7"/>
      <c r="J40" s="7"/>
      <c r="K40" s="7"/>
      <c r="L40" s="7"/>
      <c r="M40" s="7"/>
    </row>
    <row r="41" spans="1:13" ht="12" thickBot="1" x14ac:dyDescent="0.25">
      <c r="A41" s="15" t="s">
        <v>31</v>
      </c>
      <c r="B41" s="21">
        <f>+B38-B39</f>
        <v>-21964</v>
      </c>
      <c r="C41" s="21">
        <f>+C38-C39</f>
        <v>-18934</v>
      </c>
      <c r="D41" s="21" t="e">
        <f t="shared" ref="D41:K41" si="5">+D38-D39</f>
        <v>#REF!</v>
      </c>
      <c r="E41" s="21" t="e">
        <f t="shared" si="5"/>
        <v>#REF!</v>
      </c>
      <c r="F41" s="21" t="e">
        <f t="shared" si="5"/>
        <v>#REF!</v>
      </c>
      <c r="G41" s="21" t="e">
        <f t="shared" si="5"/>
        <v>#REF!</v>
      </c>
      <c r="H41" s="21" t="e">
        <f t="shared" si="5"/>
        <v>#REF!</v>
      </c>
      <c r="I41" s="21" t="e">
        <f t="shared" si="5"/>
        <v>#REF!</v>
      </c>
      <c r="J41" s="21">
        <f t="shared" si="5"/>
        <v>6743</v>
      </c>
      <c r="K41" s="21">
        <f t="shared" si="5"/>
        <v>-8743</v>
      </c>
      <c r="L41" s="21">
        <f>+L38-L39</f>
        <v>-6676</v>
      </c>
      <c r="M41" s="21">
        <f>+M38-M39</f>
        <v>-8420</v>
      </c>
    </row>
    <row r="42" spans="1:13" ht="13.5" thickTop="1" x14ac:dyDescent="0.2">
      <c r="A42" s="1" t="s">
        <v>34</v>
      </c>
    </row>
    <row r="43" spans="1:13" x14ac:dyDescent="0.2">
      <c r="A43" s="2" t="s">
        <v>110</v>
      </c>
      <c r="B43" s="4">
        <v>36678</v>
      </c>
      <c r="C43" s="4">
        <v>36312</v>
      </c>
      <c r="D43" s="4">
        <v>35947</v>
      </c>
      <c r="E43" s="4">
        <v>35582</v>
      </c>
      <c r="F43" s="4">
        <v>35217</v>
      </c>
      <c r="G43" s="4">
        <v>34851</v>
      </c>
      <c r="H43" s="4">
        <v>34486</v>
      </c>
      <c r="I43" s="4">
        <v>34121</v>
      </c>
      <c r="J43" s="4">
        <v>33756</v>
      </c>
      <c r="K43" s="4">
        <v>33390</v>
      </c>
      <c r="L43" s="4">
        <v>32933</v>
      </c>
      <c r="M43" s="4">
        <v>32568</v>
      </c>
    </row>
    <row r="44" spans="1:13" x14ac:dyDescent="0.2">
      <c r="B44" s="5" t="s">
        <v>3</v>
      </c>
      <c r="C44" s="5" t="s">
        <v>3</v>
      </c>
      <c r="D44" s="5" t="s">
        <v>3</v>
      </c>
      <c r="E44" s="5" t="s">
        <v>3</v>
      </c>
      <c r="F44" s="5" t="s">
        <v>3</v>
      </c>
      <c r="G44" s="5" t="s">
        <v>3</v>
      </c>
      <c r="H44" s="5" t="s">
        <v>3</v>
      </c>
      <c r="I44" s="5" t="s">
        <v>3</v>
      </c>
      <c r="J44" s="5" t="s">
        <v>3</v>
      </c>
      <c r="K44" s="5" t="s">
        <v>3</v>
      </c>
      <c r="L44" s="5" t="s">
        <v>3</v>
      </c>
      <c r="M44" s="5" t="s">
        <v>3</v>
      </c>
    </row>
    <row r="45" spans="1:13" x14ac:dyDescent="0.2">
      <c r="A45" s="6"/>
    </row>
    <row r="46" spans="1:13" x14ac:dyDescent="0.2">
      <c r="A46" s="18" t="s">
        <v>35</v>
      </c>
      <c r="B46" s="9" t="e">
        <f>+C56</f>
        <v>#REF!</v>
      </c>
      <c r="C46" s="9" t="e">
        <f>+D56</f>
        <v>#REF!</v>
      </c>
      <c r="D46" s="9" t="e">
        <f>+E56</f>
        <v>#REF!</v>
      </c>
      <c r="E46" s="9">
        <v>112909</v>
      </c>
      <c r="F46" s="9">
        <v>84863</v>
      </c>
      <c r="G46" s="9">
        <v>77521</v>
      </c>
      <c r="H46" s="9">
        <v>71853</v>
      </c>
      <c r="I46" s="7">
        <v>66966</v>
      </c>
      <c r="J46" s="7">
        <v>62872</v>
      </c>
      <c r="K46" s="7">
        <v>59757</v>
      </c>
      <c r="L46" s="7">
        <v>57618</v>
      </c>
      <c r="M46" s="7">
        <v>57600</v>
      </c>
    </row>
    <row r="47" spans="1:13" x14ac:dyDescent="0.2">
      <c r="A47" s="18"/>
      <c r="B47" s="9"/>
      <c r="C47" s="9"/>
      <c r="D47" s="9"/>
      <c r="E47" s="9"/>
      <c r="F47" s="9"/>
      <c r="G47" s="9"/>
      <c r="H47" s="9"/>
    </row>
    <row r="48" spans="1:13" x14ac:dyDescent="0.2">
      <c r="A48" s="22" t="s">
        <v>158</v>
      </c>
      <c r="B48" s="9"/>
      <c r="C48" s="9"/>
      <c r="D48" s="9"/>
      <c r="E48" s="9"/>
      <c r="F48" s="9"/>
      <c r="G48" s="9"/>
      <c r="H48" s="9"/>
    </row>
    <row r="49" spans="1:13" x14ac:dyDescent="0.2">
      <c r="A49" s="18" t="s">
        <v>36</v>
      </c>
      <c r="B49" s="9">
        <f>+B41</f>
        <v>-21964</v>
      </c>
      <c r="C49" s="9">
        <f>+C41</f>
        <v>-18934</v>
      </c>
      <c r="D49" s="9" t="e">
        <f t="shared" ref="D49:K49" si="6">+D41</f>
        <v>#REF!</v>
      </c>
      <c r="E49" s="9" t="e">
        <f t="shared" si="6"/>
        <v>#REF!</v>
      </c>
      <c r="F49" s="9" t="e">
        <f t="shared" si="6"/>
        <v>#REF!</v>
      </c>
      <c r="G49" s="9" t="e">
        <f t="shared" si="6"/>
        <v>#REF!</v>
      </c>
      <c r="H49" s="9" t="e">
        <f t="shared" si="6"/>
        <v>#REF!</v>
      </c>
      <c r="I49" s="9" t="e">
        <f t="shared" si="6"/>
        <v>#REF!</v>
      </c>
      <c r="J49" s="9">
        <f t="shared" si="6"/>
        <v>6743</v>
      </c>
      <c r="K49" s="9">
        <f t="shared" si="6"/>
        <v>-8743</v>
      </c>
      <c r="L49" s="9">
        <f>+L41</f>
        <v>-6676</v>
      </c>
      <c r="M49" s="9">
        <f>+M41</f>
        <v>-8420</v>
      </c>
    </row>
    <row r="50" spans="1:13" x14ac:dyDescent="0.2">
      <c r="A50" s="18" t="s">
        <v>159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7">
        <v>2</v>
      </c>
      <c r="J50" s="7">
        <v>0</v>
      </c>
      <c r="K50" s="7">
        <v>0</v>
      </c>
      <c r="L50" s="7">
        <v>7</v>
      </c>
      <c r="M50" s="7">
        <v>0</v>
      </c>
    </row>
    <row r="51" spans="1:13" x14ac:dyDescent="0.2">
      <c r="A51" s="18" t="s">
        <v>37</v>
      </c>
      <c r="B51" s="9">
        <v>0</v>
      </c>
      <c r="C51" s="9">
        <v>26128</v>
      </c>
      <c r="D51" s="9">
        <v>0</v>
      </c>
      <c r="E51" s="9">
        <v>628</v>
      </c>
      <c r="F51" s="9">
        <v>20797</v>
      </c>
      <c r="G51" s="9">
        <v>0</v>
      </c>
      <c r="H51" s="9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</row>
    <row r="52" spans="1:13" x14ac:dyDescent="0.2">
      <c r="A52" s="33" t="s">
        <v>160</v>
      </c>
      <c r="B52" s="14">
        <f t="shared" ref="B52:K52" si="7">SUM(B49:B51)</f>
        <v>-21964</v>
      </c>
      <c r="C52" s="14">
        <f t="shared" si="7"/>
        <v>7194</v>
      </c>
      <c r="D52" s="14" t="e">
        <f t="shared" si="7"/>
        <v>#REF!</v>
      </c>
      <c r="E52" s="14" t="e">
        <f t="shared" si="7"/>
        <v>#REF!</v>
      </c>
      <c r="F52" s="14" t="e">
        <f t="shared" si="7"/>
        <v>#REF!</v>
      </c>
      <c r="G52" s="14" t="e">
        <f t="shared" si="7"/>
        <v>#REF!</v>
      </c>
      <c r="H52" s="14" t="e">
        <f t="shared" si="7"/>
        <v>#REF!</v>
      </c>
      <c r="I52" s="14" t="e">
        <f t="shared" si="7"/>
        <v>#REF!</v>
      </c>
      <c r="J52" s="14">
        <f t="shared" si="7"/>
        <v>6743</v>
      </c>
      <c r="K52" s="14">
        <f t="shared" si="7"/>
        <v>-8743</v>
      </c>
      <c r="L52" s="14">
        <f>SUM(L49:L51)</f>
        <v>-6669</v>
      </c>
      <c r="M52" s="14">
        <f>SUM(M49:M51)</f>
        <v>-8420</v>
      </c>
    </row>
    <row r="53" spans="1:13" x14ac:dyDescent="0.2">
      <c r="A53" s="18"/>
      <c r="B53" s="9"/>
      <c r="C53" s="9"/>
      <c r="D53" s="9"/>
      <c r="E53" s="9"/>
      <c r="F53" s="9"/>
      <c r="G53" s="9"/>
      <c r="H53" s="9"/>
    </row>
    <row r="54" spans="1:13" x14ac:dyDescent="0.2">
      <c r="A54" s="19" t="s">
        <v>38</v>
      </c>
      <c r="B54" s="20">
        <v>-37949</v>
      </c>
      <c r="C54" s="20">
        <v>-7258</v>
      </c>
      <c r="D54" s="20">
        <v>-6566</v>
      </c>
      <c r="E54" s="20">
        <v>-8294</v>
      </c>
      <c r="F54" s="20">
        <v>-4838</v>
      </c>
      <c r="G54" s="20">
        <v>-4896</v>
      </c>
      <c r="H54" s="20">
        <v>-3744</v>
      </c>
      <c r="I54" s="13">
        <v>-3168</v>
      </c>
      <c r="J54" s="13">
        <v>-2649</v>
      </c>
      <c r="K54" s="13">
        <v>-2074</v>
      </c>
      <c r="L54" s="13">
        <v>-1500</v>
      </c>
      <c r="M54" s="7">
        <v>0</v>
      </c>
    </row>
    <row r="55" spans="1:13" x14ac:dyDescent="0.2">
      <c r="B55" s="7"/>
      <c r="C55" s="7"/>
      <c r="D55" s="7"/>
      <c r="E55" s="7"/>
      <c r="F55" s="7"/>
      <c r="G55" s="7"/>
      <c r="H55" s="7"/>
    </row>
    <row r="56" spans="1:13" ht="12" thickBot="1" x14ac:dyDescent="0.25">
      <c r="A56" s="15" t="s">
        <v>40</v>
      </c>
      <c r="B56" s="21" t="e">
        <f>+B46+B52+B54</f>
        <v>#REF!</v>
      </c>
      <c r="C56" s="21" t="e">
        <f>+C46+C52+C54</f>
        <v>#REF!</v>
      </c>
      <c r="D56" s="21" t="e">
        <f t="shared" ref="D56:M56" si="8">+D46+D52+D54</f>
        <v>#REF!</v>
      </c>
      <c r="E56" s="21" t="e">
        <f t="shared" si="8"/>
        <v>#REF!</v>
      </c>
      <c r="F56" s="21" t="e">
        <f t="shared" si="8"/>
        <v>#REF!</v>
      </c>
      <c r="G56" s="21" t="e">
        <f t="shared" si="8"/>
        <v>#REF!</v>
      </c>
      <c r="H56" s="21" t="e">
        <f t="shared" si="8"/>
        <v>#REF!</v>
      </c>
      <c r="I56" s="21" t="e">
        <f t="shared" si="8"/>
        <v>#REF!</v>
      </c>
      <c r="J56" s="21">
        <f t="shared" si="8"/>
        <v>66966</v>
      </c>
      <c r="K56" s="21">
        <f t="shared" si="8"/>
        <v>48940</v>
      </c>
      <c r="L56" s="21">
        <f t="shared" si="8"/>
        <v>49449</v>
      </c>
      <c r="M56" s="21">
        <f t="shared" si="8"/>
        <v>49180</v>
      </c>
    </row>
    <row r="57" spans="1:13" ht="12" thickTop="1" x14ac:dyDescent="0.2">
      <c r="A57" s="34"/>
      <c r="B57" s="35"/>
      <c r="C57" s="35"/>
      <c r="D57" s="35"/>
      <c r="E57" s="35"/>
      <c r="F57" s="35"/>
      <c r="G57" s="35"/>
      <c r="H57" s="35"/>
      <c r="I57" s="34"/>
      <c r="J57" s="34"/>
      <c r="K57" s="34"/>
      <c r="L57" s="34"/>
      <c r="M57" s="34"/>
    </row>
    <row r="58" spans="1:13" x14ac:dyDescent="0.2">
      <c r="A58" s="36"/>
      <c r="B58" s="14"/>
      <c r="C58" s="14"/>
      <c r="D58" s="14"/>
      <c r="E58" s="14"/>
      <c r="F58" s="14"/>
      <c r="G58" s="14"/>
      <c r="H58" s="14"/>
      <c r="I58" s="36"/>
      <c r="J58" s="36"/>
      <c r="K58" s="36"/>
    </row>
    <row r="59" spans="1:13" ht="12.75" x14ac:dyDescent="0.2">
      <c r="A59" s="1" t="s">
        <v>41</v>
      </c>
    </row>
    <row r="60" spans="1:13" x14ac:dyDescent="0.2">
      <c r="A60" s="2" t="s">
        <v>121</v>
      </c>
      <c r="B60" s="4">
        <v>36678</v>
      </c>
      <c r="C60" s="4">
        <v>36312</v>
      </c>
      <c r="D60" s="4">
        <v>35947</v>
      </c>
      <c r="E60" s="4">
        <v>35582</v>
      </c>
      <c r="F60" s="4">
        <v>35217</v>
      </c>
      <c r="G60" s="4">
        <v>34851</v>
      </c>
      <c r="H60" s="4">
        <v>34486</v>
      </c>
      <c r="I60" s="4">
        <v>34121</v>
      </c>
      <c r="J60" s="4">
        <v>33756</v>
      </c>
      <c r="K60" s="4">
        <v>33390</v>
      </c>
      <c r="L60" s="4">
        <v>32933</v>
      </c>
      <c r="M60" s="4">
        <v>32568</v>
      </c>
    </row>
    <row r="61" spans="1:13" x14ac:dyDescent="0.2">
      <c r="B61" s="5" t="s">
        <v>3</v>
      </c>
      <c r="C61" s="5" t="s">
        <v>3</v>
      </c>
      <c r="D61" s="5" t="s">
        <v>3</v>
      </c>
      <c r="E61" s="5" t="s">
        <v>3</v>
      </c>
      <c r="F61" s="5" t="s">
        <v>3</v>
      </c>
      <c r="G61" s="5" t="s">
        <v>3</v>
      </c>
      <c r="H61" s="5" t="s">
        <v>3</v>
      </c>
      <c r="I61" s="5" t="s">
        <v>3</v>
      </c>
      <c r="J61" s="5" t="s">
        <v>3</v>
      </c>
      <c r="K61" s="5" t="s">
        <v>3</v>
      </c>
      <c r="L61" s="5" t="s">
        <v>3</v>
      </c>
      <c r="M61" s="5" t="s">
        <v>3</v>
      </c>
    </row>
    <row r="62" spans="1:13" x14ac:dyDescent="0.2">
      <c r="A62" s="22" t="s">
        <v>43</v>
      </c>
      <c r="B62" s="9"/>
      <c r="C62" s="9"/>
      <c r="D62" s="9"/>
      <c r="E62" s="9"/>
      <c r="F62" s="9"/>
      <c r="G62" s="9"/>
      <c r="H62" s="9"/>
    </row>
    <row r="63" spans="1:13" x14ac:dyDescent="0.2">
      <c r="A63" s="2" t="s">
        <v>161</v>
      </c>
      <c r="B63" s="7">
        <f>+C63</f>
        <v>57600</v>
      </c>
      <c r="C63" s="7">
        <f>+D63</f>
        <v>57600</v>
      </c>
      <c r="D63" s="7">
        <f>+E63</f>
        <v>57600</v>
      </c>
      <c r="E63" s="7">
        <v>57600</v>
      </c>
      <c r="F63" s="7">
        <v>57600</v>
      </c>
      <c r="G63" s="7">
        <v>57600</v>
      </c>
      <c r="H63" s="7">
        <v>57600</v>
      </c>
      <c r="I63" s="7">
        <v>57600</v>
      </c>
      <c r="J63" s="7">
        <v>57600</v>
      </c>
      <c r="K63" s="7">
        <v>57600</v>
      </c>
      <c r="L63" s="7">
        <v>57600</v>
      </c>
      <c r="M63" s="7">
        <v>57600</v>
      </c>
    </row>
    <row r="64" spans="1:13" x14ac:dyDescent="0.2">
      <c r="A64" s="2" t="s">
        <v>45</v>
      </c>
      <c r="B64" s="7">
        <v>47483</v>
      </c>
      <c r="C64" s="7">
        <f>21721-366+C51</f>
        <v>47483</v>
      </c>
      <c r="D64" s="7">
        <v>21355</v>
      </c>
      <c r="E64" s="7">
        <v>21425</v>
      </c>
      <c r="F64" s="7">
        <v>20797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</row>
    <row r="65" spans="1:13" x14ac:dyDescent="0.2">
      <c r="A65" s="2" t="s">
        <v>162</v>
      </c>
      <c r="B65" s="7">
        <v>366</v>
      </c>
      <c r="C65" s="7">
        <v>366</v>
      </c>
      <c r="D65" s="7">
        <v>366</v>
      </c>
      <c r="E65" s="7">
        <v>366</v>
      </c>
      <c r="F65" s="7">
        <v>366</v>
      </c>
      <c r="G65" s="7">
        <v>366</v>
      </c>
      <c r="H65" s="7">
        <v>366</v>
      </c>
      <c r="I65" s="7">
        <v>320</v>
      </c>
      <c r="J65" s="7">
        <v>7</v>
      </c>
      <c r="K65" s="7">
        <v>7</v>
      </c>
      <c r="L65" s="2">
        <v>7</v>
      </c>
      <c r="M65" s="7">
        <v>0</v>
      </c>
    </row>
    <row r="66" spans="1:13" x14ac:dyDescent="0.2">
      <c r="A66" s="2" t="s">
        <v>46</v>
      </c>
      <c r="B66" s="7">
        <v>15517</v>
      </c>
      <c r="C66" s="7">
        <v>40238</v>
      </c>
      <c r="D66" s="7">
        <v>35340</v>
      </c>
      <c r="E66" s="7">
        <v>30911</v>
      </c>
      <c r="F66" s="7">
        <v>34146</v>
      </c>
      <c r="G66" s="7">
        <v>26897</v>
      </c>
      <c r="H66" s="7">
        <v>19555</v>
      </c>
      <c r="I66" s="7">
        <v>13933</v>
      </c>
      <c r="J66" s="7">
        <v>9359</v>
      </c>
      <c r="K66" s="7">
        <v>5265</v>
      </c>
      <c r="L66" s="7">
        <v>2150</v>
      </c>
      <c r="M66" s="7">
        <v>18</v>
      </c>
    </row>
    <row r="67" spans="1:13" x14ac:dyDescent="0.2">
      <c r="B67" s="7"/>
      <c r="C67" s="7"/>
      <c r="D67" s="7"/>
      <c r="E67" s="7"/>
      <c r="F67" s="7"/>
      <c r="G67" s="7"/>
      <c r="H67" s="7"/>
    </row>
    <row r="68" spans="1:13" x14ac:dyDescent="0.2">
      <c r="A68" s="10" t="s">
        <v>47</v>
      </c>
      <c r="B68" s="8">
        <f t="shared" ref="B68:M68" si="9">SUM(B63:B67)</f>
        <v>120966</v>
      </c>
      <c r="C68" s="8">
        <f t="shared" si="9"/>
        <v>145687</v>
      </c>
      <c r="D68" s="8">
        <f t="shared" si="9"/>
        <v>114661</v>
      </c>
      <c r="E68" s="8">
        <f t="shared" si="9"/>
        <v>110302</v>
      </c>
      <c r="F68" s="8">
        <f t="shared" si="9"/>
        <v>112909</v>
      </c>
      <c r="G68" s="8">
        <f t="shared" si="9"/>
        <v>84863</v>
      </c>
      <c r="H68" s="8">
        <f t="shared" si="9"/>
        <v>77521</v>
      </c>
      <c r="I68" s="8">
        <f t="shared" si="9"/>
        <v>71853</v>
      </c>
      <c r="J68" s="8">
        <f t="shared" si="9"/>
        <v>66966</v>
      </c>
      <c r="K68" s="8">
        <f t="shared" si="9"/>
        <v>62872</v>
      </c>
      <c r="L68" s="8">
        <f t="shared" si="9"/>
        <v>59757</v>
      </c>
      <c r="M68" s="8">
        <f t="shared" si="9"/>
        <v>57618</v>
      </c>
    </row>
    <row r="69" spans="1:13" x14ac:dyDescent="0.2">
      <c r="B69" s="7"/>
      <c r="C69" s="7"/>
      <c r="D69" s="7"/>
      <c r="E69" s="7"/>
      <c r="F69" s="7"/>
      <c r="G69" s="7"/>
      <c r="H69" s="7"/>
    </row>
    <row r="70" spans="1:13" x14ac:dyDescent="0.2">
      <c r="A70" s="6" t="s">
        <v>48</v>
      </c>
      <c r="B70" s="37"/>
      <c r="C70" s="37"/>
      <c r="D70" s="37"/>
      <c r="E70" s="7"/>
      <c r="F70" s="7"/>
      <c r="G70" s="7"/>
      <c r="H70" s="7"/>
    </row>
    <row r="71" spans="1:13" x14ac:dyDescent="0.2">
      <c r="A71" s="2" t="s">
        <v>163</v>
      </c>
      <c r="B71" s="7">
        <v>82606</v>
      </c>
      <c r="C71" s="7">
        <v>63259</v>
      </c>
      <c r="D71" s="7">
        <v>70390</v>
      </c>
      <c r="E71" s="7">
        <v>47149</v>
      </c>
      <c r="F71" s="7">
        <v>29348</v>
      </c>
      <c r="G71" s="7">
        <v>31269</v>
      </c>
      <c r="H71" s="7">
        <v>32746</v>
      </c>
      <c r="I71" s="7">
        <v>38311</v>
      </c>
      <c r="J71" s="7">
        <v>39568</v>
      </c>
      <c r="K71" s="7">
        <v>37224</v>
      </c>
      <c r="L71" s="7">
        <v>35520</v>
      </c>
      <c r="M71" s="7">
        <v>35520</v>
      </c>
    </row>
    <row r="72" spans="1:13" x14ac:dyDescent="0.2">
      <c r="A72" s="2" t="s">
        <v>50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26</v>
      </c>
      <c r="I72" s="7">
        <v>62</v>
      </c>
      <c r="J72" s="7">
        <v>1160</v>
      </c>
      <c r="K72" s="7">
        <v>1209</v>
      </c>
      <c r="L72" s="7">
        <v>1297</v>
      </c>
      <c r="M72" s="7">
        <v>0</v>
      </c>
    </row>
    <row r="73" spans="1:13" x14ac:dyDescent="0.2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2">
      <c r="A74" s="10" t="s">
        <v>51</v>
      </c>
      <c r="B74" s="8">
        <f>SUM(B71:B72)</f>
        <v>82606</v>
      </c>
      <c r="C74" s="8">
        <f>SUM(C71:C72)</f>
        <v>63259</v>
      </c>
      <c r="D74" s="8">
        <f t="shared" ref="D74:M74" si="10">SUM(D71:D72)</f>
        <v>70390</v>
      </c>
      <c r="E74" s="8">
        <f t="shared" si="10"/>
        <v>47149</v>
      </c>
      <c r="F74" s="8">
        <f t="shared" si="10"/>
        <v>29348</v>
      </c>
      <c r="G74" s="8">
        <f t="shared" si="10"/>
        <v>31269</v>
      </c>
      <c r="H74" s="8">
        <f t="shared" si="10"/>
        <v>32772</v>
      </c>
      <c r="I74" s="8">
        <f t="shared" si="10"/>
        <v>38373</v>
      </c>
      <c r="J74" s="8">
        <f t="shared" si="10"/>
        <v>40728</v>
      </c>
      <c r="K74" s="8">
        <f t="shared" si="10"/>
        <v>38433</v>
      </c>
      <c r="L74" s="8">
        <f t="shared" si="10"/>
        <v>36817</v>
      </c>
      <c r="M74" s="8">
        <f t="shared" si="10"/>
        <v>35520</v>
      </c>
    </row>
    <row r="75" spans="1:13" x14ac:dyDescent="0.2">
      <c r="B75" s="7"/>
      <c r="C75" s="7"/>
      <c r="D75" s="7"/>
      <c r="E75" s="7"/>
      <c r="F75" s="7"/>
      <c r="G75" s="7"/>
      <c r="H75" s="7"/>
    </row>
    <row r="76" spans="1:13" x14ac:dyDescent="0.2">
      <c r="A76" s="6" t="s">
        <v>52</v>
      </c>
      <c r="B76" s="7"/>
      <c r="C76" s="7"/>
      <c r="D76" s="7"/>
      <c r="E76" s="7"/>
      <c r="F76" s="7"/>
      <c r="G76" s="7"/>
      <c r="H76" s="7"/>
    </row>
    <row r="77" spans="1:13" x14ac:dyDescent="0.2">
      <c r="A77" s="2" t="s">
        <v>129</v>
      </c>
      <c r="B77" s="7">
        <v>2893</v>
      </c>
      <c r="C77" s="7">
        <v>1355</v>
      </c>
      <c r="D77" s="7">
        <v>1796</v>
      </c>
      <c r="E77" s="7">
        <v>916</v>
      </c>
      <c r="F77" s="7">
        <v>1013</v>
      </c>
      <c r="G77" s="7">
        <v>1200</v>
      </c>
      <c r="H77" s="7">
        <v>1156</v>
      </c>
      <c r="I77" s="7">
        <v>1951</v>
      </c>
      <c r="J77" s="7">
        <v>2517</v>
      </c>
      <c r="K77" s="7">
        <v>1249</v>
      </c>
      <c r="L77" s="7">
        <v>2540</v>
      </c>
      <c r="M77" s="7">
        <v>1911</v>
      </c>
    </row>
    <row r="78" spans="1:13" x14ac:dyDescent="0.2">
      <c r="A78" s="2" t="s">
        <v>164</v>
      </c>
      <c r="B78" s="7">
        <v>0</v>
      </c>
      <c r="C78" s="7">
        <v>776</v>
      </c>
      <c r="D78" s="7">
        <v>3001</v>
      </c>
      <c r="E78" s="7">
        <v>6589</v>
      </c>
      <c r="F78" s="7">
        <v>526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</row>
    <row r="79" spans="1:13" x14ac:dyDescent="0.2">
      <c r="A79" s="2" t="s">
        <v>131</v>
      </c>
      <c r="B79" s="7">
        <v>666</v>
      </c>
      <c r="C79" s="7">
        <v>751</v>
      </c>
      <c r="D79" s="7">
        <v>725</v>
      </c>
      <c r="E79" s="7">
        <v>577</v>
      </c>
      <c r="F79" s="7">
        <v>613</v>
      </c>
      <c r="G79" s="7">
        <v>560</v>
      </c>
      <c r="H79" s="7">
        <v>618</v>
      </c>
      <c r="I79" s="7">
        <v>596</v>
      </c>
      <c r="J79" s="7">
        <v>519</v>
      </c>
      <c r="K79" s="7">
        <v>929</v>
      </c>
      <c r="L79" s="7">
        <v>1004</v>
      </c>
      <c r="M79" s="7">
        <v>616</v>
      </c>
    </row>
    <row r="80" spans="1:13" x14ac:dyDescent="0.2">
      <c r="A80" s="2" t="s">
        <v>57</v>
      </c>
      <c r="B80" s="7">
        <v>218</v>
      </c>
      <c r="C80" s="7">
        <v>264</v>
      </c>
      <c r="D80" s="7">
        <v>127</v>
      </c>
      <c r="E80" s="7">
        <v>0</v>
      </c>
      <c r="F80" s="7">
        <v>188</v>
      </c>
      <c r="G80" s="7">
        <v>186</v>
      </c>
      <c r="H80" s="7">
        <v>216</v>
      </c>
      <c r="I80" s="7">
        <v>174</v>
      </c>
      <c r="J80" s="7">
        <v>47</v>
      </c>
      <c r="K80" s="7">
        <v>319</v>
      </c>
      <c r="L80" s="7">
        <v>165</v>
      </c>
      <c r="M80" s="7">
        <v>814</v>
      </c>
    </row>
    <row r="81" spans="1:13" x14ac:dyDescent="0.2">
      <c r="A81" s="2" t="s">
        <v>165</v>
      </c>
      <c r="B81" s="7">
        <v>1084</v>
      </c>
      <c r="C81" s="7">
        <v>1347</v>
      </c>
      <c r="D81" s="7">
        <v>912</v>
      </c>
      <c r="E81" s="7">
        <v>2098</v>
      </c>
      <c r="F81" s="7">
        <v>1341</v>
      </c>
      <c r="G81" s="7">
        <v>862</v>
      </c>
      <c r="H81" s="7">
        <v>979</v>
      </c>
      <c r="I81" s="7">
        <v>0</v>
      </c>
      <c r="J81" s="7">
        <v>0</v>
      </c>
      <c r="K81" s="7">
        <v>0</v>
      </c>
      <c r="L81" s="7">
        <v>0</v>
      </c>
      <c r="M81" s="7">
        <v>12</v>
      </c>
    </row>
    <row r="82" spans="1:13" x14ac:dyDescent="0.2">
      <c r="A82" s="2" t="s">
        <v>58</v>
      </c>
      <c r="B82" s="7">
        <v>3917</v>
      </c>
      <c r="C82" s="7">
        <v>4147</v>
      </c>
      <c r="D82" s="7">
        <v>3566</v>
      </c>
      <c r="E82" s="7">
        <v>4608</v>
      </c>
      <c r="F82" s="7">
        <v>2362</v>
      </c>
      <c r="G82" s="7">
        <v>2707</v>
      </c>
      <c r="H82" s="7">
        <v>1958</v>
      </c>
      <c r="I82" s="7">
        <v>1670</v>
      </c>
      <c r="J82" s="7">
        <v>1382</v>
      </c>
      <c r="K82" s="7">
        <v>461</v>
      </c>
      <c r="L82" s="7">
        <v>776</v>
      </c>
      <c r="M82" s="7">
        <v>0</v>
      </c>
    </row>
    <row r="83" spans="1:13" x14ac:dyDescent="0.2">
      <c r="A83" s="2" t="s">
        <v>59</v>
      </c>
      <c r="B83" s="7">
        <v>199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180</v>
      </c>
      <c r="I83" s="7">
        <v>136</v>
      </c>
      <c r="J83" s="7">
        <v>237</v>
      </c>
      <c r="K83" s="7">
        <v>1072</v>
      </c>
      <c r="L83" s="7">
        <v>686</v>
      </c>
      <c r="M83" s="7">
        <v>47</v>
      </c>
    </row>
    <row r="84" spans="1:13" x14ac:dyDescent="0.2">
      <c r="A84" s="2" t="s">
        <v>166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2031</v>
      </c>
      <c r="I84" s="7">
        <v>2059</v>
      </c>
      <c r="J84" s="7">
        <v>2048</v>
      </c>
      <c r="K84" s="7">
        <v>2043</v>
      </c>
      <c r="L84" s="7">
        <v>0</v>
      </c>
      <c r="M84" s="7">
        <v>0</v>
      </c>
    </row>
    <row r="85" spans="1:13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x14ac:dyDescent="0.2">
      <c r="A86" s="10" t="s">
        <v>62</v>
      </c>
      <c r="B86" s="8">
        <f t="shared" ref="B86:I86" si="11">SUM(B77:B85)</f>
        <v>8977</v>
      </c>
      <c r="C86" s="8">
        <f t="shared" si="11"/>
        <v>8640</v>
      </c>
      <c r="D86" s="8">
        <f t="shared" si="11"/>
        <v>10127</v>
      </c>
      <c r="E86" s="8">
        <f t="shared" si="11"/>
        <v>14788</v>
      </c>
      <c r="F86" s="8">
        <f t="shared" si="11"/>
        <v>6043</v>
      </c>
      <c r="G86" s="8">
        <f t="shared" si="11"/>
        <v>5515</v>
      </c>
      <c r="H86" s="8">
        <f t="shared" si="11"/>
        <v>7138</v>
      </c>
      <c r="I86" s="8">
        <f t="shared" si="11"/>
        <v>6586</v>
      </c>
      <c r="J86" s="8">
        <f>SUM(J77:J85)</f>
        <v>6750</v>
      </c>
      <c r="K86" s="8">
        <f>SUM(K77:K85)</f>
        <v>6073</v>
      </c>
      <c r="L86" s="8">
        <f>SUM(L77:L85)</f>
        <v>5171</v>
      </c>
      <c r="M86" s="8">
        <f>SUM(M77:M85)</f>
        <v>3400</v>
      </c>
    </row>
    <row r="87" spans="1:13" x14ac:dyDescent="0.2">
      <c r="B87" s="7"/>
      <c r="C87" s="7"/>
      <c r="D87" s="7"/>
      <c r="E87" s="7"/>
      <c r="F87" s="7"/>
      <c r="G87" s="7"/>
      <c r="H87" s="7"/>
    </row>
    <row r="88" spans="1:13" ht="12" thickBot="1" x14ac:dyDescent="0.25">
      <c r="A88" s="23" t="s">
        <v>63</v>
      </c>
      <c r="B88" s="21">
        <f>+B86+B74+B68</f>
        <v>212549</v>
      </c>
      <c r="C88" s="21">
        <f>+C86+C74+C68</f>
        <v>217586</v>
      </c>
      <c r="D88" s="21">
        <f t="shared" ref="D88:M88" si="12">+D86+D74+D68</f>
        <v>195178</v>
      </c>
      <c r="E88" s="21">
        <f t="shared" si="12"/>
        <v>172239</v>
      </c>
      <c r="F88" s="21">
        <f t="shared" si="12"/>
        <v>148300</v>
      </c>
      <c r="G88" s="21">
        <f t="shared" si="12"/>
        <v>121647</v>
      </c>
      <c r="H88" s="21">
        <f t="shared" si="12"/>
        <v>117431</v>
      </c>
      <c r="I88" s="21">
        <f t="shared" si="12"/>
        <v>116812</v>
      </c>
      <c r="J88" s="21">
        <f t="shared" si="12"/>
        <v>114444</v>
      </c>
      <c r="K88" s="21">
        <f t="shared" si="12"/>
        <v>107378</v>
      </c>
      <c r="L88" s="21">
        <f t="shared" si="12"/>
        <v>101745</v>
      </c>
      <c r="M88" s="21">
        <f t="shared" si="12"/>
        <v>96538</v>
      </c>
    </row>
    <row r="89" spans="1:13" ht="13.5" thickTop="1" x14ac:dyDescent="0.2">
      <c r="A89" s="1" t="s">
        <v>167</v>
      </c>
    </row>
    <row r="90" spans="1:13" x14ac:dyDescent="0.2">
      <c r="A90" s="2" t="s">
        <v>121</v>
      </c>
      <c r="B90" s="4">
        <v>36678</v>
      </c>
      <c r="C90" s="4">
        <v>36312</v>
      </c>
      <c r="D90" s="4">
        <v>35947</v>
      </c>
      <c r="E90" s="4">
        <v>35582</v>
      </c>
      <c r="F90" s="4">
        <v>35217</v>
      </c>
      <c r="G90" s="4">
        <v>34851</v>
      </c>
      <c r="H90" s="4">
        <v>34486</v>
      </c>
      <c r="I90" s="4">
        <v>34121</v>
      </c>
      <c r="J90" s="4">
        <v>33756</v>
      </c>
      <c r="K90" s="4">
        <v>33390</v>
      </c>
      <c r="L90" s="4">
        <v>32933</v>
      </c>
      <c r="M90" s="4">
        <v>32568</v>
      </c>
    </row>
    <row r="91" spans="1:13" x14ac:dyDescent="0.2">
      <c r="B91" s="5" t="s">
        <v>3</v>
      </c>
      <c r="C91" s="5" t="s">
        <v>3</v>
      </c>
      <c r="D91" s="5" t="s">
        <v>3</v>
      </c>
      <c r="E91" s="5" t="s">
        <v>3</v>
      </c>
      <c r="F91" s="5" t="s">
        <v>3</v>
      </c>
      <c r="G91" s="5" t="s">
        <v>3</v>
      </c>
      <c r="H91" s="5" t="s">
        <v>3</v>
      </c>
      <c r="I91" s="5" t="s">
        <v>3</v>
      </c>
      <c r="J91" s="5" t="s">
        <v>3</v>
      </c>
      <c r="K91" s="5" t="s">
        <v>3</v>
      </c>
      <c r="L91" s="5" t="s">
        <v>3</v>
      </c>
      <c r="M91" s="5" t="s">
        <v>3</v>
      </c>
    </row>
    <row r="92" spans="1:13" x14ac:dyDescent="0.2">
      <c r="A92" s="6" t="s">
        <v>168</v>
      </c>
      <c r="B92" s="7"/>
      <c r="C92" s="7"/>
      <c r="D92" s="7"/>
      <c r="E92" s="7"/>
      <c r="F92" s="7"/>
      <c r="G92" s="7"/>
      <c r="H92" s="7"/>
    </row>
    <row r="93" spans="1:13" x14ac:dyDescent="0.2">
      <c r="B93" s="7"/>
      <c r="C93" s="7"/>
      <c r="D93" s="7"/>
      <c r="E93" s="7"/>
      <c r="F93" s="7"/>
      <c r="G93" s="7"/>
      <c r="H93" s="7"/>
    </row>
    <row r="94" spans="1:13" x14ac:dyDescent="0.2">
      <c r="A94" s="2" t="s">
        <v>169</v>
      </c>
      <c r="B94" s="7">
        <v>86507</v>
      </c>
      <c r="C94" s="7">
        <v>83207</v>
      </c>
      <c r="D94" s="7">
        <v>56756</v>
      </c>
      <c r="E94" s="7">
        <v>56680</v>
      </c>
      <c r="F94" s="7">
        <v>55437</v>
      </c>
      <c r="G94" s="7">
        <v>34440</v>
      </c>
      <c r="H94" s="7">
        <v>34189</v>
      </c>
      <c r="I94" s="7">
        <v>33244</v>
      </c>
      <c r="J94" s="7">
        <v>33214</v>
      </c>
      <c r="K94" s="7">
        <v>33228</v>
      </c>
      <c r="L94" s="7">
        <v>32641</v>
      </c>
      <c r="M94" s="7">
        <v>28564</v>
      </c>
    </row>
    <row r="95" spans="1:13" x14ac:dyDescent="0.2">
      <c r="A95" s="2" t="s">
        <v>66</v>
      </c>
      <c r="B95" s="7">
        <v>23527</v>
      </c>
      <c r="C95" s="7">
        <v>24284</v>
      </c>
      <c r="D95" s="7">
        <v>24770</v>
      </c>
      <c r="E95" s="7">
        <v>24034</v>
      </c>
      <c r="F95" s="7">
        <v>49471</v>
      </c>
      <c r="G95" s="7">
        <v>49685</v>
      </c>
      <c r="H95" s="7">
        <v>47125</v>
      </c>
      <c r="I95" s="7">
        <v>45378</v>
      </c>
      <c r="J95" s="7">
        <v>43123</v>
      </c>
      <c r="K95" s="7">
        <v>43036</v>
      </c>
      <c r="L95" s="7">
        <v>35318</v>
      </c>
      <c r="M95" s="7">
        <v>35453</v>
      </c>
    </row>
    <row r="96" spans="1:13" x14ac:dyDescent="0.2">
      <c r="A96" s="2" t="s">
        <v>170</v>
      </c>
      <c r="B96" s="7">
        <v>73685</v>
      </c>
      <c r="C96" s="7">
        <v>78473</v>
      </c>
      <c r="D96" s="7">
        <v>71208</v>
      </c>
      <c r="E96" s="7">
        <v>23237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</row>
    <row r="97" spans="1:13" x14ac:dyDescent="0.2">
      <c r="A97" s="2" t="s">
        <v>171</v>
      </c>
      <c r="B97" s="7">
        <v>12557</v>
      </c>
      <c r="C97" s="7">
        <v>13825</v>
      </c>
      <c r="D97" s="7">
        <v>11921</v>
      </c>
      <c r="E97" s="7">
        <v>12553</v>
      </c>
      <c r="F97" s="7">
        <v>11604</v>
      </c>
      <c r="G97" s="7">
        <v>13436</v>
      </c>
      <c r="H97" s="7">
        <v>14624</v>
      </c>
      <c r="I97" s="7">
        <f>19526-2781</f>
        <v>16745</v>
      </c>
      <c r="J97" s="7">
        <f>19994-2035</f>
        <v>17959</v>
      </c>
      <c r="K97" s="7">
        <f>20925-2290</f>
        <v>18635</v>
      </c>
      <c r="L97" s="7">
        <f>22616-1359</f>
        <v>21257</v>
      </c>
      <c r="M97" s="7">
        <f>21634-650</f>
        <v>20984</v>
      </c>
    </row>
    <row r="98" spans="1:13" x14ac:dyDescent="0.2">
      <c r="A98" s="2" t="s">
        <v>172</v>
      </c>
      <c r="B98" s="7">
        <v>5207</v>
      </c>
      <c r="C98" s="7">
        <v>6659</v>
      </c>
      <c r="D98" s="7">
        <v>6412</v>
      </c>
      <c r="E98" s="7">
        <v>7451</v>
      </c>
      <c r="F98" s="7">
        <v>9273</v>
      </c>
      <c r="G98" s="7">
        <v>10684</v>
      </c>
      <c r="H98" s="7">
        <v>11122</v>
      </c>
      <c r="I98" s="7">
        <v>11734</v>
      </c>
      <c r="J98" s="7">
        <v>7114</v>
      </c>
      <c r="K98" s="7">
        <v>7512</v>
      </c>
      <c r="L98" s="7">
        <v>5067</v>
      </c>
      <c r="M98" s="7">
        <v>3496</v>
      </c>
    </row>
    <row r="99" spans="1:13" x14ac:dyDescent="0.2">
      <c r="A99" s="2" t="s">
        <v>173</v>
      </c>
      <c r="B99" s="7">
        <v>1294</v>
      </c>
      <c r="C99" s="7">
        <v>1106</v>
      </c>
      <c r="D99" s="7">
        <v>1187</v>
      </c>
      <c r="E99" s="7">
        <v>1285</v>
      </c>
      <c r="F99" s="7">
        <v>1895</v>
      </c>
      <c r="G99" s="7">
        <v>2100</v>
      </c>
      <c r="H99" s="7">
        <v>1812</v>
      </c>
      <c r="I99" s="7">
        <f>112+1629</f>
        <v>1741</v>
      </c>
      <c r="J99" s="7">
        <f>1015+71</f>
        <v>1086</v>
      </c>
      <c r="K99" s="7">
        <f>1087+88</f>
        <v>1175</v>
      </c>
      <c r="L99" s="7">
        <f>118+1451</f>
        <v>1569</v>
      </c>
      <c r="M99" s="7">
        <v>980</v>
      </c>
    </row>
    <row r="100" spans="1:13" x14ac:dyDescent="0.2">
      <c r="A100" s="2" t="s">
        <v>174</v>
      </c>
      <c r="B100" s="7">
        <v>1863</v>
      </c>
      <c r="C100" s="7">
        <v>1772</v>
      </c>
      <c r="D100" s="7">
        <v>2016</v>
      </c>
      <c r="E100" s="7">
        <v>2196</v>
      </c>
      <c r="F100" s="7">
        <v>2100</v>
      </c>
      <c r="G100" s="7">
        <v>2232</v>
      </c>
      <c r="H100" s="7">
        <v>2625</v>
      </c>
      <c r="I100" s="7">
        <v>2910</v>
      </c>
      <c r="J100" s="7">
        <v>855</v>
      </c>
      <c r="K100" s="7">
        <v>966</v>
      </c>
      <c r="L100" s="7">
        <v>1294</v>
      </c>
      <c r="M100" s="7">
        <v>1559</v>
      </c>
    </row>
    <row r="101" spans="1:13" x14ac:dyDescent="0.2">
      <c r="A101" s="2" t="s">
        <v>175</v>
      </c>
      <c r="B101" s="7">
        <v>1768</v>
      </c>
      <c r="C101" s="7">
        <v>651</v>
      </c>
      <c r="D101" s="7">
        <v>12505</v>
      </c>
      <c r="E101" s="7">
        <v>34801</v>
      </c>
      <c r="F101" s="7">
        <v>10710</v>
      </c>
      <c r="G101" s="7">
        <v>1701</v>
      </c>
      <c r="H101" s="7">
        <v>1432</v>
      </c>
      <c r="I101" s="7">
        <v>1410</v>
      </c>
      <c r="J101" s="7">
        <v>7632</v>
      </c>
      <c r="K101" s="7">
        <v>820</v>
      </c>
      <c r="L101" s="7">
        <v>2502</v>
      </c>
      <c r="M101" s="7">
        <v>0</v>
      </c>
    </row>
    <row r="102" spans="1:13" x14ac:dyDescent="0.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1:13" x14ac:dyDescent="0.2">
      <c r="A103" s="10" t="s">
        <v>71</v>
      </c>
      <c r="B103" s="8">
        <f t="shared" ref="B103:M103" si="13">SUM(B94:B101)</f>
        <v>206408</v>
      </c>
      <c r="C103" s="8">
        <f t="shared" si="13"/>
        <v>209977</v>
      </c>
      <c r="D103" s="8">
        <f t="shared" si="13"/>
        <v>186775</v>
      </c>
      <c r="E103" s="8">
        <f t="shared" si="13"/>
        <v>162237</v>
      </c>
      <c r="F103" s="8">
        <f t="shared" si="13"/>
        <v>140490</v>
      </c>
      <c r="G103" s="8">
        <f t="shared" si="13"/>
        <v>114278</v>
      </c>
      <c r="H103" s="8">
        <f t="shared" si="13"/>
        <v>112929</v>
      </c>
      <c r="I103" s="8">
        <f t="shared" si="13"/>
        <v>113162</v>
      </c>
      <c r="J103" s="8">
        <f t="shared" si="13"/>
        <v>110983</v>
      </c>
      <c r="K103" s="8">
        <f t="shared" si="13"/>
        <v>105372</v>
      </c>
      <c r="L103" s="8">
        <f t="shared" si="13"/>
        <v>99648</v>
      </c>
      <c r="M103" s="8">
        <f t="shared" si="13"/>
        <v>91036</v>
      </c>
    </row>
    <row r="104" spans="1:13" x14ac:dyDescent="0.2">
      <c r="B104" s="7"/>
      <c r="C104" s="7"/>
      <c r="D104" s="7"/>
      <c r="E104" s="7"/>
      <c r="F104" s="7"/>
      <c r="G104" s="7"/>
      <c r="H104" s="7"/>
    </row>
    <row r="105" spans="1:13" x14ac:dyDescent="0.2">
      <c r="A105" s="6" t="s">
        <v>72</v>
      </c>
      <c r="B105" s="7"/>
      <c r="C105" s="7"/>
      <c r="D105" s="7"/>
      <c r="E105" s="7"/>
      <c r="F105" s="7"/>
      <c r="G105" s="7"/>
      <c r="H105" s="7"/>
    </row>
    <row r="106" spans="1:13" x14ac:dyDescent="0.2">
      <c r="B106" s="7"/>
      <c r="C106" s="7"/>
      <c r="D106" s="7"/>
      <c r="E106" s="7"/>
      <c r="F106" s="7"/>
      <c r="G106" s="7"/>
      <c r="H106" s="7"/>
    </row>
    <row r="107" spans="1:13" x14ac:dyDescent="0.2">
      <c r="A107" s="2" t="s">
        <v>176</v>
      </c>
      <c r="B107" s="7">
        <v>0</v>
      </c>
      <c r="C107" s="7">
        <v>0</v>
      </c>
      <c r="D107" s="7">
        <v>0</v>
      </c>
      <c r="E107" s="7">
        <v>13</v>
      </c>
      <c r="F107" s="7">
        <v>9</v>
      </c>
      <c r="G107" s="7">
        <v>11</v>
      </c>
      <c r="H107" s="7">
        <v>10</v>
      </c>
      <c r="I107" s="7">
        <v>7</v>
      </c>
      <c r="J107" s="7">
        <v>4</v>
      </c>
      <c r="K107" s="7">
        <v>3</v>
      </c>
      <c r="L107" s="7">
        <v>2</v>
      </c>
      <c r="M107" s="7">
        <v>93</v>
      </c>
    </row>
    <row r="108" spans="1:13" x14ac:dyDescent="0.2">
      <c r="A108" s="2" t="s">
        <v>177</v>
      </c>
      <c r="B108" s="7">
        <v>1823</v>
      </c>
      <c r="C108" s="7">
        <v>2651</v>
      </c>
      <c r="D108" s="7">
        <v>4275</v>
      </c>
      <c r="E108" s="7">
        <v>2611</v>
      </c>
      <c r="F108" s="7">
        <v>2769</v>
      </c>
      <c r="G108" s="7">
        <v>3255</v>
      </c>
      <c r="H108" s="7">
        <v>155</v>
      </c>
      <c r="I108" s="7">
        <v>123</v>
      </c>
      <c r="J108" s="7">
        <v>269</v>
      </c>
      <c r="K108" s="13">
        <v>-1148</v>
      </c>
      <c r="L108" s="13">
        <v>-1232</v>
      </c>
      <c r="M108" s="7">
        <v>2000</v>
      </c>
    </row>
    <row r="109" spans="1:13" x14ac:dyDescent="0.2">
      <c r="A109" s="2" t="s">
        <v>178</v>
      </c>
      <c r="B109" s="7">
        <v>3416</v>
      </c>
      <c r="C109" s="7">
        <v>3572</v>
      </c>
      <c r="D109" s="7">
        <v>3189</v>
      </c>
      <c r="E109" s="7">
        <v>4253</v>
      </c>
      <c r="F109" s="7">
        <v>4079</v>
      </c>
      <c r="G109" s="7">
        <v>3183</v>
      </c>
      <c r="H109" s="7">
        <v>3757</v>
      </c>
      <c r="I109" s="7">
        <v>3028</v>
      </c>
      <c r="J109" s="7">
        <v>2680</v>
      </c>
      <c r="K109" s="7">
        <v>2939</v>
      </c>
      <c r="L109" s="7">
        <v>3198</v>
      </c>
      <c r="M109" s="7">
        <v>3263</v>
      </c>
    </row>
    <row r="110" spans="1:13" x14ac:dyDescent="0.2">
      <c r="A110" s="2" t="s">
        <v>79</v>
      </c>
      <c r="B110" s="7">
        <v>0</v>
      </c>
      <c r="C110" s="7">
        <v>532</v>
      </c>
      <c r="D110" s="7">
        <v>193</v>
      </c>
      <c r="E110" s="7">
        <v>1562</v>
      </c>
      <c r="F110" s="7">
        <v>321</v>
      </c>
      <c r="G110" s="7">
        <v>232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</row>
    <row r="111" spans="1:13" x14ac:dyDescent="0.2">
      <c r="A111" s="2" t="s">
        <v>179</v>
      </c>
      <c r="B111" s="7">
        <v>0</v>
      </c>
      <c r="C111" s="7">
        <v>0</v>
      </c>
      <c r="D111" s="7">
        <v>0</v>
      </c>
      <c r="E111" s="7">
        <v>950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</row>
    <row r="112" spans="1:13" x14ac:dyDescent="0.2">
      <c r="A112" s="2" t="s">
        <v>180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13" x14ac:dyDescent="0.2">
      <c r="A113" s="2" t="s">
        <v>181</v>
      </c>
      <c r="B113" s="7">
        <v>221</v>
      </c>
      <c r="C113" s="7">
        <v>228</v>
      </c>
      <c r="D113" s="7">
        <v>202</v>
      </c>
      <c r="E113" s="7">
        <v>107</v>
      </c>
      <c r="F113" s="7">
        <v>115</v>
      </c>
      <c r="G113" s="7">
        <v>126</v>
      </c>
      <c r="H113" s="7">
        <v>121</v>
      </c>
      <c r="I113" s="7">
        <v>117</v>
      </c>
      <c r="J113" s="7">
        <v>108</v>
      </c>
      <c r="K113" s="7">
        <v>157</v>
      </c>
      <c r="L113" s="7">
        <v>87</v>
      </c>
      <c r="M113" s="7">
        <v>112</v>
      </c>
    </row>
    <row r="114" spans="1:13" x14ac:dyDescent="0.2">
      <c r="A114" s="2" t="s">
        <v>182</v>
      </c>
      <c r="B114" s="7">
        <v>604</v>
      </c>
      <c r="C114" s="7">
        <v>547</v>
      </c>
      <c r="D114" s="7">
        <v>459</v>
      </c>
      <c r="E114" s="7">
        <v>419</v>
      </c>
      <c r="F114" s="7">
        <v>442</v>
      </c>
      <c r="G114" s="7">
        <v>487</v>
      </c>
      <c r="H114" s="7">
        <v>389</v>
      </c>
      <c r="I114" s="7">
        <v>328</v>
      </c>
      <c r="J114" s="7">
        <v>54</v>
      </c>
      <c r="K114" s="7">
        <v>0</v>
      </c>
      <c r="L114" s="7">
        <v>0</v>
      </c>
      <c r="M114" s="7">
        <v>0</v>
      </c>
    </row>
    <row r="115" spans="1:13" x14ac:dyDescent="0.2">
      <c r="A115" s="2" t="s">
        <v>183</v>
      </c>
      <c r="B115" s="7">
        <v>77</v>
      </c>
      <c r="C115" s="7">
        <v>79</v>
      </c>
      <c r="D115" s="7">
        <v>85</v>
      </c>
      <c r="E115" s="7">
        <v>87</v>
      </c>
      <c r="F115" s="7">
        <v>75</v>
      </c>
      <c r="G115" s="7">
        <v>75</v>
      </c>
      <c r="H115" s="7">
        <v>70</v>
      </c>
      <c r="I115" s="7">
        <v>47</v>
      </c>
      <c r="J115" s="7">
        <v>46</v>
      </c>
      <c r="K115" s="7">
        <v>55</v>
      </c>
      <c r="L115" s="7">
        <v>42</v>
      </c>
      <c r="M115" s="7">
        <v>34</v>
      </c>
    </row>
    <row r="116" spans="1:13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1:13" x14ac:dyDescent="0.2">
      <c r="A117" s="10" t="s">
        <v>80</v>
      </c>
      <c r="B117" s="8">
        <f t="shared" ref="B117:I117" si="14">SUM(B107:B116)</f>
        <v>6141</v>
      </c>
      <c r="C117" s="8">
        <f t="shared" si="14"/>
        <v>7609</v>
      </c>
      <c r="D117" s="8">
        <f t="shared" si="14"/>
        <v>8403</v>
      </c>
      <c r="E117" s="8">
        <f t="shared" si="14"/>
        <v>10002</v>
      </c>
      <c r="F117" s="8">
        <f t="shared" si="14"/>
        <v>7810</v>
      </c>
      <c r="G117" s="8">
        <f t="shared" si="14"/>
        <v>7369</v>
      </c>
      <c r="H117" s="8">
        <f t="shared" si="14"/>
        <v>4502</v>
      </c>
      <c r="I117" s="8">
        <f t="shared" si="14"/>
        <v>3650</v>
      </c>
      <c r="J117" s="8">
        <f>SUM(J107:J116)</f>
        <v>3161</v>
      </c>
      <c r="K117" s="8">
        <f>SUM(K107:K116)</f>
        <v>2006</v>
      </c>
      <c r="L117" s="8">
        <f>SUM(L107:L116)</f>
        <v>2097</v>
      </c>
      <c r="M117" s="8">
        <f>SUM(M107:M116)</f>
        <v>5502</v>
      </c>
    </row>
    <row r="118" spans="1:13" x14ac:dyDescent="0.2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1:13" ht="12" thickBot="1" x14ac:dyDescent="0.25">
      <c r="A119" s="15" t="s">
        <v>82</v>
      </c>
      <c r="B119" s="21">
        <f>+B117+B103</f>
        <v>212549</v>
      </c>
      <c r="C119" s="21">
        <f>+C117+C103</f>
        <v>217586</v>
      </c>
      <c r="D119" s="21">
        <f t="shared" ref="D119:M119" si="15">+D117+D103</f>
        <v>195178</v>
      </c>
      <c r="E119" s="21">
        <f t="shared" si="15"/>
        <v>172239</v>
      </c>
      <c r="F119" s="21">
        <f t="shared" si="15"/>
        <v>148300</v>
      </c>
      <c r="G119" s="21">
        <f t="shared" si="15"/>
        <v>121647</v>
      </c>
      <c r="H119" s="21">
        <f t="shared" si="15"/>
        <v>117431</v>
      </c>
      <c r="I119" s="21">
        <f t="shared" si="15"/>
        <v>116812</v>
      </c>
      <c r="J119" s="21">
        <f t="shared" si="15"/>
        <v>114144</v>
      </c>
      <c r="K119" s="21">
        <f t="shared" si="15"/>
        <v>107378</v>
      </c>
      <c r="L119" s="21">
        <f t="shared" si="15"/>
        <v>101745</v>
      </c>
      <c r="M119" s="21">
        <f t="shared" si="15"/>
        <v>96538</v>
      </c>
    </row>
    <row r="120" spans="1:13" ht="12" thickTop="1" x14ac:dyDescent="0.2">
      <c r="A120" s="15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3" x14ac:dyDescent="0.2">
      <c r="A121" s="15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3" x14ac:dyDescent="0.2">
      <c r="A122" s="15"/>
      <c r="B122" s="17"/>
      <c r="C122" s="17"/>
      <c r="D122" s="17"/>
      <c r="E122" s="38"/>
      <c r="F122" s="17"/>
      <c r="G122" s="17"/>
      <c r="H122" s="17"/>
      <c r="I122" s="17"/>
      <c r="J122" s="17"/>
      <c r="K122" s="17"/>
    </row>
    <row r="123" spans="1:13" x14ac:dyDescent="0.2">
      <c r="A123" s="15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3" x14ac:dyDescent="0.2">
      <c r="A124" s="15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3" x14ac:dyDescent="0.2">
      <c r="A125" s="15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3" ht="12.75" x14ac:dyDescent="0.2">
      <c r="A126" s="1"/>
    </row>
    <row r="133" spans="1:13" ht="12.75" x14ac:dyDescent="0.2">
      <c r="A133" s="1" t="s">
        <v>83</v>
      </c>
    </row>
    <row r="134" spans="1:13" x14ac:dyDescent="0.2">
      <c r="A134" s="2" t="s">
        <v>110</v>
      </c>
      <c r="B134" s="4">
        <v>36678</v>
      </c>
      <c r="C134" s="4">
        <v>36312</v>
      </c>
      <c r="D134" s="4">
        <v>35947</v>
      </c>
      <c r="E134" s="4">
        <v>35582</v>
      </c>
      <c r="F134" s="4">
        <v>35217</v>
      </c>
      <c r="G134" s="4">
        <v>34851</v>
      </c>
      <c r="H134" s="4">
        <v>34486</v>
      </c>
      <c r="I134" s="4">
        <v>34121</v>
      </c>
      <c r="J134" s="4">
        <v>33756</v>
      </c>
      <c r="K134" s="4">
        <v>33390</v>
      </c>
      <c r="L134" s="4">
        <v>32933</v>
      </c>
      <c r="M134" s="4">
        <v>32568</v>
      </c>
    </row>
    <row r="135" spans="1:13" x14ac:dyDescent="0.2">
      <c r="B135" s="5" t="s">
        <v>3</v>
      </c>
      <c r="C135" s="5" t="s">
        <v>3</v>
      </c>
      <c r="D135" s="5" t="s">
        <v>3</v>
      </c>
      <c r="E135" s="5" t="s">
        <v>3</v>
      </c>
      <c r="F135" s="5" t="s">
        <v>3</v>
      </c>
      <c r="G135" s="5" t="s">
        <v>3</v>
      </c>
      <c r="H135" s="5" t="s">
        <v>3</v>
      </c>
      <c r="I135" s="5" t="s">
        <v>3</v>
      </c>
      <c r="J135" s="5" t="s">
        <v>3</v>
      </c>
      <c r="K135" s="5" t="s">
        <v>3</v>
      </c>
      <c r="L135" s="5" t="s">
        <v>3</v>
      </c>
      <c r="M135" s="5" t="s">
        <v>3</v>
      </c>
    </row>
    <row r="136" spans="1:13" x14ac:dyDescent="0.2">
      <c r="A136" s="6" t="s">
        <v>84</v>
      </c>
    </row>
    <row r="138" spans="1:13" x14ac:dyDescent="0.2">
      <c r="A138" s="25" t="s">
        <v>85</v>
      </c>
      <c r="B138" s="7"/>
      <c r="C138" s="7"/>
      <c r="D138" s="7"/>
      <c r="E138" s="7"/>
      <c r="F138" s="7"/>
      <c r="G138" s="7"/>
      <c r="H138" s="7"/>
    </row>
    <row r="139" spans="1:13" x14ac:dyDescent="0.2">
      <c r="A139" s="2" t="s">
        <v>86</v>
      </c>
      <c r="B139" s="7">
        <v>54874</v>
      </c>
      <c r="C139" s="7">
        <v>50645</v>
      </c>
      <c r="D139" s="7">
        <v>48449</v>
      </c>
      <c r="E139" s="7">
        <v>45416</v>
      </c>
      <c r="F139" s="7">
        <v>41273</v>
      </c>
      <c r="G139" s="7">
        <v>40082</v>
      </c>
      <c r="H139" s="7">
        <v>36596</v>
      </c>
      <c r="I139" s="7">
        <v>33650</v>
      </c>
      <c r="J139" s="7">
        <v>28656</v>
      </c>
      <c r="K139" s="7">
        <v>34679</v>
      </c>
      <c r="L139" s="7">
        <v>27193</v>
      </c>
      <c r="M139" s="7">
        <v>13777</v>
      </c>
    </row>
    <row r="140" spans="1:13" x14ac:dyDescent="0.2">
      <c r="A140" s="2" t="s">
        <v>87</v>
      </c>
      <c r="B140" s="7">
        <v>236</v>
      </c>
      <c r="C140" s="7">
        <v>160</v>
      </c>
      <c r="D140" s="7">
        <v>632</v>
      </c>
      <c r="E140" s="7">
        <v>601</v>
      </c>
      <c r="F140" s="7">
        <v>247</v>
      </c>
      <c r="G140" s="7">
        <v>723</v>
      </c>
      <c r="H140" s="7">
        <v>55</v>
      </c>
      <c r="I140" s="7">
        <v>47</v>
      </c>
      <c r="J140" s="7">
        <v>75</v>
      </c>
      <c r="K140" s="7">
        <v>0</v>
      </c>
      <c r="L140" s="7">
        <v>0</v>
      </c>
      <c r="M140" s="7">
        <v>1123</v>
      </c>
    </row>
    <row r="141" spans="1:13" x14ac:dyDescent="0.2">
      <c r="A141" s="2" t="s">
        <v>184</v>
      </c>
      <c r="B141" s="7">
        <v>0</v>
      </c>
      <c r="C141" s="7">
        <v>137</v>
      </c>
      <c r="D141" s="7">
        <v>849</v>
      </c>
      <c r="E141" s="7">
        <v>0</v>
      </c>
      <c r="F141" s="7">
        <v>2</v>
      </c>
      <c r="G141" s="7">
        <v>0</v>
      </c>
      <c r="H141" s="7">
        <v>43</v>
      </c>
      <c r="I141" s="7">
        <v>126</v>
      </c>
      <c r="J141" s="7">
        <v>0</v>
      </c>
      <c r="K141" s="7">
        <v>289</v>
      </c>
      <c r="L141" s="7">
        <v>0</v>
      </c>
      <c r="M141" s="7">
        <v>435</v>
      </c>
    </row>
    <row r="142" spans="1:13" x14ac:dyDescent="0.2">
      <c r="B142" s="8">
        <f t="shared" ref="B142:I142" si="16">SUM(B139:B141)</f>
        <v>55110</v>
      </c>
      <c r="C142" s="8">
        <f t="shared" si="16"/>
        <v>50942</v>
      </c>
      <c r="D142" s="8">
        <f t="shared" si="16"/>
        <v>49930</v>
      </c>
      <c r="E142" s="8">
        <f t="shared" si="16"/>
        <v>46017</v>
      </c>
      <c r="F142" s="8">
        <f t="shared" si="16"/>
        <v>41522</v>
      </c>
      <c r="G142" s="8">
        <f t="shared" si="16"/>
        <v>40805</v>
      </c>
      <c r="H142" s="8">
        <f t="shared" si="16"/>
        <v>36694</v>
      </c>
      <c r="I142" s="8">
        <f t="shared" si="16"/>
        <v>33823</v>
      </c>
      <c r="J142" s="8">
        <f>SUM(J139:J141)</f>
        <v>28731</v>
      </c>
      <c r="K142" s="8">
        <f>SUM(K139:K141)</f>
        <v>34968</v>
      </c>
      <c r="L142" s="8">
        <f>SUM(L139:L141)</f>
        <v>27193</v>
      </c>
      <c r="M142" s="8">
        <f>SUM(M139:M141)</f>
        <v>15335</v>
      </c>
    </row>
    <row r="143" spans="1:13" x14ac:dyDescent="0.2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1:13" x14ac:dyDescent="0.2">
      <c r="A144" s="25" t="s">
        <v>88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1:13" x14ac:dyDescent="0.2">
      <c r="A145" s="2" t="s">
        <v>89</v>
      </c>
      <c r="B145" s="7">
        <v>19291</v>
      </c>
      <c r="C145" s="7">
        <v>18278</v>
      </c>
      <c r="D145" s="7">
        <v>19335</v>
      </c>
      <c r="E145" s="7">
        <v>17500</v>
      </c>
      <c r="F145" s="7">
        <v>15528</v>
      </c>
      <c r="G145" s="7">
        <v>15351</v>
      </c>
      <c r="H145" s="7">
        <v>14705</v>
      </c>
      <c r="I145" s="7">
        <v>13830</v>
      </c>
      <c r="J145" s="7">
        <v>12783</v>
      </c>
      <c r="K145" s="7">
        <v>14368</v>
      </c>
      <c r="L145" s="7">
        <v>10250</v>
      </c>
      <c r="M145" s="7">
        <v>6119</v>
      </c>
    </row>
    <row r="146" spans="1:13" x14ac:dyDescent="0.2">
      <c r="A146" s="2" t="s">
        <v>151</v>
      </c>
      <c r="B146" s="7">
        <v>5211</v>
      </c>
      <c r="C146" s="7">
        <v>5071</v>
      </c>
      <c r="D146" s="7">
        <v>4634</v>
      </c>
      <c r="E146" s="7">
        <v>3048</v>
      </c>
      <c r="F146" s="7">
        <v>2481</v>
      </c>
      <c r="G146" s="7">
        <v>2469</v>
      </c>
      <c r="H146" s="7">
        <v>2617</v>
      </c>
      <c r="I146" s="7">
        <v>3234</v>
      </c>
      <c r="J146" s="7">
        <v>3785</v>
      </c>
      <c r="K146" s="7">
        <v>6457</v>
      </c>
      <c r="L146" s="7">
        <v>5119</v>
      </c>
      <c r="M146" s="7">
        <v>5034</v>
      </c>
    </row>
    <row r="147" spans="1:13" x14ac:dyDescent="0.2">
      <c r="A147" s="2" t="s">
        <v>185</v>
      </c>
      <c r="B147" s="7">
        <v>5927</v>
      </c>
      <c r="C147" s="7">
        <v>5892</v>
      </c>
      <c r="D147" s="7">
        <v>2913</v>
      </c>
      <c r="E147" s="7">
        <v>6137</v>
      </c>
      <c r="F147" s="7">
        <v>6557</v>
      </c>
      <c r="G147" s="7">
        <v>6364</v>
      </c>
      <c r="H147" s="7">
        <v>5539</v>
      </c>
      <c r="I147" s="7">
        <v>4275</v>
      </c>
      <c r="J147" s="7">
        <v>3633</v>
      </c>
      <c r="K147" s="7">
        <v>3326</v>
      </c>
      <c r="L147" s="7">
        <v>2161</v>
      </c>
      <c r="M147" s="7">
        <v>900</v>
      </c>
    </row>
    <row r="148" spans="1:13" x14ac:dyDescent="0.2">
      <c r="A148" s="2" t="s">
        <v>186</v>
      </c>
      <c r="B148" s="7">
        <v>46</v>
      </c>
      <c r="C148" s="7">
        <v>0</v>
      </c>
      <c r="D148" s="7">
        <v>0</v>
      </c>
      <c r="E148" s="7">
        <v>912</v>
      </c>
      <c r="F148" s="7">
        <v>0</v>
      </c>
      <c r="G148" s="7">
        <v>31</v>
      </c>
      <c r="H148" s="7">
        <v>0</v>
      </c>
      <c r="I148" s="7">
        <v>0</v>
      </c>
      <c r="J148" s="7">
        <v>271</v>
      </c>
      <c r="K148" s="7">
        <v>0</v>
      </c>
      <c r="L148" s="7">
        <v>574</v>
      </c>
      <c r="M148" s="7">
        <v>0</v>
      </c>
    </row>
    <row r="149" spans="1:13" x14ac:dyDescent="0.2">
      <c r="B149" s="8">
        <f t="shared" ref="B149:I149" si="17">SUM(B145:B148)</f>
        <v>30475</v>
      </c>
      <c r="C149" s="8">
        <f t="shared" si="17"/>
        <v>29241</v>
      </c>
      <c r="D149" s="8">
        <f t="shared" si="17"/>
        <v>26882</v>
      </c>
      <c r="E149" s="8">
        <f t="shared" si="17"/>
        <v>27597</v>
      </c>
      <c r="F149" s="8">
        <f t="shared" si="17"/>
        <v>24566</v>
      </c>
      <c r="G149" s="8">
        <f t="shared" si="17"/>
        <v>24215</v>
      </c>
      <c r="H149" s="8">
        <f t="shared" si="17"/>
        <v>22861</v>
      </c>
      <c r="I149" s="8">
        <f t="shared" si="17"/>
        <v>21339</v>
      </c>
      <c r="J149" s="8">
        <f>SUM(J145:J148)</f>
        <v>20472</v>
      </c>
      <c r="K149" s="8">
        <f>SUM(K145:K148)</f>
        <v>24151</v>
      </c>
      <c r="L149" s="8">
        <f>SUM(L145:L148)</f>
        <v>18104</v>
      </c>
      <c r="M149" s="8">
        <f>SUM(M145:M148)</f>
        <v>12053</v>
      </c>
    </row>
    <row r="150" spans="1:13" x14ac:dyDescent="0.2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1:13" ht="12" thickBot="1" x14ac:dyDescent="0.25">
      <c r="A151" s="15" t="s">
        <v>92</v>
      </c>
      <c r="B151" s="11">
        <f>+B142-B149</f>
        <v>24635</v>
      </c>
      <c r="C151" s="11">
        <f>+C142-C149</f>
        <v>21701</v>
      </c>
      <c r="D151" s="11">
        <f t="shared" ref="D151:M151" si="18">+D142-D149</f>
        <v>23048</v>
      </c>
      <c r="E151" s="11">
        <f t="shared" si="18"/>
        <v>18420</v>
      </c>
      <c r="F151" s="11">
        <f t="shared" si="18"/>
        <v>16956</v>
      </c>
      <c r="G151" s="11">
        <f t="shared" si="18"/>
        <v>16590</v>
      </c>
      <c r="H151" s="11">
        <f t="shared" si="18"/>
        <v>13833</v>
      </c>
      <c r="I151" s="11">
        <f t="shared" si="18"/>
        <v>12484</v>
      </c>
      <c r="J151" s="11">
        <f t="shared" si="18"/>
        <v>8259</v>
      </c>
      <c r="K151" s="11">
        <f t="shared" si="18"/>
        <v>10817</v>
      </c>
      <c r="L151" s="11">
        <f t="shared" si="18"/>
        <v>9089</v>
      </c>
      <c r="M151" s="11">
        <f t="shared" si="18"/>
        <v>3282</v>
      </c>
    </row>
    <row r="152" spans="1:13" ht="12" thickTop="1" x14ac:dyDescent="0.2"/>
    <row r="153" spans="1:13" x14ac:dyDescent="0.2">
      <c r="A153" s="6" t="s">
        <v>93</v>
      </c>
    </row>
    <row r="155" spans="1:13" x14ac:dyDescent="0.2">
      <c r="A155" s="25" t="s">
        <v>85</v>
      </c>
    </row>
    <row r="156" spans="1:13" x14ac:dyDescent="0.2">
      <c r="A156" s="2" t="s">
        <v>94</v>
      </c>
      <c r="B156" s="7">
        <v>46</v>
      </c>
      <c r="C156" s="7">
        <v>39</v>
      </c>
      <c r="D156" s="7">
        <v>175</v>
      </c>
      <c r="E156" s="7">
        <v>74</v>
      </c>
      <c r="F156" s="7">
        <v>89</v>
      </c>
      <c r="G156" s="7">
        <v>36</v>
      </c>
      <c r="H156" s="7">
        <v>157</v>
      </c>
      <c r="I156" s="7">
        <v>169</v>
      </c>
      <c r="J156" s="7">
        <v>32</v>
      </c>
      <c r="K156" s="7">
        <v>49</v>
      </c>
      <c r="L156" s="7">
        <v>52</v>
      </c>
      <c r="M156" s="7">
        <v>0</v>
      </c>
    </row>
    <row r="157" spans="1:13" x14ac:dyDescent="0.2">
      <c r="B157" s="7"/>
      <c r="C157" s="7"/>
      <c r="D157" s="7"/>
      <c r="E157" s="7"/>
      <c r="F157" s="7"/>
      <c r="G157" s="7"/>
      <c r="H157" s="7"/>
    </row>
    <row r="158" spans="1:13" x14ac:dyDescent="0.2">
      <c r="A158" s="25" t="s">
        <v>88</v>
      </c>
      <c r="B158" s="7"/>
      <c r="C158" s="7"/>
      <c r="D158" s="7"/>
      <c r="E158" s="7"/>
      <c r="F158" s="7"/>
      <c r="G158" s="7"/>
      <c r="H158" s="7"/>
    </row>
    <row r="159" spans="1:13" x14ac:dyDescent="0.2">
      <c r="A159" s="2" t="s">
        <v>141</v>
      </c>
      <c r="B159" s="7">
        <v>6677</v>
      </c>
      <c r="C159" s="7">
        <v>9556</v>
      </c>
      <c r="D159" s="7">
        <v>37205</v>
      </c>
      <c r="E159" s="7">
        <v>30401</v>
      </c>
      <c r="F159" s="7">
        <v>10428</v>
      </c>
      <c r="G159" s="7">
        <v>5844</v>
      </c>
      <c r="H159" s="7">
        <v>4870</v>
      </c>
      <c r="I159" s="7">
        <v>7873</v>
      </c>
      <c r="J159" s="7">
        <v>7145</v>
      </c>
      <c r="K159" s="7">
        <v>12051</v>
      </c>
      <c r="L159" s="7">
        <v>13037</v>
      </c>
      <c r="M159" s="7">
        <v>94310</v>
      </c>
    </row>
    <row r="160" spans="1:13" x14ac:dyDescent="0.2">
      <c r="B160" s="7"/>
      <c r="C160" s="7"/>
      <c r="D160" s="7"/>
      <c r="E160" s="7"/>
      <c r="F160" s="7"/>
      <c r="G160" s="7"/>
      <c r="H160" s="7"/>
    </row>
    <row r="161" spans="1:13" ht="12" thickBot="1" x14ac:dyDescent="0.25">
      <c r="A161" s="15" t="s">
        <v>98</v>
      </c>
      <c r="B161" s="26">
        <f>+B156-B159</f>
        <v>-6631</v>
      </c>
      <c r="C161" s="26">
        <f>+C156-C159</f>
        <v>-9517</v>
      </c>
      <c r="D161" s="26">
        <f t="shared" ref="D161:M161" si="19">+D156-D159</f>
        <v>-37030</v>
      </c>
      <c r="E161" s="26">
        <f t="shared" si="19"/>
        <v>-30327</v>
      </c>
      <c r="F161" s="26">
        <f t="shared" si="19"/>
        <v>-10339</v>
      </c>
      <c r="G161" s="26">
        <f t="shared" si="19"/>
        <v>-5808</v>
      </c>
      <c r="H161" s="26">
        <f t="shared" si="19"/>
        <v>-4713</v>
      </c>
      <c r="I161" s="26">
        <f t="shared" si="19"/>
        <v>-7704</v>
      </c>
      <c r="J161" s="26">
        <f t="shared" si="19"/>
        <v>-7113</v>
      </c>
      <c r="K161" s="26">
        <f t="shared" si="19"/>
        <v>-12002</v>
      </c>
      <c r="L161" s="26">
        <f t="shared" si="19"/>
        <v>-12985</v>
      </c>
      <c r="M161" s="26">
        <f t="shared" si="19"/>
        <v>-94310</v>
      </c>
    </row>
    <row r="162" spans="1:13" ht="12" thickTop="1" x14ac:dyDescent="0.2">
      <c r="B162" s="7"/>
      <c r="C162" s="7"/>
      <c r="D162" s="7"/>
      <c r="E162" s="7"/>
      <c r="F162" s="7"/>
      <c r="G162" s="7"/>
      <c r="H162" s="7"/>
    </row>
    <row r="163" spans="1:13" x14ac:dyDescent="0.2">
      <c r="A163" s="6" t="s">
        <v>99</v>
      </c>
      <c r="B163" s="7"/>
      <c r="C163" s="7"/>
      <c r="D163" s="7"/>
      <c r="E163" s="7"/>
      <c r="F163" s="7"/>
      <c r="G163" s="7"/>
      <c r="H163" s="7"/>
    </row>
    <row r="164" spans="1:13" x14ac:dyDescent="0.2">
      <c r="B164" s="7"/>
      <c r="C164" s="7"/>
      <c r="D164" s="7"/>
      <c r="E164" s="7"/>
      <c r="F164" s="7"/>
      <c r="G164" s="7"/>
      <c r="H164" s="7"/>
    </row>
    <row r="165" spans="1:13" x14ac:dyDescent="0.2">
      <c r="A165" s="25" t="s">
        <v>85</v>
      </c>
      <c r="B165" s="7"/>
      <c r="C165" s="7"/>
      <c r="D165" s="7"/>
      <c r="E165" s="7"/>
      <c r="F165" s="7"/>
      <c r="G165" s="7"/>
      <c r="H165" s="7"/>
    </row>
    <row r="166" spans="1:13" x14ac:dyDescent="0.2">
      <c r="A166" s="2" t="s">
        <v>100</v>
      </c>
      <c r="B166" s="7">
        <v>19347</v>
      </c>
      <c r="C166" s="7">
        <v>0</v>
      </c>
      <c r="D166" s="7">
        <v>23241</v>
      </c>
      <c r="E166" s="7">
        <v>17801</v>
      </c>
      <c r="F166" s="7">
        <v>29348</v>
      </c>
      <c r="G166" s="7">
        <v>0</v>
      </c>
      <c r="H166" s="7">
        <v>0</v>
      </c>
      <c r="I166" s="7">
        <v>4940</v>
      </c>
      <c r="J166" s="7">
        <v>2043</v>
      </c>
      <c r="K166" s="7">
        <v>39224</v>
      </c>
      <c r="L166" s="7">
        <v>1297</v>
      </c>
      <c r="M166" s="7">
        <v>93120</v>
      </c>
    </row>
    <row r="167" spans="1:13" x14ac:dyDescent="0.2">
      <c r="B167" s="7"/>
      <c r="C167" s="7"/>
      <c r="D167" s="7"/>
      <c r="E167" s="7"/>
      <c r="F167" s="7"/>
      <c r="G167" s="7"/>
      <c r="H167" s="7"/>
      <c r="K167" s="7"/>
      <c r="L167" s="7"/>
      <c r="M167" s="7"/>
    </row>
    <row r="168" spans="1:13" x14ac:dyDescent="0.2">
      <c r="A168" s="25" t="s">
        <v>88</v>
      </c>
      <c r="B168" s="7"/>
      <c r="C168" s="7"/>
      <c r="D168" s="7"/>
      <c r="E168" s="7"/>
      <c r="F168" s="7"/>
      <c r="G168" s="7"/>
      <c r="H168" s="7"/>
      <c r="K168" s="7"/>
      <c r="L168" s="7"/>
      <c r="M168" s="7"/>
    </row>
    <row r="169" spans="1:13" x14ac:dyDescent="0.2">
      <c r="A169" s="2" t="s">
        <v>187</v>
      </c>
      <c r="B169" s="7">
        <v>0</v>
      </c>
      <c r="C169" s="7">
        <v>0</v>
      </c>
      <c r="D169" s="7">
        <v>0</v>
      </c>
      <c r="E169" s="7">
        <v>0</v>
      </c>
      <c r="F169" s="7">
        <v>31269</v>
      </c>
      <c r="G169" s="7">
        <v>3477</v>
      </c>
      <c r="H169" s="7">
        <v>5565</v>
      </c>
      <c r="I169" s="7">
        <v>5883</v>
      </c>
      <c r="J169" s="7">
        <v>0</v>
      </c>
      <c r="K169" s="7">
        <v>0</v>
      </c>
      <c r="L169" s="7">
        <v>0</v>
      </c>
      <c r="M169" s="7">
        <v>0</v>
      </c>
    </row>
    <row r="170" spans="1:13" x14ac:dyDescent="0.2">
      <c r="A170" s="2" t="s">
        <v>188</v>
      </c>
      <c r="B170" s="7">
        <v>0</v>
      </c>
      <c r="C170" s="7">
        <v>7131</v>
      </c>
      <c r="D170" s="7">
        <v>0</v>
      </c>
      <c r="E170" s="7">
        <v>0</v>
      </c>
      <c r="F170" s="7">
        <v>0</v>
      </c>
      <c r="G170" s="7">
        <v>57</v>
      </c>
      <c r="H170" s="7">
        <v>64</v>
      </c>
      <c r="I170" s="7">
        <v>1100</v>
      </c>
      <c r="J170" s="7">
        <v>43</v>
      </c>
      <c r="K170" s="7">
        <f>35520+45</f>
        <v>35565</v>
      </c>
      <c r="L170" s="7">
        <v>0</v>
      </c>
      <c r="M170" s="7">
        <v>0</v>
      </c>
    </row>
    <row r="171" spans="1:13" x14ac:dyDescent="0.2">
      <c r="A171" s="2" t="s">
        <v>103</v>
      </c>
      <c r="B171" s="7">
        <v>38179</v>
      </c>
      <c r="C171" s="7">
        <v>6677</v>
      </c>
      <c r="D171" s="7">
        <v>7608</v>
      </c>
      <c r="E171" s="7">
        <v>6048</v>
      </c>
      <c r="F171" s="7">
        <v>5184</v>
      </c>
      <c r="G171" s="7">
        <v>4147</v>
      </c>
      <c r="H171" s="7">
        <v>3456</v>
      </c>
      <c r="I171" s="7">
        <v>2880</v>
      </c>
      <c r="J171" s="7">
        <v>1728</v>
      </c>
      <c r="K171" s="7">
        <v>2389</v>
      </c>
      <c r="L171" s="7">
        <v>724</v>
      </c>
      <c r="M171" s="7">
        <v>0</v>
      </c>
    </row>
    <row r="172" spans="1:13" x14ac:dyDescent="0.2">
      <c r="B172" s="8">
        <f t="shared" ref="B172:I172" si="20">SUM(B169:B171)</f>
        <v>38179</v>
      </c>
      <c r="C172" s="8">
        <f t="shared" si="20"/>
        <v>13808</v>
      </c>
      <c r="D172" s="8">
        <f t="shared" si="20"/>
        <v>7608</v>
      </c>
      <c r="E172" s="8">
        <f t="shared" si="20"/>
        <v>6048</v>
      </c>
      <c r="F172" s="8">
        <f t="shared" si="20"/>
        <v>36453</v>
      </c>
      <c r="G172" s="8">
        <f t="shared" si="20"/>
        <v>7681</v>
      </c>
      <c r="H172" s="8">
        <f t="shared" si="20"/>
        <v>9085</v>
      </c>
      <c r="I172" s="8">
        <f t="shared" si="20"/>
        <v>9863</v>
      </c>
      <c r="J172" s="8">
        <f>SUM(J169:J171)</f>
        <v>1771</v>
      </c>
      <c r="K172" s="8">
        <f>SUM(K169:K171)</f>
        <v>37954</v>
      </c>
      <c r="L172" s="8">
        <f>SUM(L169:L171)</f>
        <v>724</v>
      </c>
      <c r="M172" s="8">
        <f>SUM(M169:M171)</f>
        <v>0</v>
      </c>
    </row>
    <row r="173" spans="1:13" x14ac:dyDescent="0.2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spans="1:13" ht="12" thickBot="1" x14ac:dyDescent="0.25">
      <c r="A174" s="15" t="s">
        <v>104</v>
      </c>
      <c r="B174" s="26">
        <f>+B166-B172</f>
        <v>-18832</v>
      </c>
      <c r="C174" s="26">
        <f>+C166-C172</f>
        <v>-13808</v>
      </c>
      <c r="D174" s="11">
        <f t="shared" ref="D174:M174" si="21">+D166-D172</f>
        <v>15633</v>
      </c>
      <c r="E174" s="11">
        <f t="shared" si="21"/>
        <v>11753</v>
      </c>
      <c r="F174" s="26">
        <f t="shared" si="21"/>
        <v>-7105</v>
      </c>
      <c r="G174" s="26">
        <f t="shared" si="21"/>
        <v>-7681</v>
      </c>
      <c r="H174" s="26">
        <f t="shared" si="21"/>
        <v>-9085</v>
      </c>
      <c r="I174" s="26">
        <f t="shared" si="21"/>
        <v>-4923</v>
      </c>
      <c r="J174" s="26">
        <f t="shared" si="21"/>
        <v>272</v>
      </c>
      <c r="K174" s="26">
        <f t="shared" si="21"/>
        <v>1270</v>
      </c>
      <c r="L174" s="26">
        <f t="shared" si="21"/>
        <v>573</v>
      </c>
      <c r="M174" s="26">
        <f t="shared" si="21"/>
        <v>93120</v>
      </c>
    </row>
    <row r="175" spans="1:13" ht="12" thickTop="1" x14ac:dyDescent="0.2"/>
    <row r="176" spans="1:13" s="15" customFormat="1" x14ac:dyDescent="0.2">
      <c r="A176" s="15" t="s">
        <v>105</v>
      </c>
      <c r="B176" s="27">
        <f>+B174+B161+B151</f>
        <v>-828</v>
      </c>
      <c r="C176" s="27">
        <f>+C174+C161+C151</f>
        <v>-1624</v>
      </c>
      <c r="D176" s="28">
        <f t="shared" ref="D176:M176" si="22">+D174+D161+D151</f>
        <v>1651</v>
      </c>
      <c r="E176" s="27">
        <f t="shared" si="22"/>
        <v>-154</v>
      </c>
      <c r="F176" s="27">
        <f t="shared" si="22"/>
        <v>-488</v>
      </c>
      <c r="G176" s="28">
        <f t="shared" si="22"/>
        <v>3101</v>
      </c>
      <c r="H176" s="28">
        <f t="shared" si="22"/>
        <v>35</v>
      </c>
      <c r="I176" s="27">
        <f t="shared" si="22"/>
        <v>-143</v>
      </c>
      <c r="J176" s="28">
        <f t="shared" si="22"/>
        <v>1418</v>
      </c>
      <c r="K176" s="28">
        <f t="shared" si="22"/>
        <v>85</v>
      </c>
      <c r="L176" s="27">
        <f t="shared" si="22"/>
        <v>-3323</v>
      </c>
      <c r="M176" s="28">
        <f t="shared" si="22"/>
        <v>2092</v>
      </c>
    </row>
    <row r="177" spans="1:13" x14ac:dyDescent="0.2">
      <c r="A177" s="2" t="s">
        <v>106</v>
      </c>
      <c r="B177" s="7">
        <f>+C178</f>
        <v>2651</v>
      </c>
      <c r="C177" s="7">
        <v>4275</v>
      </c>
      <c r="D177" s="7">
        <v>2624</v>
      </c>
      <c r="E177" s="7">
        <v>2778</v>
      </c>
      <c r="F177" s="7">
        <v>3266</v>
      </c>
      <c r="G177" s="7">
        <v>165</v>
      </c>
      <c r="H177" s="7">
        <v>130</v>
      </c>
      <c r="I177" s="7">
        <v>273</v>
      </c>
      <c r="J177" s="13">
        <v>-1145</v>
      </c>
      <c r="K177" s="13">
        <v>-1230</v>
      </c>
      <c r="L177" s="7">
        <v>2093</v>
      </c>
      <c r="M177" s="7">
        <v>0</v>
      </c>
    </row>
    <row r="178" spans="1:13" s="15" customFormat="1" ht="12" thickBot="1" x14ac:dyDescent="0.25">
      <c r="A178" s="15" t="s">
        <v>107</v>
      </c>
      <c r="B178" s="21">
        <f t="shared" ref="B178:I178" si="23">SUM(B176:B177)</f>
        <v>1823</v>
      </c>
      <c r="C178" s="21">
        <f t="shared" si="23"/>
        <v>2651</v>
      </c>
      <c r="D178" s="21">
        <f t="shared" si="23"/>
        <v>4275</v>
      </c>
      <c r="E178" s="21">
        <f t="shared" si="23"/>
        <v>2624</v>
      </c>
      <c r="F178" s="21">
        <f t="shared" si="23"/>
        <v>2778</v>
      </c>
      <c r="G178" s="21">
        <f t="shared" si="23"/>
        <v>3266</v>
      </c>
      <c r="H178" s="21">
        <f t="shared" si="23"/>
        <v>165</v>
      </c>
      <c r="I178" s="21">
        <f t="shared" si="23"/>
        <v>130</v>
      </c>
      <c r="J178" s="21">
        <f>SUM(J176:J177)</f>
        <v>273</v>
      </c>
      <c r="K178" s="29">
        <f>SUM(K176:K177)</f>
        <v>-1145</v>
      </c>
      <c r="L178" s="29">
        <f>SUM(L176:L177)</f>
        <v>-1230</v>
      </c>
      <c r="M178" s="21">
        <f>SUM(M176:M177)</f>
        <v>2092</v>
      </c>
    </row>
    <row r="179" spans="1:13" ht="12" thickTop="1" x14ac:dyDescent="0.2"/>
  </sheetData>
  <mergeCells count="1">
    <mergeCell ref="M5:M6"/>
  </mergeCells>
  <pageMargins left="0.25" right="0.25" top="0.49" bottom="0.27559055118110237" header="0.19685039370078741" footer="0.27559055118110237"/>
  <pageSetup paperSize="9" scale="92" fitToHeight="4" orientation="landscape" r:id="rId1"/>
  <headerFooter alignWithMargins="0">
    <oddHeader>&amp;CCIAL FINANCIAL ACCOUNTS</oddHeader>
  </headerFooter>
  <rowBreaks count="3" manualBreakCount="3">
    <brk id="41" max="16383" man="1"/>
    <brk id="88" max="16383" man="1"/>
    <brk id="132" max="16383" man="1"/>
  </rowBreaks>
  <customProperties>
    <customPr name="FormulaDeskUniqu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AIAL</vt:lpstr>
      <vt:lpstr>WIAL</vt:lpstr>
      <vt:lpstr>CIAL</vt:lpstr>
    </vt:vector>
  </TitlesOfParts>
  <Company>Commerce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Brown</dc:creator>
  <cp:lastModifiedBy>Felienne</cp:lastModifiedBy>
  <cp:lastPrinted>2000-12-06T03:51:22Z</cp:lastPrinted>
  <dcterms:created xsi:type="dcterms:W3CDTF">2000-10-31T22:33:15Z</dcterms:created>
  <dcterms:modified xsi:type="dcterms:W3CDTF">2015-08-27T11:07:34Z</dcterms:modified>
</cp:coreProperties>
</file>