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kulag\Documents\ITMO\Физика\лабы\"/>
    </mc:Choice>
  </mc:AlternateContent>
  <xr:revisionPtr revIDLastSave="0" documentId="13_ncr:1_{518452E4-8AB9-45D4-97E9-1E940677FB27}" xr6:coauthVersionLast="47" xr6:coauthVersionMax="47" xr10:uidLastSave="{00000000-0000-0000-0000-000000000000}"/>
  <bookViews>
    <workbookView xWindow="-98" yWindow="-98" windowWidth="24196" windowHeight="14476" firstSheet="2" activeTab="7" xr2:uid="{00000000-000D-0000-FFFF-FFFF00000000}"/>
  </bookViews>
  <sheets>
    <sheet name="Погрешности косвенные (Шаблон)" sheetId="9" state="hidden" r:id="rId1"/>
    <sheet name="МНК (Шаблон)" sheetId="4" state="hidden" r:id="rId2"/>
    <sheet name="предисловие" sheetId="28" r:id="rId3"/>
    <sheet name="Таблица 1" sheetId="1" r:id="rId4"/>
    <sheet name="Таблица 2" sheetId="2" r:id="rId5"/>
    <sheet name="Таблица 3" sheetId="19" r:id="rId6"/>
    <sheet name="График 1" sheetId="23" r:id="rId7"/>
    <sheet name="График 2" sheetId="24" r:id="rId8"/>
    <sheet name="Печать 1" sheetId="25" r:id="rId9"/>
    <sheet name="Печать 2" sheetId="26" r:id="rId10"/>
    <sheet name="Печать 3" sheetId="27" r:id="rId11"/>
    <sheet name="Параметры установки" sheetId="22" r:id="rId12"/>
    <sheet name="Погрешности прямые (t)" sheetId="13" r:id="rId13"/>
    <sheet name="Погрешности прямые (a)" sheetId="5" r:id="rId14"/>
    <sheet name="Погрешности косвенные (a)" sheetId="12" r:id="rId15"/>
    <sheet name="Погрешности прямые (e)" sheetId="6" r:id="rId16"/>
    <sheet name="Погрешности косвенные (e)" sheetId="10" r:id="rId17"/>
    <sheet name="Погрешности прямые (M)" sheetId="7" r:id="rId18"/>
    <sheet name="Погрешности косвенные (M)" sheetId="11" r:id="rId19"/>
    <sheet name="МНК рис.1" sheetId="8" r:id="rId20"/>
    <sheet name="МНК рис.2" sheetId="14" r:id="rId21"/>
    <sheet name="МНК рис.3" sheetId="15" r:id="rId22"/>
    <sheet name="МНК рис.4" sheetId="16" r:id="rId23"/>
    <sheet name="МНК рис.5" sheetId="17" r:id="rId24"/>
    <sheet name="МНК рис.6" sheetId="18" r:id="rId25"/>
    <sheet name="МНК I" sheetId="21" r:id="rId26"/>
    <sheet name="Лист1" sheetId="29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9" l="1"/>
  <c r="H4" i="19"/>
  <c r="H2" i="19"/>
  <c r="G3" i="2"/>
  <c r="G4" i="2"/>
  <c r="G5" i="2"/>
  <c r="G6" i="2"/>
  <c r="G7" i="2"/>
  <c r="G8" i="2"/>
  <c r="H4" i="2"/>
  <c r="H5" i="2"/>
  <c r="H6" i="2"/>
  <c r="H7" i="2"/>
  <c r="H8" i="2"/>
  <c r="H3" i="2"/>
  <c r="G19" i="25"/>
  <c r="F19" i="25"/>
  <c r="E19" i="25"/>
  <c r="D19" i="25"/>
  <c r="C19" i="25"/>
  <c r="B19" i="25"/>
  <c r="A16" i="25"/>
  <c r="G15" i="25"/>
  <c r="F15" i="25"/>
  <c r="E15" i="25"/>
  <c r="D15" i="25"/>
  <c r="C15" i="25"/>
  <c r="B15" i="25"/>
  <c r="A12" i="25"/>
  <c r="G11" i="25"/>
  <c r="F11" i="25"/>
  <c r="E11" i="25"/>
  <c r="D11" i="25"/>
  <c r="C11" i="25"/>
  <c r="B11" i="25"/>
  <c r="A8" i="25"/>
  <c r="G7" i="25"/>
  <c r="F7" i="25"/>
  <c r="E7" i="25"/>
  <c r="D7" i="25"/>
  <c r="C7" i="25"/>
  <c r="B7" i="25"/>
  <c r="A4" i="25"/>
  <c r="A15" i="1"/>
  <c r="A11" i="1"/>
  <c r="A7" i="1"/>
  <c r="A3" i="1"/>
  <c r="C2" i="19"/>
  <c r="C3" i="19" s="1"/>
  <c r="A3" i="21" s="1"/>
  <c r="D2" i="19"/>
  <c r="D3" i="19" s="1"/>
  <c r="A4" i="21" s="1"/>
  <c r="E2" i="19"/>
  <c r="E3" i="19" s="1"/>
  <c r="A5" i="21" s="1"/>
  <c r="F2" i="19"/>
  <c r="F3" i="19" s="1"/>
  <c r="A6" i="21" s="1"/>
  <c r="G2" i="19"/>
  <c r="G3" i="19" s="1"/>
  <c r="A7" i="21" s="1"/>
  <c r="B2" i="19"/>
  <c r="B3" i="19" s="1"/>
  <c r="A2" i="21" s="1"/>
  <c r="A4" i="13"/>
  <c r="A3" i="13"/>
  <c r="A2" i="13"/>
  <c r="B7" i="9"/>
  <c r="B8" i="9"/>
  <c r="B9" i="9" s="1"/>
  <c r="L2" i="21" l="1"/>
  <c r="E2" i="21" s="1"/>
  <c r="H2" i="13"/>
  <c r="B2" i="12" l="1"/>
  <c r="B4" i="10"/>
  <c r="B4" i="12"/>
  <c r="B2" i="10"/>
  <c r="C2" i="21"/>
  <c r="E4" i="21"/>
  <c r="C3" i="21"/>
  <c r="E7" i="21"/>
  <c r="E6" i="21"/>
  <c r="E5" i="21"/>
  <c r="E3" i="21"/>
  <c r="C7" i="21"/>
  <c r="C6" i="21"/>
  <c r="C5" i="21"/>
  <c r="C4" i="21"/>
  <c r="B4" i="13"/>
  <c r="B3" i="11"/>
  <c r="B3" i="10"/>
  <c r="B3" i="13"/>
  <c r="B2" i="13"/>
  <c r="B3" i="12"/>
  <c r="I2" i="13" l="1"/>
  <c r="K2" i="13" s="1"/>
  <c r="M2" i="13" s="1"/>
  <c r="B5" i="10" s="1"/>
  <c r="P2" i="21"/>
  <c r="N2" i="13" l="1"/>
  <c r="B5" i="11"/>
  <c r="B5" i="12"/>
  <c r="B7" i="12" s="1"/>
  <c r="B8" i="12" s="1"/>
  <c r="B6" i="12"/>
  <c r="M2" i="4"/>
  <c r="D3" i="4" s="1"/>
  <c r="L2" i="4"/>
  <c r="C2" i="4" s="1"/>
  <c r="B6" i="10" l="1"/>
  <c r="B6" i="11"/>
  <c r="C4" i="4"/>
  <c r="E8" i="4"/>
  <c r="E2" i="4"/>
  <c r="E7" i="4"/>
  <c r="C8" i="4"/>
  <c r="E6" i="4"/>
  <c r="C7" i="4"/>
  <c r="E5" i="4"/>
  <c r="C5" i="4"/>
  <c r="C6" i="4"/>
  <c r="E4" i="4"/>
  <c r="F6" i="4"/>
  <c r="F5" i="4"/>
  <c r="F8" i="4"/>
  <c r="F7" i="4"/>
  <c r="D8" i="4"/>
  <c r="F4" i="4"/>
  <c r="D5" i="4"/>
  <c r="D4" i="4"/>
  <c r="D7" i="4"/>
  <c r="D6" i="4"/>
  <c r="F2" i="4"/>
  <c r="F3" i="4"/>
  <c r="E3" i="4"/>
  <c r="C3" i="4"/>
  <c r="D2" i="4"/>
  <c r="A21" i="2"/>
  <c r="A15" i="2"/>
  <c r="A9" i="2"/>
  <c r="A3" i="2"/>
  <c r="B4" i="11" s="1"/>
  <c r="G18" i="1"/>
  <c r="C26" i="2" s="1"/>
  <c r="D26" i="2" s="1"/>
  <c r="E26" i="2" s="1"/>
  <c r="A5" i="18" s="1"/>
  <c r="F18" i="1"/>
  <c r="C25" i="2" s="1"/>
  <c r="D25" i="2" s="1"/>
  <c r="E25" i="2" s="1"/>
  <c r="A5" i="17" s="1"/>
  <c r="E18" i="1"/>
  <c r="C24" i="2" s="1"/>
  <c r="D24" i="2" s="1"/>
  <c r="E24" i="2" s="1"/>
  <c r="A5" i="16" s="1"/>
  <c r="D18" i="1"/>
  <c r="C23" i="2" s="1"/>
  <c r="D23" i="2" s="1"/>
  <c r="E23" i="2" s="1"/>
  <c r="A5" i="15" s="1"/>
  <c r="C18" i="1"/>
  <c r="C22" i="2" s="1"/>
  <c r="D22" i="2" s="1"/>
  <c r="E22" i="2" s="1"/>
  <c r="A5" i="14" s="1"/>
  <c r="B18" i="1"/>
  <c r="C21" i="2" s="1"/>
  <c r="D21" i="2" s="1"/>
  <c r="E21" i="2" s="1"/>
  <c r="A5" i="8" s="1"/>
  <c r="G14" i="1"/>
  <c r="C20" i="2" s="1"/>
  <c r="D20" i="2" s="1"/>
  <c r="E20" i="2" s="1"/>
  <c r="A4" i="18" s="1"/>
  <c r="F14" i="1"/>
  <c r="C19" i="2" s="1"/>
  <c r="D19" i="2" s="1"/>
  <c r="E19" i="2" s="1"/>
  <c r="A4" i="17" s="1"/>
  <c r="E14" i="1"/>
  <c r="C18" i="2" s="1"/>
  <c r="D18" i="2" s="1"/>
  <c r="E18" i="2" s="1"/>
  <c r="A4" i="16" s="1"/>
  <c r="D14" i="1"/>
  <c r="C17" i="2" s="1"/>
  <c r="D17" i="2" s="1"/>
  <c r="E17" i="2" s="1"/>
  <c r="A4" i="15" s="1"/>
  <c r="C14" i="1"/>
  <c r="C16" i="2" s="1"/>
  <c r="D16" i="2" s="1"/>
  <c r="E16" i="2" s="1"/>
  <c r="A4" i="14" s="1"/>
  <c r="B14" i="1"/>
  <c r="C15" i="2" s="1"/>
  <c r="D15" i="2" s="1"/>
  <c r="E15" i="2" s="1"/>
  <c r="A4" i="8" s="1"/>
  <c r="C10" i="1"/>
  <c r="C10" i="2" s="1"/>
  <c r="D10" i="2" s="1"/>
  <c r="E10" i="2" s="1"/>
  <c r="A3" i="14" s="1"/>
  <c r="D10" i="1"/>
  <c r="C11" i="2" s="1"/>
  <c r="D11" i="2" s="1"/>
  <c r="E11" i="2" s="1"/>
  <c r="A3" i="15" s="1"/>
  <c r="E10" i="1"/>
  <c r="C12" i="2" s="1"/>
  <c r="D12" i="2" s="1"/>
  <c r="E12" i="2" s="1"/>
  <c r="A3" i="16" s="1"/>
  <c r="F10" i="1"/>
  <c r="C13" i="2" s="1"/>
  <c r="D13" i="2" s="1"/>
  <c r="E13" i="2" s="1"/>
  <c r="A3" i="17" s="1"/>
  <c r="G10" i="1"/>
  <c r="C14" i="2" s="1"/>
  <c r="D14" i="2" s="1"/>
  <c r="E14" i="2" s="1"/>
  <c r="A3" i="18" s="1"/>
  <c r="B10" i="1"/>
  <c r="C9" i="2" s="1"/>
  <c r="D9" i="2" s="1"/>
  <c r="E9" i="2" s="1"/>
  <c r="A3" i="8" s="1"/>
  <c r="C6" i="1"/>
  <c r="C4" i="2" s="1"/>
  <c r="D4" i="2" s="1"/>
  <c r="D6" i="1"/>
  <c r="C5" i="2" s="1"/>
  <c r="D5" i="2" s="1"/>
  <c r="E6" i="1"/>
  <c r="C6" i="2" s="1"/>
  <c r="D6" i="2" s="1"/>
  <c r="F6" i="1"/>
  <c r="C7" i="2" s="1"/>
  <c r="D7" i="2" s="1"/>
  <c r="A6" i="5" s="1"/>
  <c r="G6" i="1"/>
  <c r="C8" i="2" s="1"/>
  <c r="D8" i="2" s="1"/>
  <c r="B6" i="1"/>
  <c r="C3" i="2" s="1"/>
  <c r="D3" i="2" s="1"/>
  <c r="B2" i="11" l="1"/>
  <c r="B7" i="11" s="1"/>
  <c r="B8" i="11" s="1"/>
  <c r="E5" i="2"/>
  <c r="A4" i="5"/>
  <c r="E6" i="2"/>
  <c r="A5" i="5"/>
  <c r="E3" i="2"/>
  <c r="A2" i="5"/>
  <c r="E8" i="2"/>
  <c r="A7" i="5"/>
  <c r="F26" i="2"/>
  <c r="B5" i="18" s="1"/>
  <c r="E4" i="2"/>
  <c r="A3" i="5"/>
  <c r="G5" i="4"/>
  <c r="P2" i="4"/>
  <c r="G4" i="4"/>
  <c r="G6" i="4"/>
  <c r="G7" i="4"/>
  <c r="G2" i="4"/>
  <c r="G8" i="4"/>
  <c r="G3" i="4"/>
  <c r="F6" i="2"/>
  <c r="E7" i="2"/>
  <c r="F7" i="2"/>
  <c r="F10" i="2"/>
  <c r="B3" i="14" s="1"/>
  <c r="F5" i="2"/>
  <c r="F18" i="2"/>
  <c r="B4" i="16" s="1"/>
  <c r="F22" i="2"/>
  <c r="B5" i="14" s="1"/>
  <c r="F23" i="2"/>
  <c r="B5" i="15" s="1"/>
  <c r="F4" i="2"/>
  <c r="F24" i="2"/>
  <c r="B5" i="16" s="1"/>
  <c r="F3" i="2"/>
  <c r="F25" i="2"/>
  <c r="B5" i="17" s="1"/>
  <c r="F8" i="2"/>
  <c r="F21" i="2"/>
  <c r="B5" i="8" s="1"/>
  <c r="F17" i="2"/>
  <c r="B4" i="15" s="1"/>
  <c r="F20" i="2"/>
  <c r="B4" i="18" s="1"/>
  <c r="F19" i="2"/>
  <c r="B4" i="17" s="1"/>
  <c r="F15" i="2"/>
  <c r="B4" i="8" s="1"/>
  <c r="F16" i="2"/>
  <c r="B4" i="14" s="1"/>
  <c r="F13" i="2"/>
  <c r="B3" i="17" s="1"/>
  <c r="F12" i="2"/>
  <c r="B3" i="16" s="1"/>
  <c r="F11" i="2"/>
  <c r="B3" i="15" s="1"/>
  <c r="F9" i="2"/>
  <c r="B3" i="8" s="1"/>
  <c r="F14" i="2"/>
  <c r="B3" i="18" s="1"/>
  <c r="B2" i="18" l="1"/>
  <c r="A7" i="7"/>
  <c r="A2" i="14"/>
  <c r="A3" i="6"/>
  <c r="A2" i="16"/>
  <c r="A5" i="6"/>
  <c r="B2" i="17"/>
  <c r="A6" i="7"/>
  <c r="B2" i="8"/>
  <c r="A2" i="7"/>
  <c r="A2" i="17"/>
  <c r="A6" i="6"/>
  <c r="N2" i="4"/>
  <c r="O2" i="4" s="1"/>
  <c r="H3" i="4" s="1"/>
  <c r="I3" i="4" s="1"/>
  <c r="A2" i="15"/>
  <c r="A4" i="6"/>
  <c r="B2" i="15"/>
  <c r="A4" i="7"/>
  <c r="B2" i="14"/>
  <c r="A3" i="7"/>
  <c r="H2" i="5"/>
  <c r="B4" i="5" s="1"/>
  <c r="B2" i="16"/>
  <c r="A5" i="7"/>
  <c r="A2" i="18"/>
  <c r="A7" i="6"/>
  <c r="A2" i="8"/>
  <c r="A2" i="6"/>
  <c r="H5" i="4" l="1"/>
  <c r="I5" i="4" s="1"/>
  <c r="B3" i="5"/>
  <c r="B2" i="5"/>
  <c r="L2" i="14"/>
  <c r="E2" i="14" s="1"/>
  <c r="M2" i="16"/>
  <c r="F2" i="16" s="1"/>
  <c r="L2" i="17"/>
  <c r="E2" i="17" s="1"/>
  <c r="H2" i="7"/>
  <c r="B9" i="11" s="1"/>
  <c r="L2" i="18"/>
  <c r="E2" i="18" s="1"/>
  <c r="H7" i="4"/>
  <c r="I7" i="4" s="1"/>
  <c r="M2" i="8"/>
  <c r="D2" i="8" s="1"/>
  <c r="M2" i="17"/>
  <c r="M2" i="14"/>
  <c r="D2" i="14" s="1"/>
  <c r="H6" i="4"/>
  <c r="I6" i="4" s="1"/>
  <c r="B5" i="5"/>
  <c r="L2" i="8"/>
  <c r="C2" i="8" s="1"/>
  <c r="H4" i="4"/>
  <c r="I4" i="4" s="1"/>
  <c r="R2" i="4" s="1"/>
  <c r="R4" i="4" s="1"/>
  <c r="R6" i="4" s="1"/>
  <c r="H2" i="4"/>
  <c r="I2" i="4" s="1"/>
  <c r="M2" i="15"/>
  <c r="F2" i="15" s="1"/>
  <c r="L2" i="16"/>
  <c r="E2" i="16" s="1"/>
  <c r="H8" i="4"/>
  <c r="I8" i="4" s="1"/>
  <c r="B9" i="12"/>
  <c r="B6" i="5"/>
  <c r="H2" i="6"/>
  <c r="B7" i="5"/>
  <c r="L2" i="15"/>
  <c r="M2" i="18"/>
  <c r="F2" i="18" s="1"/>
  <c r="Q2" i="4" l="1"/>
  <c r="Q4" i="4" s="1"/>
  <c r="Q6" i="4" s="1"/>
  <c r="B4" i="7"/>
  <c r="B7" i="7"/>
  <c r="B6" i="7"/>
  <c r="B3" i="7"/>
  <c r="E2" i="8"/>
  <c r="F2" i="8"/>
  <c r="C2" i="17"/>
  <c r="I2" i="5"/>
  <c r="K2" i="5" s="1"/>
  <c r="M2" i="5" s="1"/>
  <c r="N2" i="5" s="1"/>
  <c r="D2" i="15"/>
  <c r="C2" i="14"/>
  <c r="C2" i="16"/>
  <c r="B2" i="7"/>
  <c r="C4" i="15"/>
  <c r="C5" i="15"/>
  <c r="E3" i="15"/>
  <c r="C3" i="15"/>
  <c r="E4" i="15"/>
  <c r="E5" i="15"/>
  <c r="F5" i="17"/>
  <c r="D3" i="17"/>
  <c r="F3" i="17"/>
  <c r="D5" i="17"/>
  <c r="D4" i="17"/>
  <c r="F4" i="17"/>
  <c r="G2" i="18"/>
  <c r="D2" i="16"/>
  <c r="D4" i="16"/>
  <c r="F4" i="16"/>
  <c r="F5" i="16"/>
  <c r="D5" i="16"/>
  <c r="D3" i="16"/>
  <c r="F3" i="16"/>
  <c r="B2" i="6"/>
  <c r="C3" i="16"/>
  <c r="E3" i="16"/>
  <c r="E5" i="16"/>
  <c r="C5" i="16"/>
  <c r="C4" i="16"/>
  <c r="E4" i="16"/>
  <c r="B7" i="6"/>
  <c r="G2" i="16"/>
  <c r="F5" i="8"/>
  <c r="D4" i="8"/>
  <c r="F3" i="8"/>
  <c r="D5" i="8"/>
  <c r="F4" i="8"/>
  <c r="D3" i="8"/>
  <c r="D2" i="18"/>
  <c r="D3" i="18"/>
  <c r="D4" i="18"/>
  <c r="F4" i="18"/>
  <c r="F5" i="18"/>
  <c r="D5" i="18"/>
  <c r="F3" i="18"/>
  <c r="F2" i="14"/>
  <c r="G2" i="14" s="1"/>
  <c r="F4" i="14"/>
  <c r="D4" i="14"/>
  <c r="F5" i="14"/>
  <c r="D5" i="14"/>
  <c r="D3" i="14"/>
  <c r="F3" i="14"/>
  <c r="B3" i="6"/>
  <c r="G2" i="8"/>
  <c r="F2" i="17"/>
  <c r="G2" i="17" s="1"/>
  <c r="E3" i="18"/>
  <c r="E5" i="18"/>
  <c r="C3" i="18"/>
  <c r="E4" i="18"/>
  <c r="C4" i="18"/>
  <c r="C5" i="18"/>
  <c r="C5" i="17"/>
  <c r="E5" i="17"/>
  <c r="C4" i="17"/>
  <c r="E4" i="17"/>
  <c r="C3" i="17"/>
  <c r="E3" i="17"/>
  <c r="C3" i="14"/>
  <c r="C4" i="14"/>
  <c r="E4" i="14"/>
  <c r="E3" i="14"/>
  <c r="C5" i="14"/>
  <c r="E5" i="14"/>
  <c r="B4" i="6"/>
  <c r="C2" i="15"/>
  <c r="D3" i="15"/>
  <c r="D4" i="15"/>
  <c r="F4" i="15"/>
  <c r="D5" i="15"/>
  <c r="F5" i="15"/>
  <c r="F3" i="15"/>
  <c r="E2" i="15"/>
  <c r="G2" i="15" s="1"/>
  <c r="B5" i="6"/>
  <c r="E5" i="8"/>
  <c r="C5" i="8"/>
  <c r="E4" i="8"/>
  <c r="C4" i="8"/>
  <c r="E3" i="8"/>
  <c r="C3" i="8"/>
  <c r="D2" i="17"/>
  <c r="C2" i="18"/>
  <c r="B6" i="6"/>
  <c r="B5" i="7"/>
  <c r="J3" i="4"/>
  <c r="J4" i="4"/>
  <c r="J5" i="4"/>
  <c r="J6" i="4"/>
  <c r="J7" i="4"/>
  <c r="J8" i="4"/>
  <c r="J2" i="4"/>
  <c r="G5" i="14" l="1"/>
  <c r="G3" i="14"/>
  <c r="G5" i="17"/>
  <c r="G5" i="8"/>
  <c r="G4" i="8"/>
  <c r="G3" i="17"/>
  <c r="G4" i="17"/>
  <c r="G5" i="16"/>
  <c r="P2" i="8"/>
  <c r="P2" i="17"/>
  <c r="G5" i="18"/>
  <c r="G3" i="8"/>
  <c r="G4" i="14"/>
  <c r="I2" i="7"/>
  <c r="K2" i="7" s="1"/>
  <c r="M2" i="7" s="1"/>
  <c r="N2" i="7" s="1"/>
  <c r="P2" i="16"/>
  <c r="P2" i="14"/>
  <c r="G4" i="15"/>
  <c r="G3" i="15"/>
  <c r="G3" i="16"/>
  <c r="G4" i="16"/>
  <c r="P2" i="15"/>
  <c r="P2" i="18"/>
  <c r="G4" i="18"/>
  <c r="G3" i="18"/>
  <c r="I2" i="6"/>
  <c r="K2" i="6" s="1"/>
  <c r="M2" i="6" s="1"/>
  <c r="G5" i="15"/>
  <c r="N2" i="14" l="1"/>
  <c r="N2" i="17"/>
  <c r="O2" i="17" s="1"/>
  <c r="H2" i="17" s="1"/>
  <c r="I2" i="17" s="1"/>
  <c r="N2" i="8"/>
  <c r="O2" i="8" s="1"/>
  <c r="O2" i="14"/>
  <c r="H5" i="14" s="1"/>
  <c r="I5" i="14" s="1"/>
  <c r="C4" i="19"/>
  <c r="B3" i="21" s="1"/>
  <c r="N2" i="15"/>
  <c r="N2" i="18"/>
  <c r="N2" i="16"/>
  <c r="B7" i="10"/>
  <c r="B8" i="10" s="1"/>
  <c r="B9" i="10" s="1"/>
  <c r="N2" i="6"/>
  <c r="F4" i="19" l="1"/>
  <c r="B6" i="21" s="1"/>
  <c r="H4" i="8"/>
  <c r="I4" i="8" s="1"/>
  <c r="H5" i="8"/>
  <c r="I5" i="8" s="1"/>
  <c r="B4" i="19"/>
  <c r="B2" i="21" s="1"/>
  <c r="H4" i="17"/>
  <c r="I4" i="17" s="1"/>
  <c r="H3" i="17"/>
  <c r="I3" i="17" s="1"/>
  <c r="H5" i="17"/>
  <c r="I5" i="17" s="1"/>
  <c r="H2" i="14"/>
  <c r="I2" i="14" s="1"/>
  <c r="H3" i="14"/>
  <c r="I3" i="14" s="1"/>
  <c r="H4" i="14"/>
  <c r="I4" i="14" s="1"/>
  <c r="H2" i="8"/>
  <c r="I2" i="8" s="1"/>
  <c r="H3" i="8"/>
  <c r="I3" i="8" s="1"/>
  <c r="O2" i="18"/>
  <c r="G4" i="19"/>
  <c r="B7" i="21" s="1"/>
  <c r="O2" i="16"/>
  <c r="E4" i="19"/>
  <c r="B5" i="21" s="1"/>
  <c r="O2" i="15"/>
  <c r="D4" i="19"/>
  <c r="B4" i="21" s="1"/>
  <c r="R2" i="17" l="1"/>
  <c r="Q2" i="17"/>
  <c r="Q4" i="17" s="1"/>
  <c r="Q6" i="17" s="1"/>
  <c r="R2" i="14"/>
  <c r="R4" i="14" s="1"/>
  <c r="R6" i="14" s="1"/>
  <c r="R2" i="8"/>
  <c r="R4" i="8" s="1"/>
  <c r="R6" i="8" s="1"/>
  <c r="Q2" i="8"/>
  <c r="Q4" i="8" s="1"/>
  <c r="Q6" i="8" s="1"/>
  <c r="Q2" i="14"/>
  <c r="Q4" i="14" s="1"/>
  <c r="Q6" i="14" s="1"/>
  <c r="M2" i="21"/>
  <c r="D2" i="21" s="1"/>
  <c r="H3" i="18"/>
  <c r="I3" i="18" s="1"/>
  <c r="H2" i="18"/>
  <c r="I2" i="18" s="1"/>
  <c r="H4" i="18"/>
  <c r="I4" i="18" s="1"/>
  <c r="H5" i="18"/>
  <c r="I5" i="18" s="1"/>
  <c r="R4" i="17"/>
  <c r="R6" i="17" s="1"/>
  <c r="H2" i="16"/>
  <c r="I2" i="16" s="1"/>
  <c r="R2" i="16" s="1"/>
  <c r="H3" i="16"/>
  <c r="I3" i="16" s="1"/>
  <c r="H4" i="16"/>
  <c r="I4" i="16" s="1"/>
  <c r="H5" i="16"/>
  <c r="I5" i="16" s="1"/>
  <c r="H5" i="15"/>
  <c r="I5" i="15" s="1"/>
  <c r="H4" i="15"/>
  <c r="I4" i="15" s="1"/>
  <c r="H3" i="15"/>
  <c r="I3" i="15" s="1"/>
  <c r="H2" i="15"/>
  <c r="I2" i="15" s="1"/>
  <c r="J2" i="17" l="1"/>
  <c r="J4" i="17"/>
  <c r="J3" i="17"/>
  <c r="J5" i="17"/>
  <c r="J2" i="8"/>
  <c r="J4" i="8"/>
  <c r="J3" i="8"/>
  <c r="J2" i="14"/>
  <c r="J5" i="14"/>
  <c r="J3" i="14"/>
  <c r="J4" i="14"/>
  <c r="J5" i="8"/>
  <c r="F5" i="21"/>
  <c r="G5" i="21" s="1"/>
  <c r="F3" i="21"/>
  <c r="G3" i="21" s="1"/>
  <c r="F6" i="21"/>
  <c r="G6" i="21" s="1"/>
  <c r="F4" i="21"/>
  <c r="G4" i="21" s="1"/>
  <c r="D5" i="21"/>
  <c r="D3" i="21"/>
  <c r="D4" i="21"/>
  <c r="F7" i="21"/>
  <c r="G7" i="21" s="1"/>
  <c r="D7" i="21"/>
  <c r="D6" i="21"/>
  <c r="F2" i="21"/>
  <c r="G2" i="21" s="1"/>
  <c r="Q2" i="18"/>
  <c r="Q4" i="18" s="1"/>
  <c r="Q6" i="18" s="1"/>
  <c r="R2" i="18"/>
  <c r="Q2" i="16"/>
  <c r="Q4" i="16" s="1"/>
  <c r="Q6" i="16" s="1"/>
  <c r="Q2" i="15"/>
  <c r="Q4" i="15" s="1"/>
  <c r="Q6" i="15" s="1"/>
  <c r="R2" i="15"/>
  <c r="N2" i="21" l="1"/>
  <c r="O2" i="21" s="1"/>
  <c r="H6" i="21" s="1"/>
  <c r="I6" i="21" s="1"/>
  <c r="R4" i="18"/>
  <c r="R6" i="18" s="1"/>
  <c r="J2" i="18"/>
  <c r="J4" i="18"/>
  <c r="J3" i="18"/>
  <c r="J5" i="18"/>
  <c r="R4" i="16"/>
  <c r="R6" i="16" s="1"/>
  <c r="J3" i="16"/>
  <c r="J5" i="16"/>
  <c r="J2" i="16"/>
  <c r="J4" i="16"/>
  <c r="R4" i="15"/>
  <c r="R6" i="15" s="1"/>
  <c r="J5" i="15"/>
  <c r="J4" i="15"/>
  <c r="J2" i="15"/>
  <c r="J3" i="15"/>
  <c r="H4" i="21" l="1"/>
  <c r="I4" i="21" s="1"/>
  <c r="H3" i="21"/>
  <c r="I3" i="21" s="1"/>
  <c r="H5" i="21"/>
  <c r="I5" i="21" s="1"/>
  <c r="H7" i="21"/>
  <c r="I7" i="21" s="1"/>
  <c r="H2" i="21"/>
  <c r="I2" i="21" s="1"/>
  <c r="R2" i="21" l="1"/>
  <c r="R4" i="21" s="1"/>
  <c r="R6" i="21" s="1"/>
  <c r="Q2" i="21"/>
  <c r="Q4" i="21" s="1"/>
  <c r="Q6" i="21" s="1"/>
  <c r="J6" i="21" l="1"/>
  <c r="J3" i="21"/>
  <c r="J2" i="21"/>
  <c r="J4" i="21"/>
  <c r="J7" i="21"/>
  <c r="J5" i="21"/>
</calcChain>
</file>

<file path=xl/sharedStrings.xml><?xml version="1.0" encoding="utf-8"?>
<sst xmlns="http://schemas.openxmlformats.org/spreadsheetml/2006/main" count="306" uniqueCount="79">
  <si>
    <t>Масса груза, г</t>
  </si>
  <si>
    <t>Положение утяжелителей</t>
  </si>
  <si>
    <t>1.риска</t>
  </si>
  <si>
    <t>2.риска</t>
  </si>
  <si>
    <t>3.риска</t>
  </si>
  <si>
    <t>4.риска</t>
  </si>
  <si>
    <t>5.риска</t>
  </si>
  <si>
    <t>6.риска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</si>
  <si>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charset val="204"/>
        <scheme val="minor"/>
      </rPr>
      <t>, с</t>
    </r>
  </si>
  <si>
    <r>
      <rPr>
        <sz val="11"/>
        <color theme="1"/>
        <rFont val="Calibri"/>
        <family val="2"/>
        <charset val="204"/>
        <scheme val="minor"/>
      </rPr>
      <t>a, м/с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</si>
  <si>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rPr>
        <sz val="11"/>
        <color theme="1"/>
        <rFont val="Calibri"/>
        <family val="2"/>
        <charset val="204"/>
      </rPr>
      <t>ε, с</t>
    </r>
    <r>
      <rPr>
        <vertAlign val="superscript"/>
        <sz val="11"/>
        <color theme="1"/>
        <rFont val="Calibri"/>
        <family val="2"/>
        <charset val="204"/>
      </rPr>
      <t>-2</t>
    </r>
  </si>
  <si>
    <t>M, Н*м</t>
  </si>
  <si>
    <t>h</t>
  </si>
  <si>
    <t>d</t>
  </si>
  <si>
    <r>
      <t>Квадрат разности (x-</t>
    </r>
    <r>
      <rPr>
        <sz val="11"/>
        <color theme="1"/>
        <rFont val="Calibri"/>
        <family val="2"/>
        <charset val="204"/>
        <scheme val="minor"/>
      </rPr>
      <t>x</t>
    </r>
    <r>
      <rPr>
        <vertAlign val="subscript"/>
        <sz val="11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</si>
  <si>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Значения x</t>
  </si>
  <si>
    <r>
      <t>Среднее x</t>
    </r>
    <r>
      <rPr>
        <vertAlign val="subscript"/>
        <sz val="11"/>
        <color theme="1"/>
        <rFont val="Calibri"/>
        <family val="2"/>
        <charset val="204"/>
        <scheme val="minor"/>
      </rPr>
      <t>ср</t>
    </r>
  </si>
  <si>
    <r>
      <t>СКО      S</t>
    </r>
    <r>
      <rPr>
        <vertAlign val="subscript"/>
        <sz val="11"/>
        <color theme="1"/>
        <rFont val="Calibri"/>
        <family val="2"/>
        <charset val="204"/>
        <scheme val="minor"/>
      </rPr>
      <t>xср</t>
    </r>
  </si>
  <si>
    <r>
      <t>Коэфф. Стьюдента  t</t>
    </r>
    <r>
      <rPr>
        <vertAlign val="subscript"/>
        <sz val="11"/>
        <color theme="1"/>
        <rFont val="Calibri"/>
        <family val="2"/>
        <charset val="204"/>
      </rPr>
      <t>α,n</t>
    </r>
  </si>
  <si>
    <r>
      <t xml:space="preserve">Доверительный интервал                  </t>
    </r>
    <r>
      <rPr>
        <sz val="11"/>
        <color theme="1"/>
        <rFont val="Calibri"/>
        <family val="2"/>
        <charset val="204"/>
      </rPr>
      <t>Δ</t>
    </r>
    <r>
      <rPr>
        <vertAlign val="subscript"/>
        <sz val="11"/>
        <color theme="1"/>
        <rFont val="Calibri"/>
        <family val="2"/>
        <charset val="204"/>
      </rPr>
      <t>xср</t>
    </r>
  </si>
  <si>
    <r>
      <t xml:space="preserve">Инструментальная погрешность           </t>
    </r>
    <r>
      <rPr>
        <sz val="11"/>
        <color theme="1"/>
        <rFont val="Calibri"/>
        <family val="2"/>
        <charset val="204"/>
      </rPr>
      <t>Δ</t>
    </r>
    <r>
      <rPr>
        <vertAlign val="subscript"/>
        <sz val="11"/>
        <color theme="1"/>
        <rFont val="Calibri"/>
        <family val="2"/>
        <charset val="204"/>
      </rPr>
      <t>иx</t>
    </r>
  </si>
  <si>
    <r>
      <t xml:space="preserve">Абсолютная погрешность                 </t>
    </r>
    <r>
      <rPr>
        <sz val="11"/>
        <color theme="1"/>
        <rFont val="Calibri"/>
        <family val="2"/>
        <charset val="204"/>
      </rPr>
      <t>Δ</t>
    </r>
    <r>
      <rPr>
        <vertAlign val="subscript"/>
        <sz val="11"/>
        <color theme="1"/>
        <rFont val="Calibri"/>
        <family val="2"/>
        <charset val="204"/>
      </rPr>
      <t>x</t>
    </r>
  </si>
  <si>
    <r>
      <t xml:space="preserve">Относительная погрешность           </t>
    </r>
    <r>
      <rPr>
        <sz val="11"/>
        <color theme="1"/>
        <rFont val="Calibri"/>
        <family val="2"/>
        <charset val="204"/>
      </rPr>
      <t>ε</t>
    </r>
    <r>
      <rPr>
        <vertAlign val="subscript"/>
        <sz val="11"/>
        <color theme="1"/>
        <rFont val="Calibri"/>
        <family val="2"/>
        <charset val="204"/>
      </rPr>
      <t>x</t>
    </r>
  </si>
  <si>
    <t>x</t>
  </si>
  <si>
    <t>y</t>
  </si>
  <si>
    <r>
      <t>Среднее y</t>
    </r>
    <r>
      <rPr>
        <vertAlign val="subscript"/>
        <sz val="11"/>
        <color theme="1"/>
        <rFont val="Calibri"/>
        <family val="2"/>
        <charset val="204"/>
        <scheme val="minor"/>
      </rPr>
      <t>ср</t>
    </r>
  </si>
  <si>
    <t>b</t>
  </si>
  <si>
    <t>a</t>
  </si>
  <si>
    <r>
      <t>Квадрат разности (x-x</t>
    </r>
    <r>
      <rPr>
        <vertAlign val="subscript"/>
        <sz val="11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</si>
  <si>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Квадрат разности (y-y</t>
    </r>
    <r>
      <rPr>
        <vertAlign val="subscript"/>
        <sz val="11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</si>
  <si>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Разность    x-x</t>
    </r>
    <r>
      <rPr>
        <vertAlign val="subscript"/>
        <sz val="11"/>
        <color theme="1"/>
        <rFont val="Calibri"/>
        <family val="2"/>
        <charset val="204"/>
        <scheme val="minor"/>
      </rPr>
      <t>ср</t>
    </r>
  </si>
  <si>
    <r>
      <t>Разность    y-y</t>
    </r>
    <r>
      <rPr>
        <vertAlign val="subscript"/>
        <sz val="11"/>
        <color theme="1"/>
        <rFont val="Calibri"/>
        <family val="2"/>
        <charset val="204"/>
        <scheme val="minor"/>
      </rPr>
      <t>ср</t>
    </r>
  </si>
  <si>
    <r>
      <t>Произведение        (x-x</t>
    </r>
    <r>
      <rPr>
        <vertAlign val="subscript"/>
        <sz val="11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scheme val="minor"/>
      </rPr>
      <t>)(y-y</t>
    </r>
    <r>
      <rPr>
        <vertAlign val="subscript"/>
        <sz val="11"/>
        <color theme="1"/>
        <rFont val="Calibri"/>
        <family val="2"/>
        <charset val="204"/>
        <scheme val="minor"/>
      </rPr>
      <t>ср</t>
    </r>
    <r>
      <rPr>
        <sz val="11"/>
        <color theme="1"/>
        <rFont val="Calibri"/>
        <family val="2"/>
        <scheme val="minor"/>
      </rPr>
      <t>)</t>
    </r>
  </si>
  <si>
    <t>D</t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</si>
  <si>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b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</si>
  <si>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a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</si>
  <si>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d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</si>
  <si>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rPr>
        <sz val="11"/>
        <color theme="1"/>
        <rFont val="Calibri"/>
        <family val="2"/>
        <charset val="204"/>
      </rPr>
      <t>Δ</t>
    </r>
    <r>
      <rPr>
        <vertAlign val="subscript"/>
        <sz val="11"/>
        <color theme="1"/>
        <rFont val="Calibri"/>
        <family val="2"/>
        <charset val="204"/>
      </rPr>
      <t>y</t>
    </r>
  </si>
  <si>
    <t>Формулы частных производных по переменным:</t>
  </si>
  <si>
    <t>Абсолютная погрешность функции</t>
  </si>
  <si>
    <t>Среднее значение функции</t>
  </si>
  <si>
    <t>Среднее значение переменной</t>
  </si>
  <si>
    <t>Название переменной</t>
  </si>
  <si>
    <t>Абсолютные погрешности переменных</t>
  </si>
  <si>
    <t>Слагаемые</t>
  </si>
  <si>
    <t>ε</t>
  </si>
  <si>
    <t>Относительные погрешности переменных</t>
  </si>
  <si>
    <t>Относительные погрешности функции</t>
  </si>
  <si>
    <t>M</t>
  </si>
  <si>
    <r>
      <t>l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</si>
  <si>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l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</si>
  <si>
    <t>Номера рисок</t>
  </si>
  <si>
    <t>R</t>
  </si>
  <si>
    <r>
      <t>R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</si>
  <si>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I</t>
  </si>
  <si>
    <r>
      <t>M</t>
    </r>
    <r>
      <rPr>
        <vertAlign val="subscript"/>
        <sz val="11"/>
        <color theme="1"/>
        <rFont val="Calibri"/>
        <family val="2"/>
        <charset val="204"/>
        <scheme val="minor"/>
      </rPr>
      <t>тр</t>
    </r>
  </si>
  <si>
    <r>
      <t>I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</si>
  <si>
    <r>
      <t>4m</t>
    </r>
    <r>
      <rPr>
        <vertAlign val="subscript"/>
        <sz val="11"/>
        <color theme="1"/>
        <rFont val="Calibri"/>
        <family val="2"/>
        <charset val="204"/>
        <scheme val="minor"/>
      </rPr>
      <t>ут</t>
    </r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</si>
  <si>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b</t>
    </r>
  </si>
  <si>
    <r>
      <t>S</t>
    </r>
    <r>
      <rPr>
        <vertAlign val="subscript"/>
        <sz val="11"/>
        <color theme="1"/>
        <rFont val="Calibri"/>
        <family val="2"/>
        <charset val="204"/>
        <scheme val="minor"/>
      </rPr>
      <t>a</t>
    </r>
  </si>
  <si>
    <r>
      <t>2S</t>
    </r>
    <r>
      <rPr>
        <vertAlign val="subscript"/>
        <sz val="11"/>
        <color theme="1"/>
        <rFont val="Calibri"/>
        <family val="2"/>
        <charset val="204"/>
        <scheme val="minor"/>
      </rPr>
      <t>b</t>
    </r>
    <r>
      <rPr>
        <sz val="11"/>
        <color theme="1"/>
        <rFont val="Calibri"/>
        <family val="2"/>
        <scheme val="minor"/>
      </rPr>
      <t xml:space="preserve"> = </t>
    </r>
    <r>
      <rPr>
        <sz val="11"/>
        <color theme="1"/>
        <rFont val="Calibri"/>
        <family val="2"/>
        <charset val="204"/>
      </rPr>
      <t>Δ</t>
    </r>
    <r>
      <rPr>
        <vertAlign val="subscript"/>
        <sz val="11"/>
        <color theme="1"/>
        <rFont val="Calibri"/>
        <family val="2"/>
        <charset val="204"/>
      </rPr>
      <t>b</t>
    </r>
  </si>
  <si>
    <r>
      <t>2S</t>
    </r>
    <r>
      <rPr>
        <vertAlign val="subscript"/>
        <sz val="11"/>
        <color theme="1"/>
        <rFont val="Calibri"/>
        <family val="2"/>
        <charset val="204"/>
        <scheme val="minor"/>
      </rPr>
      <t>a</t>
    </r>
    <r>
      <rPr>
        <sz val="11"/>
        <color theme="1"/>
        <rFont val="Calibri"/>
        <family val="2"/>
        <scheme val="minor"/>
      </rPr>
      <t xml:space="preserve"> = </t>
    </r>
    <r>
      <rPr>
        <sz val="11"/>
        <color theme="1"/>
        <rFont val="Calibri"/>
        <family val="2"/>
        <charset val="204"/>
      </rPr>
      <t>Δ</t>
    </r>
    <r>
      <rPr>
        <vertAlign val="subscript"/>
        <sz val="11"/>
        <color theme="1"/>
        <rFont val="Calibri"/>
        <family val="2"/>
        <charset val="204"/>
      </rPr>
      <t>a</t>
    </r>
  </si>
  <si>
    <t>Таблица 1. Протокол измерений времени падения груза при разной массе груза и разном положении утяжелителей на крестовине</t>
  </si>
  <si>
    <t>Таблица 2. Значения ускорения каретки, углового ускорения крестовины и момента силы натяжения нити для средних значений времени</t>
  </si>
  <si>
    <t>R, м</t>
  </si>
  <si>
    <t>Масса груза, кг</t>
  </si>
  <si>
    <t>Таблица 3. Значения момента инерции для утяжелителей в разных положениях</t>
  </si>
  <si>
    <r>
      <t>t</t>
    </r>
    <r>
      <rPr>
        <vertAlign val="subscript"/>
        <sz val="10"/>
        <color theme="1"/>
        <rFont val="Calibri"/>
        <family val="2"/>
        <scheme val="minor"/>
      </rPr>
      <t>ср</t>
    </r>
    <r>
      <rPr>
        <sz val="10"/>
        <color theme="1"/>
        <rFont val="Calibri"/>
        <family val="2"/>
        <scheme val="minor"/>
      </rPr>
      <t>, с</t>
    </r>
  </si>
  <si>
    <r>
      <rPr>
        <sz val="10"/>
        <color theme="1"/>
        <rFont val="Calibri"/>
        <family val="2"/>
        <scheme val="minor"/>
      </rPr>
      <t>a, м/с</t>
    </r>
    <r>
      <rPr>
        <vertAlign val="superscript"/>
        <sz val="10"/>
        <color theme="1"/>
        <rFont val="Calibri"/>
        <family val="2"/>
        <scheme val="minor"/>
      </rPr>
      <t>2</t>
    </r>
  </si>
  <si>
    <r>
      <t>ε, с</t>
    </r>
    <r>
      <rPr>
        <vertAlign val="superscript"/>
        <sz val="10"/>
        <color theme="1"/>
        <rFont val="Calibri"/>
        <family val="2"/>
      </rPr>
      <t>-2</t>
    </r>
  </si>
  <si>
    <r>
      <t>R</t>
    </r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, м</t>
    </r>
  </si>
  <si>
    <r>
      <t>I, кг*м</t>
    </r>
    <r>
      <rPr>
        <vertAlign val="superscript"/>
        <sz val="10"/>
        <color theme="1"/>
        <rFont val="Calibri"/>
        <family val="2"/>
        <scheme val="minor"/>
      </rPr>
      <t>2</t>
    </r>
  </si>
  <si>
    <t>Радуемся сделанной лабе!</t>
  </si>
  <si>
    <t>Далее таблицы вырезаем ножницами и вставляем в отчет (можно и копировать, но ножницы как по мне лучше)</t>
  </si>
  <si>
    <t>На листы печать внимание оформлять не нужно, это сделано для проверки наличия всех графиков и таблиц после подсчета</t>
  </si>
  <si>
    <t>Берете замеры, вставляете в таблицу 1 среднее время и прочие вещи, которые надо считать, появятся сами</t>
  </si>
  <si>
    <t>Все погрешности и графики основаны на первой таблице и параметрах установки</t>
  </si>
  <si>
    <t>Номер риски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</si>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</sst>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vertAlign val="superscript"/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0" xfId="0" applyNumberFormat="1"/>
    <xf numFmtId="2" fontId="0" fillId="0" borderId="11" xfId="0" applyNumberFormat="1" applyBorder="1"/>
    <xf numFmtId="2" fontId="0" fillId="0" borderId="7" xfId="0" applyNumberFormat="1" applyBorder="1"/>
    <xf numFmtId="2" fontId="0" fillId="0" borderId="13" xfId="0" applyNumberFormat="1" applyBorder="1"/>
    <xf numFmtId="2" fontId="0" fillId="0" borderId="12" xfId="0" applyNumberFormat="1" applyBorder="1"/>
    <xf numFmtId="0" fontId="0" fillId="0" borderId="1" xfId="0" applyBorder="1" applyAlignment="1">
      <alignment vertical="center"/>
    </xf>
    <xf numFmtId="0" fontId="3" fillId="0" borderId="1" xfId="0" applyFont="1" applyBorder="1"/>
    <xf numFmtId="0" fontId="2" fillId="0" borderId="1" xfId="0" applyFont="1" applyBorder="1"/>
    <xf numFmtId="2" fontId="0" fillId="0" borderId="14" xfId="0" applyNumberFormat="1" applyBorder="1"/>
    <xf numFmtId="2" fontId="2" fillId="0" borderId="0" xfId="0" applyNumberFormat="1" applyFont="1"/>
    <xf numFmtId="0" fontId="0" fillId="0" borderId="0" xfId="0" applyAlignment="1">
      <alignment vertical="center"/>
    </xf>
    <xf numFmtId="0" fontId="2" fillId="0" borderId="0" xfId="0" applyFont="1"/>
    <xf numFmtId="2" fontId="0" fillId="0" borderId="0" xfId="0" applyNumberFormat="1" applyAlignment="1">
      <alignment vertical="center"/>
    </xf>
    <xf numFmtId="9" fontId="0" fillId="0" borderId="0" xfId="1" applyFont="1"/>
    <xf numFmtId="0" fontId="0" fillId="0" borderId="1" xfId="0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/>
    </xf>
    <xf numFmtId="164" fontId="0" fillId="0" borderId="0" xfId="0" applyNumberFormat="1"/>
    <xf numFmtId="164" fontId="0" fillId="0" borderId="13" xfId="0" applyNumberFormat="1" applyBorder="1"/>
    <xf numFmtId="164" fontId="0" fillId="0" borderId="3" xfId="0" applyNumberFormat="1" applyBorder="1"/>
    <xf numFmtId="164" fontId="0" fillId="0" borderId="7" xfId="0" applyNumberFormat="1" applyBorder="1"/>
    <xf numFmtId="0" fontId="9" fillId="0" borderId="1" xfId="0" applyFont="1" applyBorder="1" applyAlignment="1">
      <alignment horizontal="center" vertical="center"/>
    </xf>
    <xf numFmtId="2" fontId="9" fillId="0" borderId="1" xfId="0" applyNumberFormat="1" applyFont="1" applyBorder="1"/>
    <xf numFmtId="0" fontId="9" fillId="0" borderId="0" xfId="0" applyFont="1"/>
    <xf numFmtId="0" fontId="9" fillId="0" borderId="1" xfId="0" applyFont="1" applyBorder="1" applyAlignment="1">
      <alignment vertical="center"/>
    </xf>
    <xf numFmtId="0" fontId="10" fillId="0" borderId="1" xfId="0" applyFont="1" applyBorder="1"/>
    <xf numFmtId="0" fontId="12" fillId="0" borderId="1" xfId="0" applyFont="1" applyBorder="1"/>
    <xf numFmtId="0" fontId="9" fillId="0" borderId="1" xfId="0" applyFont="1" applyBorder="1"/>
    <xf numFmtId="0" fontId="9" fillId="0" borderId="1" xfId="0" applyFont="1" applyBorder="1" applyAlignment="1">
      <alignment horizontal="center" vertical="center" wrapText="1"/>
    </xf>
    <xf numFmtId="2" fontId="9" fillId="0" borderId="0" xfId="0" applyNumberFormat="1" applyFont="1" applyAlignment="1">
      <alignment horizontal="center" vertical="center"/>
    </xf>
    <xf numFmtId="2" fontId="9" fillId="0" borderId="0" xfId="0" applyNumberFormat="1" applyFont="1"/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21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2" fontId="9" fillId="0" borderId="15" xfId="0" applyNumberFormat="1" applyFont="1" applyBorder="1" applyAlignment="1">
      <alignment horizontal="center" vertical="center"/>
    </xf>
    <xf numFmtId="2" fontId="9" fillId="0" borderId="16" xfId="0" applyNumberFormat="1" applyFont="1" applyBorder="1" applyAlignment="1">
      <alignment horizontal="center" vertical="center"/>
    </xf>
    <xf numFmtId="2" fontId="9" fillId="0" borderId="17" xfId="0" applyNumberFormat="1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0" fontId="0" fillId="0" borderId="0" xfId="1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</a:t>
            </a:r>
            <a:r>
              <a:rPr lang="en-US" baseline="0"/>
              <a:t>M</a:t>
            </a:r>
            <a:r>
              <a:rPr lang="ru-RU" baseline="0"/>
              <a:t> от </a:t>
            </a:r>
            <a:r>
              <a:rPr lang="el-GR" sz="1400" b="0" i="0" u="none" strike="noStrike" baseline="0">
                <a:effectLst/>
              </a:rPr>
              <a:t>ε</a:t>
            </a:r>
            <a:r>
              <a:rPr lang="ru-RU" sz="1400" b="0" i="0" u="none" strike="noStrike" baseline="0">
                <a:effectLst/>
              </a:rPr>
              <a:t> для разных положений утяжелителей</a:t>
            </a:r>
            <a:r>
              <a:rPr lang="ru-RU" baseline="0"/>
              <a:t> </a:t>
            </a:r>
            <a:endParaRPr lang="ru-RU"/>
          </a:p>
        </c:rich>
      </c:tx>
      <c:layout>
        <c:manualLayout>
          <c:xMode val="edge"/>
          <c:yMode val="edge"/>
          <c:x val="0.26807946254424625"/>
          <c:y val="0.93976781629269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243685135688323E-2"/>
          <c:y val="4.696612143510194E-2"/>
          <c:w val="0.91043213176334614"/>
          <c:h val="0.8185194615088679"/>
        </c:manualLayout>
      </c:layout>
      <c:scatterChart>
        <c:scatterStyle val="smoothMarker"/>
        <c:varyColors val="0"/>
        <c:ser>
          <c:idx val="0"/>
          <c:order val="0"/>
          <c:tx>
            <c:v>риска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'Погрешности косвенные (M)'!$B$8</c:f>
                <c:numCache>
                  <c:formatCode>General</c:formatCode>
                  <c:ptCount val="1"/>
                  <c:pt idx="0">
                    <c:v>9.4951274697014002E-5</c:v>
                  </c:pt>
                </c:numCache>
              </c:numRef>
            </c:plus>
            <c:minus>
              <c:numRef>
                <c:f>'Погрешности косвенные (M)'!$B$8</c:f>
                <c:numCache>
                  <c:formatCode>General</c:formatCode>
                  <c:ptCount val="1"/>
                  <c:pt idx="0">
                    <c:v>9.4951274697014002E-5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.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('Таблица 2'!$E$3,'Таблица 2'!$E$9,'Таблица 2'!$E$15,'Таблица 2'!$E$21)</c:f>
              <c:numCache>
                <c:formatCode>0.00</c:formatCode>
                <c:ptCount val="4"/>
                <c:pt idx="0">
                  <c:v>2.4909235982925466</c:v>
                </c:pt>
                <c:pt idx="1">
                  <c:v>4.8209019616785742</c:v>
                </c:pt>
                <c:pt idx="2">
                  <c:v>8.1274890838468536</c:v>
                </c:pt>
                <c:pt idx="3">
                  <c:v>11.244285493479566</c:v>
                </c:pt>
              </c:numCache>
            </c:numRef>
          </c:xVal>
          <c:yVal>
            <c:numRef>
              <c:f>('Таблица 2'!$F$3,'Таблица 2'!$F$9,'Таблица 2'!$F$15,'Таблица 2'!$F$21)</c:f>
              <c:numCache>
                <c:formatCode>0.00</c:formatCode>
                <c:ptCount val="4"/>
                <c:pt idx="0">
                  <c:v>5.9829974478206378E-2</c:v>
                </c:pt>
                <c:pt idx="1">
                  <c:v>0.10852782477392649</c:v>
                </c:pt>
                <c:pt idx="2">
                  <c:v>0.15631809470017405</c:v>
                </c:pt>
                <c:pt idx="3">
                  <c:v>0.20343179354685101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B3-479B-986A-7D1D329330D6}"/>
            </c:ext>
          </c:extLst>
        </c:ser>
        <c:ser>
          <c:idx val="1"/>
          <c:order val="1"/>
          <c:tx>
            <c:v>риска 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('Таблица 2'!$E$4,'Таблица 2'!$E$10,'Таблица 2'!$E$16,'Таблица 2'!$E$22)</c:f>
              <c:numCache>
                <c:formatCode>0.00</c:formatCode>
                <c:ptCount val="4"/>
                <c:pt idx="0">
                  <c:v>2.2000305489956231</c:v>
                </c:pt>
                <c:pt idx="1">
                  <c:v>3.7232406483793095</c:v>
                </c:pt>
                <c:pt idx="2">
                  <c:v>5.4892338480274256</c:v>
                </c:pt>
                <c:pt idx="3">
                  <c:v>7.7455224579272128</c:v>
                </c:pt>
              </c:numCache>
            </c:numRef>
          </c:xVal>
          <c:yVal>
            <c:numRef>
              <c:f>('Таблица 2'!$F$4,'Таблица 2'!$F$10,'Таблица 2'!$F$16,'Таблица 2'!$F$22)</c:f>
              <c:numCache>
                <c:formatCode>0.00</c:formatCode>
                <c:ptCount val="4"/>
                <c:pt idx="0">
                  <c:v>5.9871061085168216E-2</c:v>
                </c:pt>
                <c:pt idx="1">
                  <c:v>0.10881060757444257</c:v>
                </c:pt>
                <c:pt idx="2">
                  <c:v>0.15730481007313621</c:v>
                </c:pt>
                <c:pt idx="3">
                  <c:v>0.20514752746051426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B3-479B-986A-7D1D329330D6}"/>
            </c:ext>
          </c:extLst>
        </c:ser>
        <c:ser>
          <c:idx val="2"/>
          <c:order val="2"/>
          <c:tx>
            <c:v>риска 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('Таблица 2'!$E$5,'Таблица 2'!$E$11,'Таблица 2'!$E$17,'Таблица 2'!$E$23)</c:f>
              <c:numCache>
                <c:formatCode>0.00</c:formatCode>
                <c:ptCount val="4"/>
                <c:pt idx="0">
                  <c:v>1.5783997349190386</c:v>
                </c:pt>
                <c:pt idx="1">
                  <c:v>3.1345831795480281</c:v>
                </c:pt>
                <c:pt idx="2">
                  <c:v>3.829837522486617</c:v>
                </c:pt>
                <c:pt idx="3">
                  <c:v>4.793881546154636</c:v>
                </c:pt>
              </c:numCache>
            </c:numRef>
          </c:xVal>
          <c:yVal>
            <c:numRef>
              <c:f>('Таблица 2'!$F$5,'Таблица 2'!$F$11,'Таблица 2'!$F$17,'Таблица 2'!$F$23)</c:f>
              <c:numCache>
                <c:formatCode>0.00</c:formatCode>
                <c:ptCount val="4"/>
                <c:pt idx="0">
                  <c:v>5.9958862086240843E-2</c:v>
                </c:pt>
                <c:pt idx="1">
                  <c:v>0.10896225927753531</c:v>
                </c:pt>
                <c:pt idx="2">
                  <c:v>0.15792542927707745</c:v>
                </c:pt>
                <c:pt idx="3">
                  <c:v>0.20659496198575206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B3-479B-986A-7D1D329330D6}"/>
            </c:ext>
          </c:extLst>
        </c:ser>
        <c:ser>
          <c:idx val="3"/>
          <c:order val="3"/>
          <c:tx>
            <c:v>риска 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4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('Таблица 2'!$E$6,'Таблица 2'!$E$12,'Таблица 2'!$E$18,'Таблица 2'!$E$24)</c:f>
              <c:numCache>
                <c:formatCode>0.00</c:formatCode>
                <c:ptCount val="4"/>
                <c:pt idx="0">
                  <c:v>1.2601742190857883</c:v>
                </c:pt>
                <c:pt idx="1">
                  <c:v>2.1778920176247474</c:v>
                </c:pt>
                <c:pt idx="2">
                  <c:v>3.1440891124685595</c:v>
                </c:pt>
                <c:pt idx="3">
                  <c:v>3.7109931545429848</c:v>
                </c:pt>
              </c:numCache>
            </c:numRef>
          </c:xVal>
          <c:yVal>
            <c:numRef>
              <c:f>('Таблица 2'!$F$6,'Таблица 2'!$F$12,'Таблица 2'!$F$18,'Таблица 2'!$F$24)</c:f>
              <c:numCache>
                <c:formatCode>0.00</c:formatCode>
                <c:ptCount val="4"/>
                <c:pt idx="0">
                  <c:v>6.0003809212773679E-2</c:v>
                </c:pt>
                <c:pt idx="1">
                  <c:v>0.10920872492474347</c:v>
                </c:pt>
                <c:pt idx="2">
                  <c:v>0.15818190123966946</c:v>
                </c:pt>
                <c:pt idx="3">
                  <c:v>0.20712599204389576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B3-479B-986A-7D1D329330D6}"/>
            </c:ext>
          </c:extLst>
        </c:ser>
        <c:ser>
          <c:idx val="4"/>
          <c:order val="4"/>
          <c:tx>
            <c:v>риска 5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5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('Таблица 2'!$E$7,'Таблица 2'!$E$13,'Таблица 2'!$E$19,'Таблица 2'!$E$25)</c:f>
              <c:numCache>
                <c:formatCode>0.00</c:formatCode>
                <c:ptCount val="4"/>
                <c:pt idx="0">
                  <c:v>0.99877790803462263</c:v>
                </c:pt>
                <c:pt idx="1">
                  <c:v>1.758544204532648</c:v>
                </c:pt>
                <c:pt idx="2">
                  <c:v>2.5912773327316083</c:v>
                </c:pt>
                <c:pt idx="3">
                  <c:v>3.2920262421520436</c:v>
                </c:pt>
              </c:numCache>
            </c:numRef>
          </c:xVal>
          <c:yVal>
            <c:numRef>
              <c:f>('Таблица 2'!$F$7,'Таблица 2'!$F$13,'Таблица 2'!$F$19,'Таблица 2'!$F$25)</c:f>
              <c:numCache>
                <c:formatCode>0.00</c:formatCode>
                <c:ptCount val="4"/>
                <c:pt idx="0">
                  <c:v>6.0040729611935469E-2</c:v>
                </c:pt>
                <c:pt idx="1">
                  <c:v>0.10931675856639569</c:v>
                </c:pt>
                <c:pt idx="2">
                  <c:v>0.15838865450372641</c:v>
                </c:pt>
                <c:pt idx="3">
                  <c:v>0.20733144629529476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B3-479B-986A-7D1D329330D6}"/>
            </c:ext>
          </c:extLst>
        </c:ser>
        <c:ser>
          <c:idx val="5"/>
          <c:order val="5"/>
          <c:tx>
            <c:v>риска 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6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('Таблица 2'!$E$8,'Таблица 2'!$E$14,'Таблица 2'!$E$20,'Таблица 2'!$E$26)</c:f>
              <c:numCache>
                <c:formatCode>0.00</c:formatCode>
                <c:ptCount val="4"/>
                <c:pt idx="0">
                  <c:v>0.75482717369198682</c:v>
                </c:pt>
                <c:pt idx="1">
                  <c:v>1.2154657365176849</c:v>
                </c:pt>
                <c:pt idx="2">
                  <c:v>1.8560787137645558</c:v>
                </c:pt>
                <c:pt idx="3">
                  <c:v>2.4186315248464001</c:v>
                </c:pt>
              </c:numCache>
            </c:numRef>
          </c:xVal>
          <c:yVal>
            <c:numRef>
              <c:f>('Таблица 2'!$F$8,'Таблица 2'!$F$14,'Таблица 2'!$F$20,'Таблица 2'!$F$26)</c:f>
              <c:numCache>
                <c:formatCode>0.00</c:formatCode>
                <c:ptCount val="4"/>
                <c:pt idx="0">
                  <c:v>6.0075185945506232E-2</c:v>
                </c:pt>
                <c:pt idx="1">
                  <c:v>0.10945666807056111</c:v>
                </c:pt>
                <c:pt idx="2">
                  <c:v>0.15866362099281595</c:v>
                </c:pt>
                <c:pt idx="3">
                  <c:v>0.20775974421695126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8B3-479B-986A-7D1D32933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45728"/>
        <c:axId val="294941024"/>
      </c:scatterChart>
      <c:valAx>
        <c:axId val="29494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en-US"/>
                  <a:t>, </a:t>
                </a:r>
                <a:r>
                  <a:rPr lang="ru-RU"/>
                  <a:t>с</a:t>
                </a:r>
                <a:r>
                  <a:rPr lang="ru-RU" baseline="30000"/>
                  <a:t>-2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41024"/>
        <c:crosses val="autoZero"/>
        <c:crossBetween val="midCat"/>
      </c:valAx>
      <c:valAx>
        <c:axId val="2949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M,</a:t>
                </a:r>
                <a:r>
                  <a:rPr lang="en-US" baseline="0"/>
                  <a:t> </a:t>
                </a:r>
                <a:r>
                  <a:rPr lang="ru-RU" baseline="0"/>
                  <a:t>Н*м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4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момента инерции</a:t>
            </a:r>
            <a:r>
              <a:rPr lang="ru-RU" baseline="0"/>
              <a:t> от положения утяжелителей</a:t>
            </a:r>
            <a:endParaRPr lang="ru-RU"/>
          </a:p>
        </c:rich>
      </c:tx>
      <c:layout>
        <c:manualLayout>
          <c:xMode val="edge"/>
          <c:yMode val="edge"/>
          <c:x val="0.23083262800618978"/>
          <c:y val="0.93648208469055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761146306223121E-2"/>
          <c:y val="3.8658161418747741E-2"/>
          <c:w val="0.90062197029931523"/>
          <c:h val="0.81565936688695673"/>
        </c:manualLayout>
      </c:layout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'Таблица 3'!$B$3:$G$3</c:f>
              <c:numCache>
                <c:formatCode>General</c:formatCode>
                <c:ptCount val="6"/>
                <c:pt idx="0">
                  <c:v>5.9290000000000002E-3</c:v>
                </c:pt>
                <c:pt idx="1">
                  <c:v>1.0404000000000002E-2</c:v>
                </c:pt>
                <c:pt idx="2">
                  <c:v>1.6129000000000001E-2</c:v>
                </c:pt>
                <c:pt idx="3">
                  <c:v>2.3104E-2</c:v>
                </c:pt>
                <c:pt idx="4">
                  <c:v>3.1328999999999996E-2</c:v>
                </c:pt>
                <c:pt idx="5">
                  <c:v>4.0803999999999993E-2</c:v>
                </c:pt>
              </c:numCache>
            </c:numRef>
          </c:xVal>
          <c:yVal>
            <c:numRef>
              <c:f>'Таблица 3'!$B$4:$G$4</c:f>
              <c:numCache>
                <c:formatCode>0.00</c:formatCode>
                <c:ptCount val="6"/>
                <c:pt idx="0">
                  <c:v>1.6097510429699501E-2</c:v>
                </c:pt>
                <c:pt idx="1">
                  <c:v>2.6094613347489054E-2</c:v>
                </c:pt>
                <c:pt idx="2">
                  <c:v>4.5976146627425968E-2</c:v>
                </c:pt>
                <c:pt idx="3">
                  <c:v>5.8262992998286044E-2</c:v>
                </c:pt>
                <c:pt idx="4">
                  <c:v>6.3593677837851581E-2</c:v>
                </c:pt>
                <c:pt idx="5">
                  <c:v>8.7073391969842803E-2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BA-4DC3-9215-65B029912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46512"/>
        <c:axId val="294944944"/>
      </c:scatterChart>
      <c:valAx>
        <c:axId val="29494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r>
                  <a:rPr lang="en-US" baseline="30000"/>
                  <a:t>2</a:t>
                </a:r>
                <a:r>
                  <a:rPr lang="ru-RU" baseline="0"/>
                  <a:t>, м</a:t>
                </a:r>
                <a:r>
                  <a:rPr lang="ru-RU" baseline="30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44944"/>
        <c:crosses val="autoZero"/>
        <c:crossBetween val="midCat"/>
      </c:valAx>
      <c:valAx>
        <c:axId val="2949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I, </a:t>
                </a:r>
                <a:r>
                  <a:rPr lang="ru-RU"/>
                  <a:t>кг*м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4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момента инерции</a:t>
            </a:r>
            <a:r>
              <a:rPr lang="ru-RU" baseline="0"/>
              <a:t> от положения утяжелителей</a:t>
            </a:r>
            <a:endParaRPr lang="ru-RU"/>
          </a:p>
        </c:rich>
      </c:tx>
      <c:layout>
        <c:manualLayout>
          <c:xMode val="edge"/>
          <c:yMode val="edge"/>
          <c:x val="0.23083262800618978"/>
          <c:y val="0.93648208469055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761146306223121E-2"/>
          <c:y val="3.8658161418747741E-2"/>
          <c:w val="0.90062197029931523"/>
          <c:h val="0.81565936688695673"/>
        </c:manualLayout>
      </c:layout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'Таблица 3'!$B$3:$G$3</c:f>
              <c:numCache>
                <c:formatCode>General</c:formatCode>
                <c:ptCount val="6"/>
                <c:pt idx="0">
                  <c:v>5.9290000000000002E-3</c:v>
                </c:pt>
                <c:pt idx="1">
                  <c:v>1.0404000000000002E-2</c:v>
                </c:pt>
                <c:pt idx="2">
                  <c:v>1.6129000000000001E-2</c:v>
                </c:pt>
                <c:pt idx="3">
                  <c:v>2.3104E-2</c:v>
                </c:pt>
                <c:pt idx="4">
                  <c:v>3.1328999999999996E-2</c:v>
                </c:pt>
                <c:pt idx="5">
                  <c:v>4.0803999999999993E-2</c:v>
                </c:pt>
              </c:numCache>
            </c:numRef>
          </c:xVal>
          <c:yVal>
            <c:numRef>
              <c:f>'Таблица 3'!$B$4:$G$4</c:f>
              <c:numCache>
                <c:formatCode>0.00</c:formatCode>
                <c:ptCount val="6"/>
                <c:pt idx="0">
                  <c:v>1.6097510429699501E-2</c:v>
                </c:pt>
                <c:pt idx="1">
                  <c:v>2.6094613347489054E-2</c:v>
                </c:pt>
                <c:pt idx="2">
                  <c:v>4.5976146627425968E-2</c:v>
                </c:pt>
                <c:pt idx="3">
                  <c:v>5.8262992998286044E-2</c:v>
                </c:pt>
                <c:pt idx="4">
                  <c:v>6.3593677837851581E-2</c:v>
                </c:pt>
                <c:pt idx="5">
                  <c:v>8.7073391969842803E-2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CF-4724-9462-27DB9D76E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46120"/>
        <c:axId val="294946904"/>
      </c:scatterChart>
      <c:valAx>
        <c:axId val="29494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r>
                  <a:rPr lang="en-US" baseline="30000"/>
                  <a:t>2</a:t>
                </a:r>
                <a:r>
                  <a:rPr lang="ru-RU" baseline="0"/>
                  <a:t>, м</a:t>
                </a:r>
                <a:r>
                  <a:rPr lang="ru-RU" baseline="30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46904"/>
        <c:crosses val="autoZero"/>
        <c:crossBetween val="midCat"/>
      </c:valAx>
      <c:valAx>
        <c:axId val="29494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I, </a:t>
                </a:r>
                <a:r>
                  <a:rPr lang="ru-RU"/>
                  <a:t>кг*м</a:t>
                </a:r>
                <a:r>
                  <a:rPr lang="ru-RU" baseline="30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94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0</xdr:row>
      <xdr:rowOff>15240</xdr:rowOff>
    </xdr:from>
    <xdr:to>
      <xdr:col>17</xdr:col>
      <xdr:colOff>80010</xdr:colOff>
      <xdr:row>31</xdr:row>
      <xdr:rowOff>160020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21C2F6E-36CC-42C9-B36D-A1F9079A0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213360</xdr:colOff>
      <xdr:row>30</xdr:row>
      <xdr:rowOff>128016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DE99654-640A-488E-9ABB-47D651E67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0</xdr:colOff>
      <xdr:row>33</xdr:row>
      <xdr:rowOff>117451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8DFC4ED-F82E-4BC9-92C9-4A0BD4DAF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72800" cy="615249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213360</xdr:colOff>
      <xdr:row>30</xdr:row>
      <xdr:rowOff>128016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ECF76E5-E835-47EC-9407-7BA575B4B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G9"/>
  <sheetViews>
    <sheetView workbookViewId="0">
      <selection activeCell="A18" sqref="A18"/>
    </sheetView>
  </sheetViews>
  <sheetFormatPr defaultRowHeight="14.25" x14ac:dyDescent="0.45"/>
  <cols>
    <col min="1" max="1" width="26.265625" customWidth="1"/>
  </cols>
  <sheetData>
    <row r="1" spans="1:7" x14ac:dyDescent="0.45">
      <c r="A1" s="29" t="s">
        <v>42</v>
      </c>
    </row>
    <row r="2" spans="1:7" ht="42.75" x14ac:dyDescent="0.45">
      <c r="A2" s="29" t="s">
        <v>38</v>
      </c>
      <c r="B2" s="25">
        <v>1</v>
      </c>
      <c r="C2" s="25">
        <v>1</v>
      </c>
      <c r="D2" s="25">
        <v>1</v>
      </c>
      <c r="E2" s="25">
        <v>1</v>
      </c>
      <c r="F2" s="25"/>
      <c r="G2" s="25"/>
    </row>
    <row r="3" spans="1:7" ht="28.5" x14ac:dyDescent="0.45">
      <c r="A3" s="29" t="s">
        <v>41</v>
      </c>
      <c r="B3" s="25">
        <v>1</v>
      </c>
      <c r="C3" s="25">
        <v>1</v>
      </c>
      <c r="D3" s="25">
        <v>1</v>
      </c>
      <c r="E3" s="25">
        <v>1</v>
      </c>
      <c r="F3" s="25"/>
      <c r="G3" s="25"/>
    </row>
    <row r="4" spans="1:7" x14ac:dyDescent="0.45">
      <c r="A4" s="29" t="s">
        <v>40</v>
      </c>
    </row>
    <row r="5" spans="1:7" ht="28.5" x14ac:dyDescent="0.45">
      <c r="A5" s="29" t="s">
        <v>43</v>
      </c>
    </row>
    <row r="6" spans="1:7" ht="28.5" x14ac:dyDescent="0.45">
      <c r="A6" s="29" t="s">
        <v>46</v>
      </c>
      <c r="B6" s="28"/>
    </row>
    <row r="7" spans="1:7" x14ac:dyDescent="0.45">
      <c r="A7" s="29" t="s">
        <v>44</v>
      </c>
      <c r="B7">
        <f>B5*B5*B2*B2</f>
        <v>0</v>
      </c>
    </row>
    <row r="8" spans="1:7" ht="28.5" x14ac:dyDescent="0.45">
      <c r="A8" s="29" t="s">
        <v>39</v>
      </c>
      <c r="B8">
        <f>SQRT(SUM(7:7))</f>
        <v>0</v>
      </c>
    </row>
    <row r="9" spans="1:7" ht="28.5" x14ac:dyDescent="0.45">
      <c r="A9" s="29" t="s">
        <v>47</v>
      </c>
      <c r="B9">
        <f>B8/B3</f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 tint="-0.499984740745262"/>
    <pageSetUpPr fitToPage="1"/>
  </sheetPr>
  <dimension ref="A1"/>
  <sheetViews>
    <sheetView zoomScaleNormal="100" workbookViewId="0"/>
  </sheetViews>
  <sheetFormatPr defaultRowHeight="14.25" x14ac:dyDescent="0.45"/>
  <sheetData/>
  <pageMargins left="0.7" right="0.7" top="0.75" bottom="0.75" header="0.3" footer="0.3"/>
  <pageSetup paperSize="9" scale="81" orientation="landscape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 tint="-0.499984740745262"/>
  </sheetPr>
  <dimension ref="A1"/>
  <sheetViews>
    <sheetView zoomScaleNormal="100" workbookViewId="0"/>
  </sheetViews>
  <sheetFormatPr defaultRowHeight="14.25" x14ac:dyDescent="0.4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E2"/>
  <sheetViews>
    <sheetView workbookViewId="0">
      <selection activeCell="A2" sqref="A2"/>
    </sheetView>
  </sheetViews>
  <sheetFormatPr defaultRowHeight="14.25" x14ac:dyDescent="0.45"/>
  <sheetData>
    <row r="1" spans="1:5" ht="15.75" x14ac:dyDescent="0.55000000000000004">
      <c r="A1" s="2" t="s">
        <v>12</v>
      </c>
      <c r="B1" s="2" t="s">
        <v>13</v>
      </c>
      <c r="C1" s="2" t="s">
        <v>49</v>
      </c>
      <c r="D1" s="2" t="s">
        <v>50</v>
      </c>
      <c r="E1" s="2" t="s">
        <v>26</v>
      </c>
    </row>
    <row r="2" spans="1:5" x14ac:dyDescent="0.45">
      <c r="A2" s="12">
        <v>0.7</v>
      </c>
      <c r="B2" s="12">
        <v>4.5999999999999999E-2</v>
      </c>
      <c r="C2" s="2">
        <v>5.7000000000000002E-2</v>
      </c>
      <c r="D2" s="2">
        <v>2.5000000000000001E-2</v>
      </c>
      <c r="E2" s="2">
        <v>0.04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</sheetPr>
  <dimension ref="A1:N4"/>
  <sheetViews>
    <sheetView topLeftCell="G1" workbookViewId="0">
      <selection activeCell="M2" sqref="M2"/>
    </sheetView>
  </sheetViews>
  <sheetFormatPr defaultRowHeight="14.25" x14ac:dyDescent="0.45"/>
  <cols>
    <col min="1" max="1" width="9.59765625" bestFit="1" customWidth="1"/>
    <col min="2" max="2" width="17" bestFit="1" customWidth="1"/>
    <col min="9" max="9" width="9.1328125" customWidth="1"/>
    <col min="10" max="10" width="12" customWidth="1"/>
    <col min="11" max="11" width="19.265625" customWidth="1"/>
    <col min="12" max="12" width="18.3984375" customWidth="1"/>
    <col min="13" max="13" width="18.59765625" customWidth="1"/>
    <col min="14" max="14" width="14.59765625" customWidth="1"/>
  </cols>
  <sheetData>
    <row r="1" spans="1:14" ht="45" thickTop="1" thickBot="1" x14ac:dyDescent="0.5">
      <c r="A1" s="7" t="s">
        <v>15</v>
      </c>
      <c r="B1" s="7" t="s">
        <v>14</v>
      </c>
      <c r="C1" s="3"/>
      <c r="D1" s="3"/>
      <c r="E1" s="3"/>
      <c r="F1" s="3"/>
      <c r="G1" s="3"/>
      <c r="H1" s="7" t="s">
        <v>16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  <c r="N1" s="7" t="s">
        <v>22</v>
      </c>
    </row>
    <row r="2" spans="1:14" ht="14.65" thickTop="1" x14ac:dyDescent="0.45">
      <c r="A2" s="15">
        <f>'Таблица 1'!B3</f>
        <v>4.99</v>
      </c>
      <c r="B2">
        <f>(A2-$H$2)*(A2-$H$2)</f>
        <v>2.1777777777777954E-3</v>
      </c>
      <c r="H2">
        <f>SUM(A:A)/COUNT(A:A)</f>
        <v>4.9433333333333334</v>
      </c>
      <c r="I2">
        <f>SQRT(SUM(B:B)/COUNT(A:A)/(COUNT(A:A)-1))</f>
        <v>2.4037008503093326E-2</v>
      </c>
      <c r="J2">
        <v>0.95</v>
      </c>
      <c r="K2">
        <f>J2*I2</f>
        <v>2.283515807793866E-2</v>
      </c>
      <c r="L2">
        <v>1</v>
      </c>
      <c r="M2">
        <f>SQRT(K2*K2+(2/3*L2)*(2/3*L2))</f>
        <v>0.66705763535761198</v>
      </c>
      <c r="N2" s="28">
        <f>M2/H2</f>
        <v>0.13494085678171516</v>
      </c>
    </row>
    <row r="3" spans="1:14" x14ac:dyDescent="0.45">
      <c r="A3" s="15">
        <f>'Таблица 1'!B4</f>
        <v>4.93</v>
      </c>
      <c r="B3">
        <f t="shared" ref="B3:B4" si="0">(A3-$H$2)*(A3-$H$2)</f>
        <v>1.77777777777786E-4</v>
      </c>
    </row>
    <row r="4" spans="1:14" x14ac:dyDescent="0.45">
      <c r="A4" s="15">
        <f>'Таблица 1'!B5</f>
        <v>4.91</v>
      </c>
      <c r="B4">
        <f t="shared" si="0"/>
        <v>1.1111111111111033E-3</v>
      </c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N7"/>
  <sheetViews>
    <sheetView topLeftCell="F1" workbookViewId="0">
      <selection activeCell="J1" sqref="J1"/>
    </sheetView>
  </sheetViews>
  <sheetFormatPr defaultRowHeight="14.25" x14ac:dyDescent="0.45"/>
  <cols>
    <col min="1" max="1" width="9.59765625" bestFit="1" customWidth="1"/>
    <col min="2" max="2" width="17" bestFit="1" customWidth="1"/>
    <col min="9" max="9" width="9.1328125" customWidth="1"/>
    <col min="10" max="10" width="12" customWidth="1"/>
    <col min="11" max="11" width="19.265625" customWidth="1"/>
    <col min="12" max="12" width="18.3984375" customWidth="1"/>
    <col min="13" max="13" width="18.59765625" customWidth="1"/>
    <col min="14" max="14" width="14.59765625" customWidth="1"/>
  </cols>
  <sheetData>
    <row r="1" spans="1:14" ht="45" thickTop="1" thickBot="1" x14ac:dyDescent="0.5">
      <c r="A1" s="7" t="s">
        <v>15</v>
      </c>
      <c r="B1" s="7" t="s">
        <v>14</v>
      </c>
      <c r="C1" s="3"/>
      <c r="D1" s="3"/>
      <c r="E1" s="3"/>
      <c r="F1" s="3"/>
      <c r="G1" s="3"/>
      <c r="H1" s="7" t="s">
        <v>16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  <c r="N1" s="7" t="s">
        <v>22</v>
      </c>
    </row>
    <row r="2" spans="1:14" ht="14.65" thickTop="1" x14ac:dyDescent="0.45">
      <c r="A2" s="15">
        <f>'Таблица 2'!D3</f>
        <v>5.729124276072857E-2</v>
      </c>
      <c r="B2" s="15">
        <f>(A2-$H$2)*(A2-$H$2)</f>
        <v>4.7114604673085733E-4</v>
      </c>
      <c r="H2" s="15">
        <f>SUM(A:A)/COUNT(A:A)</f>
        <v>3.5585343868241824E-2</v>
      </c>
      <c r="I2" s="15">
        <f>SQRT(SUM(B:B)/COUNT(A:A)/(COUNT(A:A)-1))</f>
        <v>6.4081327788039939E-3</v>
      </c>
      <c r="J2" s="15">
        <v>0.95</v>
      </c>
      <c r="K2" s="15">
        <f>J2*I2</f>
        <v>6.0877261398637941E-3</v>
      </c>
      <c r="L2" s="15">
        <v>1</v>
      </c>
      <c r="M2" s="15">
        <f>SQRT(K2*K2+(2/3*L2)*(2/3*L2))</f>
        <v>0.66669446139442201</v>
      </c>
      <c r="N2" s="28">
        <f>M2/H2</f>
        <v>18.73508554147805</v>
      </c>
    </row>
    <row r="3" spans="1:14" x14ac:dyDescent="0.45">
      <c r="A3" s="15">
        <f>'Таблица 2'!D4</f>
        <v>5.0600702626899335E-2</v>
      </c>
      <c r="B3" s="15">
        <f t="shared" ref="B3:B7" si="0">(A3-$H$2)*(A3-$H$2)</f>
        <v>2.2546099865119283E-4</v>
      </c>
    </row>
    <row r="4" spans="1:14" x14ac:dyDescent="0.45">
      <c r="A4" s="15">
        <f>'Таблица 2'!D5</f>
        <v>3.6303193903137888E-2</v>
      </c>
      <c r="B4" s="15">
        <f t="shared" si="0"/>
        <v>5.1530867260028068E-7</v>
      </c>
    </row>
    <row r="5" spans="1:14" x14ac:dyDescent="0.45">
      <c r="A5" s="15">
        <f>'Таблица 2'!D6</f>
        <v>2.8984007038973133E-2</v>
      </c>
      <c r="B5" s="15">
        <f>(A5-$H$2)*(A5-$H$2)</f>
        <v>4.3577647933459218E-5</v>
      </c>
    </row>
    <row r="6" spans="1:14" x14ac:dyDescent="0.45">
      <c r="A6" s="15">
        <f>'Таблица 2'!D7</f>
        <v>2.2971891884796321E-2</v>
      </c>
      <c r="B6" s="15">
        <f t="shared" si="0"/>
        <v>1.590991709386853E-4</v>
      </c>
    </row>
    <row r="7" spans="1:14" x14ac:dyDescent="0.45">
      <c r="A7" s="15">
        <f>'Таблица 2'!D8</f>
        <v>1.7361024994915698E-2</v>
      </c>
      <c r="B7" s="15">
        <f t="shared" si="0"/>
        <v>3.3212579839667083E-4</v>
      </c>
    </row>
  </sheetData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G9"/>
  <sheetViews>
    <sheetView workbookViewId="0">
      <selection activeCell="B8" sqref="B8"/>
    </sheetView>
  </sheetViews>
  <sheetFormatPr defaultRowHeight="14.25" x14ac:dyDescent="0.45"/>
  <cols>
    <col min="1" max="1" width="26.265625" customWidth="1"/>
  </cols>
  <sheetData>
    <row r="1" spans="1:7" x14ac:dyDescent="0.45">
      <c r="A1" s="29" t="s">
        <v>42</v>
      </c>
      <c r="B1" t="s">
        <v>27</v>
      </c>
    </row>
    <row r="2" spans="1:7" ht="42.75" x14ac:dyDescent="0.45">
      <c r="A2" s="29" t="s">
        <v>38</v>
      </c>
      <c r="B2" s="25">
        <f>-4*'Параметры установки'!A2/'Погрешности прямые (t)'!H2/'Погрешности прямые (t)'!H2/'Погрешности прямые (t)'!H2</f>
        <v>-2.3179194643585397E-2</v>
      </c>
      <c r="C2" s="25"/>
      <c r="D2" s="25"/>
      <c r="E2" s="25"/>
      <c r="F2" s="25"/>
      <c r="G2" s="25"/>
    </row>
    <row r="3" spans="1:7" ht="28.5" x14ac:dyDescent="0.45">
      <c r="A3" s="29" t="s">
        <v>41</v>
      </c>
      <c r="B3" s="27">
        <f>'Погрешности прямые (t)'!H2</f>
        <v>4.9433333333333334</v>
      </c>
      <c r="C3" s="25"/>
      <c r="D3" s="25"/>
      <c r="E3" s="25"/>
      <c r="F3" s="25"/>
      <c r="G3" s="25"/>
    </row>
    <row r="4" spans="1:7" x14ac:dyDescent="0.45">
      <c r="A4" s="29" t="s">
        <v>40</v>
      </c>
      <c r="B4" s="15">
        <f>2*'Параметры установки'!A2/'Погрешности прямые (t)'!H2/'Погрешности прямые (t)'!H2</f>
        <v>5.729124276072857E-2</v>
      </c>
    </row>
    <row r="5" spans="1:7" ht="28.5" x14ac:dyDescent="0.45">
      <c r="A5" s="29" t="s">
        <v>43</v>
      </c>
      <c r="B5" s="15">
        <f>'Погрешности прямые (t)'!M2</f>
        <v>0.66705763535761198</v>
      </c>
    </row>
    <row r="6" spans="1:7" ht="28.5" x14ac:dyDescent="0.45">
      <c r="A6" s="29" t="s">
        <v>46</v>
      </c>
      <c r="B6" s="28">
        <f>'Погрешности прямые (t)'!N2</f>
        <v>0.13494085678171516</v>
      </c>
    </row>
    <row r="7" spans="1:7" x14ac:dyDescent="0.45">
      <c r="A7" s="29" t="s">
        <v>44</v>
      </c>
      <c r="B7">
        <f>B5*B5*B2*B2</f>
        <v>2.3906907657530552E-4</v>
      </c>
    </row>
    <row r="8" spans="1:7" ht="28.5" x14ac:dyDescent="0.45">
      <c r="A8" s="29" t="s">
        <v>39</v>
      </c>
      <c r="B8">
        <f>SQRT(SUM(7:7))</f>
        <v>1.5461858768443901E-2</v>
      </c>
    </row>
    <row r="9" spans="1:7" ht="28.5" x14ac:dyDescent="0.45">
      <c r="A9" s="29" t="s">
        <v>47</v>
      </c>
      <c r="B9" s="28">
        <f>B8/B4</f>
        <v>0.26988171356343038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1:N8"/>
  <sheetViews>
    <sheetView topLeftCell="C1" workbookViewId="0">
      <selection activeCell="A6" sqref="A6"/>
    </sheetView>
  </sheetViews>
  <sheetFormatPr defaultRowHeight="14.25" x14ac:dyDescent="0.45"/>
  <cols>
    <col min="1" max="1" width="9.59765625" bestFit="1" customWidth="1"/>
    <col min="2" max="2" width="17" bestFit="1" customWidth="1"/>
    <col min="9" max="9" width="9.1328125" customWidth="1"/>
    <col min="10" max="10" width="12" customWidth="1"/>
    <col min="11" max="11" width="19.265625" customWidth="1"/>
    <col min="12" max="12" width="18.3984375" customWidth="1"/>
    <col min="13" max="13" width="18.59765625" customWidth="1"/>
    <col min="14" max="14" width="14.59765625" customWidth="1"/>
  </cols>
  <sheetData>
    <row r="1" spans="1:14" ht="45" thickTop="1" thickBot="1" x14ac:dyDescent="0.5">
      <c r="A1" s="7" t="s">
        <v>15</v>
      </c>
      <c r="B1" s="7" t="s">
        <v>14</v>
      </c>
      <c r="C1" s="3"/>
      <c r="D1" s="3"/>
      <c r="E1" s="3"/>
      <c r="F1" s="3"/>
      <c r="G1" s="3"/>
      <c r="H1" s="7" t="s">
        <v>16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  <c r="N1" s="7" t="s">
        <v>22</v>
      </c>
    </row>
    <row r="2" spans="1:14" ht="14.65" thickTop="1" x14ac:dyDescent="0.45">
      <c r="A2" s="15">
        <f>'Таблица 2'!E3</f>
        <v>2.4909235982925466</v>
      </c>
      <c r="B2" s="15">
        <f>(A2-$H$2)*(A2-$H$2)</f>
        <v>0.89063524901863433</v>
      </c>
      <c r="H2" s="15">
        <f>SUM(A:A)/COUNT(A:A)</f>
        <v>1.5471888638366009</v>
      </c>
      <c r="I2" s="15">
        <f>SQRT(SUM(B:B)/COUNT(A:A)/(COUNT(A:A)-1))</f>
        <v>0.27861446864365191</v>
      </c>
      <c r="J2" s="15">
        <v>0.95</v>
      </c>
      <c r="K2" s="15">
        <f>J2*I2</f>
        <v>0.26468374521146931</v>
      </c>
      <c r="L2" s="15">
        <v>1</v>
      </c>
      <c r="M2" s="15">
        <f>SQRT(K2*K2+(2/3*L2)*(2/3*L2))</f>
        <v>0.71728789856208675</v>
      </c>
      <c r="N2" s="28">
        <f>M2/H2</f>
        <v>0.46360720098735131</v>
      </c>
    </row>
    <row r="3" spans="1:14" x14ac:dyDescent="0.45">
      <c r="A3" s="15">
        <f>'Таблица 2'!E4</f>
        <v>2.2000305489956231</v>
      </c>
      <c r="B3" s="15">
        <f t="shared" ref="B3:B7" si="0">(A3-$H$2)*(A3-$H$2)</f>
        <v>0.42620226588127186</v>
      </c>
    </row>
    <row r="4" spans="1:14" x14ac:dyDescent="0.45">
      <c r="A4" s="15">
        <f>'Таблица 2'!E5</f>
        <v>1.5783997349190386</v>
      </c>
      <c r="B4" s="15">
        <f t="shared" si="0"/>
        <v>9.7411847372454565E-4</v>
      </c>
    </row>
    <row r="5" spans="1:14" x14ac:dyDescent="0.45">
      <c r="A5" s="15">
        <f>'Таблица 2'!E6</f>
        <v>1.2601742190857883</v>
      </c>
      <c r="B5" s="15">
        <f t="shared" si="0"/>
        <v>8.2377406301435169E-2</v>
      </c>
    </row>
    <row r="6" spans="1:14" x14ac:dyDescent="0.45">
      <c r="A6" s="15">
        <f>'Таблица 2'!E7</f>
        <v>0.99877790803462263</v>
      </c>
      <c r="B6" s="15">
        <f t="shared" si="0"/>
        <v>0.3007545764436394</v>
      </c>
    </row>
    <row r="7" spans="1:14" x14ac:dyDescent="0.45">
      <c r="A7" s="15">
        <f>'Таблица 2'!E8</f>
        <v>0.75482717369198682</v>
      </c>
      <c r="B7" s="15">
        <f t="shared" si="0"/>
        <v>0.62783704800882945</v>
      </c>
    </row>
    <row r="8" spans="1:14" x14ac:dyDescent="0.45">
      <c r="A8" s="15"/>
      <c r="B8" s="15"/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9"/>
  <sheetViews>
    <sheetView workbookViewId="0">
      <selection activeCell="B8" sqref="B8"/>
    </sheetView>
  </sheetViews>
  <sheetFormatPr defaultRowHeight="14.25" x14ac:dyDescent="0.45"/>
  <cols>
    <col min="1" max="1" width="26.265625" customWidth="1"/>
  </cols>
  <sheetData>
    <row r="1" spans="1:7" x14ac:dyDescent="0.45">
      <c r="A1" s="29" t="s">
        <v>42</v>
      </c>
      <c r="B1" s="26" t="s">
        <v>45</v>
      </c>
    </row>
    <row r="2" spans="1:7" ht="42.75" x14ac:dyDescent="0.45">
      <c r="A2" s="29" t="s">
        <v>38</v>
      </c>
      <c r="B2" s="25">
        <f>-8*'Параметры установки'!A2/'Параметры установки'!B2/'Погрешности прямые (t)'!H2/'Погрешности прямые (t)'!H2/'Погрешности прямые (t)'!H2</f>
        <v>-1.0077910714602347</v>
      </c>
      <c r="C2" s="25"/>
      <c r="D2" s="25"/>
      <c r="E2" s="25"/>
      <c r="F2" s="25"/>
      <c r="G2" s="25"/>
    </row>
    <row r="3" spans="1:7" ht="28.5" x14ac:dyDescent="0.45">
      <c r="A3" s="29" t="s">
        <v>41</v>
      </c>
      <c r="B3" s="27">
        <f>'Погрешности прямые (t)'!H2</f>
        <v>4.9433333333333334</v>
      </c>
      <c r="C3" s="25"/>
      <c r="D3" s="25"/>
      <c r="E3" s="25"/>
      <c r="F3" s="25"/>
      <c r="G3" s="25"/>
    </row>
    <row r="4" spans="1:7" x14ac:dyDescent="0.45">
      <c r="A4" s="29" t="s">
        <v>40</v>
      </c>
      <c r="B4">
        <f>4*'Параметры установки'!A2/'Параметры установки'!B2/'Погрешности прямые (t)'!H2/'Погрешности прямые (t)'!H2</f>
        <v>2.4909235982925471</v>
      </c>
    </row>
    <row r="5" spans="1:7" ht="28.5" x14ac:dyDescent="0.45">
      <c r="A5" s="29" t="s">
        <v>43</v>
      </c>
      <c r="B5" s="15">
        <f>'Погрешности прямые (t)'!M2</f>
        <v>0.66705763535761198</v>
      </c>
    </row>
    <row r="6" spans="1:7" ht="28.5" x14ac:dyDescent="0.45">
      <c r="A6" s="29" t="s">
        <v>46</v>
      </c>
      <c r="B6" s="28">
        <f>'Погрешности прямые (t)'!N2</f>
        <v>0.13494085678171516</v>
      </c>
    </row>
    <row r="7" spans="1:7" x14ac:dyDescent="0.45">
      <c r="A7" s="29" t="s">
        <v>44</v>
      </c>
      <c r="B7">
        <f>B5*B5*B2*B2</f>
        <v>0.45192642074726952</v>
      </c>
    </row>
    <row r="8" spans="1:7" ht="28.5" x14ac:dyDescent="0.45">
      <c r="A8" s="29" t="s">
        <v>39</v>
      </c>
      <c r="B8">
        <f>SQRT(SUM(7:7))</f>
        <v>0.67225472906277839</v>
      </c>
    </row>
    <row r="9" spans="1:7" ht="28.5" x14ac:dyDescent="0.45">
      <c r="A9" s="29" t="s">
        <v>47</v>
      </c>
      <c r="B9" s="28">
        <f>B8/B4</f>
        <v>0.26988171356343033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:N7"/>
  <sheetViews>
    <sheetView topLeftCell="F1" workbookViewId="0">
      <selection activeCell="D12" sqref="D12"/>
    </sheetView>
  </sheetViews>
  <sheetFormatPr defaultRowHeight="14.25" x14ac:dyDescent="0.45"/>
  <cols>
    <col min="1" max="1" width="9.59765625" bestFit="1" customWidth="1"/>
    <col min="2" max="2" width="17" bestFit="1" customWidth="1"/>
    <col min="9" max="9" width="9.1328125" customWidth="1"/>
    <col min="10" max="10" width="12" customWidth="1"/>
    <col min="11" max="11" width="19.265625" customWidth="1"/>
    <col min="12" max="12" width="18.3984375" customWidth="1"/>
    <col min="13" max="13" width="18.59765625" customWidth="1"/>
    <col min="14" max="14" width="14.59765625" customWidth="1"/>
  </cols>
  <sheetData>
    <row r="1" spans="1:14" ht="45" thickTop="1" thickBot="1" x14ac:dyDescent="0.5">
      <c r="A1" s="7" t="s">
        <v>15</v>
      </c>
      <c r="B1" s="7" t="s">
        <v>14</v>
      </c>
      <c r="C1" s="3"/>
      <c r="D1" s="3"/>
      <c r="E1" s="3"/>
      <c r="F1" s="3"/>
      <c r="G1" s="3"/>
      <c r="H1" s="7" t="s">
        <v>16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  <c r="N1" s="7" t="s">
        <v>22</v>
      </c>
    </row>
    <row r="2" spans="1:14" ht="14.65" thickTop="1" x14ac:dyDescent="0.45">
      <c r="A2" s="15">
        <f>'Таблица 2'!F3</f>
        <v>5.9829974478206378E-2</v>
      </c>
      <c r="B2" s="15">
        <f>(A2-$H$2)*(A2-$H$2)</f>
        <v>1.7767803647936097E-8</v>
      </c>
      <c r="H2" s="15">
        <f>SUM(A:A)/COUNT(A:A)</f>
        <v>5.9963270403305145E-2</v>
      </c>
      <c r="I2" s="15">
        <f>SQRT(SUM(B:B)/COUNT(A:A)/(COUNT(A:A)-1))</f>
        <v>3.9352343394635012E-5</v>
      </c>
      <c r="J2" s="15">
        <v>0.95</v>
      </c>
      <c r="K2" s="15">
        <f>J2*I2</f>
        <v>3.7384726224903259E-5</v>
      </c>
      <c r="L2" s="15">
        <v>1</v>
      </c>
      <c r="M2" s="15">
        <f>SQRT(K2*K2+(2/3*L2)*(2/3*L2))</f>
        <v>0.66666666771487992</v>
      </c>
      <c r="N2" s="28">
        <f>M2/H2</f>
        <v>11.11791707208374</v>
      </c>
    </row>
    <row r="3" spans="1:14" x14ac:dyDescent="0.45">
      <c r="A3" s="15">
        <f>'Таблица 2'!F4</f>
        <v>5.9871061085168216E-2</v>
      </c>
      <c r="B3" s="15">
        <f t="shared" ref="B3:B7" si="0">(A3-$H$2)*(A3-$H$2)</f>
        <v>8.5025583512774456E-9</v>
      </c>
    </row>
    <row r="4" spans="1:14" x14ac:dyDescent="0.45">
      <c r="A4" s="15">
        <f>'Таблица 2'!F5</f>
        <v>5.9958862086240843E-2</v>
      </c>
      <c r="B4" s="15">
        <f t="shared" si="0"/>
        <v>1.9433259339423084E-11</v>
      </c>
    </row>
    <row r="5" spans="1:14" x14ac:dyDescent="0.45">
      <c r="A5" s="15">
        <f>'Таблица 2'!F6</f>
        <v>6.0003809212773679E-2</v>
      </c>
      <c r="B5" s="15">
        <f t="shared" si="0"/>
        <v>1.6433950731260658E-9</v>
      </c>
    </row>
    <row r="6" spans="1:14" x14ac:dyDescent="0.45">
      <c r="A6" s="15">
        <f>'Таблица 2'!F7</f>
        <v>6.0040729611935469E-2</v>
      </c>
      <c r="B6" s="15">
        <f t="shared" si="0"/>
        <v>5.9999290016359512E-9</v>
      </c>
    </row>
    <row r="7" spans="1:14" x14ac:dyDescent="0.45">
      <c r="A7" s="15">
        <f>'Таблица 2'!F8</f>
        <v>6.0075185945506232E-2</v>
      </c>
      <c r="B7" s="15">
        <f t="shared" si="0"/>
        <v>1.2525088586163227E-8</v>
      </c>
    </row>
  </sheetData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G9"/>
  <sheetViews>
    <sheetView workbookViewId="0">
      <selection activeCell="B9" sqref="B9"/>
    </sheetView>
  </sheetViews>
  <sheetFormatPr defaultRowHeight="14.25" x14ac:dyDescent="0.45"/>
  <cols>
    <col min="1" max="1" width="26.265625" customWidth="1"/>
  </cols>
  <sheetData>
    <row r="1" spans="1:7" x14ac:dyDescent="0.45">
      <c r="A1" s="29" t="s">
        <v>42</v>
      </c>
      <c r="B1" t="s">
        <v>48</v>
      </c>
    </row>
    <row r="2" spans="1:7" ht="42.75" x14ac:dyDescent="0.45">
      <c r="A2" s="29" t="s">
        <v>38</v>
      </c>
      <c r="B2" s="25">
        <f>2*'Таблица 2'!A3*'Параметры установки'!B2*'Параметры установки'!A2/'Погрешности прямые (t)'!H2/'Погрешности прямые (t)'!H2/'Погрешности прямые (t)'!H2</f>
        <v>1.4234343430625794E-4</v>
      </c>
      <c r="C2" s="25"/>
      <c r="D2" s="25"/>
      <c r="E2" s="25"/>
      <c r="F2" s="25"/>
      <c r="G2" s="25"/>
    </row>
    <row r="3" spans="1:7" ht="28.5" x14ac:dyDescent="0.45">
      <c r="A3" s="29" t="s">
        <v>41</v>
      </c>
      <c r="B3" s="27">
        <f>'Погрешности прямые (t)'!H2</f>
        <v>4.9433333333333334</v>
      </c>
      <c r="C3" s="25"/>
      <c r="D3" s="25"/>
      <c r="E3" s="25"/>
      <c r="F3" s="25"/>
      <c r="G3" s="25"/>
    </row>
    <row r="4" spans="1:7" x14ac:dyDescent="0.45">
      <c r="A4" s="29" t="s">
        <v>40</v>
      </c>
      <c r="B4">
        <f>'Таблица 2'!A3*'Параметры установки'!B2/2*(9.82-2*'Параметры установки'!A2/'Погрешности прямые (t)'!H2/'Погрешности прямые (t)'!H2)</f>
        <v>5.9952794478206374E-2</v>
      </c>
    </row>
    <row r="5" spans="1:7" ht="28.5" x14ac:dyDescent="0.45">
      <c r="A5" s="29" t="s">
        <v>43</v>
      </c>
      <c r="B5">
        <f>'Погрешности прямые (t)'!M2</f>
        <v>0.66705763535761198</v>
      </c>
    </row>
    <row r="6" spans="1:7" ht="28.5" x14ac:dyDescent="0.45">
      <c r="A6" s="29" t="s">
        <v>46</v>
      </c>
      <c r="B6" s="28">
        <f>'Погрешности прямые (t)'!N2</f>
        <v>0.13494085678171516</v>
      </c>
    </row>
    <row r="7" spans="1:7" x14ac:dyDescent="0.45">
      <c r="A7" s="29" t="s">
        <v>44</v>
      </c>
      <c r="B7">
        <f>B5*B5*B2*B2</f>
        <v>9.0157445665878118E-9</v>
      </c>
    </row>
    <row r="8" spans="1:7" ht="28.5" x14ac:dyDescent="0.45">
      <c r="A8" s="29" t="s">
        <v>39</v>
      </c>
      <c r="B8">
        <f>SQRT(SUM(7:7))</f>
        <v>9.4951274697014002E-5</v>
      </c>
    </row>
    <row r="9" spans="1:7" ht="28.5" x14ac:dyDescent="0.45">
      <c r="A9" s="29" t="s">
        <v>47</v>
      </c>
      <c r="B9" s="59">
        <f>B8/B3</f>
        <v>1.9207944982538232E-5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249977111117893"/>
  </sheetPr>
  <dimension ref="A1:R9"/>
  <sheetViews>
    <sheetView workbookViewId="0">
      <selection activeCell="A3" sqref="A3"/>
    </sheetView>
  </sheetViews>
  <sheetFormatPr defaultRowHeight="14.25" x14ac:dyDescent="0.45"/>
  <cols>
    <col min="1" max="1" width="9" bestFit="1" customWidth="1"/>
    <col min="2" max="2" width="9.3984375" bestFit="1" customWidth="1"/>
    <col min="3" max="3" width="9" bestFit="1" customWidth="1"/>
    <col min="4" max="4" width="9.73046875" customWidth="1"/>
    <col min="5" max="5" width="9" bestFit="1" customWidth="1"/>
    <col min="6" max="6" width="10.1328125" bestFit="1" customWidth="1"/>
    <col min="7" max="7" width="14" customWidth="1"/>
    <col min="8" max="10" width="9" bestFit="1" customWidth="1"/>
    <col min="12" max="12" width="9" bestFit="1" customWidth="1"/>
    <col min="13" max="14" width="9.3984375" bestFit="1" customWidth="1"/>
    <col min="15" max="18" width="9" bestFit="1" customWidth="1"/>
  </cols>
  <sheetData>
    <row r="1" spans="1:18" ht="45.75" thickTop="1" thickBot="1" x14ac:dyDescent="0.5">
      <c r="A1" s="4" t="s">
        <v>23</v>
      </c>
      <c r="B1" s="5" t="s">
        <v>24</v>
      </c>
      <c r="C1" s="6" t="s">
        <v>28</v>
      </c>
      <c r="D1" s="10" t="s">
        <v>29</v>
      </c>
      <c r="E1" s="11" t="s">
        <v>30</v>
      </c>
      <c r="F1" s="10" t="s">
        <v>31</v>
      </c>
      <c r="G1" s="7" t="s">
        <v>32</v>
      </c>
      <c r="H1" s="11" t="s">
        <v>13</v>
      </c>
      <c r="I1" s="10" t="s">
        <v>36</v>
      </c>
      <c r="J1" s="9" t="s">
        <v>37</v>
      </c>
      <c r="L1" s="7" t="s">
        <v>16</v>
      </c>
      <c r="M1" s="7" t="s">
        <v>25</v>
      </c>
      <c r="N1" s="8" t="s">
        <v>26</v>
      </c>
      <c r="O1" s="8" t="s">
        <v>27</v>
      </c>
      <c r="P1" s="8" t="s">
        <v>33</v>
      </c>
      <c r="Q1" s="8" t="s">
        <v>34</v>
      </c>
      <c r="R1" s="8" t="s">
        <v>35</v>
      </c>
    </row>
    <row r="2" spans="1:18" ht="15" thickTop="1" thickBot="1" x14ac:dyDescent="0.5">
      <c r="A2" s="13">
        <v>8.1666666666666637E-2</v>
      </c>
      <c r="B2" s="14">
        <v>48.691666666666663</v>
      </c>
      <c r="C2" s="15">
        <f>(A2-$L$2)*(A2-$L$2)</f>
        <v>0.67521436734693863</v>
      </c>
      <c r="D2" s="14">
        <f>(B2-$M$2)*(B2-$M$2)</f>
        <v>63998.398534240383</v>
      </c>
      <c r="E2" s="16">
        <f>A2-$L$2</f>
        <v>-0.82171428571428562</v>
      </c>
      <c r="F2" s="14">
        <f>B2-$M$2</f>
        <v>-252.97904761904766</v>
      </c>
      <c r="G2" s="17">
        <f>E2*F2</f>
        <v>207.876497414966</v>
      </c>
      <c r="H2" s="15">
        <f>B2-($O$2+$N$2*A2)</f>
        <v>0.42403696602093532</v>
      </c>
      <c r="I2" s="18">
        <f>H2*H2</f>
        <v>0.17980734855223987</v>
      </c>
      <c r="J2" s="23">
        <f>SQRT(4*$R$2+4*$Q$2*A2*A2)</f>
        <v>4.9576164097232098</v>
      </c>
      <c r="K2" s="15"/>
      <c r="L2" s="15">
        <f>SUM(A:A)/COUNT(A:A)</f>
        <v>0.90338095238095228</v>
      </c>
      <c r="M2" s="15">
        <f>SUM(B:B)/COUNT(B:B)</f>
        <v>301.67071428571433</v>
      </c>
      <c r="N2" s="15">
        <f>SUM(G:G)/SUM(C:C)</f>
        <v>308.38344786082757</v>
      </c>
      <c r="O2" s="15">
        <f>M2-N2*L2</f>
        <v>23.082981458678148</v>
      </c>
      <c r="P2" s="15">
        <f>SUM(C:C)</f>
        <v>1.902756984126984</v>
      </c>
      <c r="Q2" s="15">
        <f>1/P2*SUM(I:I)/(COUNT(I:I)-2)</f>
        <v>5.6135134076679245</v>
      </c>
      <c r="R2" s="15">
        <f>(1/COUNT(I:I)+L2*L2/P2)*SUM(I:I)/(COUNT(I:I)-2)</f>
        <v>6.1070511006786266</v>
      </c>
    </row>
    <row r="3" spans="1:18" ht="16.5" thickTop="1" thickBot="1" x14ac:dyDescent="0.5">
      <c r="A3" s="13">
        <v>0.38399999999999995</v>
      </c>
      <c r="B3" s="14">
        <v>141.54</v>
      </c>
      <c r="C3" s="15">
        <f>(A3-$L$2)*(A3-$L$2)</f>
        <v>0.26975657369614503</v>
      </c>
      <c r="D3" s="14">
        <f>(B3-$M$2)*(B3-$M$2)</f>
        <v>25641.845657653077</v>
      </c>
      <c r="E3" s="19">
        <f>A3-$L$2</f>
        <v>-0.51938095238095228</v>
      </c>
      <c r="F3" s="14">
        <f>B3-$M$2</f>
        <v>-160.13071428571433</v>
      </c>
      <c r="G3" s="17">
        <f>E3*F3</f>
        <v>83.168842891156473</v>
      </c>
      <c r="H3" s="15">
        <f>B3-($O$2+$N$2*A3)</f>
        <v>3.7774562764070652E-2</v>
      </c>
      <c r="I3" s="14">
        <f>H3*H3</f>
        <v>1.426917592016713E-3</v>
      </c>
      <c r="J3" s="17">
        <f t="shared" ref="J3:J8" si="0">SQRT(4*$R$2+4*$Q$2*A3*A3)</f>
        <v>5.2668006735473512</v>
      </c>
      <c r="K3" s="24"/>
      <c r="L3" s="15"/>
      <c r="M3" s="15"/>
      <c r="N3" s="30"/>
      <c r="O3" s="30"/>
      <c r="P3" s="15"/>
      <c r="Q3" s="30" t="s">
        <v>58</v>
      </c>
      <c r="R3" s="30" t="s">
        <v>59</v>
      </c>
    </row>
    <row r="4" spans="1:18" ht="15" thickTop="1" thickBot="1" x14ac:dyDescent="0.5">
      <c r="A4" s="13">
        <v>0.66499999999999992</v>
      </c>
      <c r="B4" s="14">
        <v>228.87500000000003</v>
      </c>
      <c r="C4" s="15">
        <f t="shared" ref="C4:C8" si="1">(A4-$L$2)*(A4-$L$2)</f>
        <v>5.6825478458049875E-2</v>
      </c>
      <c r="D4" s="14">
        <f t="shared" ref="D4:D8" si="2">(B4-$M$2)*(B4-$M$2)</f>
        <v>5299.2160183673486</v>
      </c>
      <c r="E4" s="19">
        <f t="shared" ref="E4:E8" si="3">A4-$L$2</f>
        <v>-0.23838095238095236</v>
      </c>
      <c r="F4" s="14">
        <f t="shared" ref="F4:F8" si="4">B4-$M$2</f>
        <v>-72.795714285714297</v>
      </c>
      <c r="G4" s="17">
        <f t="shared" ref="G4:G8" si="5">E4*F4</f>
        <v>17.353111700680273</v>
      </c>
      <c r="H4" s="15">
        <f t="shared" ref="H4:H8" si="6">B4-($O$2+$N$2*A4)</f>
        <v>0.71702571387157832</v>
      </c>
      <c r="I4" s="14">
        <f t="shared" ref="I4:I8" si="7">H4*H4</f>
        <v>0.51412587435304646</v>
      </c>
      <c r="J4" s="17">
        <f t="shared" si="0"/>
        <v>5.8615653429385484</v>
      </c>
      <c r="K4" s="15"/>
      <c r="L4" s="15"/>
      <c r="M4" s="15"/>
      <c r="N4" s="15"/>
      <c r="O4" s="15"/>
      <c r="P4" s="15"/>
      <c r="Q4" s="15">
        <f>SQRT(Q2)</f>
        <v>2.3692854213175591</v>
      </c>
      <c r="R4" s="15">
        <f>SQRT(R2)</f>
        <v>2.4712448483868665</v>
      </c>
    </row>
    <row r="5" spans="1:18" ht="16.5" thickTop="1" thickBot="1" x14ac:dyDescent="0.5">
      <c r="A5" s="13">
        <v>0.94166666666666643</v>
      </c>
      <c r="B5" s="14">
        <v>310.74166666666667</v>
      </c>
      <c r="C5" s="15">
        <f t="shared" si="1"/>
        <v>1.4657959183673362E-3</v>
      </c>
      <c r="D5" s="14">
        <f t="shared" si="2"/>
        <v>82.282177097505084</v>
      </c>
      <c r="E5" s="19">
        <f t="shared" si="3"/>
        <v>3.8285714285714145E-2</v>
      </c>
      <c r="F5" s="14">
        <f t="shared" si="4"/>
        <v>9.0709523809523489</v>
      </c>
      <c r="G5" s="17">
        <f t="shared" si="5"/>
        <v>0.34728789115646008</v>
      </c>
      <c r="H5" s="15">
        <f t="shared" si="6"/>
        <v>-2.7357281942906866</v>
      </c>
      <c r="I5" s="14">
        <f t="shared" si="7"/>
        <v>7.484208753036981</v>
      </c>
      <c r="J5" s="17">
        <f t="shared" si="0"/>
        <v>6.6587554841619347</v>
      </c>
      <c r="K5" s="15"/>
      <c r="L5" s="15"/>
      <c r="M5" s="15"/>
      <c r="N5" s="15"/>
      <c r="O5" s="15"/>
      <c r="P5" s="15"/>
      <c r="Q5" s="30" t="s">
        <v>60</v>
      </c>
      <c r="R5" s="30" t="s">
        <v>61</v>
      </c>
    </row>
    <row r="6" spans="1:18" ht="14.65" thickTop="1" x14ac:dyDescent="0.45">
      <c r="A6" s="13">
        <v>1.1760000000000002</v>
      </c>
      <c r="B6" s="14">
        <v>388.98</v>
      </c>
      <c r="C6" s="15">
        <f t="shared" si="1"/>
        <v>7.4321145124716687E-2</v>
      </c>
      <c r="D6" s="14">
        <f t="shared" si="2"/>
        <v>7622.9113719387715</v>
      </c>
      <c r="E6" s="19">
        <f t="shared" si="3"/>
        <v>0.27261904761904787</v>
      </c>
      <c r="F6" s="14">
        <f t="shared" si="4"/>
        <v>87.309285714285693</v>
      </c>
      <c r="G6" s="17">
        <f t="shared" si="5"/>
        <v>23.802174319727907</v>
      </c>
      <c r="H6" s="15">
        <f t="shared" si="6"/>
        <v>3.2380838569886237</v>
      </c>
      <c r="I6" s="14">
        <f t="shared" si="7"/>
        <v>10.485187064890322</v>
      </c>
      <c r="J6" s="17">
        <f t="shared" si="0"/>
        <v>7.4485986384451097</v>
      </c>
      <c r="K6" s="15"/>
      <c r="L6" s="15"/>
      <c r="M6" s="15"/>
      <c r="N6" s="15"/>
      <c r="O6" s="15"/>
      <c r="P6" s="15"/>
      <c r="Q6" s="15">
        <f>Q4*2</f>
        <v>4.7385708426351183</v>
      </c>
      <c r="R6" s="15">
        <f>R4*2</f>
        <v>4.9424896967737331</v>
      </c>
    </row>
    <row r="7" spans="1:18" x14ac:dyDescent="0.45">
      <c r="A7" s="13">
        <v>1.436333333333333</v>
      </c>
      <c r="B7" s="14">
        <v>461.10166666666669</v>
      </c>
      <c r="C7" s="15">
        <f t="shared" si="1"/>
        <v>0.28403824036281156</v>
      </c>
      <c r="D7" s="14">
        <f t="shared" si="2"/>
        <v>25418.2285770975</v>
      </c>
      <c r="E7" s="19">
        <f t="shared" si="3"/>
        <v>0.53295238095238073</v>
      </c>
      <c r="F7" s="14">
        <f t="shared" si="4"/>
        <v>159.43095238095236</v>
      </c>
      <c r="G7" s="17">
        <f t="shared" si="5"/>
        <v>84.969105668934191</v>
      </c>
      <c r="H7" s="15">
        <f t="shared" si="6"/>
        <v>-4.9227404027800503</v>
      </c>
      <c r="I7" s="14">
        <f t="shared" si="7"/>
        <v>24.233373073163094</v>
      </c>
      <c r="J7" s="17">
        <f t="shared" si="0"/>
        <v>8.4114277674608857</v>
      </c>
      <c r="K7" s="15"/>
      <c r="L7" s="15"/>
      <c r="M7" s="15"/>
      <c r="N7" s="15"/>
      <c r="O7" s="15"/>
      <c r="P7" s="15"/>
      <c r="Q7" s="15"/>
      <c r="R7" s="15"/>
    </row>
    <row r="8" spans="1:18" x14ac:dyDescent="0.45">
      <c r="A8" s="13">
        <v>1.6390000000000002</v>
      </c>
      <c r="B8" s="14">
        <v>531.7650000000001</v>
      </c>
      <c r="C8" s="15">
        <f t="shared" si="1"/>
        <v>0.54113538321995514</v>
      </c>
      <c r="D8" s="14">
        <f t="shared" si="2"/>
        <v>52943.380318367374</v>
      </c>
      <c r="E8" s="19">
        <f t="shared" si="3"/>
        <v>0.73561904761904795</v>
      </c>
      <c r="F8" s="14">
        <f t="shared" si="4"/>
        <v>230.09428571428577</v>
      </c>
      <c r="G8" s="17">
        <f t="shared" si="5"/>
        <v>169.26173931972801</v>
      </c>
      <c r="H8" s="15">
        <f t="shared" si="6"/>
        <v>3.2415474974254721</v>
      </c>
      <c r="I8" s="14">
        <f t="shared" si="7"/>
        <v>10.507630178065341</v>
      </c>
      <c r="J8" s="17">
        <f t="shared" si="0"/>
        <v>9.2058133918689755</v>
      </c>
      <c r="K8" s="15"/>
      <c r="L8" s="15"/>
      <c r="M8" s="15"/>
      <c r="N8" s="15"/>
      <c r="O8" s="15"/>
      <c r="P8" s="15"/>
      <c r="Q8" s="15"/>
      <c r="R8" s="15"/>
    </row>
    <row r="9" spans="1:18" x14ac:dyDescent="0.45">
      <c r="A9" s="13"/>
      <c r="B9" s="14"/>
      <c r="C9" s="15"/>
      <c r="D9" s="14"/>
      <c r="E9" s="19"/>
      <c r="F9" s="14"/>
      <c r="G9" s="17"/>
      <c r="H9" s="15"/>
      <c r="I9" s="14"/>
      <c r="J9" s="17"/>
      <c r="K9" s="15"/>
      <c r="L9" s="15"/>
      <c r="M9" s="15"/>
      <c r="N9" s="15"/>
      <c r="O9" s="15"/>
      <c r="P9" s="15"/>
      <c r="Q9" s="15"/>
      <c r="R9" s="15"/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R23"/>
  <sheetViews>
    <sheetView zoomScaleNormal="100" workbookViewId="0">
      <selection activeCell="B2" sqref="B2"/>
    </sheetView>
  </sheetViews>
  <sheetFormatPr defaultRowHeight="14.25" x14ac:dyDescent="0.45"/>
  <cols>
    <col min="1" max="1" width="9" bestFit="1" customWidth="1"/>
    <col min="2" max="2" width="9.3984375" bestFit="1" customWidth="1"/>
    <col min="3" max="3" width="9" bestFit="1" customWidth="1"/>
    <col min="4" max="4" width="9.73046875" customWidth="1"/>
    <col min="5" max="5" width="9" bestFit="1" customWidth="1"/>
    <col min="6" max="6" width="10.1328125" bestFit="1" customWidth="1"/>
    <col min="7" max="7" width="15.59765625" customWidth="1"/>
    <col min="8" max="10" width="9" bestFit="1" customWidth="1"/>
    <col min="12" max="12" width="9" bestFit="1" customWidth="1"/>
    <col min="13" max="14" width="9.3984375" bestFit="1" customWidth="1"/>
    <col min="15" max="18" width="9" bestFit="1" customWidth="1"/>
  </cols>
  <sheetData>
    <row r="1" spans="1:18" ht="45.75" thickTop="1" thickBot="1" x14ac:dyDescent="0.5">
      <c r="A1" s="4" t="s">
        <v>23</v>
      </c>
      <c r="B1" s="5" t="s">
        <v>24</v>
      </c>
      <c r="C1" s="6" t="s">
        <v>28</v>
      </c>
      <c r="D1" s="10" t="s">
        <v>29</v>
      </c>
      <c r="E1" s="11" t="s">
        <v>30</v>
      </c>
      <c r="F1" s="10" t="s">
        <v>31</v>
      </c>
      <c r="G1" s="7" t="s">
        <v>32</v>
      </c>
      <c r="H1" s="11" t="s">
        <v>13</v>
      </c>
      <c r="I1" s="10" t="s">
        <v>36</v>
      </c>
      <c r="J1" s="9" t="s">
        <v>37</v>
      </c>
      <c r="L1" s="7" t="s">
        <v>16</v>
      </c>
      <c r="M1" s="7" t="s">
        <v>25</v>
      </c>
      <c r="N1" s="8" t="s">
        <v>26</v>
      </c>
      <c r="O1" s="8" t="s">
        <v>27</v>
      </c>
      <c r="P1" s="8" t="s">
        <v>33</v>
      </c>
      <c r="Q1" s="8" t="s">
        <v>34</v>
      </c>
      <c r="R1" s="8" t="s">
        <v>35</v>
      </c>
    </row>
    <row r="2" spans="1:18" ht="15" thickTop="1" thickBot="1" x14ac:dyDescent="0.5">
      <c r="A2" s="13">
        <f>'Таблица 2'!E3</f>
        <v>2.4909235982925466</v>
      </c>
      <c r="B2" s="14">
        <f>'Таблица 2'!F3</f>
        <v>5.9829974478206378E-2</v>
      </c>
      <c r="C2" s="31">
        <f>(A2-$L$2)*(A2-$L$2)</f>
        <v>17.472203005781427</v>
      </c>
      <c r="D2" s="33">
        <f>(B2-$M$2)*(B2-$M$2)</f>
        <v>5.2123992133849889E-3</v>
      </c>
      <c r="E2" s="16">
        <f>A2-$L$2</f>
        <v>-4.1799764360318381</v>
      </c>
      <c r="F2" s="14">
        <f>B2-$M$2</f>
        <v>-7.2196947396583111E-2</v>
      </c>
      <c r="G2" s="34">
        <f>E2*F2</f>
        <v>0.30178153887114756</v>
      </c>
      <c r="H2" s="15">
        <f>B2-($O$2+$N$2*A2)</f>
        <v>-4.9097331216624504E-3</v>
      </c>
      <c r="I2" s="32">
        <f>H2*H2</f>
        <v>2.4105479325949311E-5</v>
      </c>
      <c r="J2" s="23">
        <f>SQRT(4*$R$2+4*$Q$2*A2*A2)</f>
        <v>1.3938409021243955E-2</v>
      </c>
      <c r="K2" s="15"/>
      <c r="L2" s="15">
        <f>SUM(A:A)/COUNT(A:A)</f>
        <v>6.6709000343243847</v>
      </c>
      <c r="M2" s="15">
        <f>SUM(B:B)/COUNT(B:B)</f>
        <v>0.13202692187478948</v>
      </c>
      <c r="N2" s="15">
        <f>SUM(G:G)/SUM(C:C)</f>
        <v>1.6097510429699501E-2</v>
      </c>
      <c r="O2" s="15">
        <f>M2-N2*L2</f>
        <v>2.4642038996769949E-2</v>
      </c>
      <c r="P2" s="15">
        <f>SUM(C:C)</f>
        <v>43.932202091775459</v>
      </c>
      <c r="Q2" s="31">
        <f>1/P2*SUM(I:I)/(COUNT(I:I)-2)</f>
        <v>7.8733778553270073E-7</v>
      </c>
      <c r="R2" s="31">
        <f>(1/COUNT(I:I)+L2*L2/P2)*SUM(I:I)/(COUNT(I:I)-2)</f>
        <v>4.3684616459671481E-5</v>
      </c>
    </row>
    <row r="3" spans="1:18" ht="16.5" thickTop="1" thickBot="1" x14ac:dyDescent="0.5">
      <c r="A3" s="13">
        <f>'Таблица 2'!E9</f>
        <v>4.8209019616785742</v>
      </c>
      <c r="B3" s="14">
        <f>'Таблица 2'!F9</f>
        <v>0.10852782477392649</v>
      </c>
      <c r="C3" s="31">
        <f t="shared" ref="C3:C5" si="0">(A3-$L$2)*(A3-$L$2)</f>
        <v>3.4224928687932135</v>
      </c>
      <c r="D3" s="33">
        <f t="shared" ref="D3:D5" si="1">(B3-$M$2)*(B3-$M$2)</f>
        <v>5.5220756455578762E-4</v>
      </c>
      <c r="E3" s="19">
        <f>A3-$L$2</f>
        <v>-1.8499980726458105</v>
      </c>
      <c r="F3" s="14">
        <f>B3-$M$2</f>
        <v>-2.3499097100862995E-2</v>
      </c>
      <c r="G3" s="34">
        <f>E3*F3</f>
        <v>4.3473284345513293E-2</v>
      </c>
      <c r="H3" s="15">
        <f>B3-($O$2+$N$2*A3)</f>
        <v>6.2812661684769067E-3</v>
      </c>
      <c r="I3" s="33">
        <f>H3*H3</f>
        <v>3.9454304679252556E-5</v>
      </c>
      <c r="J3" s="17">
        <f t="shared" ref="J3:J5" si="2">SQRT(4*$R$2+4*$Q$2*A3*A3)</f>
        <v>1.5745883182654536E-2</v>
      </c>
      <c r="K3" s="24"/>
      <c r="L3" s="15"/>
      <c r="M3" s="15"/>
      <c r="N3" s="30" t="s">
        <v>54</v>
      </c>
      <c r="O3" s="30" t="s">
        <v>55</v>
      </c>
      <c r="P3" s="15"/>
      <c r="Q3" s="30" t="s">
        <v>58</v>
      </c>
      <c r="R3" s="30" t="s">
        <v>59</v>
      </c>
    </row>
    <row r="4" spans="1:18" ht="15" thickTop="1" thickBot="1" x14ac:dyDescent="0.5">
      <c r="A4" s="13">
        <f>'Таблица 2'!E15</f>
        <v>8.1274890838468536</v>
      </c>
      <c r="B4" s="14">
        <f>'Таблица 2'!F15</f>
        <v>0.15631809470017405</v>
      </c>
      <c r="C4" s="31">
        <f t="shared" si="0"/>
        <v>2.1216516591887693</v>
      </c>
      <c r="D4" s="33">
        <f t="shared" si="1"/>
        <v>5.9006107723270159E-4</v>
      </c>
      <c r="E4" s="19">
        <f t="shared" ref="E4:E5" si="3">A4-$L$2</f>
        <v>1.4565890495224689</v>
      </c>
      <c r="F4" s="14">
        <f t="shared" ref="F4:F5" si="4">B4-$M$2</f>
        <v>2.4291172825384566E-2</v>
      </c>
      <c r="G4" s="34">
        <f t="shared" ref="G4:G5" si="5">E4*F4</f>
        <v>3.5382256337512928E-2</v>
      </c>
      <c r="H4" s="15">
        <f t="shared" ref="H4:H5" si="6">B4-($O$2+$N$2*A4)</f>
        <v>8.437154089105392E-4</v>
      </c>
      <c r="I4" s="33">
        <f t="shared" ref="I4:I5" si="7">H4*H4</f>
        <v>7.1185569123307838E-7</v>
      </c>
      <c r="J4" s="17">
        <f t="shared" si="2"/>
        <v>1.9564566263464665E-2</v>
      </c>
      <c r="K4" s="15"/>
      <c r="L4" s="15"/>
      <c r="M4" s="15"/>
      <c r="N4" s="15"/>
      <c r="O4" s="15"/>
      <c r="P4" s="15"/>
      <c r="Q4" s="15">
        <f>SQRT(Q2)</f>
        <v>8.8732056525964772E-4</v>
      </c>
      <c r="R4" s="15">
        <f>SQRT(R2)</f>
        <v>6.6094338985779625E-3</v>
      </c>
    </row>
    <row r="5" spans="1:18" ht="16.5" thickTop="1" thickBot="1" x14ac:dyDescent="0.5">
      <c r="A5" s="13">
        <f>'Таблица 2'!E21</f>
        <v>11.244285493479566</v>
      </c>
      <c r="B5" s="14">
        <f>'Таблица 2'!F21</f>
        <v>0.20343179354685101</v>
      </c>
      <c r="C5" s="31">
        <f t="shared" si="0"/>
        <v>20.91585455801205</v>
      </c>
      <c r="D5" s="33">
        <f t="shared" si="1"/>
        <v>5.098655698503575E-3</v>
      </c>
      <c r="E5" s="19">
        <f t="shared" si="3"/>
        <v>4.5733854591551815</v>
      </c>
      <c r="F5" s="14">
        <f t="shared" si="4"/>
        <v>7.1404871672061526E-2</v>
      </c>
      <c r="G5" s="34">
        <f t="shared" si="5"/>
        <v>0.32656200181784789</v>
      </c>
      <c r="H5" s="15">
        <f t="shared" si="6"/>
        <v>-2.215248455725044E-3</v>
      </c>
      <c r="I5" s="33">
        <f t="shared" si="7"/>
        <v>4.9073257205921926E-6</v>
      </c>
      <c r="J5" s="17">
        <f t="shared" si="2"/>
        <v>2.3935818147426877E-2</v>
      </c>
      <c r="K5" s="15"/>
      <c r="L5" s="15"/>
      <c r="M5" s="15"/>
      <c r="N5" s="15"/>
      <c r="O5" s="15"/>
      <c r="P5" s="15"/>
      <c r="Q5" s="30" t="s">
        <v>60</v>
      </c>
      <c r="R5" s="30" t="s">
        <v>61</v>
      </c>
    </row>
    <row r="6" spans="1:18" ht="14.65" thickTop="1" x14ac:dyDescent="0.45">
      <c r="A6" s="13"/>
      <c r="B6" s="14"/>
      <c r="C6" s="15"/>
      <c r="D6" s="14"/>
      <c r="E6" s="19"/>
      <c r="F6" s="14"/>
      <c r="G6" s="17"/>
      <c r="H6" s="15"/>
      <c r="I6" s="14"/>
      <c r="J6" s="17"/>
      <c r="K6" s="15"/>
      <c r="L6" s="15"/>
      <c r="M6" s="15"/>
      <c r="N6" s="15"/>
      <c r="O6" s="15"/>
      <c r="P6" s="15"/>
      <c r="Q6" s="15">
        <f>Q4*2</f>
        <v>1.7746411305192954E-3</v>
      </c>
      <c r="R6" s="15">
        <f>R4*2</f>
        <v>1.3218867797155925E-2</v>
      </c>
    </row>
    <row r="7" spans="1:18" x14ac:dyDescent="0.45">
      <c r="A7" s="13"/>
      <c r="B7" s="14"/>
      <c r="C7" s="15"/>
      <c r="D7" s="14"/>
      <c r="E7" s="19"/>
      <c r="F7" s="14"/>
      <c r="G7" s="17"/>
      <c r="H7" s="15"/>
      <c r="I7" s="14"/>
      <c r="J7" s="17"/>
      <c r="K7" s="15"/>
      <c r="L7" s="15"/>
      <c r="M7" s="15"/>
      <c r="N7" s="15"/>
      <c r="O7" s="15"/>
      <c r="P7" s="15"/>
      <c r="Q7" s="15"/>
      <c r="R7" s="15"/>
    </row>
    <row r="8" spans="1:18" x14ac:dyDescent="0.45">
      <c r="A8" s="13"/>
      <c r="B8" s="14"/>
      <c r="C8" s="15"/>
      <c r="D8" s="14"/>
      <c r="E8" s="19"/>
      <c r="F8" s="14"/>
      <c r="G8" s="17"/>
      <c r="H8" s="15"/>
      <c r="I8" s="14"/>
      <c r="J8" s="17"/>
      <c r="K8" s="15"/>
      <c r="L8" s="15"/>
      <c r="M8" s="15"/>
      <c r="N8" s="15"/>
      <c r="O8" s="15"/>
      <c r="P8" s="15"/>
      <c r="Q8" s="15"/>
      <c r="R8" s="15"/>
    </row>
    <row r="9" spans="1:18" x14ac:dyDescent="0.45">
      <c r="A9" s="13"/>
      <c r="B9" s="14"/>
      <c r="C9" s="15"/>
      <c r="D9" s="14"/>
      <c r="E9" s="19"/>
      <c r="F9" s="14"/>
      <c r="G9" s="17"/>
      <c r="H9" s="15"/>
      <c r="I9" s="14"/>
      <c r="J9" s="17"/>
      <c r="K9" s="15"/>
      <c r="L9" s="15"/>
      <c r="M9" s="15"/>
      <c r="N9" s="15"/>
      <c r="O9" s="15"/>
      <c r="P9" s="15"/>
      <c r="Q9" s="15"/>
      <c r="R9" s="15"/>
    </row>
    <row r="10" spans="1:18" x14ac:dyDescent="0.45">
      <c r="A10" s="13"/>
      <c r="B10" s="14"/>
      <c r="C10" s="15"/>
      <c r="D10" s="14"/>
      <c r="E10" s="19"/>
      <c r="F10" s="14"/>
      <c r="G10" s="17"/>
      <c r="H10" s="15"/>
      <c r="I10" s="14"/>
      <c r="J10" s="17"/>
    </row>
    <row r="11" spans="1:18" x14ac:dyDescent="0.45">
      <c r="A11" s="13"/>
      <c r="B11" s="14"/>
      <c r="C11" s="15"/>
      <c r="D11" s="14"/>
      <c r="E11" s="19"/>
      <c r="F11" s="14"/>
      <c r="G11" s="17"/>
      <c r="H11" s="15"/>
      <c r="I11" s="14"/>
      <c r="J11" s="17"/>
    </row>
    <row r="12" spans="1:18" x14ac:dyDescent="0.45">
      <c r="A12" s="13"/>
      <c r="B12" s="14"/>
      <c r="C12" s="15"/>
      <c r="D12" s="14"/>
      <c r="E12" s="19"/>
      <c r="F12" s="14"/>
      <c r="G12" s="17"/>
      <c r="H12" s="15"/>
      <c r="I12" s="14"/>
      <c r="J12" s="17"/>
    </row>
    <row r="13" spans="1:18" x14ac:dyDescent="0.45">
      <c r="A13" s="13"/>
      <c r="B13" s="14"/>
      <c r="C13" s="15"/>
      <c r="D13" s="14"/>
      <c r="E13" s="19"/>
      <c r="F13" s="14"/>
      <c r="G13" s="17"/>
      <c r="H13" s="15"/>
      <c r="I13" s="14"/>
      <c r="J13" s="17"/>
    </row>
    <row r="14" spans="1:18" x14ac:dyDescent="0.45">
      <c r="A14" s="13"/>
      <c r="B14" s="14"/>
      <c r="C14" s="15"/>
      <c r="D14" s="14"/>
      <c r="E14" s="19"/>
      <c r="F14" s="14"/>
      <c r="G14" s="17"/>
      <c r="H14" s="15"/>
      <c r="I14" s="14"/>
      <c r="J14" s="17"/>
    </row>
    <row r="15" spans="1:18" x14ac:dyDescent="0.45">
      <c r="A15" s="13"/>
      <c r="B15" s="14"/>
      <c r="C15" s="15"/>
      <c r="D15" s="14"/>
      <c r="E15" s="19"/>
      <c r="F15" s="14"/>
      <c r="G15" s="17"/>
      <c r="H15" s="15"/>
      <c r="I15" s="14"/>
      <c r="J15" s="17"/>
    </row>
    <row r="16" spans="1:18" x14ac:dyDescent="0.45">
      <c r="A16" s="13"/>
      <c r="B16" s="14"/>
      <c r="C16" s="15"/>
      <c r="D16" s="14"/>
      <c r="E16" s="19"/>
      <c r="F16" s="14"/>
      <c r="G16" s="17"/>
      <c r="H16" s="15"/>
      <c r="I16" s="14"/>
      <c r="J16" s="17"/>
    </row>
    <row r="17" spans="1:10" x14ac:dyDescent="0.45">
      <c r="A17" s="13"/>
      <c r="B17" s="14"/>
      <c r="C17" s="15"/>
      <c r="D17" s="14"/>
      <c r="E17" s="19"/>
      <c r="F17" s="14"/>
      <c r="G17" s="17"/>
      <c r="H17" s="15"/>
      <c r="I17" s="14"/>
      <c r="J17" s="17"/>
    </row>
    <row r="18" spans="1:10" x14ac:dyDescent="0.45">
      <c r="A18" s="13"/>
      <c r="B18" s="14"/>
      <c r="C18" s="15"/>
      <c r="D18" s="14"/>
      <c r="E18" s="19"/>
      <c r="F18" s="14"/>
      <c r="G18" s="17"/>
      <c r="H18" s="15"/>
      <c r="I18" s="14"/>
      <c r="J18" s="17"/>
    </row>
    <row r="19" spans="1:10" x14ac:dyDescent="0.45">
      <c r="A19" s="13"/>
      <c r="B19" s="14"/>
      <c r="C19" s="15"/>
      <c r="D19" s="14"/>
      <c r="E19" s="19"/>
      <c r="F19" s="14"/>
      <c r="G19" s="17"/>
      <c r="H19" s="15"/>
      <c r="I19" s="14"/>
      <c r="J19" s="17"/>
    </row>
    <row r="20" spans="1:10" x14ac:dyDescent="0.45">
      <c r="A20" s="13"/>
      <c r="B20" s="14"/>
      <c r="C20" s="15"/>
      <c r="D20" s="14"/>
      <c r="E20" s="19"/>
      <c r="F20" s="14"/>
      <c r="G20" s="17"/>
      <c r="H20" s="15"/>
      <c r="I20" s="14"/>
      <c r="J20" s="17"/>
    </row>
    <row r="21" spans="1:10" x14ac:dyDescent="0.45">
      <c r="A21" s="13"/>
      <c r="B21" s="14"/>
      <c r="C21" s="15"/>
      <c r="D21" s="14"/>
      <c r="E21" s="19"/>
      <c r="F21" s="14"/>
      <c r="G21" s="17"/>
      <c r="H21" s="15"/>
      <c r="I21" s="14"/>
      <c r="J21" s="17"/>
    </row>
    <row r="22" spans="1:10" x14ac:dyDescent="0.45">
      <c r="A22" s="13"/>
      <c r="B22" s="14"/>
      <c r="C22" s="15"/>
      <c r="D22" s="14"/>
      <c r="E22" s="19"/>
      <c r="F22" s="14"/>
      <c r="G22" s="17"/>
      <c r="H22" s="15"/>
      <c r="I22" s="14"/>
      <c r="J22" s="17"/>
    </row>
    <row r="23" spans="1:10" x14ac:dyDescent="0.45">
      <c r="A23" s="13"/>
      <c r="B23" s="14"/>
      <c r="C23" s="15"/>
      <c r="D23" s="14"/>
      <c r="E23" s="19"/>
      <c r="F23" s="14"/>
      <c r="G23" s="17"/>
      <c r="H23" s="15"/>
      <c r="I23" s="14"/>
      <c r="J23" s="17"/>
    </row>
  </sheetData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R23"/>
  <sheetViews>
    <sheetView topLeftCell="I1" workbookViewId="0">
      <selection activeCell="M18" sqref="M18"/>
    </sheetView>
  </sheetViews>
  <sheetFormatPr defaultRowHeight="14.25" x14ac:dyDescent="0.45"/>
  <cols>
    <col min="1" max="1" width="9" bestFit="1" customWidth="1"/>
    <col min="2" max="2" width="9.3984375" bestFit="1" customWidth="1"/>
    <col min="3" max="3" width="9" bestFit="1" customWidth="1"/>
    <col min="4" max="4" width="9.73046875" customWidth="1"/>
    <col min="5" max="5" width="9" bestFit="1" customWidth="1"/>
    <col min="6" max="6" width="10.1328125" bestFit="1" customWidth="1"/>
    <col min="7" max="7" width="15.59765625" customWidth="1"/>
    <col min="8" max="10" width="9" bestFit="1" customWidth="1"/>
    <col min="12" max="12" width="9" bestFit="1" customWidth="1"/>
    <col min="13" max="14" width="9.3984375" bestFit="1" customWidth="1"/>
    <col min="15" max="18" width="9" bestFit="1" customWidth="1"/>
  </cols>
  <sheetData>
    <row r="1" spans="1:18" ht="45.75" thickTop="1" thickBot="1" x14ac:dyDescent="0.5">
      <c r="A1" s="4" t="s">
        <v>23</v>
      </c>
      <c r="B1" s="5" t="s">
        <v>24</v>
      </c>
      <c r="C1" s="6" t="s">
        <v>28</v>
      </c>
      <c r="D1" s="10" t="s">
        <v>29</v>
      </c>
      <c r="E1" s="11" t="s">
        <v>30</v>
      </c>
      <c r="F1" s="10" t="s">
        <v>31</v>
      </c>
      <c r="G1" s="7" t="s">
        <v>32</v>
      </c>
      <c r="H1" s="11" t="s">
        <v>13</v>
      </c>
      <c r="I1" s="10" t="s">
        <v>36</v>
      </c>
      <c r="J1" s="9" t="s">
        <v>37</v>
      </c>
      <c r="L1" s="7" t="s">
        <v>16</v>
      </c>
      <c r="M1" s="7" t="s">
        <v>25</v>
      </c>
      <c r="N1" s="8" t="s">
        <v>26</v>
      </c>
      <c r="O1" s="8" t="s">
        <v>27</v>
      </c>
      <c r="P1" s="8" t="s">
        <v>33</v>
      </c>
      <c r="Q1" s="8" t="s">
        <v>34</v>
      </c>
      <c r="R1" s="8" t="s">
        <v>35</v>
      </c>
    </row>
    <row r="2" spans="1:18" ht="15" thickTop="1" thickBot="1" x14ac:dyDescent="0.5">
      <c r="A2" s="13">
        <f>'Таблица 2'!E4</f>
        <v>2.2000305489956231</v>
      </c>
      <c r="B2" s="14">
        <f>'Таблица 2'!F4</f>
        <v>5.9871061085168216E-2</v>
      </c>
      <c r="C2" s="15">
        <f>(A2-$L$2)*(A2-$L$2)</f>
        <v>6.705387647248048</v>
      </c>
      <c r="D2" s="14">
        <f>(B2-$M$2)*(B2-$M$2)</f>
        <v>5.3162239742919701E-3</v>
      </c>
      <c r="E2" s="16">
        <f>A2-$L$2</f>
        <v>-2.5894763268367695</v>
      </c>
      <c r="F2" s="14">
        <f>B2-$M$2</f>
        <v>-7.2912440463147099E-2</v>
      </c>
      <c r="G2" s="17">
        <f>E2*F2</f>
        <v>0.1888050385112148</v>
      </c>
      <c r="H2" s="15">
        <f>B2-($O$2+$N$2*A2)</f>
        <v>-5.341056941865395E-3</v>
      </c>
      <c r="I2" s="18">
        <f>H2*H2</f>
        <v>2.8526889256248527E-5</v>
      </c>
      <c r="J2" s="23">
        <f>SQRT(4*$R$2+4*$Q$2*A2*A2)</f>
        <v>1.9888299491619188E-2</v>
      </c>
      <c r="K2" s="15"/>
      <c r="L2" s="15">
        <f>SUM(A:A)/COUNT(A:A)</f>
        <v>4.7895068758323927</v>
      </c>
      <c r="M2" s="15">
        <f>SUM(B:B)/COUNT(B:B)</f>
        <v>0.13278350154831531</v>
      </c>
      <c r="N2" s="15">
        <f>SUM(G:G)/SUM(C:C)</f>
        <v>2.6094613347489054E-2</v>
      </c>
      <c r="O2" s="15">
        <f>M2-N2*L2</f>
        <v>7.8031714983287509E-3</v>
      </c>
      <c r="P2" s="15">
        <f>SUM(C:C)</f>
        <v>17.069957272259686</v>
      </c>
      <c r="Q2" s="15">
        <f>1/P2*SUM(I:I)/(COUNT(I:I)-2)</f>
        <v>3.0856590206700132E-6</v>
      </c>
      <c r="R2" s="15">
        <f>(1/COUNT(I:I)+L2*L2/P2)*SUM(I:I)/(COUNT(I:I)-2)</f>
        <v>8.3951109743513251E-5</v>
      </c>
    </row>
    <row r="3" spans="1:18" ht="16.5" thickTop="1" thickBot="1" x14ac:dyDescent="0.5">
      <c r="A3" s="13">
        <f>'Таблица 2'!E10</f>
        <v>3.7232406483793095</v>
      </c>
      <c r="B3" s="14">
        <f>'Таблица 2'!F10</f>
        <v>0.10881060757444257</v>
      </c>
      <c r="C3" s="15">
        <f t="shared" ref="C3:C5" si="0">(A3-$L$2)*(A3-$L$2)</f>
        <v>1.1369236678070302</v>
      </c>
      <c r="D3" s="14">
        <f t="shared" ref="D3:D5" si="1">(B3-$M$2)*(B3-$M$2)</f>
        <v>5.7469964548254396E-4</v>
      </c>
      <c r="E3" s="19">
        <f>A3-$L$2</f>
        <v>-1.0662662274530832</v>
      </c>
      <c r="F3" s="14">
        <f>B3-$M$2</f>
        <v>-2.3972893973872741E-2</v>
      </c>
      <c r="G3" s="17">
        <f>E3*F3</f>
        <v>2.556148721865404E-2</v>
      </c>
      <c r="H3" s="15">
        <f>B3-($O$2+$N$2*A3)</f>
        <v>3.8509109570012828E-3</v>
      </c>
      <c r="I3" s="14">
        <f>H3*H3</f>
        <v>1.4829515198752536E-5</v>
      </c>
      <c r="J3" s="17">
        <f t="shared" ref="J3:J5" si="2">SQRT(4*$R$2+4*$Q$2*A3*A3)</f>
        <v>2.2514539523362409E-2</v>
      </c>
      <c r="K3" s="24"/>
      <c r="L3" s="15"/>
      <c r="M3" s="15"/>
      <c r="N3" s="30" t="s">
        <v>54</v>
      </c>
      <c r="O3" s="30" t="s">
        <v>55</v>
      </c>
      <c r="P3" s="15"/>
      <c r="Q3" s="30" t="s">
        <v>58</v>
      </c>
      <c r="R3" s="30" t="s">
        <v>59</v>
      </c>
    </row>
    <row r="4" spans="1:18" ht="15" thickTop="1" thickBot="1" x14ac:dyDescent="0.5">
      <c r="A4" s="13">
        <f>'Таблица 2'!E16</f>
        <v>5.4892338480274256</v>
      </c>
      <c r="B4" s="14">
        <f>'Таблица 2'!F16</f>
        <v>0.15730481007313621</v>
      </c>
      <c r="C4" s="15">
        <f t="shared" si="0"/>
        <v>0.48961783561722849</v>
      </c>
      <c r="D4" s="14">
        <f t="shared" si="1"/>
        <v>6.012945717694542E-4</v>
      </c>
      <c r="E4" s="19">
        <f t="shared" ref="E4:E5" si="3">A4-$L$2</f>
        <v>0.69972697219503299</v>
      </c>
      <c r="F4" s="14">
        <f t="shared" ref="F4:F5" si="4">B4-$M$2</f>
        <v>2.4521308524820901E-2</v>
      </c>
      <c r="G4" s="17">
        <f t="shared" ref="G4:G5" si="5">E4*F4</f>
        <v>1.7158220968333179E-2</v>
      </c>
      <c r="H4" s="15">
        <f t="shared" ref="H4:H5" si="6">B4-($O$2+$N$2*A4)</f>
        <v>6.2622037365822891E-3</v>
      </c>
      <c r="I4" s="14">
        <f t="shared" ref="I4:I5" si="7">H4*H4</f>
        <v>3.9215195638465182E-5</v>
      </c>
      <c r="J4" s="17">
        <f t="shared" si="2"/>
        <v>2.6602798752321733E-2</v>
      </c>
      <c r="K4" s="15"/>
      <c r="L4" s="15"/>
      <c r="M4" s="15"/>
      <c r="N4" s="15"/>
      <c r="O4" s="15"/>
      <c r="P4" s="15"/>
      <c r="Q4" s="15">
        <f>SQRT(Q2)</f>
        <v>1.756604400731711E-3</v>
      </c>
      <c r="R4" s="15">
        <f>SQRT(R2)</f>
        <v>9.1624838195498749E-3</v>
      </c>
    </row>
    <row r="5" spans="1:18" ht="16.5" thickTop="1" thickBot="1" x14ac:dyDescent="0.5">
      <c r="A5" s="13">
        <f>'Таблица 2'!E22</f>
        <v>7.7455224579272128</v>
      </c>
      <c r="B5" s="14">
        <f>'Таблица 2'!F22</f>
        <v>0.20514752746051426</v>
      </c>
      <c r="C5" s="15">
        <f t="shared" si="0"/>
        <v>8.7380281215873783</v>
      </c>
      <c r="D5" s="14">
        <f t="shared" si="1"/>
        <v>5.236552246221402E-3</v>
      </c>
      <c r="E5" s="19">
        <f t="shared" si="3"/>
        <v>2.9560155820948202</v>
      </c>
      <c r="F5" s="14">
        <f t="shared" si="4"/>
        <v>7.2364025912198954E-2</v>
      </c>
      <c r="G5" s="17">
        <f t="shared" si="5"/>
        <v>0.21390918817957344</v>
      </c>
      <c r="H5" s="15">
        <f t="shared" si="6"/>
        <v>-4.7720577517181562E-3</v>
      </c>
      <c r="I5" s="14">
        <f t="shared" si="7"/>
        <v>2.2772535185733344E-5</v>
      </c>
      <c r="J5" s="17">
        <f t="shared" si="2"/>
        <v>3.2806671024633159E-2</v>
      </c>
      <c r="K5" s="15"/>
      <c r="L5" s="15"/>
      <c r="M5" s="15"/>
      <c r="N5" s="15"/>
      <c r="O5" s="15"/>
      <c r="P5" s="15"/>
      <c r="Q5" s="30" t="s">
        <v>60</v>
      </c>
      <c r="R5" s="30" t="s">
        <v>61</v>
      </c>
    </row>
    <row r="6" spans="1:18" ht="14.65" thickTop="1" x14ac:dyDescent="0.45">
      <c r="A6" s="13"/>
      <c r="B6" s="14"/>
      <c r="C6" s="15"/>
      <c r="D6" s="14"/>
      <c r="E6" s="19"/>
      <c r="F6" s="14"/>
      <c r="G6" s="17"/>
      <c r="H6" s="15"/>
      <c r="I6" s="14"/>
      <c r="J6" s="17"/>
      <c r="K6" s="15"/>
      <c r="L6" s="15"/>
      <c r="M6" s="15"/>
      <c r="N6" s="15"/>
      <c r="O6" s="15"/>
      <c r="P6" s="15"/>
      <c r="Q6" s="15">
        <f>Q4*2</f>
        <v>3.513208801463422E-3</v>
      </c>
      <c r="R6" s="15">
        <f>R4*2</f>
        <v>1.832496763909975E-2</v>
      </c>
    </row>
    <row r="7" spans="1:18" x14ac:dyDescent="0.45">
      <c r="A7" s="13"/>
      <c r="B7" s="14"/>
      <c r="C7" s="15"/>
      <c r="D7" s="14"/>
      <c r="E7" s="19"/>
      <c r="F7" s="14"/>
      <c r="G7" s="17"/>
      <c r="H7" s="15"/>
      <c r="I7" s="14"/>
      <c r="J7" s="17"/>
      <c r="K7" s="15"/>
      <c r="L7" s="15"/>
      <c r="M7" s="15"/>
      <c r="N7" s="15"/>
      <c r="O7" s="15"/>
      <c r="P7" s="15"/>
      <c r="Q7" s="15"/>
      <c r="R7" s="15"/>
    </row>
    <row r="8" spans="1:18" x14ac:dyDescent="0.45">
      <c r="A8" s="13"/>
      <c r="B8" s="14"/>
      <c r="C8" s="15"/>
      <c r="D8" s="14"/>
      <c r="E8" s="19"/>
      <c r="F8" s="14"/>
      <c r="G8" s="17"/>
      <c r="H8" s="15"/>
      <c r="I8" s="14"/>
      <c r="J8" s="17"/>
      <c r="K8" s="15"/>
      <c r="L8" s="15"/>
      <c r="M8" s="15"/>
      <c r="N8" s="15"/>
      <c r="O8" s="15"/>
      <c r="P8" s="15"/>
      <c r="Q8" s="15"/>
      <c r="R8" s="15"/>
    </row>
    <row r="9" spans="1:18" x14ac:dyDescent="0.45">
      <c r="A9" s="13"/>
      <c r="B9" s="14"/>
      <c r="C9" s="15"/>
      <c r="D9" s="14"/>
      <c r="E9" s="19"/>
      <c r="F9" s="14"/>
      <c r="G9" s="17"/>
      <c r="H9" s="15"/>
      <c r="I9" s="14"/>
      <c r="J9" s="17"/>
      <c r="K9" s="15"/>
      <c r="L9" s="15"/>
      <c r="M9" s="15"/>
      <c r="N9" s="15"/>
      <c r="O9" s="15"/>
      <c r="P9" s="15"/>
      <c r="Q9" s="15"/>
      <c r="R9" s="15"/>
    </row>
    <row r="10" spans="1:18" x14ac:dyDescent="0.45">
      <c r="A10" s="13"/>
      <c r="B10" s="14"/>
      <c r="C10" s="15"/>
      <c r="D10" s="14"/>
      <c r="E10" s="19"/>
      <c r="F10" s="14"/>
      <c r="G10" s="17"/>
      <c r="H10" s="15"/>
      <c r="I10" s="14"/>
      <c r="J10" s="17"/>
    </row>
    <row r="11" spans="1:18" x14ac:dyDescent="0.45">
      <c r="A11" s="13"/>
      <c r="B11" s="14"/>
      <c r="C11" s="15"/>
      <c r="D11" s="14"/>
      <c r="E11" s="19"/>
      <c r="F11" s="14"/>
      <c r="G11" s="17"/>
      <c r="H11" s="15"/>
      <c r="I11" s="14"/>
      <c r="J11" s="17"/>
    </row>
    <row r="12" spans="1:18" x14ac:dyDescent="0.45">
      <c r="A12" s="13"/>
      <c r="B12" s="14"/>
      <c r="C12" s="15"/>
      <c r="D12" s="14"/>
      <c r="E12" s="19"/>
      <c r="F12" s="14"/>
      <c r="G12" s="17"/>
      <c r="H12" s="15"/>
      <c r="I12" s="14"/>
      <c r="J12" s="17"/>
    </row>
    <row r="13" spans="1:18" x14ac:dyDescent="0.45">
      <c r="A13" s="13"/>
      <c r="B13" s="14"/>
      <c r="C13" s="15"/>
      <c r="D13" s="14"/>
      <c r="E13" s="19"/>
      <c r="F13" s="14"/>
      <c r="G13" s="17"/>
      <c r="H13" s="15"/>
      <c r="I13" s="14"/>
      <c r="J13" s="17"/>
    </row>
    <row r="14" spans="1:18" x14ac:dyDescent="0.45">
      <c r="A14" s="13"/>
      <c r="B14" s="14"/>
      <c r="C14" s="15"/>
      <c r="D14" s="14"/>
      <c r="E14" s="19"/>
      <c r="F14" s="14"/>
      <c r="G14" s="17"/>
      <c r="H14" s="15"/>
      <c r="I14" s="14"/>
      <c r="J14" s="17"/>
    </row>
    <row r="15" spans="1:18" x14ac:dyDescent="0.45">
      <c r="A15" s="13"/>
      <c r="B15" s="14"/>
      <c r="C15" s="15"/>
      <c r="D15" s="14"/>
      <c r="E15" s="19"/>
      <c r="F15" s="14"/>
      <c r="G15" s="17"/>
      <c r="H15" s="15"/>
      <c r="I15" s="14"/>
      <c r="J15" s="17"/>
    </row>
    <row r="16" spans="1:18" x14ac:dyDescent="0.45">
      <c r="A16" s="13"/>
      <c r="B16" s="14"/>
      <c r="C16" s="15"/>
      <c r="D16" s="14"/>
      <c r="E16" s="19"/>
      <c r="F16" s="14"/>
      <c r="G16" s="17"/>
      <c r="H16" s="15"/>
      <c r="I16" s="14"/>
      <c r="J16" s="17"/>
    </row>
    <row r="17" spans="1:10" x14ac:dyDescent="0.45">
      <c r="A17" s="13"/>
      <c r="B17" s="14"/>
      <c r="C17" s="15"/>
      <c r="D17" s="14"/>
      <c r="E17" s="19"/>
      <c r="F17" s="14"/>
      <c r="G17" s="17"/>
      <c r="H17" s="15"/>
      <c r="I17" s="14"/>
      <c r="J17" s="17"/>
    </row>
    <row r="18" spans="1:10" x14ac:dyDescent="0.45">
      <c r="A18" s="13"/>
      <c r="B18" s="14"/>
      <c r="C18" s="15"/>
      <c r="D18" s="14"/>
      <c r="E18" s="19"/>
      <c r="F18" s="14"/>
      <c r="G18" s="17"/>
      <c r="H18" s="15"/>
      <c r="I18" s="14"/>
      <c r="J18" s="17"/>
    </row>
    <row r="19" spans="1:10" x14ac:dyDescent="0.45">
      <c r="A19" s="13"/>
      <c r="B19" s="14"/>
      <c r="C19" s="15"/>
      <c r="D19" s="14"/>
      <c r="E19" s="19"/>
      <c r="F19" s="14"/>
      <c r="G19" s="17"/>
      <c r="H19" s="15"/>
      <c r="I19" s="14"/>
      <c r="J19" s="17"/>
    </row>
    <row r="20" spans="1:10" x14ac:dyDescent="0.45">
      <c r="A20" s="13"/>
      <c r="B20" s="14"/>
      <c r="C20" s="15"/>
      <c r="D20" s="14"/>
      <c r="E20" s="19"/>
      <c r="F20" s="14"/>
      <c r="G20" s="17"/>
      <c r="H20" s="15"/>
      <c r="I20" s="14"/>
      <c r="J20" s="17"/>
    </row>
    <row r="21" spans="1:10" x14ac:dyDescent="0.45">
      <c r="A21" s="13"/>
      <c r="B21" s="14"/>
      <c r="C21" s="15"/>
      <c r="D21" s="14"/>
      <c r="E21" s="19"/>
      <c r="F21" s="14"/>
      <c r="G21" s="17"/>
      <c r="H21" s="15"/>
      <c r="I21" s="14"/>
      <c r="J21" s="17"/>
    </row>
    <row r="22" spans="1:10" x14ac:dyDescent="0.45">
      <c r="A22" s="13"/>
      <c r="B22" s="14"/>
      <c r="C22" s="15"/>
      <c r="D22" s="14"/>
      <c r="E22" s="19"/>
      <c r="F22" s="14"/>
      <c r="G22" s="17"/>
      <c r="H22" s="15"/>
      <c r="I22" s="14"/>
      <c r="J22" s="17"/>
    </row>
    <row r="23" spans="1:10" x14ac:dyDescent="0.45">
      <c r="A23" s="13"/>
      <c r="B23" s="14"/>
      <c r="C23" s="15"/>
      <c r="D23" s="14"/>
      <c r="E23" s="19"/>
      <c r="F23" s="14"/>
      <c r="G23" s="17"/>
      <c r="H23" s="15"/>
      <c r="I23" s="14"/>
      <c r="J23" s="17"/>
    </row>
  </sheetData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R23"/>
  <sheetViews>
    <sheetView topLeftCell="H1" workbookViewId="0">
      <selection activeCell="Q5" activeCellId="2" sqref="N3:O3 Q3:R3 Q5:R5"/>
    </sheetView>
  </sheetViews>
  <sheetFormatPr defaultRowHeight="14.25" x14ac:dyDescent="0.45"/>
  <cols>
    <col min="1" max="1" width="9" bestFit="1" customWidth="1"/>
    <col min="2" max="2" width="9.3984375" bestFit="1" customWidth="1"/>
    <col min="3" max="3" width="9" bestFit="1" customWidth="1"/>
    <col min="4" max="4" width="9.73046875" customWidth="1"/>
    <col min="5" max="5" width="9" bestFit="1" customWidth="1"/>
    <col min="6" max="6" width="10.1328125" bestFit="1" customWidth="1"/>
    <col min="7" max="7" width="15.59765625" customWidth="1"/>
    <col min="8" max="10" width="9" bestFit="1" customWidth="1"/>
    <col min="12" max="12" width="9" bestFit="1" customWidth="1"/>
    <col min="13" max="14" width="9.3984375" bestFit="1" customWidth="1"/>
    <col min="15" max="18" width="9" bestFit="1" customWidth="1"/>
  </cols>
  <sheetData>
    <row r="1" spans="1:18" ht="45.75" thickTop="1" thickBot="1" x14ac:dyDescent="0.5">
      <c r="A1" s="4" t="s">
        <v>23</v>
      </c>
      <c r="B1" s="5" t="s">
        <v>24</v>
      </c>
      <c r="C1" s="6" t="s">
        <v>28</v>
      </c>
      <c r="D1" s="10" t="s">
        <v>29</v>
      </c>
      <c r="E1" s="11" t="s">
        <v>30</v>
      </c>
      <c r="F1" s="10" t="s">
        <v>31</v>
      </c>
      <c r="G1" s="7" t="s">
        <v>32</v>
      </c>
      <c r="H1" s="11" t="s">
        <v>13</v>
      </c>
      <c r="I1" s="10" t="s">
        <v>36</v>
      </c>
      <c r="J1" s="9" t="s">
        <v>37</v>
      </c>
      <c r="L1" s="7" t="s">
        <v>16</v>
      </c>
      <c r="M1" s="7" t="s">
        <v>25</v>
      </c>
      <c r="N1" s="8" t="s">
        <v>26</v>
      </c>
      <c r="O1" s="8" t="s">
        <v>27</v>
      </c>
      <c r="P1" s="8" t="s">
        <v>33</v>
      </c>
      <c r="Q1" s="8" t="s">
        <v>34</v>
      </c>
      <c r="R1" s="8" t="s">
        <v>35</v>
      </c>
    </row>
    <row r="2" spans="1:18" ht="15" thickTop="1" thickBot="1" x14ac:dyDescent="0.5">
      <c r="A2" s="13">
        <f>'Таблица 2'!E5</f>
        <v>1.5783997349190386</v>
      </c>
      <c r="B2" s="14">
        <f>'Таблица 2'!F5</f>
        <v>5.9958862086240843E-2</v>
      </c>
      <c r="C2" s="15">
        <f>(A2-$L$2)*(A2-$L$2)</f>
        <v>3.082748522416634</v>
      </c>
      <c r="D2" s="14">
        <f>(B2-$M$2)*(B2-$M$2)</f>
        <v>5.3877825614347405E-3</v>
      </c>
      <c r="E2" s="16">
        <f>A2-$L$2</f>
        <v>-1.7557757608580413</v>
      </c>
      <c r="F2" s="14">
        <f>B2-$M$2</f>
        <v>-7.3401516070410566E-2</v>
      </c>
      <c r="G2" s="17">
        <f>E2*F2</f>
        <v>0.12887660272665885</v>
      </c>
      <c r="H2" s="15">
        <f>B2-($O$2+$N$2*A2)</f>
        <v>7.3222877556791341E-3</v>
      </c>
      <c r="I2" s="18">
        <f>H2*H2</f>
        <v>5.3615897976968568E-5</v>
      </c>
      <c r="J2" s="23">
        <f>SQRT(4*$R$2+4*$Q$2*A2*A2)</f>
        <v>4.2145551019049161E-2</v>
      </c>
      <c r="K2" s="15"/>
      <c r="L2" s="15">
        <f>SUM(A:A)/COUNT(A:A)</f>
        <v>3.3341754957770799</v>
      </c>
      <c r="M2" s="15">
        <f>SUM(B:B)/COUNT(B:B)</f>
        <v>0.13336037815665142</v>
      </c>
      <c r="N2" s="15">
        <f>SUM(G:G)/SUM(C:C)</f>
        <v>4.5976146627425968E-2</v>
      </c>
      <c r="O2" s="15">
        <f>M2-N2*L2</f>
        <v>-1.9932163318766294E-2</v>
      </c>
      <c r="P2" s="15">
        <f>SUM(C:C)</f>
        <v>5.499008213344962</v>
      </c>
      <c r="Q2" s="15">
        <f>1/P2*SUM(I:I)/(COUNT(I:I)-2)</f>
        <v>2.9638062042543734E-5</v>
      </c>
      <c r="R2" s="15">
        <f>(1/COUNT(I:I)+L2*L2/P2)*SUM(I:I)/(COUNT(I:I)-2)</f>
        <v>3.7022320856141394E-4</v>
      </c>
    </row>
    <row r="3" spans="1:18" ht="16.5" thickTop="1" thickBot="1" x14ac:dyDescent="0.5">
      <c r="A3" s="13">
        <f>'Таблица 2'!E11</f>
        <v>3.1345831795480281</v>
      </c>
      <c r="B3" s="14">
        <f>'Таблица 2'!F11</f>
        <v>0.10896225927753531</v>
      </c>
      <c r="C3" s="15">
        <f t="shared" ref="C3:C5" si="0">(A3-$L$2)*(A3-$L$2)</f>
        <v>3.9837092697677823E-2</v>
      </c>
      <c r="D3" s="14">
        <f t="shared" ref="D3:D5" si="1">(B3-$M$2)*(B3-$M$2)</f>
        <v>5.9526820483948189E-4</v>
      </c>
      <c r="E3" s="19">
        <f>A3-$L$2</f>
        <v>-0.19959231622905182</v>
      </c>
      <c r="F3" s="14">
        <f>B3-$M$2</f>
        <v>-2.439811887911611E-2</v>
      </c>
      <c r="G3" s="17">
        <f>E3*F3</f>
        <v>4.8696770587145421E-3</v>
      </c>
      <c r="H3" s="15">
        <f>B3-($O$2+$N$2*A3)</f>
        <v>-1.522163328246165E-2</v>
      </c>
      <c r="I3" s="14">
        <f>H3*H3</f>
        <v>2.3169811978574422E-4</v>
      </c>
      <c r="J3" s="17">
        <f t="shared" ref="J3:J5" si="2">SQRT(4*$R$2+4*$Q$2*A3*A3)</f>
        <v>5.1436768872614065E-2</v>
      </c>
      <c r="K3" s="24"/>
      <c r="L3" s="15"/>
      <c r="M3" s="15"/>
      <c r="N3" s="30" t="s">
        <v>54</v>
      </c>
      <c r="O3" s="30" t="s">
        <v>55</v>
      </c>
      <c r="P3" s="15"/>
      <c r="Q3" s="30" t="s">
        <v>58</v>
      </c>
      <c r="R3" s="30" t="s">
        <v>59</v>
      </c>
    </row>
    <row r="4" spans="1:18" ht="15" thickTop="1" thickBot="1" x14ac:dyDescent="0.5">
      <c r="A4" s="13">
        <f>'Таблица 2'!E17</f>
        <v>3.829837522486617</v>
      </c>
      <c r="B4" s="14">
        <f>'Таблица 2'!F17</f>
        <v>0.15792542927707745</v>
      </c>
      <c r="C4" s="15">
        <f t="shared" si="0"/>
        <v>0.24568084472180585</v>
      </c>
      <c r="D4" s="14">
        <f t="shared" si="1"/>
        <v>6.034417365491444E-4</v>
      </c>
      <c r="E4" s="19">
        <f t="shared" ref="E4:E5" si="3">A4-$L$2</f>
        <v>0.49566202670953707</v>
      </c>
      <c r="F4" s="14">
        <f t="shared" ref="F4:F5" si="4">B4-$M$2</f>
        <v>2.4565051120426035E-2</v>
      </c>
      <c r="G4" s="17">
        <f t="shared" ref="G4:G5" si="5">E4*F4</f>
        <v>1.2175963024573752E-2</v>
      </c>
      <c r="H4" s="15">
        <f t="shared" ref="H4:H5" si="6">B4-($O$2+$N$2*A4)</f>
        <v>1.776421102781256E-3</v>
      </c>
      <c r="I4" s="14">
        <f t="shared" ref="I4:I5" si="7">H4*H4</f>
        <v>3.1556719344065734E-6</v>
      </c>
      <c r="J4" s="17">
        <f t="shared" si="2"/>
        <v>5.6743073260691529E-2</v>
      </c>
      <c r="K4" s="15"/>
      <c r="L4" s="15"/>
      <c r="M4" s="15"/>
      <c r="N4" s="15"/>
      <c r="O4" s="15"/>
      <c r="P4" s="15"/>
      <c r="Q4" s="15">
        <f>SQRT(Q2)</f>
        <v>5.4440850510020259E-3</v>
      </c>
      <c r="R4" s="15">
        <f>SQRT(R2)</f>
        <v>1.9241185217169287E-2</v>
      </c>
    </row>
    <row r="5" spans="1:18" ht="16.5" thickTop="1" thickBot="1" x14ac:dyDescent="0.5">
      <c r="A5" s="13">
        <f>'Таблица 2'!E23</f>
        <v>4.793881546154636</v>
      </c>
      <c r="B5" s="14">
        <f>'Таблица 2'!F23</f>
        <v>0.20659496198575206</v>
      </c>
      <c r="C5" s="15">
        <f t="shared" si="0"/>
        <v>2.1307417535088442</v>
      </c>
      <c r="D5" s="14">
        <f t="shared" si="1"/>
        <v>5.3633042686215687E-3</v>
      </c>
      <c r="E5" s="19">
        <f t="shared" si="3"/>
        <v>1.4597060503775561</v>
      </c>
      <c r="F5" s="14">
        <f t="shared" si="4"/>
        <v>7.3234583829100641E-2</v>
      </c>
      <c r="G5" s="17">
        <f t="shared" si="5"/>
        <v>0.10690096511222054</v>
      </c>
      <c r="H5" s="15">
        <f t="shared" si="6"/>
        <v>6.1229244240013081E-3</v>
      </c>
      <c r="I5" s="14">
        <f t="shared" si="7"/>
        <v>3.7490203502031749E-5</v>
      </c>
      <c r="J5" s="17">
        <f t="shared" si="2"/>
        <v>6.4848883168047267E-2</v>
      </c>
      <c r="K5" s="15"/>
      <c r="L5" s="15"/>
      <c r="M5" s="15"/>
      <c r="N5" s="15"/>
      <c r="O5" s="15"/>
      <c r="P5" s="15"/>
      <c r="Q5" s="30" t="s">
        <v>60</v>
      </c>
      <c r="R5" s="30" t="s">
        <v>61</v>
      </c>
    </row>
    <row r="6" spans="1:18" ht="14.65" thickTop="1" x14ac:dyDescent="0.45">
      <c r="A6" s="13"/>
      <c r="B6" s="14"/>
      <c r="C6" s="15"/>
      <c r="D6" s="14"/>
      <c r="E6" s="19"/>
      <c r="F6" s="14"/>
      <c r="G6" s="17"/>
      <c r="H6" s="15"/>
      <c r="I6" s="14"/>
      <c r="J6" s="17"/>
      <c r="K6" s="15"/>
      <c r="L6" s="15"/>
      <c r="M6" s="15"/>
      <c r="N6" s="15"/>
      <c r="O6" s="15"/>
      <c r="P6" s="15"/>
      <c r="Q6" s="15">
        <f>Q4*2</f>
        <v>1.0888170102004052E-2</v>
      </c>
      <c r="R6" s="15">
        <f>R4*2</f>
        <v>3.8482370434338574E-2</v>
      </c>
    </row>
    <row r="7" spans="1:18" x14ac:dyDescent="0.45">
      <c r="A7" s="13"/>
      <c r="B7" s="14"/>
      <c r="C7" s="15"/>
      <c r="D7" s="14"/>
      <c r="E7" s="19"/>
      <c r="F7" s="14"/>
      <c r="G7" s="17"/>
      <c r="H7" s="15"/>
      <c r="I7" s="14"/>
      <c r="J7" s="17"/>
      <c r="K7" s="15"/>
      <c r="L7" s="15"/>
      <c r="M7" s="15"/>
      <c r="N7" s="15"/>
      <c r="O7" s="15"/>
      <c r="P7" s="15"/>
      <c r="Q7" s="15"/>
      <c r="R7" s="15"/>
    </row>
    <row r="8" spans="1:18" x14ac:dyDescent="0.45">
      <c r="A8" s="13"/>
      <c r="B8" s="14"/>
      <c r="C8" s="15"/>
      <c r="D8" s="14"/>
      <c r="E8" s="19"/>
      <c r="F8" s="14"/>
      <c r="G8" s="17"/>
      <c r="H8" s="15"/>
      <c r="I8" s="14"/>
      <c r="J8" s="17"/>
      <c r="K8" s="15"/>
      <c r="L8" s="15"/>
      <c r="M8" s="15"/>
      <c r="N8" s="15"/>
      <c r="O8" s="15"/>
      <c r="P8" s="15"/>
      <c r="Q8" s="15"/>
      <c r="R8" s="15"/>
    </row>
    <row r="9" spans="1:18" x14ac:dyDescent="0.45">
      <c r="A9" s="13"/>
      <c r="B9" s="14"/>
      <c r="C9" s="15"/>
      <c r="D9" s="14"/>
      <c r="E9" s="19"/>
      <c r="F9" s="14"/>
      <c r="G9" s="17"/>
      <c r="H9" s="15"/>
      <c r="I9" s="14"/>
      <c r="J9" s="17"/>
      <c r="K9" s="15"/>
      <c r="L9" s="15"/>
      <c r="M9" s="15"/>
      <c r="N9" s="15"/>
      <c r="O9" s="15"/>
      <c r="P9" s="15"/>
      <c r="Q9" s="15"/>
      <c r="R9" s="15"/>
    </row>
    <row r="10" spans="1:18" x14ac:dyDescent="0.45">
      <c r="A10" s="13"/>
      <c r="B10" s="14"/>
      <c r="C10" s="15"/>
      <c r="D10" s="14"/>
      <c r="E10" s="19"/>
      <c r="F10" s="14"/>
      <c r="G10" s="17"/>
      <c r="H10" s="15"/>
      <c r="I10" s="14"/>
      <c r="J10" s="17"/>
    </row>
    <row r="11" spans="1:18" x14ac:dyDescent="0.45">
      <c r="A11" s="13"/>
      <c r="B11" s="14"/>
      <c r="C11" s="15"/>
      <c r="D11" s="14"/>
      <c r="E11" s="19"/>
      <c r="F11" s="14"/>
      <c r="G11" s="17"/>
      <c r="H11" s="15"/>
      <c r="I11" s="14"/>
      <c r="J11" s="17"/>
    </row>
    <row r="12" spans="1:18" x14ac:dyDescent="0.45">
      <c r="A12" s="13"/>
      <c r="B12" s="14"/>
      <c r="C12" s="15"/>
      <c r="D12" s="14"/>
      <c r="E12" s="19"/>
      <c r="F12" s="14"/>
      <c r="G12" s="17"/>
      <c r="H12" s="15"/>
      <c r="I12" s="14"/>
      <c r="J12" s="17"/>
    </row>
    <row r="13" spans="1:18" x14ac:dyDescent="0.45">
      <c r="A13" s="13"/>
      <c r="B13" s="14"/>
      <c r="C13" s="15"/>
      <c r="D13" s="14"/>
      <c r="E13" s="19"/>
      <c r="F13" s="14"/>
      <c r="G13" s="17"/>
      <c r="H13" s="15"/>
      <c r="I13" s="14"/>
      <c r="J13" s="17"/>
    </row>
    <row r="14" spans="1:18" x14ac:dyDescent="0.45">
      <c r="A14" s="13"/>
      <c r="B14" s="14"/>
      <c r="C14" s="15"/>
      <c r="D14" s="14"/>
      <c r="E14" s="19"/>
      <c r="F14" s="14"/>
      <c r="G14" s="17"/>
      <c r="H14" s="15"/>
      <c r="I14" s="14"/>
      <c r="J14" s="17"/>
    </row>
    <row r="15" spans="1:18" x14ac:dyDescent="0.45">
      <c r="A15" s="13"/>
      <c r="B15" s="14"/>
      <c r="C15" s="15"/>
      <c r="D15" s="14"/>
      <c r="E15" s="19"/>
      <c r="F15" s="14"/>
      <c r="G15" s="17"/>
      <c r="H15" s="15"/>
      <c r="I15" s="14"/>
      <c r="J15" s="17"/>
    </row>
    <row r="16" spans="1:18" x14ac:dyDescent="0.45">
      <c r="A16" s="13"/>
      <c r="B16" s="14"/>
      <c r="C16" s="15"/>
      <c r="D16" s="14"/>
      <c r="E16" s="19"/>
      <c r="F16" s="14"/>
      <c r="G16" s="17"/>
      <c r="H16" s="15"/>
      <c r="I16" s="14"/>
      <c r="J16" s="17"/>
    </row>
    <row r="17" spans="1:10" x14ac:dyDescent="0.45">
      <c r="A17" s="13"/>
      <c r="B17" s="14"/>
      <c r="C17" s="15"/>
      <c r="D17" s="14"/>
      <c r="E17" s="19"/>
      <c r="F17" s="14"/>
      <c r="G17" s="17"/>
      <c r="H17" s="15"/>
      <c r="I17" s="14"/>
      <c r="J17" s="17"/>
    </row>
    <row r="18" spans="1:10" x14ac:dyDescent="0.45">
      <c r="A18" s="13"/>
      <c r="B18" s="14"/>
      <c r="C18" s="15"/>
      <c r="D18" s="14"/>
      <c r="E18" s="19"/>
      <c r="F18" s="14"/>
      <c r="G18" s="17"/>
      <c r="H18" s="15"/>
      <c r="I18" s="14"/>
      <c r="J18" s="17"/>
    </row>
    <row r="19" spans="1:10" x14ac:dyDescent="0.45">
      <c r="A19" s="13"/>
      <c r="B19" s="14"/>
      <c r="C19" s="15"/>
      <c r="D19" s="14"/>
      <c r="E19" s="19"/>
      <c r="F19" s="14"/>
      <c r="G19" s="17"/>
      <c r="H19" s="15"/>
      <c r="I19" s="14"/>
      <c r="J19" s="17"/>
    </row>
    <row r="20" spans="1:10" x14ac:dyDescent="0.45">
      <c r="A20" s="13"/>
      <c r="B20" s="14"/>
      <c r="C20" s="15"/>
      <c r="D20" s="14"/>
      <c r="E20" s="19"/>
      <c r="F20" s="14"/>
      <c r="G20" s="17"/>
      <c r="H20" s="15"/>
      <c r="I20" s="14"/>
      <c r="J20" s="17"/>
    </row>
    <row r="21" spans="1:10" x14ac:dyDescent="0.45">
      <c r="A21" s="13"/>
      <c r="B21" s="14"/>
      <c r="C21" s="15"/>
      <c r="D21" s="14"/>
      <c r="E21" s="19"/>
      <c r="F21" s="14"/>
      <c r="G21" s="17"/>
      <c r="H21" s="15"/>
      <c r="I21" s="14"/>
      <c r="J21" s="17"/>
    </row>
    <row r="22" spans="1:10" x14ac:dyDescent="0.45">
      <c r="A22" s="13"/>
      <c r="B22" s="14"/>
      <c r="C22" s="15"/>
      <c r="D22" s="14"/>
      <c r="E22" s="19"/>
      <c r="F22" s="14"/>
      <c r="G22" s="17"/>
      <c r="H22" s="15"/>
      <c r="I22" s="14"/>
      <c r="J22" s="17"/>
    </row>
    <row r="23" spans="1:10" x14ac:dyDescent="0.45">
      <c r="A23" s="13"/>
      <c r="B23" s="14"/>
      <c r="C23" s="15"/>
      <c r="D23" s="14"/>
      <c r="E23" s="19"/>
      <c r="F23" s="14"/>
      <c r="G23" s="17"/>
      <c r="H23" s="15"/>
      <c r="I23" s="14"/>
      <c r="J23" s="17"/>
    </row>
  </sheetData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FF00"/>
  </sheetPr>
  <dimension ref="A1:R23"/>
  <sheetViews>
    <sheetView topLeftCell="I1" workbookViewId="0">
      <selection activeCell="A3" sqref="A3"/>
    </sheetView>
  </sheetViews>
  <sheetFormatPr defaultRowHeight="14.25" x14ac:dyDescent="0.45"/>
  <cols>
    <col min="1" max="1" width="9" bestFit="1" customWidth="1"/>
    <col min="2" max="2" width="9.3984375" bestFit="1" customWidth="1"/>
    <col min="3" max="3" width="9" bestFit="1" customWidth="1"/>
    <col min="4" max="4" width="9.73046875" customWidth="1"/>
    <col min="5" max="5" width="9" bestFit="1" customWidth="1"/>
    <col min="6" max="6" width="10.1328125" bestFit="1" customWidth="1"/>
    <col min="7" max="7" width="15.59765625" customWidth="1"/>
    <col min="8" max="10" width="9" bestFit="1" customWidth="1"/>
    <col min="12" max="12" width="9" bestFit="1" customWidth="1"/>
    <col min="13" max="14" width="9.3984375" bestFit="1" customWidth="1"/>
    <col min="15" max="18" width="9" bestFit="1" customWidth="1"/>
  </cols>
  <sheetData>
    <row r="1" spans="1:18" ht="45.75" thickTop="1" thickBot="1" x14ac:dyDescent="0.5">
      <c r="A1" s="4" t="s">
        <v>23</v>
      </c>
      <c r="B1" s="5" t="s">
        <v>24</v>
      </c>
      <c r="C1" s="6" t="s">
        <v>28</v>
      </c>
      <c r="D1" s="10" t="s">
        <v>29</v>
      </c>
      <c r="E1" s="11" t="s">
        <v>30</v>
      </c>
      <c r="F1" s="10" t="s">
        <v>31</v>
      </c>
      <c r="G1" s="7" t="s">
        <v>32</v>
      </c>
      <c r="H1" s="11" t="s">
        <v>13</v>
      </c>
      <c r="I1" s="10" t="s">
        <v>36</v>
      </c>
      <c r="J1" s="9" t="s">
        <v>37</v>
      </c>
      <c r="L1" s="7" t="s">
        <v>16</v>
      </c>
      <c r="M1" s="7" t="s">
        <v>25</v>
      </c>
      <c r="N1" s="8" t="s">
        <v>26</v>
      </c>
      <c r="O1" s="8" t="s">
        <v>27</v>
      </c>
      <c r="P1" s="8" t="s">
        <v>33</v>
      </c>
      <c r="Q1" s="8" t="s">
        <v>34</v>
      </c>
      <c r="R1" s="8" t="s">
        <v>35</v>
      </c>
    </row>
    <row r="2" spans="1:18" ht="15" thickTop="1" thickBot="1" x14ac:dyDescent="0.5">
      <c r="A2" s="13">
        <f>'Таблица 2'!E6</f>
        <v>1.2601742190857883</v>
      </c>
      <c r="B2" s="14">
        <f>'Таблица 2'!F6</f>
        <v>6.0003809212773679E-2</v>
      </c>
      <c r="C2" s="15">
        <f>(A2-$L$2)*(A2-$L$2)</f>
        <v>1.7242655061222207</v>
      </c>
      <c r="D2" s="14">
        <f>(B2-$M$2)*(B2-$M$2)</f>
        <v>5.4208317045415485E-3</v>
      </c>
      <c r="E2" s="16">
        <f>A2-$L$2</f>
        <v>-1.3131129068447316</v>
      </c>
      <c r="F2" s="14">
        <f>B2-$M$2</f>
        <v>-7.3626297642496924E-2</v>
      </c>
      <c r="G2" s="17">
        <f>E2*F2</f>
        <v>9.667964171755454E-2</v>
      </c>
      <c r="H2" s="15">
        <f>B2-($O$2+$N$2*A2)</f>
        <v>2.8795904549566986E-3</v>
      </c>
      <c r="I2" s="18">
        <f>H2*H2</f>
        <v>8.2920411882777263E-6</v>
      </c>
      <c r="J2" s="23">
        <f>SQRT(4*$R$2+4*$Q$2*A2*A2)</f>
        <v>2.6759433880556384E-2</v>
      </c>
      <c r="K2" s="15"/>
      <c r="L2" s="15">
        <f>SUM(A:A)/COUNT(A:A)</f>
        <v>2.5732871259305199</v>
      </c>
      <c r="M2" s="15">
        <f>SUM(B:B)/COUNT(B:B)</f>
        <v>0.1336301068552706</v>
      </c>
      <c r="N2" s="15">
        <f>SUM(G:G)/SUM(C:C)</f>
        <v>5.8262992998286044E-2</v>
      </c>
      <c r="O2" s="15">
        <f>M2-N2*L2</f>
        <v>-1.6297302945398884E-2</v>
      </c>
      <c r="P2" s="15">
        <f>SUM(C:C)</f>
        <v>3.5007927131712733</v>
      </c>
      <c r="Q2" s="15">
        <f>1/P2*SUM(I:I)/(COUNT(I:I)-2)</f>
        <v>1.9704563665304329E-5</v>
      </c>
      <c r="R2" s="15">
        <f>(1/COUNT(I:I)+L2*L2/P2)*SUM(I:I)/(COUNT(I:I)-2)</f>
        <v>1.4772520859296099E-4</v>
      </c>
    </row>
    <row r="3" spans="1:18" ht="16.5" thickTop="1" thickBot="1" x14ac:dyDescent="0.5">
      <c r="A3" s="13">
        <f>'Таблица 2'!E12</f>
        <v>2.1778920176247474</v>
      </c>
      <c r="B3" s="14">
        <f>'Таблица 2'!F12</f>
        <v>0.10920872492474347</v>
      </c>
      <c r="C3" s="15">
        <f t="shared" ref="C3:C5" si="0">(A3-$L$2)*(A3-$L$2)</f>
        <v>0.15633729167213359</v>
      </c>
      <c r="D3" s="14">
        <f t="shared" ref="D3:D5" si="1">(B3-$M$2)*(B3-$M$2)</f>
        <v>5.9640389539667717E-4</v>
      </c>
      <c r="E3" s="19">
        <f>A3-$L$2</f>
        <v>-0.39539510830577251</v>
      </c>
      <c r="F3" s="14">
        <f>B3-$M$2</f>
        <v>-2.4421381930527133E-2</v>
      </c>
      <c r="G3" s="17">
        <f>E3*F3</f>
        <v>9.6560949533974118E-3</v>
      </c>
      <c r="H3" s="15">
        <f>B3-($O$2+$N$2*A3)</f>
        <v>-1.3844795037513818E-3</v>
      </c>
      <c r="I3" s="14">
        <f>H3*H3</f>
        <v>1.9167834963076727E-6</v>
      </c>
      <c r="J3" s="17">
        <f t="shared" ref="J3:J5" si="2">SQRT(4*$R$2+4*$Q$2*A3*A3)</f>
        <v>3.1060467720176052E-2</v>
      </c>
      <c r="K3" s="24"/>
      <c r="L3" s="15"/>
      <c r="M3" s="15"/>
      <c r="N3" s="30" t="s">
        <v>54</v>
      </c>
      <c r="O3" s="30" t="s">
        <v>55</v>
      </c>
      <c r="P3" s="15"/>
      <c r="Q3" s="30" t="s">
        <v>58</v>
      </c>
      <c r="R3" s="30" t="s">
        <v>59</v>
      </c>
    </row>
    <row r="4" spans="1:18" ht="15" thickTop="1" thickBot="1" x14ac:dyDescent="0.5">
      <c r="A4" s="13">
        <f>'Таблица 2'!E18</f>
        <v>3.1440891124685595</v>
      </c>
      <c r="B4" s="14">
        <f>'Таблица 2'!F18</f>
        <v>0.15818190123966946</v>
      </c>
      <c r="C4" s="15">
        <f t="shared" si="0"/>
        <v>0.32581490783577233</v>
      </c>
      <c r="D4" s="14">
        <f t="shared" si="1"/>
        <v>6.0279060749379948E-4</v>
      </c>
      <c r="E4" s="19">
        <f t="shared" ref="E4:E5" si="3">A4-$L$2</f>
        <v>0.5708019865380396</v>
      </c>
      <c r="F4" s="14">
        <f t="shared" ref="F4:F5" si="4">B4-$M$2</f>
        <v>2.4551794384398862E-2</v>
      </c>
      <c r="G4" s="17">
        <f t="shared" ref="G4:G5" si="5">E4*F4</f>
        <v>1.4014213007688354E-2</v>
      </c>
      <c r="H4" s="15">
        <f t="shared" ref="H4:H5" si="6">B4-($O$2+$N$2*A4)</f>
        <v>-8.7048377606747107E-3</v>
      </c>
      <c r="I4" s="14">
        <f t="shared" ref="I4:I5" si="7">H4*H4</f>
        <v>7.5774200439668318E-5</v>
      </c>
      <c r="J4" s="17">
        <f t="shared" si="2"/>
        <v>3.7014087038080359E-2</v>
      </c>
      <c r="K4" s="15"/>
      <c r="L4" s="15"/>
      <c r="M4" s="15"/>
      <c r="N4" s="15"/>
      <c r="O4" s="15"/>
      <c r="P4" s="15"/>
      <c r="Q4" s="15">
        <f>SQRT(Q2)</f>
        <v>4.4389822781020797E-3</v>
      </c>
      <c r="R4" s="15">
        <f>SQRT(R2)</f>
        <v>1.2154225956142208E-2</v>
      </c>
    </row>
    <row r="5" spans="1:18" ht="16.5" thickTop="1" thickBot="1" x14ac:dyDescent="0.5">
      <c r="A5" s="13">
        <f>'Таблица 2'!E24</f>
        <v>3.7109931545429848</v>
      </c>
      <c r="B5" s="14">
        <f>'Таблица 2'!F24</f>
        <v>0.20712599204389576</v>
      </c>
      <c r="C5" s="15">
        <f t="shared" si="0"/>
        <v>1.2943750075411469</v>
      </c>
      <c r="D5" s="14">
        <f t="shared" si="1"/>
        <v>5.4016451396595704E-3</v>
      </c>
      <c r="E5" s="19">
        <f t="shared" si="3"/>
        <v>1.1377060286124649</v>
      </c>
      <c r="F5" s="14">
        <f t="shared" si="4"/>
        <v>7.3495885188625154E-2</v>
      </c>
      <c r="G5" s="17">
        <f t="shared" si="5"/>
        <v>8.3616711657308412E-2</v>
      </c>
      <c r="H5" s="15">
        <f t="shared" si="6"/>
        <v>7.209726809469269E-3</v>
      </c>
      <c r="I5" s="14">
        <f t="shared" si="7"/>
        <v>5.1980160667179926E-5</v>
      </c>
      <c r="J5" s="17">
        <f t="shared" si="2"/>
        <v>4.094318110636002E-2</v>
      </c>
      <c r="K5" s="15"/>
      <c r="L5" s="15"/>
      <c r="M5" s="15"/>
      <c r="N5" s="15"/>
      <c r="O5" s="15"/>
      <c r="P5" s="15"/>
      <c r="Q5" s="30" t="s">
        <v>60</v>
      </c>
      <c r="R5" s="30" t="s">
        <v>61</v>
      </c>
    </row>
    <row r="6" spans="1:18" ht="14.65" thickTop="1" x14ac:dyDescent="0.45">
      <c r="A6" s="13"/>
      <c r="B6" s="14"/>
      <c r="C6" s="15"/>
      <c r="D6" s="14"/>
      <c r="E6" s="19"/>
      <c r="F6" s="14"/>
      <c r="G6" s="17"/>
      <c r="H6" s="15"/>
      <c r="I6" s="14"/>
      <c r="J6" s="17"/>
      <c r="K6" s="15"/>
      <c r="L6" s="15"/>
      <c r="M6" s="15"/>
      <c r="N6" s="15"/>
      <c r="O6" s="15"/>
      <c r="P6" s="15"/>
      <c r="Q6" s="15">
        <f>Q4*2</f>
        <v>8.8779645562041595E-3</v>
      </c>
      <c r="R6" s="15">
        <f>R4*2</f>
        <v>2.4308451912284416E-2</v>
      </c>
    </row>
    <row r="7" spans="1:18" x14ac:dyDescent="0.45">
      <c r="A7" s="13"/>
      <c r="B7" s="14"/>
      <c r="C7" s="15"/>
      <c r="D7" s="14"/>
      <c r="E7" s="19"/>
      <c r="F7" s="14"/>
      <c r="G7" s="17"/>
      <c r="H7" s="15"/>
      <c r="I7" s="14"/>
      <c r="J7" s="17"/>
      <c r="K7" s="15"/>
      <c r="L7" s="15"/>
      <c r="M7" s="15"/>
      <c r="N7" s="15"/>
      <c r="O7" s="15"/>
      <c r="P7" s="15"/>
      <c r="Q7" s="15"/>
      <c r="R7" s="15"/>
    </row>
    <row r="8" spans="1:18" x14ac:dyDescent="0.45">
      <c r="A8" s="13"/>
      <c r="B8" s="14"/>
      <c r="C8" s="15"/>
      <c r="D8" s="14"/>
      <c r="E8" s="19"/>
      <c r="F8" s="14"/>
      <c r="G8" s="17"/>
      <c r="H8" s="15"/>
      <c r="I8" s="14"/>
      <c r="J8" s="17"/>
      <c r="K8" s="15"/>
      <c r="L8" s="15"/>
      <c r="M8" s="15"/>
      <c r="N8" s="15"/>
      <c r="O8" s="15"/>
      <c r="P8" s="15"/>
      <c r="Q8" s="15"/>
      <c r="R8" s="15"/>
    </row>
    <row r="9" spans="1:18" x14ac:dyDescent="0.45">
      <c r="A9" s="13"/>
      <c r="B9" s="14"/>
      <c r="C9" s="15"/>
      <c r="D9" s="14"/>
      <c r="E9" s="19"/>
      <c r="F9" s="14"/>
      <c r="G9" s="17"/>
      <c r="H9" s="15"/>
      <c r="I9" s="14"/>
      <c r="J9" s="17"/>
      <c r="K9" s="15"/>
      <c r="L9" s="15"/>
      <c r="M9" s="15"/>
      <c r="N9" s="15"/>
      <c r="O9" s="15"/>
      <c r="P9" s="15"/>
      <c r="Q9" s="15"/>
      <c r="R9" s="15"/>
    </row>
    <row r="10" spans="1:18" x14ac:dyDescent="0.45">
      <c r="A10" s="13"/>
      <c r="B10" s="14"/>
      <c r="C10" s="15"/>
      <c r="D10" s="14"/>
      <c r="E10" s="19"/>
      <c r="F10" s="14"/>
      <c r="G10" s="17"/>
      <c r="H10" s="15"/>
      <c r="I10" s="14"/>
      <c r="J10" s="17"/>
    </row>
    <row r="11" spans="1:18" x14ac:dyDescent="0.45">
      <c r="A11" s="13"/>
      <c r="B11" s="14"/>
      <c r="C11" s="15"/>
      <c r="D11" s="14"/>
      <c r="E11" s="19"/>
      <c r="F11" s="14"/>
      <c r="G11" s="17"/>
      <c r="H11" s="15"/>
      <c r="I11" s="14"/>
      <c r="J11" s="17"/>
    </row>
    <row r="12" spans="1:18" x14ac:dyDescent="0.45">
      <c r="A12" s="13"/>
      <c r="B12" s="14"/>
      <c r="C12" s="15"/>
      <c r="D12" s="14"/>
      <c r="E12" s="19"/>
      <c r="F12" s="14"/>
      <c r="G12" s="17"/>
      <c r="H12" s="15"/>
      <c r="I12" s="14"/>
      <c r="J12" s="17"/>
    </row>
    <row r="13" spans="1:18" x14ac:dyDescent="0.45">
      <c r="A13" s="13"/>
      <c r="B13" s="14"/>
      <c r="C13" s="15"/>
      <c r="D13" s="14"/>
      <c r="E13" s="19"/>
      <c r="F13" s="14"/>
      <c r="G13" s="17"/>
      <c r="H13" s="15"/>
      <c r="I13" s="14"/>
      <c r="J13" s="17"/>
    </row>
    <row r="14" spans="1:18" x14ac:dyDescent="0.45">
      <c r="A14" s="13"/>
      <c r="B14" s="14"/>
      <c r="C14" s="15"/>
      <c r="D14" s="14"/>
      <c r="E14" s="19"/>
      <c r="F14" s="14"/>
      <c r="G14" s="17"/>
      <c r="H14" s="15"/>
      <c r="I14" s="14"/>
      <c r="J14" s="17"/>
    </row>
    <row r="15" spans="1:18" x14ac:dyDescent="0.45">
      <c r="A15" s="13"/>
      <c r="B15" s="14"/>
      <c r="C15" s="15"/>
      <c r="D15" s="14"/>
      <c r="E15" s="19"/>
      <c r="F15" s="14"/>
      <c r="G15" s="17"/>
      <c r="H15" s="15"/>
      <c r="I15" s="14"/>
      <c r="J15" s="17"/>
    </row>
    <row r="16" spans="1:18" x14ac:dyDescent="0.45">
      <c r="A16" s="13"/>
      <c r="B16" s="14"/>
      <c r="C16" s="15"/>
      <c r="D16" s="14"/>
      <c r="E16" s="19"/>
      <c r="F16" s="14"/>
      <c r="G16" s="17"/>
      <c r="H16" s="15"/>
      <c r="I16" s="14"/>
      <c r="J16" s="17"/>
    </row>
    <row r="17" spans="1:10" x14ac:dyDescent="0.45">
      <c r="A17" s="13"/>
      <c r="B17" s="14"/>
      <c r="C17" s="15"/>
      <c r="D17" s="14"/>
      <c r="E17" s="19"/>
      <c r="F17" s="14"/>
      <c r="G17" s="17"/>
      <c r="H17" s="15"/>
      <c r="I17" s="14"/>
      <c r="J17" s="17"/>
    </row>
    <row r="18" spans="1:10" x14ac:dyDescent="0.45">
      <c r="A18" s="13"/>
      <c r="B18" s="14"/>
      <c r="C18" s="15"/>
      <c r="D18" s="14"/>
      <c r="E18" s="19"/>
      <c r="F18" s="14"/>
      <c r="G18" s="17"/>
      <c r="H18" s="15"/>
      <c r="I18" s="14"/>
      <c r="J18" s="17"/>
    </row>
    <row r="19" spans="1:10" x14ac:dyDescent="0.45">
      <c r="A19" s="13"/>
      <c r="B19" s="14"/>
      <c r="C19" s="15"/>
      <c r="D19" s="14"/>
      <c r="E19" s="19"/>
      <c r="F19" s="14"/>
      <c r="G19" s="17"/>
      <c r="H19" s="15"/>
      <c r="I19" s="14"/>
      <c r="J19" s="17"/>
    </row>
    <row r="20" spans="1:10" x14ac:dyDescent="0.45">
      <c r="A20" s="13"/>
      <c r="B20" s="14"/>
      <c r="C20" s="15"/>
      <c r="D20" s="14"/>
      <c r="E20" s="19"/>
      <c r="F20" s="14"/>
      <c r="G20" s="17"/>
      <c r="H20" s="15"/>
      <c r="I20" s="14"/>
      <c r="J20" s="17"/>
    </row>
    <row r="21" spans="1:10" x14ac:dyDescent="0.45">
      <c r="A21" s="13"/>
      <c r="B21" s="14"/>
      <c r="C21" s="15"/>
      <c r="D21" s="14"/>
      <c r="E21" s="19"/>
      <c r="F21" s="14"/>
      <c r="G21" s="17"/>
      <c r="H21" s="15"/>
      <c r="I21" s="14"/>
      <c r="J21" s="17"/>
    </row>
    <row r="22" spans="1:10" x14ac:dyDescent="0.45">
      <c r="A22" s="13"/>
      <c r="B22" s="14"/>
      <c r="C22" s="15"/>
      <c r="D22" s="14"/>
      <c r="E22" s="19"/>
      <c r="F22" s="14"/>
      <c r="G22" s="17"/>
      <c r="H22" s="15"/>
      <c r="I22" s="14"/>
      <c r="J22" s="17"/>
    </row>
    <row r="23" spans="1:10" x14ac:dyDescent="0.45">
      <c r="A23" s="13"/>
      <c r="B23" s="14"/>
      <c r="C23" s="15"/>
      <c r="D23" s="14"/>
      <c r="E23" s="19"/>
      <c r="F23" s="14"/>
      <c r="G23" s="17"/>
      <c r="H23" s="15"/>
      <c r="I23" s="14"/>
      <c r="J23" s="17"/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FF00"/>
  </sheetPr>
  <dimension ref="A1:R23"/>
  <sheetViews>
    <sheetView topLeftCell="K1" workbookViewId="0">
      <selection activeCell="Q5" activeCellId="2" sqref="N3:O3 Q3:R3 Q5:R5"/>
    </sheetView>
  </sheetViews>
  <sheetFormatPr defaultRowHeight="14.25" x14ac:dyDescent="0.45"/>
  <cols>
    <col min="1" max="1" width="9" bestFit="1" customWidth="1"/>
    <col min="2" max="2" width="9.3984375" bestFit="1" customWidth="1"/>
    <col min="3" max="3" width="9" bestFit="1" customWidth="1"/>
    <col min="4" max="4" width="9.73046875" customWidth="1"/>
    <col min="5" max="5" width="9" bestFit="1" customWidth="1"/>
    <col min="6" max="6" width="10.1328125" bestFit="1" customWidth="1"/>
    <col min="7" max="7" width="15.59765625" customWidth="1"/>
    <col min="8" max="10" width="9" bestFit="1" customWidth="1"/>
    <col min="12" max="12" width="9" bestFit="1" customWidth="1"/>
    <col min="13" max="14" width="9.3984375" bestFit="1" customWidth="1"/>
    <col min="15" max="18" width="9" bestFit="1" customWidth="1"/>
  </cols>
  <sheetData>
    <row r="1" spans="1:18" ht="45.75" thickTop="1" thickBot="1" x14ac:dyDescent="0.5">
      <c r="A1" s="4" t="s">
        <v>23</v>
      </c>
      <c r="B1" s="5" t="s">
        <v>24</v>
      </c>
      <c r="C1" s="6" t="s">
        <v>28</v>
      </c>
      <c r="D1" s="10" t="s">
        <v>29</v>
      </c>
      <c r="E1" s="11" t="s">
        <v>30</v>
      </c>
      <c r="F1" s="10" t="s">
        <v>31</v>
      </c>
      <c r="G1" s="7" t="s">
        <v>32</v>
      </c>
      <c r="H1" s="11" t="s">
        <v>13</v>
      </c>
      <c r="I1" s="10" t="s">
        <v>36</v>
      </c>
      <c r="J1" s="9" t="s">
        <v>37</v>
      </c>
      <c r="L1" s="7" t="s">
        <v>16</v>
      </c>
      <c r="M1" s="7" t="s">
        <v>25</v>
      </c>
      <c r="N1" s="8" t="s">
        <v>26</v>
      </c>
      <c r="O1" s="8" t="s">
        <v>27</v>
      </c>
      <c r="P1" s="8" t="s">
        <v>33</v>
      </c>
      <c r="Q1" s="8" t="s">
        <v>34</v>
      </c>
      <c r="R1" s="8" t="s">
        <v>35</v>
      </c>
    </row>
    <row r="2" spans="1:18" ht="15" thickTop="1" thickBot="1" x14ac:dyDescent="0.5">
      <c r="A2" s="13">
        <f>'Таблица 2'!E7</f>
        <v>0.99877790803462263</v>
      </c>
      <c r="B2" s="14">
        <f>'Таблица 2'!F7</f>
        <v>6.0040729611935469E-2</v>
      </c>
      <c r="C2" s="15">
        <f>(A2-$L$2)*(A2-$L$2)</f>
        <v>1.3488000523815851</v>
      </c>
      <c r="D2" s="14">
        <f>(B2-$M$2)*(B2-$M$2)</f>
        <v>5.4359164308492953E-3</v>
      </c>
      <c r="E2" s="16">
        <f>A2-$L$2</f>
        <v>-1.1613785138281081</v>
      </c>
      <c r="F2" s="14">
        <f>B2-$M$2</f>
        <v>-7.3728667632402628E-2</v>
      </c>
      <c r="G2" s="17">
        <f>E2*F2</f>
        <v>8.5626890441446307E-2</v>
      </c>
      <c r="H2" s="15">
        <f>B2-($O$2+$N$2*A2)</f>
        <v>1.2766342378494472E-4</v>
      </c>
      <c r="I2" s="18">
        <f>H2*H2</f>
        <v>1.629794977249439E-8</v>
      </c>
      <c r="J2" s="23">
        <f>SQRT(4*$R$2+4*$Q$2*A2*A2)</f>
        <v>7.044431179020135E-3</v>
      </c>
      <c r="K2" s="15"/>
      <c r="L2" s="15">
        <f>SUM(A:A)/COUNT(A:A)</f>
        <v>2.1601564218627307</v>
      </c>
      <c r="M2" s="15">
        <f>SUM(B:B)/COUNT(B:B)</f>
        <v>0.13376939724433809</v>
      </c>
      <c r="N2" s="15">
        <f>SUM(G:G)/SUM(C:C)</f>
        <v>6.3593677837851581E-2</v>
      </c>
      <c r="O2" s="15">
        <f>M2-N2*L2</f>
        <v>-3.6028943269666158E-3</v>
      </c>
      <c r="P2" s="15">
        <f>SUM(C:C)</f>
        <v>2.9770869553605426</v>
      </c>
      <c r="Q2" s="15">
        <f>1/P2*SUM(I:I)/(COUNT(I:I)-2)</f>
        <v>1.935986226271358E-6</v>
      </c>
      <c r="R2" s="15">
        <f>(1/COUNT(I:I)+L2*L2/P2)*SUM(I:I)/(COUNT(I:I)-2)</f>
        <v>1.0474745447728397E-5</v>
      </c>
    </row>
    <row r="3" spans="1:18" ht="16.5" thickTop="1" thickBot="1" x14ac:dyDescent="0.5">
      <c r="A3" s="13">
        <f>'Таблица 2'!E13</f>
        <v>1.758544204532648</v>
      </c>
      <c r="B3" s="14">
        <f>'Таблица 2'!F13</f>
        <v>0.10931675856639569</v>
      </c>
      <c r="C3" s="15">
        <f t="shared" ref="C3:C5" si="0">(A3-$L$2)*(A3-$L$2)</f>
        <v>0.16129237310878555</v>
      </c>
      <c r="D3" s="14">
        <f t="shared" ref="D3:D5" si="1">(B3-$M$2)*(B3-$M$2)</f>
        <v>5.9793153831400438E-4</v>
      </c>
      <c r="E3" s="19">
        <f>A3-$L$2</f>
        <v>-0.40161221733008268</v>
      </c>
      <c r="F3" s="14">
        <f>B3-$M$2</f>
        <v>-2.4452638677942395E-2</v>
      </c>
      <c r="G3" s="17">
        <f>E3*F3</f>
        <v>9.8204784390197863E-3</v>
      </c>
      <c r="H3" s="15">
        <f>B3-($O$2+$N$2*A3)</f>
        <v>1.0873592866921106E-3</v>
      </c>
      <c r="I3" s="14">
        <f>H3*H3</f>
        <v>1.1823502183555755E-6</v>
      </c>
      <c r="J3" s="17">
        <f t="shared" ref="J3:J5" si="2">SQRT(4*$R$2+4*$Q$2*A3*A3)</f>
        <v>8.1146139075954273E-3</v>
      </c>
      <c r="K3" s="24"/>
      <c r="L3" s="15"/>
      <c r="M3" s="15"/>
      <c r="N3" s="30" t="s">
        <v>54</v>
      </c>
      <c r="O3" s="30" t="s">
        <v>55</v>
      </c>
      <c r="P3" s="15"/>
      <c r="Q3" s="30" t="s">
        <v>58</v>
      </c>
      <c r="R3" s="30" t="s">
        <v>59</v>
      </c>
    </row>
    <row r="4" spans="1:18" ht="15" thickTop="1" thickBot="1" x14ac:dyDescent="0.5">
      <c r="A4" s="13">
        <f>'Таблица 2'!E19</f>
        <v>2.5912773327316083</v>
      </c>
      <c r="B4" s="14">
        <f>'Таблица 2'!F19</f>
        <v>0.15838865450372641</v>
      </c>
      <c r="C4" s="15">
        <f t="shared" si="0"/>
        <v>0.18586523978841071</v>
      </c>
      <c r="D4" s="14">
        <f t="shared" si="1"/>
        <v>6.0610782800394453E-4</v>
      </c>
      <c r="E4" s="19">
        <f t="shared" ref="E4:E5" si="3">A4-$L$2</f>
        <v>0.4311209108688776</v>
      </c>
      <c r="F4" s="14">
        <f t="shared" ref="F4:F5" si="4">B4-$M$2</f>
        <v>2.4619257259388322E-2</v>
      </c>
      <c r="G4" s="17">
        <f t="shared" ref="G4:G5" si="5">E4*F4</f>
        <v>1.0613876614582721E-2</v>
      </c>
      <c r="H4" s="15">
        <f t="shared" ref="H4:H5" si="6">B4-($O$2+$N$2*A4)</f>
        <v>-2.7973070555682156E-3</v>
      </c>
      <c r="I4" s="14">
        <f t="shared" ref="I4:I5" si="7">H4*H4</f>
        <v>7.8249267631317196E-6</v>
      </c>
      <c r="J4" s="17">
        <f t="shared" si="2"/>
        <v>9.6900665478645374E-3</v>
      </c>
      <c r="K4" s="15"/>
      <c r="L4" s="15"/>
      <c r="M4" s="15"/>
      <c r="N4" s="15"/>
      <c r="O4" s="15"/>
      <c r="P4" s="15"/>
      <c r="Q4" s="15">
        <f>SQRT(Q2)</f>
        <v>1.3913972208795581E-3</v>
      </c>
      <c r="R4" s="15">
        <f>SQRT(R2)</f>
        <v>3.2364711411857817E-3</v>
      </c>
    </row>
    <row r="5" spans="1:18" ht="16.5" thickTop="1" thickBot="1" x14ac:dyDescent="0.5">
      <c r="A5" s="13">
        <f>'Таблица 2'!E25</f>
        <v>3.2920262421520436</v>
      </c>
      <c r="B5" s="14">
        <f>'Таблица 2'!F25</f>
        <v>0.20733144629529476</v>
      </c>
      <c r="C5" s="15">
        <f t="shared" si="0"/>
        <v>1.2811292900817615</v>
      </c>
      <c r="D5" s="14">
        <f t="shared" si="1"/>
        <v>5.4113750605753559E-3</v>
      </c>
      <c r="E5" s="19">
        <f t="shared" si="3"/>
        <v>1.1318698202893129</v>
      </c>
      <c r="F5" s="14">
        <f t="shared" si="4"/>
        <v>7.3562049050956674E-2</v>
      </c>
      <c r="G5" s="17">
        <f t="shared" si="5"/>
        <v>8.3262663239419957E-2</v>
      </c>
      <c r="H5" s="15">
        <f t="shared" si="6"/>
        <v>1.5822843450911395E-3</v>
      </c>
      <c r="I5" s="14">
        <f t="shared" si="7"/>
        <v>2.5036237487204962E-6</v>
      </c>
      <c r="J5" s="17">
        <f t="shared" si="2"/>
        <v>1.1217107252762329E-2</v>
      </c>
      <c r="K5" s="15"/>
      <c r="L5" s="15"/>
      <c r="M5" s="15"/>
      <c r="N5" s="15"/>
      <c r="O5" s="15"/>
      <c r="P5" s="15"/>
      <c r="Q5" s="30" t="s">
        <v>60</v>
      </c>
      <c r="R5" s="30" t="s">
        <v>61</v>
      </c>
    </row>
    <row r="6" spans="1:18" ht="14.65" thickTop="1" x14ac:dyDescent="0.45">
      <c r="A6" s="13"/>
      <c r="B6" s="14"/>
      <c r="C6" s="15"/>
      <c r="D6" s="14"/>
      <c r="E6" s="19"/>
      <c r="F6" s="14"/>
      <c r="G6" s="17"/>
      <c r="H6" s="15"/>
      <c r="I6" s="14"/>
      <c r="J6" s="17"/>
      <c r="K6" s="15"/>
      <c r="L6" s="15"/>
      <c r="M6" s="15"/>
      <c r="N6" s="15"/>
      <c r="O6" s="15"/>
      <c r="P6" s="15"/>
      <c r="Q6" s="15">
        <f>Q4*2</f>
        <v>2.7827944417591162E-3</v>
      </c>
      <c r="R6" s="15">
        <f>R4*2</f>
        <v>6.4729422823715634E-3</v>
      </c>
    </row>
    <row r="7" spans="1:18" x14ac:dyDescent="0.45">
      <c r="A7" s="13"/>
      <c r="B7" s="14"/>
      <c r="C7" s="15"/>
      <c r="D7" s="14"/>
      <c r="E7" s="19"/>
      <c r="F7" s="14"/>
      <c r="G7" s="17"/>
      <c r="H7" s="15"/>
      <c r="I7" s="14"/>
      <c r="J7" s="17"/>
      <c r="K7" s="15"/>
      <c r="L7" s="15"/>
      <c r="M7" s="15"/>
      <c r="N7" s="15"/>
      <c r="O7" s="15"/>
      <c r="P7" s="15"/>
      <c r="Q7" s="15"/>
      <c r="R7" s="15"/>
    </row>
    <row r="8" spans="1:18" x14ac:dyDescent="0.45">
      <c r="A8" s="13"/>
      <c r="B8" s="14"/>
      <c r="C8" s="15"/>
      <c r="D8" s="14"/>
      <c r="E8" s="19"/>
      <c r="F8" s="14"/>
      <c r="G8" s="17"/>
      <c r="H8" s="15"/>
      <c r="I8" s="14"/>
      <c r="J8" s="17"/>
      <c r="K8" s="15"/>
      <c r="L8" s="15"/>
      <c r="M8" s="15"/>
      <c r="N8" s="15"/>
      <c r="O8" s="15"/>
      <c r="P8" s="15"/>
      <c r="Q8" s="15"/>
      <c r="R8" s="15"/>
    </row>
    <row r="9" spans="1:18" x14ac:dyDescent="0.45">
      <c r="A9" s="13"/>
      <c r="B9" s="14"/>
      <c r="C9" s="15"/>
      <c r="D9" s="14"/>
      <c r="E9" s="19"/>
      <c r="F9" s="14"/>
      <c r="G9" s="17"/>
      <c r="H9" s="15"/>
      <c r="I9" s="14"/>
      <c r="J9" s="17"/>
      <c r="K9" s="15"/>
      <c r="L9" s="15"/>
      <c r="M9" s="15"/>
      <c r="N9" s="15"/>
      <c r="O9" s="15"/>
      <c r="P9" s="15"/>
      <c r="Q9" s="15"/>
      <c r="R9" s="15"/>
    </row>
    <row r="10" spans="1:18" x14ac:dyDescent="0.45">
      <c r="A10" s="13"/>
      <c r="B10" s="14"/>
      <c r="C10" s="15"/>
      <c r="D10" s="14"/>
      <c r="E10" s="19"/>
      <c r="F10" s="14"/>
      <c r="G10" s="17"/>
      <c r="H10" s="15"/>
      <c r="I10" s="14"/>
      <c r="J10" s="17"/>
    </row>
    <row r="11" spans="1:18" x14ac:dyDescent="0.45">
      <c r="A11" s="13"/>
      <c r="B11" s="14"/>
      <c r="C11" s="15"/>
      <c r="D11" s="14"/>
      <c r="E11" s="19"/>
      <c r="F11" s="14"/>
      <c r="G11" s="17"/>
      <c r="H11" s="15"/>
      <c r="I11" s="14"/>
      <c r="J11" s="17"/>
    </row>
    <row r="12" spans="1:18" x14ac:dyDescent="0.45">
      <c r="A12" s="13"/>
      <c r="B12" s="14"/>
      <c r="C12" s="15"/>
      <c r="D12" s="14"/>
      <c r="E12" s="19"/>
      <c r="F12" s="14"/>
      <c r="G12" s="17"/>
      <c r="H12" s="15"/>
      <c r="I12" s="14"/>
      <c r="J12" s="17"/>
    </row>
    <row r="13" spans="1:18" x14ac:dyDescent="0.45">
      <c r="A13" s="13"/>
      <c r="B13" s="14"/>
      <c r="C13" s="15"/>
      <c r="D13" s="14"/>
      <c r="E13" s="19"/>
      <c r="F13" s="14"/>
      <c r="G13" s="17"/>
      <c r="H13" s="15"/>
      <c r="I13" s="14"/>
      <c r="J13" s="17"/>
    </row>
    <row r="14" spans="1:18" x14ac:dyDescent="0.45">
      <c r="A14" s="13"/>
      <c r="B14" s="14"/>
      <c r="C14" s="15"/>
      <c r="D14" s="14"/>
      <c r="E14" s="19"/>
      <c r="F14" s="14"/>
      <c r="G14" s="17"/>
      <c r="H14" s="15"/>
      <c r="I14" s="14"/>
      <c r="J14" s="17"/>
    </row>
    <row r="15" spans="1:18" x14ac:dyDescent="0.45">
      <c r="A15" s="13"/>
      <c r="B15" s="14"/>
      <c r="C15" s="15"/>
      <c r="D15" s="14"/>
      <c r="E15" s="19"/>
      <c r="F15" s="14"/>
      <c r="G15" s="17"/>
      <c r="H15" s="15"/>
      <c r="I15" s="14"/>
      <c r="J15" s="17"/>
    </row>
    <row r="16" spans="1:18" x14ac:dyDescent="0.45">
      <c r="A16" s="13"/>
      <c r="B16" s="14"/>
      <c r="C16" s="15"/>
      <c r="D16" s="14"/>
      <c r="E16" s="19"/>
      <c r="F16" s="14"/>
      <c r="G16" s="17"/>
      <c r="H16" s="15"/>
      <c r="I16" s="14"/>
      <c r="J16" s="17"/>
    </row>
    <row r="17" spans="1:10" x14ac:dyDescent="0.45">
      <c r="A17" s="13"/>
      <c r="B17" s="14"/>
      <c r="C17" s="15"/>
      <c r="D17" s="14"/>
      <c r="E17" s="19"/>
      <c r="F17" s="14"/>
      <c r="G17" s="17"/>
      <c r="H17" s="15"/>
      <c r="I17" s="14"/>
      <c r="J17" s="17"/>
    </row>
    <row r="18" spans="1:10" x14ac:dyDescent="0.45">
      <c r="A18" s="13"/>
      <c r="B18" s="14"/>
      <c r="C18" s="15"/>
      <c r="D18" s="14"/>
      <c r="E18" s="19"/>
      <c r="F18" s="14"/>
      <c r="G18" s="17"/>
      <c r="H18" s="15"/>
      <c r="I18" s="14"/>
      <c r="J18" s="17"/>
    </row>
    <row r="19" spans="1:10" x14ac:dyDescent="0.45">
      <c r="A19" s="13"/>
      <c r="B19" s="14"/>
      <c r="C19" s="15"/>
      <c r="D19" s="14"/>
      <c r="E19" s="19"/>
      <c r="F19" s="14"/>
      <c r="G19" s="17"/>
      <c r="H19" s="15"/>
      <c r="I19" s="14"/>
      <c r="J19" s="17"/>
    </row>
    <row r="20" spans="1:10" x14ac:dyDescent="0.45">
      <c r="A20" s="13"/>
      <c r="B20" s="14"/>
      <c r="C20" s="15"/>
      <c r="D20" s="14"/>
      <c r="E20" s="19"/>
      <c r="F20" s="14"/>
      <c r="G20" s="17"/>
      <c r="H20" s="15"/>
      <c r="I20" s="14"/>
      <c r="J20" s="17"/>
    </row>
    <row r="21" spans="1:10" x14ac:dyDescent="0.45">
      <c r="A21" s="13"/>
      <c r="B21" s="14"/>
      <c r="C21" s="15"/>
      <c r="D21" s="14"/>
      <c r="E21" s="19"/>
      <c r="F21" s="14"/>
      <c r="G21" s="17"/>
      <c r="H21" s="15"/>
      <c r="I21" s="14"/>
      <c r="J21" s="17"/>
    </row>
    <row r="22" spans="1:10" x14ac:dyDescent="0.45">
      <c r="A22" s="13"/>
      <c r="B22" s="14"/>
      <c r="C22" s="15"/>
      <c r="D22" s="14"/>
      <c r="E22" s="19"/>
      <c r="F22" s="14"/>
      <c r="G22" s="17"/>
      <c r="H22" s="15"/>
      <c r="I22" s="14"/>
      <c r="J22" s="17"/>
    </row>
    <row r="23" spans="1:10" x14ac:dyDescent="0.45">
      <c r="A23" s="13"/>
      <c r="B23" s="14"/>
      <c r="C23" s="15"/>
      <c r="D23" s="14"/>
      <c r="E23" s="19"/>
      <c r="F23" s="14"/>
      <c r="G23" s="17"/>
      <c r="H23" s="15"/>
      <c r="I23" s="14"/>
      <c r="J23" s="17"/>
    </row>
  </sheetData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FFFF00"/>
  </sheetPr>
  <dimension ref="A1:R23"/>
  <sheetViews>
    <sheetView topLeftCell="J1" workbookViewId="0">
      <selection activeCell="Q5" activeCellId="2" sqref="N3:O3 Q3:R3 Q5:R5"/>
    </sheetView>
  </sheetViews>
  <sheetFormatPr defaultRowHeight="14.25" x14ac:dyDescent="0.45"/>
  <cols>
    <col min="1" max="1" width="9" bestFit="1" customWidth="1"/>
    <col min="2" max="2" width="9.3984375" bestFit="1" customWidth="1"/>
    <col min="3" max="3" width="9" bestFit="1" customWidth="1"/>
    <col min="4" max="4" width="9.73046875" customWidth="1"/>
    <col min="5" max="5" width="9" bestFit="1" customWidth="1"/>
    <col min="6" max="6" width="10.1328125" bestFit="1" customWidth="1"/>
    <col min="7" max="7" width="15.59765625" customWidth="1"/>
    <col min="8" max="10" width="9" bestFit="1" customWidth="1"/>
    <col min="12" max="12" width="9" bestFit="1" customWidth="1"/>
    <col min="13" max="14" width="9.3984375" bestFit="1" customWidth="1"/>
    <col min="15" max="18" width="9" bestFit="1" customWidth="1"/>
  </cols>
  <sheetData>
    <row r="1" spans="1:18" ht="45.75" thickTop="1" thickBot="1" x14ac:dyDescent="0.5">
      <c r="A1" s="4" t="s">
        <v>23</v>
      </c>
      <c r="B1" s="5" t="s">
        <v>24</v>
      </c>
      <c r="C1" s="6" t="s">
        <v>28</v>
      </c>
      <c r="D1" s="10" t="s">
        <v>29</v>
      </c>
      <c r="E1" s="11" t="s">
        <v>30</v>
      </c>
      <c r="F1" s="10" t="s">
        <v>31</v>
      </c>
      <c r="G1" s="7" t="s">
        <v>32</v>
      </c>
      <c r="H1" s="11" t="s">
        <v>13</v>
      </c>
      <c r="I1" s="10" t="s">
        <v>36</v>
      </c>
      <c r="J1" s="9" t="s">
        <v>37</v>
      </c>
      <c r="L1" s="7" t="s">
        <v>16</v>
      </c>
      <c r="M1" s="7" t="s">
        <v>25</v>
      </c>
      <c r="N1" s="8" t="s">
        <v>26</v>
      </c>
      <c r="O1" s="8" t="s">
        <v>27</v>
      </c>
      <c r="P1" s="8" t="s">
        <v>33</v>
      </c>
      <c r="Q1" s="8" t="s">
        <v>34</v>
      </c>
      <c r="R1" s="8" t="s">
        <v>35</v>
      </c>
    </row>
    <row r="2" spans="1:18" ht="15" thickTop="1" thickBot="1" x14ac:dyDescent="0.5">
      <c r="A2" s="13">
        <f>'Таблица 2'!E8</f>
        <v>0.75482717369198682</v>
      </c>
      <c r="B2" s="14">
        <f>'Таблица 2'!F8</f>
        <v>6.0075185945506232E-2</v>
      </c>
      <c r="C2" s="15">
        <f>(A2-$L$2)*(A2-$L$2)</f>
        <v>0.65031904443163868</v>
      </c>
      <c r="D2" s="14">
        <f>(B2-$M$2)*(B2-$M$2)</f>
        <v>5.4632230531221392E-3</v>
      </c>
      <c r="E2" s="16">
        <f>A2-$L$2</f>
        <v>-0.80642361351317005</v>
      </c>
      <c r="F2" s="14">
        <f>B2-$M$2</f>
        <v>-7.3913618860952407E-2</v>
      </c>
      <c r="G2" s="17">
        <f>E2*F2</f>
        <v>5.9605687609684439E-2</v>
      </c>
      <c r="H2" s="15">
        <f>B2-($O$2+$N$2*A2)</f>
        <v>-3.6955794677831222E-3</v>
      </c>
      <c r="I2" s="18">
        <f>H2*H2</f>
        <v>1.3657307602700184E-5</v>
      </c>
      <c r="J2" s="23">
        <f>SQRT(4*$R$2+4*$Q$2*A2*A2)</f>
        <v>1.410907399329144E-2</v>
      </c>
      <c r="K2" s="15"/>
      <c r="L2" s="15">
        <f>SUM(A:A)/COUNT(A:A)</f>
        <v>1.5612507872051569</v>
      </c>
      <c r="M2" s="15">
        <f>SUM(B:B)/COUNT(B:B)</f>
        <v>0.13398880480645864</v>
      </c>
      <c r="N2" s="15">
        <f>SUM(G:G)/SUM(C:C)</f>
        <v>8.7073391969842803E-2</v>
      </c>
      <c r="O2" s="15">
        <f>M2-N2*L2</f>
        <v>-1.954596951081633E-3</v>
      </c>
      <c r="P2" s="15">
        <f>SUM(C:C)</f>
        <v>1.5919115812681328</v>
      </c>
      <c r="Q2" s="15">
        <f>1/P2*SUM(I:I)/(COUNT(I:I)-2)</f>
        <v>1.4614654141998987E-5</v>
      </c>
      <c r="R2" s="15">
        <f>(1/COUNT(I:I)+L2*L2/P2)*SUM(I:I)/(COUNT(I:I)-2)</f>
        <v>4.1439587526270677E-5</v>
      </c>
    </row>
    <row r="3" spans="1:18" ht="16.5" thickTop="1" thickBot="1" x14ac:dyDescent="0.5">
      <c r="A3" s="13">
        <f>'Таблица 2'!E14</f>
        <v>1.2154657365176849</v>
      </c>
      <c r="B3" s="14">
        <f>'Таблица 2'!F14</f>
        <v>0.10945666807056111</v>
      </c>
      <c r="C3" s="15">
        <f t="shared" ref="C3:C5" si="0">(A3-$L$2)*(A3-$L$2)</f>
        <v>0.11956730127893758</v>
      </c>
      <c r="D3" s="14">
        <f t="shared" ref="D3:D5" si="1">(B3-$M$2)*(B3-$M$2)</f>
        <v>6.0182573282877331E-4</v>
      </c>
      <c r="E3" s="19">
        <f>A3-$L$2</f>
        <v>-0.34578505068747201</v>
      </c>
      <c r="F3" s="14">
        <f>B3-$M$2</f>
        <v>-2.4532136735897533E-2</v>
      </c>
      <c r="G3" s="17">
        <f>E3*F3</f>
        <v>8.482846144694323E-3</v>
      </c>
      <c r="H3" s="15">
        <f>B3-($O$2+$N$2*A3)</f>
        <v>5.5765405199246915E-3</v>
      </c>
      <c r="I3" s="14">
        <f>H3*H3</f>
        <v>3.1097804170361951E-5</v>
      </c>
      <c r="J3" s="17">
        <f t="shared" ref="J3:J5" si="2">SQRT(4*$R$2+4*$Q$2*A3*A3)</f>
        <v>1.5878368743918802E-2</v>
      </c>
      <c r="K3" s="24"/>
      <c r="L3" s="15"/>
      <c r="M3" s="15"/>
      <c r="N3" s="30" t="s">
        <v>54</v>
      </c>
      <c r="O3" s="30" t="s">
        <v>55</v>
      </c>
      <c r="P3" s="15"/>
      <c r="Q3" s="30" t="s">
        <v>58</v>
      </c>
      <c r="R3" s="30" t="s">
        <v>59</v>
      </c>
    </row>
    <row r="4" spans="1:18" ht="15" thickTop="1" thickBot="1" x14ac:dyDescent="0.5">
      <c r="A4" s="13">
        <f>'Таблица 2'!E20</f>
        <v>1.8560787137645558</v>
      </c>
      <c r="B4" s="14">
        <f>'Таблица 2'!F20</f>
        <v>0.15866362099281595</v>
      </c>
      <c r="C4" s="15">
        <f t="shared" si="0"/>
        <v>8.6923506279314333E-2</v>
      </c>
      <c r="D4" s="14">
        <f t="shared" si="1"/>
        <v>6.0884655383052053E-4</v>
      </c>
      <c r="E4" s="19">
        <f t="shared" ref="E4:E5" si="3">A4-$L$2</f>
        <v>0.29482792655939893</v>
      </c>
      <c r="F4" s="14">
        <f t="shared" ref="F4:F5" si="4">B4-$M$2</f>
        <v>2.4674816186357307E-2</v>
      </c>
      <c r="G4" s="17">
        <f t="shared" ref="G4:G5" si="5">E4*F4</f>
        <v>7.2748248944580199E-3</v>
      </c>
      <c r="H4" s="15">
        <f t="shared" ref="H4:H5" si="6">B4-($O$2+$N$2*A4)</f>
        <v>-9.9685142660524417E-4</v>
      </c>
      <c r="I4" s="14">
        <f t="shared" ref="I4:I5" si="7">H4*H4</f>
        <v>9.9371276672491054E-7</v>
      </c>
      <c r="J4" s="17">
        <f t="shared" si="2"/>
        <v>1.9161156860404288E-2</v>
      </c>
      <c r="K4" s="15"/>
      <c r="L4" s="15"/>
      <c r="M4" s="15"/>
      <c r="N4" s="15"/>
      <c r="O4" s="15"/>
      <c r="P4" s="15"/>
      <c r="Q4" s="15">
        <f>SQRT(Q2)</f>
        <v>3.8229117360984136E-3</v>
      </c>
      <c r="R4" s="15">
        <f>SQRT(R2)</f>
        <v>6.4373587383546272E-3</v>
      </c>
    </row>
    <row r="5" spans="1:18" ht="16.5" thickTop="1" thickBot="1" x14ac:dyDescent="0.5">
      <c r="A5" s="13">
        <f>'Таблица 2'!E26</f>
        <v>2.4186315248464001</v>
      </c>
      <c r="B5" s="14">
        <f>'Таблица 2'!F26</f>
        <v>0.20775974421695126</v>
      </c>
      <c r="C5" s="15">
        <f t="shared" si="0"/>
        <v>0.73510172927824236</v>
      </c>
      <c r="D5" s="14">
        <f t="shared" si="1"/>
        <v>5.4421515015065734E-3</v>
      </c>
      <c r="E5" s="19">
        <f t="shared" si="3"/>
        <v>0.85738073764124323</v>
      </c>
      <c r="F5" s="14">
        <f t="shared" si="4"/>
        <v>7.377093941049262E-2</v>
      </c>
      <c r="G5" s="17">
        <f t="shared" si="5"/>
        <v>6.3249782448255618E-2</v>
      </c>
      <c r="H5" s="15">
        <f t="shared" si="6"/>
        <v>-8.8410962553628347E-4</v>
      </c>
      <c r="I5" s="14">
        <f t="shared" si="7"/>
        <v>7.8164982996590743E-7</v>
      </c>
      <c r="J5" s="17">
        <f t="shared" si="2"/>
        <v>2.2532827290324957E-2</v>
      </c>
      <c r="K5" s="15"/>
      <c r="L5" s="15"/>
      <c r="M5" s="15"/>
      <c r="N5" s="15"/>
      <c r="O5" s="15"/>
      <c r="P5" s="15"/>
      <c r="Q5" s="30" t="s">
        <v>60</v>
      </c>
      <c r="R5" s="30" t="s">
        <v>61</v>
      </c>
    </row>
    <row r="6" spans="1:18" ht="14.65" thickTop="1" x14ac:dyDescent="0.45">
      <c r="A6" s="13"/>
      <c r="B6" s="14"/>
      <c r="C6" s="15"/>
      <c r="D6" s="14"/>
      <c r="E6" s="19"/>
      <c r="F6" s="14"/>
      <c r="G6" s="17"/>
      <c r="H6" s="15"/>
      <c r="I6" s="14"/>
      <c r="J6" s="17"/>
      <c r="K6" s="15"/>
      <c r="L6" s="15"/>
      <c r="M6" s="15"/>
      <c r="N6" s="15"/>
      <c r="O6" s="15"/>
      <c r="P6" s="15"/>
      <c r="Q6" s="15">
        <f>Q4*2</f>
        <v>7.6458234721968272E-3</v>
      </c>
      <c r="R6" s="15">
        <f>R4*2</f>
        <v>1.2874717476709254E-2</v>
      </c>
    </row>
    <row r="7" spans="1:18" x14ac:dyDescent="0.45">
      <c r="A7" s="13"/>
      <c r="B7" s="14"/>
      <c r="C7" s="15"/>
      <c r="D7" s="14"/>
      <c r="E7" s="19"/>
      <c r="F7" s="14"/>
      <c r="G7" s="17"/>
      <c r="H7" s="15"/>
      <c r="I7" s="14"/>
      <c r="J7" s="17"/>
      <c r="K7" s="15"/>
      <c r="L7" s="15"/>
      <c r="M7" s="15"/>
      <c r="N7" s="15"/>
      <c r="O7" s="15"/>
      <c r="P7" s="15"/>
      <c r="Q7" s="15"/>
      <c r="R7" s="15"/>
    </row>
    <row r="8" spans="1:18" x14ac:dyDescent="0.45">
      <c r="A8" s="13"/>
      <c r="B8" s="14"/>
      <c r="C8" s="15"/>
      <c r="D8" s="14"/>
      <c r="E8" s="19"/>
      <c r="F8" s="14"/>
      <c r="G8" s="17"/>
      <c r="H8" s="15"/>
      <c r="I8" s="14"/>
      <c r="J8" s="17"/>
      <c r="K8" s="15"/>
      <c r="L8" s="15"/>
      <c r="M8" s="15"/>
      <c r="N8" s="15"/>
      <c r="O8" s="15"/>
      <c r="P8" s="15"/>
      <c r="Q8" s="15"/>
      <c r="R8" s="15"/>
    </row>
    <row r="9" spans="1:18" x14ac:dyDescent="0.45">
      <c r="A9" s="13"/>
      <c r="B9" s="14"/>
      <c r="C9" s="15"/>
      <c r="D9" s="14"/>
      <c r="E9" s="19"/>
      <c r="F9" s="14"/>
      <c r="G9" s="17"/>
      <c r="H9" s="15"/>
      <c r="I9" s="14"/>
      <c r="J9" s="17"/>
      <c r="K9" s="15"/>
      <c r="L9" s="15"/>
      <c r="M9" s="15"/>
      <c r="N9" s="15"/>
      <c r="O9" s="15"/>
      <c r="P9" s="15"/>
      <c r="Q9" s="15"/>
      <c r="R9" s="15"/>
    </row>
    <row r="10" spans="1:18" x14ac:dyDescent="0.45">
      <c r="A10" s="13"/>
      <c r="B10" s="14"/>
      <c r="C10" s="15"/>
      <c r="D10" s="14"/>
      <c r="E10" s="19"/>
      <c r="F10" s="14"/>
      <c r="G10" s="17"/>
      <c r="H10" s="15"/>
      <c r="I10" s="14"/>
      <c r="J10" s="17"/>
    </row>
    <row r="11" spans="1:18" x14ac:dyDescent="0.45">
      <c r="A11" s="13"/>
      <c r="B11" s="14"/>
      <c r="C11" s="15"/>
      <c r="D11" s="14"/>
      <c r="E11" s="19"/>
      <c r="F11" s="14"/>
      <c r="G11" s="17"/>
      <c r="H11" s="15"/>
      <c r="I11" s="14"/>
      <c r="J11" s="17"/>
    </row>
    <row r="12" spans="1:18" x14ac:dyDescent="0.45">
      <c r="A12" s="13"/>
      <c r="B12" s="14"/>
      <c r="C12" s="15"/>
      <c r="D12" s="14"/>
      <c r="E12" s="19"/>
      <c r="F12" s="14"/>
      <c r="G12" s="17"/>
      <c r="H12" s="15"/>
      <c r="I12" s="14"/>
      <c r="J12" s="17"/>
    </row>
    <row r="13" spans="1:18" x14ac:dyDescent="0.45">
      <c r="A13" s="13"/>
      <c r="B13" s="14"/>
      <c r="C13" s="15"/>
      <c r="D13" s="14"/>
      <c r="E13" s="19"/>
      <c r="F13" s="14"/>
      <c r="G13" s="17"/>
      <c r="H13" s="15"/>
      <c r="I13" s="14"/>
      <c r="J13" s="17"/>
    </row>
    <row r="14" spans="1:18" x14ac:dyDescent="0.45">
      <c r="A14" s="13"/>
      <c r="B14" s="14"/>
      <c r="C14" s="15"/>
      <c r="D14" s="14"/>
      <c r="E14" s="19"/>
      <c r="F14" s="14"/>
      <c r="G14" s="17"/>
      <c r="H14" s="15"/>
      <c r="I14" s="14"/>
      <c r="J14" s="17"/>
    </row>
    <row r="15" spans="1:18" x14ac:dyDescent="0.45">
      <c r="A15" s="13"/>
      <c r="B15" s="14"/>
      <c r="C15" s="15"/>
      <c r="D15" s="14"/>
      <c r="E15" s="19"/>
      <c r="F15" s="14"/>
      <c r="G15" s="17"/>
      <c r="H15" s="15"/>
      <c r="I15" s="14"/>
      <c r="J15" s="17"/>
    </row>
    <row r="16" spans="1:18" x14ac:dyDescent="0.45">
      <c r="A16" s="13"/>
      <c r="B16" s="14"/>
      <c r="C16" s="15"/>
      <c r="D16" s="14"/>
      <c r="E16" s="19"/>
      <c r="F16" s="14"/>
      <c r="G16" s="17"/>
      <c r="H16" s="15"/>
      <c r="I16" s="14"/>
      <c r="J16" s="17"/>
    </row>
    <row r="17" spans="1:10" x14ac:dyDescent="0.45">
      <c r="A17" s="13"/>
      <c r="B17" s="14"/>
      <c r="C17" s="15"/>
      <c r="D17" s="14"/>
      <c r="E17" s="19"/>
      <c r="F17" s="14"/>
      <c r="G17" s="17"/>
      <c r="H17" s="15"/>
      <c r="I17" s="14"/>
      <c r="J17" s="17"/>
    </row>
    <row r="18" spans="1:10" x14ac:dyDescent="0.45">
      <c r="A18" s="13"/>
      <c r="B18" s="14"/>
      <c r="C18" s="15"/>
      <c r="D18" s="14"/>
      <c r="E18" s="19"/>
      <c r="F18" s="14"/>
      <c r="G18" s="17"/>
      <c r="H18" s="15"/>
      <c r="I18" s="14"/>
      <c r="J18" s="17"/>
    </row>
    <row r="19" spans="1:10" x14ac:dyDescent="0.45">
      <c r="A19" s="13"/>
      <c r="B19" s="14"/>
      <c r="C19" s="15"/>
      <c r="D19" s="14"/>
      <c r="E19" s="19"/>
      <c r="F19" s="14"/>
      <c r="G19" s="17"/>
      <c r="H19" s="15"/>
      <c r="I19" s="14"/>
      <c r="J19" s="17"/>
    </row>
    <row r="20" spans="1:10" x14ac:dyDescent="0.45">
      <c r="A20" s="13"/>
      <c r="B20" s="14"/>
      <c r="C20" s="15"/>
      <c r="D20" s="14"/>
      <c r="E20" s="19"/>
      <c r="F20" s="14"/>
      <c r="G20" s="17"/>
      <c r="H20" s="15"/>
      <c r="I20" s="14"/>
      <c r="J20" s="17"/>
    </row>
    <row r="21" spans="1:10" x14ac:dyDescent="0.45">
      <c r="A21" s="13"/>
      <c r="B21" s="14"/>
      <c r="C21" s="15"/>
      <c r="D21" s="14"/>
      <c r="E21" s="19"/>
      <c r="F21" s="14"/>
      <c r="G21" s="17"/>
      <c r="H21" s="15"/>
      <c r="I21" s="14"/>
      <c r="J21" s="17"/>
    </row>
    <row r="22" spans="1:10" x14ac:dyDescent="0.45">
      <c r="A22" s="13"/>
      <c r="B22" s="14"/>
      <c r="C22" s="15"/>
      <c r="D22" s="14"/>
      <c r="E22" s="19"/>
      <c r="F22" s="14"/>
      <c r="G22" s="17"/>
      <c r="H22" s="15"/>
      <c r="I22" s="14"/>
      <c r="J22" s="17"/>
    </row>
    <row r="23" spans="1:10" x14ac:dyDescent="0.45">
      <c r="A23" s="13"/>
      <c r="B23" s="14"/>
      <c r="C23" s="15"/>
      <c r="D23" s="14"/>
      <c r="E23" s="19"/>
      <c r="F23" s="14"/>
      <c r="G23" s="17"/>
      <c r="H23" s="15"/>
      <c r="I23" s="14"/>
      <c r="J23" s="17"/>
    </row>
  </sheetData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FF00"/>
  </sheetPr>
  <dimension ref="A1:R9"/>
  <sheetViews>
    <sheetView topLeftCell="H1" workbookViewId="0">
      <selection activeCell="A2" sqref="A2"/>
    </sheetView>
  </sheetViews>
  <sheetFormatPr defaultRowHeight="14.25" x14ac:dyDescent="0.45"/>
  <cols>
    <col min="1" max="1" width="9" bestFit="1" customWidth="1"/>
    <col min="2" max="2" width="9.3984375" bestFit="1" customWidth="1"/>
    <col min="3" max="3" width="9" bestFit="1" customWidth="1"/>
    <col min="4" max="4" width="9.73046875" customWidth="1"/>
    <col min="5" max="5" width="9" bestFit="1" customWidth="1"/>
    <col min="6" max="6" width="10.1328125" bestFit="1" customWidth="1"/>
    <col min="7" max="7" width="14" customWidth="1"/>
    <col min="8" max="10" width="9" bestFit="1" customWidth="1"/>
    <col min="12" max="12" width="9" bestFit="1" customWidth="1"/>
    <col min="13" max="14" width="9.3984375" bestFit="1" customWidth="1"/>
    <col min="15" max="18" width="9" bestFit="1" customWidth="1"/>
  </cols>
  <sheetData>
    <row r="1" spans="1:18" ht="45.75" thickTop="1" thickBot="1" x14ac:dyDescent="0.5">
      <c r="A1" s="4" t="s">
        <v>23</v>
      </c>
      <c r="B1" s="5" t="s">
        <v>24</v>
      </c>
      <c r="C1" s="6" t="s">
        <v>28</v>
      </c>
      <c r="D1" s="10" t="s">
        <v>29</v>
      </c>
      <c r="E1" s="11" t="s">
        <v>30</v>
      </c>
      <c r="F1" s="10" t="s">
        <v>31</v>
      </c>
      <c r="G1" s="7" t="s">
        <v>32</v>
      </c>
      <c r="H1" s="11" t="s">
        <v>13</v>
      </c>
      <c r="I1" s="10" t="s">
        <v>36</v>
      </c>
      <c r="J1" s="9" t="s">
        <v>37</v>
      </c>
      <c r="L1" s="7" t="s">
        <v>16</v>
      </c>
      <c r="M1" s="7" t="s">
        <v>25</v>
      </c>
      <c r="N1" s="8" t="s">
        <v>26</v>
      </c>
      <c r="O1" s="8" t="s">
        <v>27</v>
      </c>
      <c r="P1" s="8" t="s">
        <v>33</v>
      </c>
      <c r="Q1" s="8" t="s">
        <v>34</v>
      </c>
      <c r="R1" s="8" t="s">
        <v>35</v>
      </c>
    </row>
    <row r="2" spans="1:18" ht="15" thickTop="1" thickBot="1" x14ac:dyDescent="0.5">
      <c r="A2" s="13">
        <f>'Таблица 3'!B3</f>
        <v>5.9290000000000002E-3</v>
      </c>
      <c r="B2" s="14">
        <f>'Таблица 3'!B4</f>
        <v>1.6097510429699501E-2</v>
      </c>
      <c r="C2" s="15">
        <f>(A2-$L$2)*(A2-$L$2)</f>
        <v>2.3575043402777784E-4</v>
      </c>
      <c r="D2" s="14">
        <f>(B2-$M$2)*(B2-$M$2)</f>
        <v>1.116821436102813E-3</v>
      </c>
      <c r="E2" s="16">
        <f>A2-$L$2</f>
        <v>-1.5354166666666669E-2</v>
      </c>
      <c r="F2" s="14">
        <f>B2-$M$2</f>
        <v>-3.3418878438732993E-2</v>
      </c>
      <c r="G2" s="17">
        <f>E2*F2</f>
        <v>5.1311902936137957E-4</v>
      </c>
      <c r="H2" s="15">
        <f>B2-($O$2+$N$2*A2)</f>
        <v>-3.6906031685077639E-3</v>
      </c>
      <c r="I2" s="18">
        <f>H2*H2</f>
        <v>1.3620551747399547E-5</v>
      </c>
      <c r="J2" s="23">
        <f>SQRT(4*$R$2+4*$Q$2*A2*A2)</f>
        <v>9.2372165898554643E-3</v>
      </c>
      <c r="K2" s="15"/>
      <c r="L2" s="15">
        <f>SUM(A:A)/COUNT(A:A)</f>
        <v>2.1283166666666669E-2</v>
      </c>
      <c r="M2" s="15">
        <f>SUM(B:B)/COUNT(B:B)</f>
        <v>4.9516388868432494E-2</v>
      </c>
      <c r="N2" s="15">
        <f>SUM(G:G)/SUM(C:C)</f>
        <v>1.9361698954827824</v>
      </c>
      <c r="O2" s="15">
        <f>M2-N2*L2</f>
        <v>8.3085622878898494E-3</v>
      </c>
      <c r="P2" s="15">
        <f>SUM(C:C)</f>
        <v>8.6596927083333294E-4</v>
      </c>
      <c r="Q2" s="15">
        <f>1/P2*SUM(I:I)/(COUNT(I:I)-2)</f>
        <v>3.3728188723391124E-2</v>
      </c>
      <c r="R2" s="15">
        <f>(1/COUNT(I:I)+L2*L2/P2)*SUM(I:I)/(COUNT(I:I)-2)</f>
        <v>2.0145894180926149E-5</v>
      </c>
    </row>
    <row r="3" spans="1:18" ht="16.5" thickTop="1" thickBot="1" x14ac:dyDescent="0.5">
      <c r="A3" s="13">
        <f>'Таблица 3'!C3</f>
        <v>1.0404000000000002E-2</v>
      </c>
      <c r="B3" s="14">
        <f>'Таблица 3'!C4</f>
        <v>2.6094613347489054E-2</v>
      </c>
      <c r="C3" s="15">
        <f>(A3-$L$2)*(A3-$L$2)</f>
        <v>1.1835626736111112E-4</v>
      </c>
      <c r="D3" s="14">
        <f>(B3-$M$2)*(B3-$M$2)</f>
        <v>5.4857956855346537E-4</v>
      </c>
      <c r="E3" s="19">
        <f>A3-$L$2</f>
        <v>-1.0879166666666667E-2</v>
      </c>
      <c r="F3" s="14">
        <f>B3-$M$2</f>
        <v>-2.342177552094344E-2</v>
      </c>
      <c r="G3" s="17">
        <f>E3*F3</f>
        <v>2.5480939952159717E-4</v>
      </c>
      <c r="H3" s="15">
        <f>B3-($O$2+$N$2*A3)</f>
        <v>-2.3578605330036653E-3</v>
      </c>
      <c r="I3" s="14">
        <f>H3*H3</f>
        <v>5.5595062930963286E-6</v>
      </c>
      <c r="J3" s="17">
        <f t="shared" ref="J3:J7" si="0">SQRT(4*$R$2+4*$Q$2*A3*A3)</f>
        <v>9.7563808450061937E-3</v>
      </c>
      <c r="K3" s="24"/>
      <c r="L3" s="15"/>
      <c r="M3" s="15"/>
      <c r="N3" s="30" t="s">
        <v>57</v>
      </c>
      <c r="O3" s="30" t="s">
        <v>56</v>
      </c>
      <c r="P3" s="15"/>
      <c r="Q3" s="30" t="s">
        <v>58</v>
      </c>
      <c r="R3" s="30" t="s">
        <v>59</v>
      </c>
    </row>
    <row r="4" spans="1:18" ht="15" thickTop="1" thickBot="1" x14ac:dyDescent="0.5">
      <c r="A4" s="13">
        <f>'Таблица 3'!D3</f>
        <v>1.6129000000000001E-2</v>
      </c>
      <c r="B4" s="14">
        <f>'Таблица 3'!D4</f>
        <v>4.5976146627425968E-2</v>
      </c>
      <c r="C4" s="15">
        <f t="shared" ref="C4:C7" si="1">(A4-$L$2)*(A4-$L$2)</f>
        <v>2.6565434027777793E-5</v>
      </c>
      <c r="D4" s="14">
        <f t="shared" ref="D4:D7" si="2">(B4-$M$2)*(B4-$M$2)</f>
        <v>1.2533315125006911E-5</v>
      </c>
      <c r="E4" s="19">
        <f t="shared" ref="E4:E7" si="3">A4-$L$2</f>
        <v>-5.154166666666668E-3</v>
      </c>
      <c r="F4" s="14">
        <f t="shared" ref="F4:F7" si="4">B4-$M$2</f>
        <v>-3.5402422410065262E-3</v>
      </c>
      <c r="G4" s="17">
        <f t="shared" ref="G4:G7" si="5">E4*F4</f>
        <v>1.824699855052114E-5</v>
      </c>
      <c r="H4" s="15">
        <f t="shared" ref="H4:H7" si="6">B4-($O$2+$N$2*A4)</f>
        <v>6.4391000952943173E-3</v>
      </c>
      <c r="I4" s="14">
        <f t="shared" ref="I4:I7" si="7">H4*H4</f>
        <v>4.1462010037219283E-5</v>
      </c>
      <c r="J4" s="17">
        <f t="shared" si="0"/>
        <v>1.0755482644298764E-2</v>
      </c>
      <c r="K4" s="15"/>
      <c r="L4" s="15"/>
      <c r="M4" s="15"/>
      <c r="N4" s="15"/>
      <c r="O4" s="15"/>
      <c r="P4" s="15"/>
      <c r="Q4" s="15">
        <f>SQRT(Q2)</f>
        <v>0.18365235833876767</v>
      </c>
      <c r="R4" s="15">
        <f>SQRT(R2)</f>
        <v>4.4884177814599824E-3</v>
      </c>
    </row>
    <row r="5" spans="1:18" ht="16.5" thickTop="1" thickBot="1" x14ac:dyDescent="0.5">
      <c r="A5" s="13">
        <f>'Таблица 3'!E3</f>
        <v>2.3104E-2</v>
      </c>
      <c r="B5" s="14">
        <f>'Таблица 3'!E4</f>
        <v>5.8262992998286044E-2</v>
      </c>
      <c r="C5" s="15">
        <f t="shared" si="1"/>
        <v>3.3154340277777676E-6</v>
      </c>
      <c r="D5" s="14">
        <f t="shared" si="2"/>
        <v>7.6503083804371167E-5</v>
      </c>
      <c r="E5" s="19">
        <f t="shared" si="3"/>
        <v>1.8208333333333306E-3</v>
      </c>
      <c r="F5" s="14">
        <f t="shared" si="4"/>
        <v>8.7466041298535496E-3</v>
      </c>
      <c r="G5" s="17">
        <f t="shared" si="5"/>
        <v>1.5926108353108315E-5</v>
      </c>
      <c r="H5" s="15">
        <f t="shared" si="6"/>
        <v>5.2211614451619925E-3</v>
      </c>
      <c r="I5" s="14">
        <f t="shared" si="7"/>
        <v>2.7260526836446068E-5</v>
      </c>
      <c r="J5" s="17">
        <f t="shared" si="0"/>
        <v>1.2353109159161832E-2</v>
      </c>
      <c r="K5" s="15"/>
      <c r="L5" s="15"/>
      <c r="M5" s="15"/>
      <c r="N5" s="15"/>
      <c r="O5" s="15"/>
      <c r="P5" s="15"/>
      <c r="Q5" s="30" t="s">
        <v>60</v>
      </c>
      <c r="R5" s="30" t="s">
        <v>61</v>
      </c>
    </row>
    <row r="6" spans="1:18" ht="14.65" thickTop="1" x14ac:dyDescent="0.45">
      <c r="A6" s="13">
        <f>'Таблица 3'!F3</f>
        <v>3.1328999999999996E-2</v>
      </c>
      <c r="B6" s="14">
        <f>'Таблица 3'!F4</f>
        <v>6.3593677837851581E-2</v>
      </c>
      <c r="C6" s="15">
        <f t="shared" si="1"/>
        <v>1.0091876736111099E-4</v>
      </c>
      <c r="D6" s="14">
        <f t="shared" si="2"/>
        <v>1.9817006472852829E-4</v>
      </c>
      <c r="E6" s="19">
        <f t="shared" si="3"/>
        <v>1.0045833333333327E-2</v>
      </c>
      <c r="F6" s="14">
        <f t="shared" si="4"/>
        <v>1.4077288969419087E-2</v>
      </c>
      <c r="G6" s="17">
        <f t="shared" si="5"/>
        <v>1.4141809877195582E-4</v>
      </c>
      <c r="H6" s="15">
        <f t="shared" si="6"/>
        <v>-5.3731511056183401E-3</v>
      </c>
      <c r="I6" s="14">
        <f t="shared" si="7"/>
        <v>2.8870752803807589E-5</v>
      </c>
      <c r="J6" s="17">
        <f t="shared" si="0"/>
        <v>1.459456363315606E-2</v>
      </c>
      <c r="K6" s="15"/>
      <c r="L6" s="15"/>
      <c r="M6" s="15"/>
      <c r="N6" s="15"/>
      <c r="O6" s="15"/>
      <c r="P6" s="15"/>
      <c r="Q6" s="15">
        <f>Q4*2</f>
        <v>0.36730471667753534</v>
      </c>
      <c r="R6" s="15">
        <f>R4*2</f>
        <v>8.9768355629199648E-3</v>
      </c>
    </row>
    <row r="7" spans="1:18" x14ac:dyDescent="0.45">
      <c r="A7" s="13">
        <f>'Таблица 3'!G3</f>
        <v>4.0803999999999993E-2</v>
      </c>
      <c r="B7" s="14">
        <f>'Таблица 3'!G4</f>
        <v>8.7073391969842803E-2</v>
      </c>
      <c r="C7" s="15">
        <f t="shared" si="1"/>
        <v>3.8106293402777742E-4</v>
      </c>
      <c r="D7" s="14">
        <f t="shared" si="2"/>
        <v>1.4105284819593436E-3</v>
      </c>
      <c r="E7" s="19">
        <f t="shared" si="3"/>
        <v>1.9520833333333324E-2</v>
      </c>
      <c r="F7" s="14">
        <f t="shared" si="4"/>
        <v>3.7557003101410309E-2</v>
      </c>
      <c r="G7" s="17">
        <f t="shared" si="5"/>
        <v>7.3314399804211337E-4</v>
      </c>
      <c r="H7" s="15">
        <f t="shared" si="6"/>
        <v>-2.3864673332647801E-4</v>
      </c>
      <c r="I7" s="14">
        <f t="shared" si="7"/>
        <v>5.6952263327399113E-8</v>
      </c>
      <c r="J7" s="17">
        <f t="shared" si="0"/>
        <v>1.7470225605627682E-2</v>
      </c>
      <c r="K7" s="15"/>
      <c r="L7" s="15"/>
      <c r="M7" s="15"/>
      <c r="N7" s="15"/>
      <c r="O7" s="15"/>
      <c r="P7" s="15"/>
      <c r="Q7" s="15"/>
      <c r="R7" s="15"/>
    </row>
    <row r="8" spans="1:18" x14ac:dyDescent="0.45">
      <c r="A8" s="13"/>
      <c r="B8" s="14"/>
      <c r="C8" s="15"/>
      <c r="D8" s="14"/>
      <c r="E8" s="19"/>
      <c r="F8" s="14"/>
      <c r="G8" s="17"/>
      <c r="H8" s="15"/>
      <c r="I8" s="14"/>
      <c r="J8" s="17"/>
      <c r="K8" s="15"/>
      <c r="L8" s="15"/>
      <c r="M8" s="15"/>
      <c r="N8" s="15"/>
      <c r="O8" s="15"/>
      <c r="P8" s="15"/>
      <c r="Q8" s="15"/>
      <c r="R8" s="15"/>
    </row>
    <row r="9" spans="1:18" x14ac:dyDescent="0.45">
      <c r="A9" s="13"/>
      <c r="B9" s="14"/>
      <c r="C9" s="15"/>
      <c r="D9" s="14"/>
      <c r="E9" s="19"/>
      <c r="F9" s="14"/>
      <c r="G9" s="17"/>
      <c r="H9" s="15"/>
      <c r="I9" s="14"/>
      <c r="J9" s="17"/>
      <c r="K9" s="15"/>
      <c r="L9" s="15"/>
      <c r="M9" s="15"/>
      <c r="N9" s="15"/>
      <c r="O9" s="15"/>
      <c r="P9" s="15"/>
      <c r="Q9" s="15"/>
      <c r="R9" s="15"/>
    </row>
  </sheetData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C7234-1FEB-4409-AFB0-52D164FEFD2D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9"/>
  <sheetViews>
    <sheetView workbookViewId="0">
      <selection activeCell="D21" sqref="D21"/>
    </sheetView>
  </sheetViews>
  <sheetFormatPr defaultRowHeight="14.25" x14ac:dyDescent="0.45"/>
  <sheetData>
    <row r="1" spans="1:1" x14ac:dyDescent="0.45">
      <c r="A1" t="s">
        <v>75</v>
      </c>
    </row>
    <row r="3" spans="1:1" x14ac:dyDescent="0.45">
      <c r="A3" t="s">
        <v>76</v>
      </c>
    </row>
    <row r="5" spans="1:1" x14ac:dyDescent="0.45">
      <c r="A5" t="s">
        <v>74</v>
      </c>
    </row>
    <row r="7" spans="1:1" x14ac:dyDescent="0.45">
      <c r="A7" t="s">
        <v>73</v>
      </c>
    </row>
    <row r="9" spans="1:1" x14ac:dyDescent="0.45">
      <c r="A9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G18"/>
  <sheetViews>
    <sheetView workbookViewId="0">
      <selection activeCell="G6" sqref="G6"/>
    </sheetView>
  </sheetViews>
  <sheetFormatPr defaultRowHeight="14.25" x14ac:dyDescent="0.45"/>
  <cols>
    <col min="1" max="1" width="13.3984375" bestFit="1" customWidth="1"/>
  </cols>
  <sheetData>
    <row r="1" spans="1:7" x14ac:dyDescent="0.45">
      <c r="A1" s="46" t="s">
        <v>0</v>
      </c>
      <c r="B1" s="46" t="s">
        <v>1</v>
      </c>
      <c r="C1" s="46"/>
      <c r="D1" s="46"/>
      <c r="E1" s="46"/>
      <c r="F1" s="46"/>
      <c r="G1" s="46"/>
    </row>
    <row r="2" spans="1:7" x14ac:dyDescent="0.45">
      <c r="A2" s="46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45">
      <c r="A3" s="45">
        <f>0.047+0.22</f>
        <v>0.26700000000000002</v>
      </c>
      <c r="B3">
        <v>4.99</v>
      </c>
      <c r="C3">
        <v>5.12</v>
      </c>
      <c r="D3">
        <v>6.26</v>
      </c>
      <c r="E3">
        <v>6.89</v>
      </c>
      <c r="F3">
        <v>7.5</v>
      </c>
      <c r="G3">
        <v>9.25</v>
      </c>
    </row>
    <row r="4" spans="1:7" x14ac:dyDescent="0.45">
      <c r="A4" s="45"/>
      <c r="B4">
        <v>4.93</v>
      </c>
      <c r="C4">
        <v>5.56</v>
      </c>
      <c r="D4">
        <v>6.16</v>
      </c>
      <c r="E4">
        <v>6.93</v>
      </c>
      <c r="F4">
        <v>8.0500000000000007</v>
      </c>
      <c r="G4">
        <v>8.8000000000000007</v>
      </c>
    </row>
    <row r="5" spans="1:7" x14ac:dyDescent="0.45">
      <c r="A5" s="45"/>
      <c r="B5">
        <v>4.91</v>
      </c>
      <c r="C5">
        <v>5.0999999999999996</v>
      </c>
      <c r="D5">
        <v>6.21</v>
      </c>
      <c r="E5">
        <v>7.03</v>
      </c>
      <c r="F5">
        <v>7.87</v>
      </c>
      <c r="G5">
        <v>8.89</v>
      </c>
    </row>
    <row r="6" spans="1:7" x14ac:dyDescent="0.45">
      <c r="A6" s="45"/>
      <c r="B6" s="12">
        <f>SUM(B3:B5)/3</f>
        <v>4.9433333333333334</v>
      </c>
      <c r="C6" s="12">
        <f t="shared" ref="C6:G6" si="0">SUM(C3:C5)/3</f>
        <v>5.26</v>
      </c>
      <c r="D6" s="12">
        <f t="shared" si="0"/>
        <v>6.21</v>
      </c>
      <c r="E6" s="12">
        <f t="shared" si="0"/>
        <v>6.95</v>
      </c>
      <c r="F6" s="12">
        <f t="shared" si="0"/>
        <v>7.8066666666666675</v>
      </c>
      <c r="G6" s="12">
        <f t="shared" si="0"/>
        <v>8.98</v>
      </c>
    </row>
    <row r="7" spans="1:7" x14ac:dyDescent="0.45">
      <c r="A7" s="45">
        <f>0.047+0.22*2</f>
        <v>0.48699999999999999</v>
      </c>
      <c r="B7">
        <v>3.53</v>
      </c>
      <c r="C7">
        <v>3.89</v>
      </c>
      <c r="D7">
        <v>4.24</v>
      </c>
      <c r="E7">
        <v>5.26</v>
      </c>
      <c r="F7">
        <v>6.03</v>
      </c>
      <c r="G7">
        <v>7.25</v>
      </c>
    </row>
    <row r="8" spans="1:7" x14ac:dyDescent="0.45">
      <c r="A8" s="45"/>
      <c r="B8">
        <v>3.55</v>
      </c>
      <c r="C8">
        <v>4.17</v>
      </c>
      <c r="D8">
        <v>4.29</v>
      </c>
      <c r="E8">
        <v>5.24</v>
      </c>
      <c r="F8">
        <v>5.79</v>
      </c>
      <c r="G8">
        <v>6.73</v>
      </c>
    </row>
    <row r="9" spans="1:7" x14ac:dyDescent="0.45">
      <c r="A9" s="45"/>
      <c r="B9">
        <v>3.58</v>
      </c>
      <c r="C9">
        <v>4.07</v>
      </c>
      <c r="D9">
        <v>4.6900000000000004</v>
      </c>
      <c r="E9">
        <v>5.36</v>
      </c>
      <c r="F9">
        <v>5.83</v>
      </c>
      <c r="G9">
        <v>7.25</v>
      </c>
    </row>
    <row r="10" spans="1:7" x14ac:dyDescent="0.45">
      <c r="A10" s="45"/>
      <c r="B10" s="12">
        <f>SUM(B7:B9)/3</f>
        <v>3.5533333333333332</v>
      </c>
      <c r="C10" s="12">
        <f t="shared" ref="C10:G10" si="1">SUM(C7:C9)/3</f>
        <v>4.0433333333333339</v>
      </c>
      <c r="D10" s="12">
        <f t="shared" si="1"/>
        <v>4.4066666666666672</v>
      </c>
      <c r="E10" s="12">
        <f t="shared" si="1"/>
        <v>5.2866666666666662</v>
      </c>
      <c r="F10" s="12">
        <f t="shared" si="1"/>
        <v>5.8833333333333329</v>
      </c>
      <c r="G10" s="12">
        <f t="shared" si="1"/>
        <v>7.0766666666666671</v>
      </c>
    </row>
    <row r="11" spans="1:7" x14ac:dyDescent="0.45">
      <c r="A11" s="45">
        <f>0.047+0.22*3</f>
        <v>0.70700000000000007</v>
      </c>
      <c r="B11">
        <v>2.9</v>
      </c>
      <c r="C11">
        <v>3.32</v>
      </c>
      <c r="D11">
        <v>4.03</v>
      </c>
      <c r="E11">
        <v>4.21</v>
      </c>
      <c r="F11">
        <v>4.55</v>
      </c>
      <c r="G11">
        <v>5.45</v>
      </c>
    </row>
    <row r="12" spans="1:7" x14ac:dyDescent="0.45">
      <c r="A12" s="45"/>
      <c r="B12">
        <v>2.74</v>
      </c>
      <c r="C12">
        <v>3.3</v>
      </c>
      <c r="D12">
        <v>3.97</v>
      </c>
      <c r="E12">
        <v>4.5599999999999996</v>
      </c>
      <c r="F12">
        <v>5.18</v>
      </c>
      <c r="G12">
        <v>5.9</v>
      </c>
    </row>
    <row r="13" spans="1:7" x14ac:dyDescent="0.45">
      <c r="A13" s="45"/>
      <c r="B13">
        <v>2.57</v>
      </c>
      <c r="C13">
        <v>3.37</v>
      </c>
      <c r="D13">
        <v>3.96</v>
      </c>
      <c r="E13">
        <v>4.43</v>
      </c>
      <c r="F13">
        <v>4.8099999999999996</v>
      </c>
      <c r="G13">
        <v>5.83</v>
      </c>
    </row>
    <row r="14" spans="1:7" x14ac:dyDescent="0.45">
      <c r="A14" s="45"/>
      <c r="B14" s="12">
        <f>SUM(B11:B13)/3</f>
        <v>2.7366666666666668</v>
      </c>
      <c r="C14" s="12">
        <f t="shared" ref="C14" si="2">SUM(C11:C13)/3</f>
        <v>3.3299999999999996</v>
      </c>
      <c r="D14" s="12">
        <f t="shared" ref="D14" si="3">SUM(D11:D13)/3</f>
        <v>3.9866666666666668</v>
      </c>
      <c r="E14" s="12">
        <f t="shared" ref="E14" si="4">SUM(E11:E13)/3</f>
        <v>4.3999999999999995</v>
      </c>
      <c r="F14" s="12">
        <f t="shared" ref="F14" si="5">SUM(F11:F13)/3</f>
        <v>4.8466666666666667</v>
      </c>
      <c r="G14" s="12">
        <f t="shared" ref="G14" si="6">SUM(G11:G13)/3</f>
        <v>5.7266666666666666</v>
      </c>
    </row>
    <row r="15" spans="1:7" x14ac:dyDescent="0.45">
      <c r="A15" s="45">
        <f>0.047+0.22*4</f>
        <v>0.92700000000000005</v>
      </c>
      <c r="B15">
        <v>2.2799999999999998</v>
      </c>
      <c r="C15">
        <v>2.9</v>
      </c>
      <c r="D15">
        <v>3.62</v>
      </c>
      <c r="E15">
        <v>4.09</v>
      </c>
      <c r="F15">
        <v>4.1900000000000004</v>
      </c>
      <c r="G15">
        <v>5.01</v>
      </c>
    </row>
    <row r="16" spans="1:7" x14ac:dyDescent="0.45">
      <c r="A16" s="45"/>
      <c r="B16">
        <v>2.33</v>
      </c>
      <c r="C16">
        <v>2.62</v>
      </c>
      <c r="D16">
        <v>3.56</v>
      </c>
      <c r="E16">
        <v>3.96</v>
      </c>
      <c r="F16">
        <v>4.34</v>
      </c>
      <c r="G16">
        <v>5.13</v>
      </c>
    </row>
    <row r="17" spans="1:7" x14ac:dyDescent="0.45">
      <c r="A17" s="45"/>
      <c r="B17">
        <v>2.37</v>
      </c>
      <c r="C17">
        <v>2.89</v>
      </c>
      <c r="D17">
        <v>3.51</v>
      </c>
      <c r="E17">
        <v>4.0999999999999996</v>
      </c>
      <c r="F17">
        <v>4.37</v>
      </c>
      <c r="G17">
        <v>4.91</v>
      </c>
    </row>
    <row r="18" spans="1:7" x14ac:dyDescent="0.45">
      <c r="A18" s="45"/>
      <c r="B18" s="12">
        <f>SUM(B15:B17)/3</f>
        <v>2.3266666666666667</v>
      </c>
      <c r="C18" s="12">
        <f t="shared" ref="C18" si="7">SUM(C15:C17)/3</f>
        <v>2.8033333333333332</v>
      </c>
      <c r="D18" s="12">
        <f t="shared" ref="D18" si="8">SUM(D15:D17)/3</f>
        <v>3.563333333333333</v>
      </c>
      <c r="E18" s="12">
        <f t="shared" ref="E18" si="9">SUM(E15:E17)/3</f>
        <v>4.05</v>
      </c>
      <c r="F18" s="12">
        <f t="shared" ref="F18" si="10">SUM(F15:F17)/3</f>
        <v>4.3000000000000007</v>
      </c>
      <c r="G18" s="12">
        <f t="shared" ref="G18" si="11">SUM(G15:G17)/3</f>
        <v>5.0166666666666666</v>
      </c>
    </row>
  </sheetData>
  <mergeCells count="6">
    <mergeCell ref="A15:A18"/>
    <mergeCell ref="A1:A2"/>
    <mergeCell ref="B1:G1"/>
    <mergeCell ref="A3:A6"/>
    <mergeCell ref="A7:A10"/>
    <mergeCell ref="A11:A14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H26"/>
  <sheetViews>
    <sheetView workbookViewId="0">
      <selection activeCell="H8" sqref="G3:H8"/>
    </sheetView>
  </sheetViews>
  <sheetFormatPr defaultRowHeight="14.25" x14ac:dyDescent="0.45"/>
  <cols>
    <col min="1" max="1" width="13.3984375" bestFit="1" customWidth="1"/>
    <col min="2" max="2" width="11.59765625" customWidth="1"/>
  </cols>
  <sheetData>
    <row r="1" spans="1:8" ht="18" customHeight="1" x14ac:dyDescent="0.45"/>
    <row r="2" spans="1:8" ht="16.5" x14ac:dyDescent="0.55000000000000004">
      <c r="A2" s="20" t="s">
        <v>0</v>
      </c>
      <c r="B2" s="20" t="s">
        <v>77</v>
      </c>
      <c r="C2" s="20" t="s">
        <v>8</v>
      </c>
      <c r="D2" s="21" t="s">
        <v>9</v>
      </c>
      <c r="E2" s="22" t="s">
        <v>10</v>
      </c>
      <c r="F2" s="2" t="s">
        <v>11</v>
      </c>
    </row>
    <row r="3" spans="1:8" x14ac:dyDescent="0.45">
      <c r="A3" s="45">
        <f>'Таблица 1'!A3</f>
        <v>0.26700000000000002</v>
      </c>
      <c r="B3" s="58">
        <v>1</v>
      </c>
      <c r="C3" s="12">
        <f>'Таблица 1'!B6</f>
        <v>4.9433333333333334</v>
      </c>
      <c r="D3" s="12">
        <f>'Параметры установки'!$A$2*2/C3/C3</f>
        <v>5.729124276072857E-2</v>
      </c>
      <c r="E3" s="12">
        <f>2*D3/'Параметры установки'!$B$2</f>
        <v>2.4909235982925466</v>
      </c>
      <c r="F3" s="12">
        <f>$A$3*'Параметры установки'!$B$2/2*(9.8-D3)</f>
        <v>5.9829974478206378E-2</v>
      </c>
      <c r="G3" s="15">
        <f>AVERAGE(E3,E9,E15,E21)</f>
        <v>6.6709000343243847</v>
      </c>
      <c r="H3" s="15">
        <f>AVERAGE(F3,F9,F15,F21)</f>
        <v>0.13202692187478948</v>
      </c>
    </row>
    <row r="4" spans="1:8" x14ac:dyDescent="0.45">
      <c r="A4" s="45"/>
      <c r="B4" s="58">
        <v>2</v>
      </c>
      <c r="C4" s="12">
        <f>'Таблица 1'!C6</f>
        <v>5.26</v>
      </c>
      <c r="D4" s="12">
        <f>'Параметры установки'!$A$2*2/C4/C4</f>
        <v>5.0600702626899335E-2</v>
      </c>
      <c r="E4" s="12">
        <f>2*D4/'Параметры установки'!$B$2</f>
        <v>2.2000305489956231</v>
      </c>
      <c r="F4" s="12">
        <f>$A$3*'Параметры установки'!$B$2/2*(9.8-D4)</f>
        <v>5.9871061085168216E-2</v>
      </c>
      <c r="G4" s="15">
        <f t="shared" ref="G4:H8" si="0">AVERAGE(E4,E10,E16,E22)</f>
        <v>4.7895068758323927</v>
      </c>
      <c r="H4" s="15">
        <f t="shared" si="0"/>
        <v>0.13278350154831531</v>
      </c>
    </row>
    <row r="5" spans="1:8" x14ac:dyDescent="0.45">
      <c r="A5" s="45"/>
      <c r="B5" s="58">
        <v>3</v>
      </c>
      <c r="C5" s="12">
        <f>'Таблица 1'!D6</f>
        <v>6.21</v>
      </c>
      <c r="D5" s="12">
        <f>'Параметры установки'!$A$2*2/C5/C5</f>
        <v>3.6303193903137888E-2</v>
      </c>
      <c r="E5" s="12">
        <f>2*D5/'Параметры установки'!$B$2</f>
        <v>1.5783997349190386</v>
      </c>
      <c r="F5" s="12">
        <f>$A$3*'Параметры установки'!$B$2/2*(9.8-D5)</f>
        <v>5.9958862086240843E-2</v>
      </c>
      <c r="G5" s="15">
        <f t="shared" si="0"/>
        <v>3.3341754957770799</v>
      </c>
      <c r="H5" s="15">
        <f t="shared" si="0"/>
        <v>0.13336037815665142</v>
      </c>
    </row>
    <row r="6" spans="1:8" x14ac:dyDescent="0.45">
      <c r="A6" s="45"/>
      <c r="B6" s="58">
        <v>4</v>
      </c>
      <c r="C6" s="12">
        <f>'Таблица 1'!E6</f>
        <v>6.95</v>
      </c>
      <c r="D6" s="12">
        <f>'Параметры установки'!$A$2*2/C6/C6</f>
        <v>2.8984007038973133E-2</v>
      </c>
      <c r="E6" s="12">
        <f>2*D6/'Параметры установки'!$B$2</f>
        <v>1.2601742190857883</v>
      </c>
      <c r="F6" s="12">
        <f>$A$3*'Параметры установки'!$B$2/2*(9.8-D6)</f>
        <v>6.0003809212773679E-2</v>
      </c>
      <c r="G6" s="15">
        <f t="shared" si="0"/>
        <v>2.5732871259305199</v>
      </c>
      <c r="H6" s="15">
        <f t="shared" si="0"/>
        <v>0.1336301068552706</v>
      </c>
    </row>
    <row r="7" spans="1:8" x14ac:dyDescent="0.45">
      <c r="A7" s="45"/>
      <c r="B7" s="58">
        <v>5</v>
      </c>
      <c r="C7" s="12">
        <f>'Таблица 1'!F6</f>
        <v>7.8066666666666675</v>
      </c>
      <c r="D7" s="12">
        <f>'Параметры установки'!$A$2*2/C7/C7</f>
        <v>2.2971891884796321E-2</v>
      </c>
      <c r="E7" s="12">
        <f>2*D7/'Параметры установки'!$B$2</f>
        <v>0.99877790803462263</v>
      </c>
      <c r="F7" s="12">
        <f>$A$3*'Параметры установки'!$B$2/2*(9.8-D7)</f>
        <v>6.0040729611935469E-2</v>
      </c>
      <c r="G7" s="15">
        <f t="shared" si="0"/>
        <v>2.1601564218627307</v>
      </c>
      <c r="H7" s="15">
        <f t="shared" si="0"/>
        <v>0.13376939724433809</v>
      </c>
    </row>
    <row r="8" spans="1:8" x14ac:dyDescent="0.45">
      <c r="A8" s="45"/>
      <c r="B8" s="58">
        <v>6</v>
      </c>
      <c r="C8" s="12">
        <f>'Таблица 1'!G6</f>
        <v>8.98</v>
      </c>
      <c r="D8" s="12">
        <f>'Параметры установки'!$A$2*2/C8/C8</f>
        <v>1.7361024994915698E-2</v>
      </c>
      <c r="E8" s="12">
        <f>2*D8/'Параметры установки'!$B$2</f>
        <v>0.75482717369198682</v>
      </c>
      <c r="F8" s="12">
        <f>$A$3*'Параметры установки'!$B$2/2*(9.8-D8)</f>
        <v>6.0075185945506232E-2</v>
      </c>
      <c r="G8" s="15">
        <f t="shared" si="0"/>
        <v>1.5612507872051569</v>
      </c>
      <c r="H8" s="15">
        <f t="shared" si="0"/>
        <v>0.13398880480645864</v>
      </c>
    </row>
    <row r="9" spans="1:8" x14ac:dyDescent="0.45">
      <c r="A9" s="45">
        <f>'Таблица 1'!A7</f>
        <v>0.48699999999999999</v>
      </c>
      <c r="B9" s="58">
        <v>1</v>
      </c>
      <c r="C9" s="12">
        <f>'Таблица 1'!B10</f>
        <v>3.5533333333333332</v>
      </c>
      <c r="D9" s="12">
        <f>'Параметры установки'!$A$2*2/C9/C9</f>
        <v>0.1108807451186072</v>
      </c>
      <c r="E9" s="12">
        <f>2*D9/'Параметры установки'!$B$2</f>
        <v>4.8209019616785742</v>
      </c>
      <c r="F9" s="12">
        <f>$A$9*'Параметры установки'!$B$2/2*(9.8-D9)</f>
        <v>0.10852782477392649</v>
      </c>
    </row>
    <row r="10" spans="1:8" x14ac:dyDescent="0.45">
      <c r="A10" s="45"/>
      <c r="B10" s="58">
        <v>2</v>
      </c>
      <c r="C10" s="12">
        <f>'Таблица 1'!C10</f>
        <v>4.0433333333333339</v>
      </c>
      <c r="D10" s="12">
        <f>'Параметры установки'!$A$2*2/C10/C10</f>
        <v>8.5634534912724117E-2</v>
      </c>
      <c r="E10" s="12">
        <f>2*D10/'Параметры установки'!$B$2</f>
        <v>3.7232406483793095</v>
      </c>
      <c r="F10" s="12">
        <f>$A$9*'Параметры установки'!$B$2/2*(9.8-D10)</f>
        <v>0.10881060757444257</v>
      </c>
    </row>
    <row r="11" spans="1:8" x14ac:dyDescent="0.45">
      <c r="A11" s="45"/>
      <c r="B11" s="58">
        <v>3</v>
      </c>
      <c r="C11" s="12">
        <f>'Таблица 1'!D10</f>
        <v>4.4066666666666672</v>
      </c>
      <c r="D11" s="12">
        <f>'Параметры установки'!$A$2*2/C11/C11</f>
        <v>7.2095413129604644E-2</v>
      </c>
      <c r="E11" s="12">
        <f>2*D11/'Параметры установки'!$B$2</f>
        <v>3.1345831795480281</v>
      </c>
      <c r="F11" s="12">
        <f>$A$9*'Параметры установки'!$B$2/2*(9.8-D11)</f>
        <v>0.10896225927753531</v>
      </c>
    </row>
    <row r="12" spans="1:8" x14ac:dyDescent="0.45">
      <c r="A12" s="45"/>
      <c r="B12" s="58">
        <v>4</v>
      </c>
      <c r="C12" s="12">
        <f>'Таблица 1'!E10</f>
        <v>5.2866666666666662</v>
      </c>
      <c r="D12" s="12">
        <f>'Параметры установки'!$A$2*2/C12/C12</f>
        <v>5.0091516405369185E-2</v>
      </c>
      <c r="E12" s="12">
        <f>2*D12/'Параметры установки'!$B$2</f>
        <v>2.1778920176247474</v>
      </c>
      <c r="F12" s="12">
        <f>$A$9*'Параметры установки'!$B$2/2*(9.8-D12)</f>
        <v>0.10920872492474347</v>
      </c>
    </row>
    <row r="13" spans="1:8" x14ac:dyDescent="0.45">
      <c r="A13" s="45"/>
      <c r="B13" s="58">
        <v>5</v>
      </c>
      <c r="C13" s="12">
        <f>'Таблица 1'!F10</f>
        <v>5.8833333333333329</v>
      </c>
      <c r="D13" s="12">
        <f>'Параметры установки'!$A$2*2/C13/C13</f>
        <v>4.0446516704250902E-2</v>
      </c>
      <c r="E13" s="12">
        <f>2*D13/'Параметры установки'!$B$2</f>
        <v>1.758544204532648</v>
      </c>
      <c r="F13" s="12">
        <f>$A$9*'Параметры установки'!$B$2/2*(9.8-D13)</f>
        <v>0.10931675856639569</v>
      </c>
    </row>
    <row r="14" spans="1:8" x14ac:dyDescent="0.45">
      <c r="A14" s="45"/>
      <c r="B14" s="58">
        <v>6</v>
      </c>
      <c r="C14" s="12">
        <f>'Таблица 1'!G10</f>
        <v>7.0766666666666671</v>
      </c>
      <c r="D14" s="12">
        <f>'Параметры установки'!$A$2*2/C14/C14</f>
        <v>2.7955711939906751E-2</v>
      </c>
      <c r="E14" s="12">
        <f>2*D14/'Параметры установки'!$B$2</f>
        <v>1.2154657365176849</v>
      </c>
      <c r="F14" s="12">
        <f>$A$9*'Параметры установки'!$B$2/2*(9.8-D14)</f>
        <v>0.10945666807056111</v>
      </c>
    </row>
    <row r="15" spans="1:8" x14ac:dyDescent="0.45">
      <c r="A15" s="45">
        <f>'Таблица 1'!A11</f>
        <v>0.70700000000000007</v>
      </c>
      <c r="B15" s="58">
        <v>1</v>
      </c>
      <c r="C15" s="12">
        <f>'Таблица 1'!B14</f>
        <v>2.7366666666666668</v>
      </c>
      <c r="D15" s="12">
        <f>'Параметры установки'!$A$2*2/C15/C15</f>
        <v>0.18693224892847762</v>
      </c>
      <c r="E15" s="12">
        <f>2*D15/'Параметры установки'!$B$2</f>
        <v>8.1274890838468536</v>
      </c>
      <c r="F15" s="12">
        <f>$A$15*'Параметры установки'!$B$2/2*(9.8-D15)</f>
        <v>0.15631809470017405</v>
      </c>
    </row>
    <row r="16" spans="1:8" x14ac:dyDescent="0.45">
      <c r="A16" s="45"/>
      <c r="B16" s="58">
        <v>2</v>
      </c>
      <c r="C16" s="12">
        <f>'Таблица 1'!C14</f>
        <v>3.3299999999999996</v>
      </c>
      <c r="D16" s="12">
        <f>'Параметры установки'!$A$2*2/C16/C16</f>
        <v>0.12625237850463078</v>
      </c>
      <c r="E16" s="12">
        <f>2*D16/'Параметры установки'!$B$2</f>
        <v>5.4892338480274256</v>
      </c>
      <c r="F16" s="12">
        <f>$A$15*'Параметры установки'!$B$2/2*(9.8-D16)</f>
        <v>0.15730481007313621</v>
      </c>
    </row>
    <row r="17" spans="1:6" x14ac:dyDescent="0.45">
      <c r="A17" s="45"/>
      <c r="B17" s="58">
        <v>3</v>
      </c>
      <c r="C17" s="12">
        <f>'Таблица 1'!D14</f>
        <v>3.9866666666666668</v>
      </c>
      <c r="D17" s="12">
        <f>'Параметры установки'!$A$2*2/C17/C17</f>
        <v>8.808626301719219E-2</v>
      </c>
      <c r="E17" s="12">
        <f>2*D17/'Параметры установки'!$B$2</f>
        <v>3.829837522486617</v>
      </c>
      <c r="F17" s="12">
        <f>$A$15*'Параметры установки'!$B$2/2*(9.8-D17)</f>
        <v>0.15792542927707745</v>
      </c>
    </row>
    <row r="18" spans="1:6" x14ac:dyDescent="0.45">
      <c r="A18" s="45"/>
      <c r="B18" s="58">
        <v>4</v>
      </c>
      <c r="C18" s="12">
        <f>'Таблица 1'!E14</f>
        <v>4.3999999999999995</v>
      </c>
      <c r="D18" s="12">
        <f>'Параметры установки'!$A$2*2/C18/C18</f>
        <v>7.2314049586776868E-2</v>
      </c>
      <c r="E18" s="12">
        <f>2*D18/'Параметры установки'!$B$2</f>
        <v>3.1440891124685595</v>
      </c>
      <c r="F18" s="12">
        <f>$A$15*'Параметры установки'!$B$2/2*(9.8-D18)</f>
        <v>0.15818190123966946</v>
      </c>
    </row>
    <row r="19" spans="1:6" x14ac:dyDescent="0.45">
      <c r="A19" s="45"/>
      <c r="B19" s="58">
        <v>5</v>
      </c>
      <c r="C19" s="12">
        <f>'Таблица 1'!F14</f>
        <v>4.8466666666666667</v>
      </c>
      <c r="D19" s="12">
        <f>'Параметры установки'!$A$2*2/C19/C19</f>
        <v>5.9599378652826988E-2</v>
      </c>
      <c r="E19" s="12">
        <f>2*D19/'Параметры установки'!$B$2</f>
        <v>2.5912773327316083</v>
      </c>
      <c r="F19" s="12">
        <f>$A$15*'Параметры установки'!$B$2/2*(9.8-D19)</f>
        <v>0.15838865450372641</v>
      </c>
    </row>
    <row r="20" spans="1:6" x14ac:dyDescent="0.45">
      <c r="A20" s="45"/>
      <c r="B20" s="58">
        <v>6</v>
      </c>
      <c r="C20" s="12">
        <f>'Таблица 1'!G14</f>
        <v>5.7266666666666666</v>
      </c>
      <c r="D20" s="12">
        <f>'Параметры установки'!$A$2*2/C20/C20</f>
        <v>4.2689810416584782E-2</v>
      </c>
      <c r="E20" s="12">
        <f>2*D20/'Параметры установки'!$B$2</f>
        <v>1.8560787137645558</v>
      </c>
      <c r="F20" s="12">
        <f>$A$15*'Параметры установки'!$B$2/2*(9.8-D20)</f>
        <v>0.15866362099281595</v>
      </c>
    </row>
    <row r="21" spans="1:6" x14ac:dyDescent="0.45">
      <c r="A21" s="45">
        <f>'Таблица 1'!A15</f>
        <v>0.92700000000000005</v>
      </c>
      <c r="B21" s="58">
        <v>1</v>
      </c>
      <c r="C21" s="12">
        <f>'Таблица 1'!B18</f>
        <v>2.3266666666666667</v>
      </c>
      <c r="D21" s="12">
        <f>'Параметры установки'!$A$2*2/C21/C21</f>
        <v>0.25861856635003</v>
      </c>
      <c r="E21" s="12">
        <f>2*D21/'Параметры установки'!$B$2</f>
        <v>11.244285493479566</v>
      </c>
      <c r="F21" s="12">
        <f>$A$21*'Параметры установки'!$B$2/2*(9.8-D21)</f>
        <v>0.20343179354685101</v>
      </c>
    </row>
    <row r="22" spans="1:6" x14ac:dyDescent="0.45">
      <c r="A22" s="45"/>
      <c r="B22" s="58">
        <v>2</v>
      </c>
      <c r="C22" s="12">
        <f>'Таблица 1'!C18</f>
        <v>2.8033333333333332</v>
      </c>
      <c r="D22" s="12">
        <f>'Параметры установки'!$A$2*2/C22/C22</f>
        <v>0.1781470165323259</v>
      </c>
      <c r="E22" s="12">
        <f>2*D22/'Параметры установки'!$B$2</f>
        <v>7.7455224579272128</v>
      </c>
      <c r="F22" s="12">
        <f>$A$21*'Параметры установки'!$B$2/2*(9.8-D22)</f>
        <v>0.20514752746051426</v>
      </c>
    </row>
    <row r="23" spans="1:6" x14ac:dyDescent="0.45">
      <c r="A23" s="45"/>
      <c r="B23" s="58">
        <v>3</v>
      </c>
      <c r="C23" s="12">
        <f>'Таблица 1'!D18</f>
        <v>3.563333333333333</v>
      </c>
      <c r="D23" s="12">
        <f>'Параметры установки'!$A$2*2/C23/C23</f>
        <v>0.11025927556155662</v>
      </c>
      <c r="E23" s="12">
        <f>2*D23/'Параметры установки'!$B$2</f>
        <v>4.793881546154636</v>
      </c>
      <c r="F23" s="12">
        <f>$A$21*'Параметры установки'!$B$2/2*(9.8-D23)</f>
        <v>0.20659496198575206</v>
      </c>
    </row>
    <row r="24" spans="1:6" x14ac:dyDescent="0.45">
      <c r="A24" s="45"/>
      <c r="B24" s="58">
        <v>4</v>
      </c>
      <c r="C24" s="12">
        <f>'Таблица 1'!E18</f>
        <v>4.05</v>
      </c>
      <c r="D24" s="12">
        <f>'Параметры установки'!$A$2*2/C24/C24</f>
        <v>8.5352842554488648E-2</v>
      </c>
      <c r="E24" s="12">
        <f>2*D24/'Параметры установки'!$B$2</f>
        <v>3.7109931545429848</v>
      </c>
      <c r="F24" s="12">
        <f>$A$21*'Параметры установки'!$B$2/2*(9.8-D24)</f>
        <v>0.20712599204389576</v>
      </c>
    </row>
    <row r="25" spans="1:6" x14ac:dyDescent="0.45">
      <c r="A25" s="45"/>
      <c r="B25" s="58">
        <v>5</v>
      </c>
      <c r="C25" s="12">
        <f>'Таблица 1'!F18</f>
        <v>4.3000000000000007</v>
      </c>
      <c r="D25" s="12">
        <f>'Параметры установки'!$A$2*2/C25/C25</f>
        <v>7.5716603569496999E-2</v>
      </c>
      <c r="E25" s="12">
        <f>2*D25/'Параметры установки'!$B$2</f>
        <v>3.2920262421520436</v>
      </c>
      <c r="F25" s="12">
        <f>$A$21*'Параметры установки'!$B$2/2*(9.8-D25)</f>
        <v>0.20733144629529476</v>
      </c>
    </row>
    <row r="26" spans="1:6" x14ac:dyDescent="0.45">
      <c r="A26" s="45"/>
      <c r="B26" s="58">
        <v>6</v>
      </c>
      <c r="C26" s="12">
        <f>'Таблица 1'!G18</f>
        <v>5.0166666666666666</v>
      </c>
      <c r="D26" s="12">
        <f>'Параметры установки'!$A$2*2/C26/C26</f>
        <v>5.5628525071467205E-2</v>
      </c>
      <c r="E26" s="12">
        <f>2*D26/'Параметры установки'!$B$2</f>
        <v>2.4186315248464001</v>
      </c>
      <c r="F26" s="12">
        <f>$A$21*'Параметры установки'!$B$2/2*(9.8-D26)</f>
        <v>0.20775974421695126</v>
      </c>
    </row>
  </sheetData>
  <mergeCells count="4">
    <mergeCell ref="A21:A26"/>
    <mergeCell ref="A3:A8"/>
    <mergeCell ref="A9:A14"/>
    <mergeCell ref="A15:A2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H4"/>
  <sheetViews>
    <sheetView workbookViewId="0">
      <selection activeCell="E19" sqref="E19"/>
    </sheetView>
  </sheetViews>
  <sheetFormatPr defaultRowHeight="14.25" x14ac:dyDescent="0.45"/>
  <cols>
    <col min="1" max="1" width="12.86328125" bestFit="1" customWidth="1"/>
  </cols>
  <sheetData>
    <row r="1" spans="1:8" x14ac:dyDescent="0.45">
      <c r="A1" s="29" t="s">
        <v>51</v>
      </c>
      <c r="B1" s="29">
        <v>1</v>
      </c>
      <c r="C1" s="29">
        <v>2</v>
      </c>
      <c r="D1" s="29">
        <v>3</v>
      </c>
      <c r="E1" s="29">
        <v>4</v>
      </c>
      <c r="F1" s="29">
        <v>5</v>
      </c>
      <c r="G1" s="29">
        <v>6</v>
      </c>
      <c r="H1" t="s">
        <v>78</v>
      </c>
    </row>
    <row r="2" spans="1:8" x14ac:dyDescent="0.45">
      <c r="A2" s="29" t="s">
        <v>52</v>
      </c>
      <c r="B2" s="2">
        <f>'Параметры установки'!$C$2+(B1-1)*'Параметры установки'!$D$2+'Параметры установки'!$E$2/2</f>
        <v>7.6999999999999999E-2</v>
      </c>
      <c r="C2" s="2">
        <f>'Параметры установки'!$C$2+(C1-1)*'Параметры установки'!$D$2+'Параметры установки'!$E$2/2</f>
        <v>0.10200000000000001</v>
      </c>
      <c r="D2" s="2">
        <f>'Параметры установки'!$C$2+(D1-1)*'Параметры установки'!$D$2+'Параметры установки'!$E$2/2</f>
        <v>0.127</v>
      </c>
      <c r="E2" s="2">
        <f>'Параметры установки'!$C$2+(E1-1)*'Параметры установки'!$D$2+'Параметры установки'!$E$2/2</f>
        <v>0.152</v>
      </c>
      <c r="F2" s="2">
        <f>'Параметры установки'!$C$2+(F1-1)*'Параметры установки'!$D$2+'Параметры установки'!$E$2/2</f>
        <v>0.17699999999999999</v>
      </c>
      <c r="G2" s="2">
        <f>'Параметры установки'!$C$2+(G1-1)*'Параметры установки'!$D$2+'Параметры установки'!$E$2/2</f>
        <v>0.20199999999999999</v>
      </c>
      <c r="H2">
        <f>AVERAGE(B2:G2)</f>
        <v>0.13949999999999999</v>
      </c>
    </row>
    <row r="3" spans="1:8" ht="15.75" x14ac:dyDescent="0.45">
      <c r="A3" s="29" t="s">
        <v>53</v>
      </c>
      <c r="B3" s="2">
        <f>B2*B2</f>
        <v>5.9290000000000002E-3</v>
      </c>
      <c r="C3" s="2">
        <f t="shared" ref="C3:G3" si="0">C2*C2</f>
        <v>1.0404000000000002E-2</v>
      </c>
      <c r="D3" s="2">
        <f t="shared" si="0"/>
        <v>1.6129000000000001E-2</v>
      </c>
      <c r="E3" s="2">
        <f t="shared" si="0"/>
        <v>2.3104E-2</v>
      </c>
      <c r="F3" s="2">
        <f t="shared" si="0"/>
        <v>3.1328999999999996E-2</v>
      </c>
      <c r="G3" s="2">
        <f t="shared" si="0"/>
        <v>4.0803999999999993E-2</v>
      </c>
      <c r="H3">
        <f t="shared" ref="H3:H4" si="1">AVERAGE(B3:G3)</f>
        <v>2.1283166666666669E-2</v>
      </c>
    </row>
    <row r="4" spans="1:8" x14ac:dyDescent="0.45">
      <c r="A4" s="29" t="s">
        <v>54</v>
      </c>
      <c r="B4" s="12">
        <f>'МНК рис.1'!N2</f>
        <v>1.6097510429699501E-2</v>
      </c>
      <c r="C4" s="12">
        <f>'МНК рис.2'!N2</f>
        <v>2.6094613347489054E-2</v>
      </c>
      <c r="D4" s="12">
        <f>'МНК рис.3'!N2</f>
        <v>4.5976146627425968E-2</v>
      </c>
      <c r="E4" s="12">
        <f>'МНК рис.4'!N2</f>
        <v>5.8262992998286044E-2</v>
      </c>
      <c r="F4" s="12">
        <f>'МНК рис.5'!N2</f>
        <v>6.3593677837851581E-2</v>
      </c>
      <c r="G4" s="12">
        <f>'МНК рис.6'!N2</f>
        <v>8.7073391969842803E-2</v>
      </c>
      <c r="H4">
        <f t="shared" si="1"/>
        <v>4.9516388868432494E-2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"/>
  <sheetViews>
    <sheetView zoomScaleNormal="100" workbookViewId="0">
      <selection activeCell="R11" sqref="R11"/>
    </sheetView>
  </sheetViews>
  <sheetFormatPr defaultRowHeight="14.25" x14ac:dyDescent="0.45"/>
  <sheetData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"/>
  <sheetViews>
    <sheetView tabSelected="1" workbookViewId="0">
      <selection sqref="A1:A1048576"/>
    </sheetView>
  </sheetViews>
  <sheetFormatPr defaultRowHeight="14.25" x14ac:dyDescent="0.45"/>
  <sheetData/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 tint="-0.499984740745262"/>
  </sheetPr>
  <dimension ref="A1:G51"/>
  <sheetViews>
    <sheetView topLeftCell="A25" workbookViewId="0">
      <selection activeCell="G43" sqref="G43"/>
    </sheetView>
  </sheetViews>
  <sheetFormatPr defaultRowHeight="14.25" x14ac:dyDescent="0.45"/>
  <cols>
    <col min="1" max="1" width="14.265625" customWidth="1"/>
    <col min="2" max="2" width="11" customWidth="1"/>
    <col min="3" max="3" width="11.265625" customWidth="1"/>
    <col min="4" max="4" width="10.73046875" customWidth="1"/>
    <col min="5" max="5" width="10" customWidth="1"/>
    <col min="6" max="6" width="10.265625" customWidth="1"/>
    <col min="7" max="7" width="13.3984375" customWidth="1"/>
  </cols>
  <sheetData>
    <row r="1" spans="1:7" ht="47.45" customHeight="1" x14ac:dyDescent="0.45">
      <c r="A1" s="47" t="s">
        <v>62</v>
      </c>
      <c r="B1" s="47"/>
      <c r="C1" s="47"/>
      <c r="D1" s="47"/>
      <c r="E1" s="47"/>
      <c r="F1" s="47"/>
      <c r="G1" s="47"/>
    </row>
    <row r="2" spans="1:7" x14ac:dyDescent="0.45">
      <c r="A2" s="56" t="s">
        <v>65</v>
      </c>
      <c r="B2" s="49" t="s">
        <v>1</v>
      </c>
      <c r="C2" s="50"/>
      <c r="D2" s="50"/>
      <c r="E2" s="50"/>
      <c r="F2" s="50"/>
      <c r="G2" s="51"/>
    </row>
    <row r="3" spans="1:7" x14ac:dyDescent="0.45">
      <c r="A3" s="57"/>
      <c r="B3" s="35" t="s">
        <v>2</v>
      </c>
      <c r="C3" s="35" t="s">
        <v>3</v>
      </c>
      <c r="D3" s="35" t="s">
        <v>4</v>
      </c>
      <c r="E3" s="35" t="s">
        <v>5</v>
      </c>
      <c r="F3" s="35" t="s">
        <v>6</v>
      </c>
      <c r="G3" s="35" t="s">
        <v>7</v>
      </c>
    </row>
    <row r="4" spans="1:7" x14ac:dyDescent="0.45">
      <c r="A4" s="52">
        <f>0.047+0.22</f>
        <v>0.26700000000000002</v>
      </c>
      <c r="B4" s="36">
        <v>4.2</v>
      </c>
      <c r="C4" s="36">
        <v>4.97</v>
      </c>
      <c r="D4" s="36">
        <v>6</v>
      </c>
      <c r="E4" s="36">
        <v>6.86</v>
      </c>
      <c r="F4" s="36">
        <v>7.78</v>
      </c>
      <c r="G4" s="36">
        <v>8.8800000000000008</v>
      </c>
    </row>
    <row r="5" spans="1:7" x14ac:dyDescent="0.45">
      <c r="A5" s="53"/>
      <c r="B5" s="36">
        <v>4.3</v>
      </c>
      <c r="C5" s="36">
        <v>4.87</v>
      </c>
      <c r="D5" s="36">
        <v>5.93</v>
      </c>
      <c r="E5" s="36">
        <v>6.87</v>
      </c>
      <c r="F5" s="36">
        <v>7.8</v>
      </c>
      <c r="G5" s="36">
        <v>8.94</v>
      </c>
    </row>
    <row r="6" spans="1:7" x14ac:dyDescent="0.45">
      <c r="A6" s="53"/>
      <c r="B6" s="36">
        <v>4.3600000000000003</v>
      </c>
      <c r="C6" s="36">
        <v>4.95</v>
      </c>
      <c r="D6" s="36">
        <v>6.04</v>
      </c>
      <c r="E6" s="36">
        <v>6.96</v>
      </c>
      <c r="F6" s="36">
        <v>7.91</v>
      </c>
      <c r="G6" s="36">
        <v>9.02</v>
      </c>
    </row>
    <row r="7" spans="1:7" x14ac:dyDescent="0.45">
      <c r="A7" s="54"/>
      <c r="B7" s="36">
        <f>SUM(B4:B6)/3</f>
        <v>4.2866666666666662</v>
      </c>
      <c r="C7" s="36">
        <f t="shared" ref="C7:G7" si="0">SUM(C4:C6)/3</f>
        <v>4.93</v>
      </c>
      <c r="D7" s="36">
        <f t="shared" si="0"/>
        <v>5.9899999999999993</v>
      </c>
      <c r="E7" s="36">
        <f t="shared" si="0"/>
        <v>6.8966666666666674</v>
      </c>
      <c r="F7" s="36">
        <f t="shared" si="0"/>
        <v>7.830000000000001</v>
      </c>
      <c r="G7" s="36">
        <f t="shared" si="0"/>
        <v>8.9466666666666672</v>
      </c>
    </row>
    <row r="8" spans="1:7" x14ac:dyDescent="0.45">
      <c r="A8" s="52">
        <f>0.047+0.22*2</f>
        <v>0.48699999999999999</v>
      </c>
      <c r="B8" s="36">
        <v>3.27</v>
      </c>
      <c r="C8" s="36">
        <v>3.52</v>
      </c>
      <c r="D8" s="36">
        <v>4.3600000000000003</v>
      </c>
      <c r="E8" s="36">
        <v>4.99</v>
      </c>
      <c r="F8" s="36">
        <v>5.67</v>
      </c>
      <c r="G8" s="36">
        <v>6.36</v>
      </c>
    </row>
    <row r="9" spans="1:7" x14ac:dyDescent="0.45">
      <c r="A9" s="53"/>
      <c r="B9" s="36">
        <v>3.18</v>
      </c>
      <c r="C9" s="36">
        <v>3.63</v>
      </c>
      <c r="D9" s="36">
        <v>4.3499999999999996</v>
      </c>
      <c r="E9" s="36">
        <v>5.0199999999999996</v>
      </c>
      <c r="F9" s="36">
        <v>5.74</v>
      </c>
      <c r="G9" s="36">
        <v>6.39</v>
      </c>
    </row>
    <row r="10" spans="1:7" x14ac:dyDescent="0.45">
      <c r="A10" s="53"/>
      <c r="B10" s="36">
        <v>3.13</v>
      </c>
      <c r="C10" s="36">
        <v>3.64</v>
      </c>
      <c r="D10" s="36">
        <v>4.17</v>
      </c>
      <c r="E10" s="36">
        <v>4.96</v>
      </c>
      <c r="F10" s="36">
        <v>5.65</v>
      </c>
      <c r="G10" s="36">
        <v>6.37</v>
      </c>
    </row>
    <row r="11" spans="1:7" x14ac:dyDescent="0.45">
      <c r="A11" s="54"/>
      <c r="B11" s="36">
        <f>SUM(B8:B10)/3</f>
        <v>3.1933333333333334</v>
      </c>
      <c r="C11" s="36">
        <f t="shared" ref="C11:G11" si="1">SUM(C8:C10)/3</f>
        <v>3.5966666666666671</v>
      </c>
      <c r="D11" s="36">
        <f t="shared" si="1"/>
        <v>4.2933333333333339</v>
      </c>
      <c r="E11" s="36">
        <f t="shared" si="1"/>
        <v>4.9899999999999993</v>
      </c>
      <c r="F11" s="36">
        <f t="shared" si="1"/>
        <v>5.6866666666666674</v>
      </c>
      <c r="G11" s="36">
        <f t="shared" si="1"/>
        <v>6.373333333333334</v>
      </c>
    </row>
    <row r="12" spans="1:7" x14ac:dyDescent="0.45">
      <c r="A12" s="52">
        <f>0.047+0.22*3</f>
        <v>0.70700000000000007</v>
      </c>
      <c r="B12" s="36">
        <v>2.5099999999999998</v>
      </c>
      <c r="C12" s="36">
        <v>2.94</v>
      </c>
      <c r="D12" s="36">
        <v>3.45</v>
      </c>
      <c r="E12" s="36">
        <v>4.1399999999999997</v>
      </c>
      <c r="F12" s="36">
        <v>4.6399999999999997</v>
      </c>
      <c r="G12" s="36">
        <v>5.24</v>
      </c>
    </row>
    <row r="13" spans="1:7" x14ac:dyDescent="0.45">
      <c r="A13" s="53"/>
      <c r="B13" s="36">
        <v>2.56</v>
      </c>
      <c r="C13" s="36">
        <v>2.93</v>
      </c>
      <c r="D13" s="36">
        <v>3.55</v>
      </c>
      <c r="E13" s="36">
        <v>4.08</v>
      </c>
      <c r="F13" s="36">
        <v>4.75</v>
      </c>
      <c r="G13" s="36">
        <v>5.27</v>
      </c>
    </row>
    <row r="14" spans="1:7" x14ac:dyDescent="0.45">
      <c r="A14" s="53"/>
      <c r="B14" s="36">
        <v>2.5299999999999998</v>
      </c>
      <c r="C14" s="36">
        <v>3.02</v>
      </c>
      <c r="D14" s="36">
        <v>3.49</v>
      </c>
      <c r="E14" s="36">
        <v>4.07</v>
      </c>
      <c r="F14" s="36">
        <v>4.62</v>
      </c>
      <c r="G14" s="36">
        <v>5.28</v>
      </c>
    </row>
    <row r="15" spans="1:7" x14ac:dyDescent="0.45">
      <c r="A15" s="54"/>
      <c r="B15" s="36">
        <f>SUM(B12:B14)/3</f>
        <v>2.5333333333333332</v>
      </c>
      <c r="C15" s="36">
        <f t="shared" ref="C15" si="2">SUM(C12:C14)/3</f>
        <v>2.9633333333333334</v>
      </c>
      <c r="D15" s="36">
        <f t="shared" ref="D15:G15" si="3">SUM(D12:D14)/3</f>
        <v>3.4966666666666666</v>
      </c>
      <c r="E15" s="36">
        <f t="shared" si="3"/>
        <v>4.0966666666666667</v>
      </c>
      <c r="F15" s="36">
        <f t="shared" si="3"/>
        <v>4.6700000000000008</v>
      </c>
      <c r="G15" s="36">
        <f t="shared" si="3"/>
        <v>5.2633333333333328</v>
      </c>
    </row>
    <row r="16" spans="1:7" x14ac:dyDescent="0.45">
      <c r="A16" s="52">
        <f>0.047+0.22*4</f>
        <v>0.92700000000000005</v>
      </c>
      <c r="B16" s="36">
        <v>2.23</v>
      </c>
      <c r="C16" s="36">
        <v>2.59</v>
      </c>
      <c r="D16" s="36">
        <v>3.1</v>
      </c>
      <c r="E16" s="36">
        <v>3.55</v>
      </c>
      <c r="F16" s="36">
        <v>4.0599999999999996</v>
      </c>
      <c r="G16" s="36">
        <v>4.6100000000000003</v>
      </c>
    </row>
    <row r="17" spans="1:7" x14ac:dyDescent="0.45">
      <c r="A17" s="53"/>
      <c r="B17" s="36">
        <v>2.23</v>
      </c>
      <c r="C17" s="36">
        <v>2.59</v>
      </c>
      <c r="D17" s="36">
        <v>3.06</v>
      </c>
      <c r="E17" s="36">
        <v>3.56</v>
      </c>
      <c r="F17" s="36">
        <v>4.01</v>
      </c>
      <c r="G17" s="36">
        <v>4.5599999999999996</v>
      </c>
    </row>
    <row r="18" spans="1:7" x14ac:dyDescent="0.45">
      <c r="A18" s="53"/>
      <c r="B18" s="36">
        <v>2.12</v>
      </c>
      <c r="C18" s="36">
        <v>2.46</v>
      </c>
      <c r="D18" s="36">
        <v>3.09</v>
      </c>
      <c r="E18" s="36">
        <v>3.58</v>
      </c>
      <c r="F18" s="36">
        <v>4.07</v>
      </c>
      <c r="G18" s="36">
        <v>4.68</v>
      </c>
    </row>
    <row r="19" spans="1:7" x14ac:dyDescent="0.45">
      <c r="A19" s="54"/>
      <c r="B19" s="36">
        <f>SUM(B16:B18)/3</f>
        <v>2.1933333333333334</v>
      </c>
      <c r="C19" s="36">
        <f t="shared" ref="C19" si="4">SUM(C16:C18)/3</f>
        <v>2.5466666666666664</v>
      </c>
      <c r="D19" s="36">
        <f t="shared" ref="D19:G19" si="5">SUM(D16:D18)/3</f>
        <v>3.0833333333333335</v>
      </c>
      <c r="E19" s="36">
        <f t="shared" si="5"/>
        <v>3.563333333333333</v>
      </c>
      <c r="F19" s="36">
        <f t="shared" si="5"/>
        <v>4.0466666666666669</v>
      </c>
      <c r="G19" s="36">
        <f t="shared" si="5"/>
        <v>4.6166666666666663</v>
      </c>
    </row>
    <row r="20" spans="1:7" ht="41.45" customHeight="1" x14ac:dyDescent="0.45">
      <c r="A20" s="47" t="s">
        <v>63</v>
      </c>
      <c r="B20" s="47"/>
      <c r="C20" s="47"/>
      <c r="D20" s="47"/>
      <c r="E20" s="47"/>
      <c r="F20" s="37"/>
      <c r="G20" s="37"/>
    </row>
    <row r="21" spans="1:7" ht="15.75" x14ac:dyDescent="0.55000000000000004">
      <c r="A21" s="35" t="s">
        <v>65</v>
      </c>
      <c r="B21" s="38" t="s">
        <v>67</v>
      </c>
      <c r="C21" s="39" t="s">
        <v>68</v>
      </c>
      <c r="D21" s="40" t="s">
        <v>69</v>
      </c>
      <c r="E21" s="41" t="s">
        <v>11</v>
      </c>
      <c r="F21" s="37"/>
      <c r="G21" s="37"/>
    </row>
    <row r="22" spans="1:7" x14ac:dyDescent="0.45">
      <c r="A22" s="52">
        <v>0.26700000000000002</v>
      </c>
      <c r="B22" s="36">
        <v>4.2866666666666662</v>
      </c>
      <c r="C22" s="36">
        <v>7.6188356967848536E-2</v>
      </c>
      <c r="D22" s="36">
        <v>3.3125372594716755</v>
      </c>
      <c r="E22" s="36">
        <v>5.9713927299860449E-2</v>
      </c>
      <c r="F22" s="37"/>
      <c r="G22" s="37"/>
    </row>
    <row r="23" spans="1:7" x14ac:dyDescent="0.45">
      <c r="A23" s="53"/>
      <c r="B23" s="36">
        <v>4.93</v>
      </c>
      <c r="C23" s="36">
        <v>5.7601553596188425E-2</v>
      </c>
      <c r="D23" s="36">
        <v>2.5044153737473227</v>
      </c>
      <c r="E23" s="36">
        <v>5.982806885936582E-2</v>
      </c>
      <c r="F23" s="37"/>
      <c r="G23" s="37"/>
    </row>
    <row r="24" spans="1:7" x14ac:dyDescent="0.45">
      <c r="A24" s="53"/>
      <c r="B24" s="36">
        <v>5.9899999999999993</v>
      </c>
      <c r="C24" s="36">
        <v>3.901884331426056E-2</v>
      </c>
      <c r="D24" s="36">
        <v>1.6964714484461114</v>
      </c>
      <c r="E24" s="36">
        <v>5.994218528320714E-2</v>
      </c>
      <c r="F24" s="37"/>
      <c r="G24" s="37"/>
    </row>
    <row r="25" spans="1:7" x14ac:dyDescent="0.45">
      <c r="A25" s="53"/>
      <c r="B25" s="36">
        <v>6.8966666666666674</v>
      </c>
      <c r="C25" s="36">
        <v>2.9434018857861947E-2</v>
      </c>
      <c r="D25" s="36">
        <v>1.2797399503418239</v>
      </c>
      <c r="E25" s="36">
        <v>6.0001045690193884E-2</v>
      </c>
      <c r="F25" s="37"/>
      <c r="G25" s="37"/>
    </row>
    <row r="26" spans="1:7" x14ac:dyDescent="0.45">
      <c r="A26" s="53"/>
      <c r="B26" s="36">
        <v>7.830000000000001</v>
      </c>
      <c r="C26" s="36">
        <v>2.2835183798763304E-2</v>
      </c>
      <c r="D26" s="36">
        <v>0.99283407820710023</v>
      </c>
      <c r="E26" s="36">
        <v>6.0041569136291807E-2</v>
      </c>
      <c r="F26" s="37"/>
      <c r="G26" s="37"/>
    </row>
    <row r="27" spans="1:7" x14ac:dyDescent="0.45">
      <c r="A27" s="54"/>
      <c r="B27" s="36">
        <v>8.9466666666666672</v>
      </c>
      <c r="C27" s="36">
        <v>1.7490632794436755E-2</v>
      </c>
      <c r="D27" s="36">
        <v>0.76046229541029375</v>
      </c>
      <c r="E27" s="36">
        <v>6.0074390024009376E-2</v>
      </c>
      <c r="F27" s="37"/>
      <c r="G27" s="37"/>
    </row>
    <row r="28" spans="1:7" x14ac:dyDescent="0.45">
      <c r="A28" s="52">
        <v>0.48699999999999999</v>
      </c>
      <c r="B28" s="36">
        <v>3.1933333333333334</v>
      </c>
      <c r="C28" s="36">
        <v>0.13729019660827838</v>
      </c>
      <c r="D28" s="36">
        <v>5.9691389829686248</v>
      </c>
      <c r="E28" s="36">
        <v>0.10823201250779067</v>
      </c>
      <c r="F28" s="37"/>
      <c r="G28" s="37"/>
    </row>
    <row r="29" spans="1:7" x14ac:dyDescent="0.45">
      <c r="A29" s="53"/>
      <c r="B29" s="36">
        <v>3.5966666666666671</v>
      </c>
      <c r="C29" s="36">
        <v>0.10822501526745747</v>
      </c>
      <c r="D29" s="36">
        <v>4.7054354464111947</v>
      </c>
      <c r="E29" s="36">
        <v>0.10855757160398921</v>
      </c>
      <c r="F29" s="37"/>
      <c r="G29" s="37"/>
    </row>
    <row r="30" spans="1:7" x14ac:dyDescent="0.45">
      <c r="A30" s="53"/>
      <c r="B30" s="36">
        <v>4.2933333333333339</v>
      </c>
      <c r="C30" s="36">
        <v>7.5951930866864678E-2</v>
      </c>
      <c r="D30" s="36">
        <v>3.3022578637767253</v>
      </c>
      <c r="E30" s="36">
        <v>0.10891906242236025</v>
      </c>
      <c r="F30" s="37"/>
      <c r="G30" s="37"/>
    </row>
    <row r="31" spans="1:7" x14ac:dyDescent="0.45">
      <c r="A31" s="53"/>
      <c r="B31" s="36">
        <v>4.9899999999999993</v>
      </c>
      <c r="C31" s="36">
        <v>5.6224673796490786E-2</v>
      </c>
      <c r="D31" s="36">
        <v>2.4445510346300341</v>
      </c>
      <c r="E31" s="36">
        <v>0.10914002742880551</v>
      </c>
      <c r="F31" s="37"/>
      <c r="G31" s="37"/>
    </row>
    <row r="32" spans="1:7" x14ac:dyDescent="0.45">
      <c r="A32" s="53"/>
      <c r="B32" s="36">
        <v>5.6866666666666674</v>
      </c>
      <c r="C32" s="36">
        <v>4.3292482638340082E-2</v>
      </c>
      <c r="D32" s="36">
        <v>1.8822818538408732</v>
      </c>
      <c r="E32" s="36">
        <v>0.10928488090196795</v>
      </c>
      <c r="F32" s="37"/>
      <c r="G32" s="37"/>
    </row>
    <row r="33" spans="1:7" x14ac:dyDescent="0.45">
      <c r="A33" s="54"/>
      <c r="B33" s="36">
        <v>6.373333333333334</v>
      </c>
      <c r="C33" s="36">
        <v>3.4466308362948818E-2</v>
      </c>
      <c r="D33" s="36">
        <v>1.4985351462151659</v>
      </c>
      <c r="E33" s="36">
        <v>0.1093837428800266</v>
      </c>
      <c r="F33" s="37"/>
      <c r="G33" s="37"/>
    </row>
    <row r="34" spans="1:7" x14ac:dyDescent="0.45">
      <c r="A34" s="52">
        <v>0.70700000000000007</v>
      </c>
      <c r="B34" s="36">
        <v>2.5333333333333332</v>
      </c>
      <c r="C34" s="36">
        <v>0.21814404432132964</v>
      </c>
      <c r="D34" s="36">
        <v>9.4845236661447672</v>
      </c>
      <c r="E34" s="36">
        <v>0.1558105596952909</v>
      </c>
      <c r="F34" s="37"/>
      <c r="G34" s="37"/>
    </row>
    <row r="35" spans="1:7" x14ac:dyDescent="0.45">
      <c r="A35" s="53"/>
      <c r="B35" s="36">
        <v>2.9633333333333334</v>
      </c>
      <c r="C35" s="36">
        <v>0.15942889028635199</v>
      </c>
      <c r="D35" s="36">
        <v>6.931690882015304</v>
      </c>
      <c r="E35" s="36">
        <v>0.15676532681505367</v>
      </c>
      <c r="F35" s="37"/>
      <c r="G35" s="37"/>
    </row>
    <row r="36" spans="1:7" x14ac:dyDescent="0.45">
      <c r="A36" s="53"/>
      <c r="B36" s="36">
        <v>3.4966666666666666</v>
      </c>
      <c r="C36" s="36">
        <v>0.11450371273744753</v>
      </c>
      <c r="D36" s="36">
        <v>4.9784222929325015</v>
      </c>
      <c r="E36" s="36">
        <v>0.1574958551271764</v>
      </c>
      <c r="F36" s="37"/>
      <c r="G36" s="37"/>
    </row>
    <row r="37" spans="1:7" x14ac:dyDescent="0.45">
      <c r="A37" s="53"/>
      <c r="B37" s="36">
        <v>4.0966666666666667</v>
      </c>
      <c r="C37" s="36">
        <v>8.3419345740747233E-2</v>
      </c>
      <c r="D37" s="36">
        <v>3.6269280756846625</v>
      </c>
      <c r="E37" s="36">
        <v>0.15800131801890974</v>
      </c>
      <c r="F37" s="37"/>
      <c r="G37" s="37"/>
    </row>
    <row r="38" spans="1:7" x14ac:dyDescent="0.45">
      <c r="A38" s="53"/>
      <c r="B38" s="36">
        <v>4.6700000000000008</v>
      </c>
      <c r="C38" s="36">
        <v>6.4193975853894483E-2</v>
      </c>
      <c r="D38" s="36">
        <v>2.7910424284301949</v>
      </c>
      <c r="E38" s="36">
        <v>0.15831394175863983</v>
      </c>
      <c r="F38" s="37"/>
      <c r="G38" s="37"/>
    </row>
    <row r="39" spans="1:7" x14ac:dyDescent="0.45">
      <c r="A39" s="54"/>
      <c r="B39" s="36">
        <v>5.2633333333333328</v>
      </c>
      <c r="C39" s="36">
        <v>5.0536630835125856E-2</v>
      </c>
      <c r="D39" s="36">
        <v>2.1972448189185156</v>
      </c>
      <c r="E39" s="36">
        <v>0.15853602384599005</v>
      </c>
      <c r="F39" s="37"/>
      <c r="G39" s="37"/>
    </row>
    <row r="40" spans="1:7" x14ac:dyDescent="0.45">
      <c r="A40" s="55">
        <v>0.92700000000000005</v>
      </c>
      <c r="B40" s="36">
        <v>2.1933333333333334</v>
      </c>
      <c r="C40" s="36">
        <v>0.29101726702451008</v>
      </c>
      <c r="D40" s="36">
        <v>12.65292465323957</v>
      </c>
      <c r="E40" s="36">
        <v>0.20274102084977044</v>
      </c>
      <c r="F40" s="37"/>
      <c r="G40" s="37"/>
    </row>
    <row r="41" spans="1:7" x14ac:dyDescent="0.45">
      <c r="A41" s="55"/>
      <c r="B41" s="36">
        <v>2.5466666666666664</v>
      </c>
      <c r="C41" s="36">
        <v>0.21586579315259999</v>
      </c>
      <c r="D41" s="36">
        <v>9.3854692675043481</v>
      </c>
      <c r="E41" s="36">
        <v>0.20434332542419342</v>
      </c>
      <c r="F41" s="37"/>
      <c r="G41" s="37"/>
    </row>
    <row r="42" spans="1:7" x14ac:dyDescent="0.45">
      <c r="A42" s="55"/>
      <c r="B42" s="36">
        <v>3.0833333333333335</v>
      </c>
      <c r="C42" s="36">
        <v>0.14726077428780129</v>
      </c>
      <c r="D42" s="36">
        <v>6.4026423603391871</v>
      </c>
      <c r="E42" s="36">
        <v>0.20580605303140981</v>
      </c>
      <c r="F42" s="37"/>
      <c r="G42" s="37"/>
    </row>
    <row r="43" spans="1:7" x14ac:dyDescent="0.45">
      <c r="A43" s="55"/>
      <c r="B43" s="36">
        <v>3.563333333333333</v>
      </c>
      <c r="C43" s="36">
        <v>0.11025927556155662</v>
      </c>
      <c r="D43" s="36">
        <v>4.793881546154636</v>
      </c>
      <c r="E43" s="36">
        <v>0.20659496198575206</v>
      </c>
      <c r="F43" s="37"/>
      <c r="G43" s="37"/>
    </row>
    <row r="44" spans="1:7" x14ac:dyDescent="0.45">
      <c r="A44" s="55"/>
      <c r="B44" s="36">
        <v>4.0466666666666669</v>
      </c>
      <c r="C44" s="36">
        <v>8.5493514706241558E-2</v>
      </c>
      <c r="D44" s="36">
        <v>3.7171093350539808</v>
      </c>
      <c r="E44" s="36">
        <v>0.20712299277294824</v>
      </c>
      <c r="F44" s="37"/>
      <c r="G44" s="37"/>
    </row>
    <row r="45" spans="1:7" x14ac:dyDescent="0.45">
      <c r="A45" s="55"/>
      <c r="B45" s="36">
        <v>4.6166666666666663</v>
      </c>
      <c r="C45" s="36">
        <v>6.5685725084387928E-2</v>
      </c>
      <c r="D45" s="36">
        <v>2.855901090625562</v>
      </c>
      <c r="E45" s="36">
        <v>0.20754531465547579</v>
      </c>
      <c r="F45" s="37"/>
      <c r="G45" s="37"/>
    </row>
    <row r="46" spans="1:7" x14ac:dyDescent="0.45">
      <c r="A46" s="43"/>
      <c r="B46" s="44"/>
      <c r="C46" s="44"/>
      <c r="D46" s="44"/>
      <c r="E46" s="44"/>
      <c r="F46" s="37"/>
      <c r="G46" s="37"/>
    </row>
    <row r="47" spans="1:7" x14ac:dyDescent="0.45">
      <c r="A47" s="48" t="s">
        <v>66</v>
      </c>
      <c r="B47" s="48"/>
      <c r="C47" s="48"/>
      <c r="D47" s="48"/>
      <c r="E47" s="48"/>
      <c r="F47" s="48"/>
      <c r="G47" s="48"/>
    </row>
    <row r="48" spans="1:7" x14ac:dyDescent="0.45">
      <c r="A48" s="42" t="s">
        <v>51</v>
      </c>
      <c r="B48" s="42">
        <v>1</v>
      </c>
      <c r="C48" s="42">
        <v>2</v>
      </c>
      <c r="D48" s="42">
        <v>3</v>
      </c>
      <c r="E48" s="42">
        <v>4</v>
      </c>
      <c r="F48" s="42">
        <v>5</v>
      </c>
      <c r="G48" s="42">
        <v>6</v>
      </c>
    </row>
    <row r="49" spans="1:7" x14ac:dyDescent="0.45">
      <c r="A49" s="42" t="s">
        <v>64</v>
      </c>
      <c r="B49" s="41">
        <v>7.6999999999999999E-2</v>
      </c>
      <c r="C49" s="41">
        <v>0.10200000000000001</v>
      </c>
      <c r="D49" s="41">
        <v>0.127</v>
      </c>
      <c r="E49" s="41">
        <v>0.152</v>
      </c>
      <c r="F49" s="41">
        <v>0.17699999999999999</v>
      </c>
      <c r="G49" s="41">
        <v>0.20199999999999999</v>
      </c>
    </row>
    <row r="50" spans="1:7" ht="14.65" x14ac:dyDescent="0.45">
      <c r="A50" s="42" t="s">
        <v>70</v>
      </c>
      <c r="B50" s="41">
        <v>5.9290000000000002E-3</v>
      </c>
      <c r="C50" s="41">
        <v>1.0404000000000002E-2</v>
      </c>
      <c r="D50" s="41">
        <v>1.6129000000000001E-2</v>
      </c>
      <c r="E50" s="41">
        <v>2.3104E-2</v>
      </c>
      <c r="F50" s="41">
        <v>3.1328999999999996E-2</v>
      </c>
      <c r="G50" s="41">
        <v>4.0803999999999993E-2</v>
      </c>
    </row>
    <row r="51" spans="1:7" ht="14.65" x14ac:dyDescent="0.45">
      <c r="A51" s="42" t="s">
        <v>71</v>
      </c>
      <c r="B51" s="36">
        <v>1.5068213537674789E-2</v>
      </c>
      <c r="C51" s="36">
        <v>2.1048078241893361E-2</v>
      </c>
      <c r="D51" s="36">
        <v>3.0749652241374853E-2</v>
      </c>
      <c r="E51" s="36">
        <v>4.1675635135226742E-2</v>
      </c>
      <c r="F51" s="36">
        <v>5.3980073805964597E-2</v>
      </c>
      <c r="G51" s="36">
        <v>7.0331102837393106E-2</v>
      </c>
    </row>
  </sheetData>
  <mergeCells count="13">
    <mergeCell ref="A1:G1"/>
    <mergeCell ref="A20:E20"/>
    <mergeCell ref="A47:G47"/>
    <mergeCell ref="B2:G2"/>
    <mergeCell ref="A4:A7"/>
    <mergeCell ref="A8:A11"/>
    <mergeCell ref="A12:A15"/>
    <mergeCell ref="A16:A19"/>
    <mergeCell ref="A22:A27"/>
    <mergeCell ref="A28:A33"/>
    <mergeCell ref="A34:A39"/>
    <mergeCell ref="A40:A45"/>
    <mergeCell ref="A2:A3"/>
  </mergeCells>
  <pageMargins left="0.23622047244094491" right="0.23622047244094491" top="7.874015748031496E-2" bottom="0.15748031496062992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27</vt:i4>
      </vt:variant>
    </vt:vector>
  </HeadingPairs>
  <TitlesOfParts>
    <vt:vector size="27" baseType="lpstr">
      <vt:lpstr>Погрешности косвенные (Шаблон)</vt:lpstr>
      <vt:lpstr>МНК (Шаблон)</vt:lpstr>
      <vt:lpstr>предисловие</vt:lpstr>
      <vt:lpstr>Таблица 1</vt:lpstr>
      <vt:lpstr>Таблица 2</vt:lpstr>
      <vt:lpstr>Таблица 3</vt:lpstr>
      <vt:lpstr>График 1</vt:lpstr>
      <vt:lpstr>График 2</vt:lpstr>
      <vt:lpstr>Печать 1</vt:lpstr>
      <vt:lpstr>Печать 2</vt:lpstr>
      <vt:lpstr>Печать 3</vt:lpstr>
      <vt:lpstr>Параметры установки</vt:lpstr>
      <vt:lpstr>Погрешности прямые (t)</vt:lpstr>
      <vt:lpstr>Погрешности прямые (a)</vt:lpstr>
      <vt:lpstr>Погрешности косвенные (a)</vt:lpstr>
      <vt:lpstr>Погрешности прямые (e)</vt:lpstr>
      <vt:lpstr>Погрешности косвенные (e)</vt:lpstr>
      <vt:lpstr>Погрешности прямые (M)</vt:lpstr>
      <vt:lpstr>Погрешности косвенные (M)</vt:lpstr>
      <vt:lpstr>МНК рис.1</vt:lpstr>
      <vt:lpstr>МНК рис.2</vt:lpstr>
      <vt:lpstr>МНК рис.3</vt:lpstr>
      <vt:lpstr>МНК рис.4</vt:lpstr>
      <vt:lpstr>МНК рис.5</vt:lpstr>
      <vt:lpstr>МНК рис.6</vt:lpstr>
      <vt:lpstr>МНК I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Vyacheslav Kulagin</cp:lastModifiedBy>
  <cp:lastPrinted>2021-10-21T21:58:13Z</cp:lastPrinted>
  <dcterms:created xsi:type="dcterms:W3CDTF">2015-06-05T18:19:34Z</dcterms:created>
  <dcterms:modified xsi:type="dcterms:W3CDTF">2024-10-30T18:10:50Z</dcterms:modified>
</cp:coreProperties>
</file>